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9720" windowHeight="5160" activeTab="0"/>
  </bookViews>
  <sheets>
    <sheet name="IS" sheetId="1" r:id="rId1"/>
    <sheet name="CS-10" sheetId="2" r:id="rId2"/>
    <sheet name="CS-11" sheetId="3" r:id="rId3"/>
    <sheet name="CS-12" sheetId="4" r:id="rId4"/>
    <sheet name="BS03" sheetId="5" r:id="rId5"/>
    <sheet name="BS02" sheetId="6" r:id="rId6"/>
    <sheet name="CS-101" sheetId="7" r:id="rId7"/>
    <sheet name="CS-111" sheetId="8" r:id="rId8"/>
    <sheet name="CS-121" sheetId="9" r:id="rId9"/>
    <sheet name="BS" sheetId="10" r:id="rId10"/>
    <sheet name="CS-0302" sheetId="11" r:id="rId11"/>
    <sheet name="stmt eqty" sheetId="12" r:id="rId12"/>
    <sheet name="STMT EQUITY" sheetId="13" r:id="rId13"/>
    <sheet name="CASHFLOW" sheetId="14" r:id="rId14"/>
    <sheet name="Condensed" sheetId="15" r:id="rId15"/>
    <sheet name="CFLOWA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Print_Area" localSheetId="9">'BS'!$A$1:$G$46</definedName>
    <definedName name="_xlnm.Print_Area" localSheetId="15">'CFLOWA'!$A$1:$F$64</definedName>
    <definedName name="_xlnm.Print_Area" localSheetId="10">'CS-0302'!$A$1:$L$51</definedName>
    <definedName name="_xlnm.Print_Area" localSheetId="1">'CS-10'!$A$1:$K$118</definedName>
    <definedName name="_xlnm.Print_Area" localSheetId="6">'CS-101'!#REF!</definedName>
    <definedName name="_xlnm.Print_Area" localSheetId="2">'CS-11'!$A$1:$K$118</definedName>
    <definedName name="_xlnm.Print_Area" localSheetId="7">'CS-111'!#REF!</definedName>
    <definedName name="_xlnm.Print_Area" localSheetId="3">'CS-12'!$A$1:$K$119</definedName>
    <definedName name="_xlnm.Print_Area" localSheetId="8">'CS-121'!$A$1:$J$117</definedName>
    <definedName name="_xlnm.Print_Area" localSheetId="0">'IS'!$A$1:$I$54</definedName>
    <definedName name="_xlnm.Print_Area" localSheetId="11">'stmt eqty'!$A$1:$H$42</definedName>
    <definedName name="_xlnm.Print_Area" localSheetId="12">'STMT EQUITY'!$A$1:$G$44</definedName>
  </definedNames>
  <calcPr fullCalcOnLoad="1"/>
</workbook>
</file>

<file path=xl/sharedStrings.xml><?xml version="1.0" encoding="utf-8"?>
<sst xmlns="http://schemas.openxmlformats.org/spreadsheetml/2006/main" count="1366" uniqueCount="302">
  <si>
    <t>(INCORPORATED IN MALAYSIA)</t>
  </si>
  <si>
    <t>CONDENSED CONSOLIDATED INCOME STATEMENTS</t>
  </si>
  <si>
    <t>CURRENT</t>
  </si>
  <si>
    <t xml:space="preserve">QTR ENDED </t>
  </si>
  <si>
    <t>CUMULATIVE</t>
  </si>
  <si>
    <t>RM'000</t>
  </si>
  <si>
    <t>Revenue</t>
  </si>
  <si>
    <t>Other Operating Income</t>
  </si>
  <si>
    <t>Profit from Operations</t>
  </si>
  <si>
    <t>Finance Costs</t>
  </si>
  <si>
    <t>Profit before tax</t>
  </si>
  <si>
    <t>Taxation</t>
  </si>
  <si>
    <t>Profit after tax</t>
  </si>
  <si>
    <t>Net Profit for the period</t>
  </si>
  <si>
    <t>CONDENSED CONSOLIDATED BALANCE SHEET</t>
  </si>
  <si>
    <t>Property, Plant and Equipment</t>
  </si>
  <si>
    <t>Investments in Associated Companies</t>
  </si>
  <si>
    <t>Current Assets</t>
  </si>
  <si>
    <t>Inventories</t>
  </si>
  <si>
    <t>Debtors</t>
  </si>
  <si>
    <t>Cash and cash equivalents</t>
  </si>
  <si>
    <t>Current Liabilities</t>
  </si>
  <si>
    <t>Trade &amp; Other Creditors</t>
  </si>
  <si>
    <t>Overdraft &amp; Short Term Borrowings</t>
  </si>
  <si>
    <t>Share Capital</t>
  </si>
  <si>
    <t>Reserves</t>
  </si>
  <si>
    <t>Long Term Borrowings:</t>
  </si>
  <si>
    <t>Borrowings</t>
  </si>
  <si>
    <t>Bonds</t>
  </si>
  <si>
    <t xml:space="preserve">(The Condensed Consolidated Balance Sheets should be read in conjunction with the Annual Financial </t>
  </si>
  <si>
    <t>CONDENSED CONSOLIDATED STATEMENTS OF CHANGES IN EQUITY</t>
  </si>
  <si>
    <t>Foreign Exchange</t>
  </si>
  <si>
    <t>Share Premium</t>
  </si>
  <si>
    <t>Reserve</t>
  </si>
  <si>
    <t>Capital Reserve</t>
  </si>
  <si>
    <t>Total</t>
  </si>
  <si>
    <t>RM '000</t>
  </si>
  <si>
    <t>Share of loss from associated companies</t>
  </si>
  <si>
    <t>(The Condensed Consolidated Income Statements should be read in conjunction with the Annual</t>
  </si>
  <si>
    <t>Minority Interests</t>
  </si>
  <si>
    <t xml:space="preserve">Movements for the period </t>
  </si>
  <si>
    <t>EPS -Basic (sen)</t>
  </si>
  <si>
    <t xml:space="preserve">        -Diluted (sen)</t>
  </si>
  <si>
    <t xml:space="preserve">The EPS is calculated based on the net profit for the period divided by the weighted average number of shares </t>
  </si>
  <si>
    <t>Cash Flow From Operating Activities</t>
  </si>
  <si>
    <t>Adjustment for :-</t>
  </si>
  <si>
    <t xml:space="preserve">        Depreciation</t>
  </si>
  <si>
    <t xml:space="preserve">        Interest Income</t>
  </si>
  <si>
    <t xml:space="preserve">        Interest Expenses</t>
  </si>
  <si>
    <t xml:space="preserve">        Uncollectable Damages</t>
  </si>
  <si>
    <t xml:space="preserve">        Bad and Doubtful Debt</t>
  </si>
  <si>
    <t>Operating Profit Before Working Capital Changes</t>
  </si>
  <si>
    <t>(Increase) in Trade and Other Receivables or Debtors</t>
  </si>
  <si>
    <t>(Increase) in Stocks</t>
  </si>
  <si>
    <t>Cash Generated from Operations</t>
  </si>
  <si>
    <t>Interest Received</t>
  </si>
  <si>
    <t>Interest Paid</t>
  </si>
  <si>
    <t>Net Cash Flow From Operating Activities</t>
  </si>
  <si>
    <t>Cash Flow From Investing Activities</t>
  </si>
  <si>
    <t>Purchase of Fixed Assets</t>
  </si>
  <si>
    <t>Proceed From Sale of Fixed Assets</t>
  </si>
  <si>
    <t>Net Cash Used in Investing Activities</t>
  </si>
  <si>
    <t>Cash Flow From Financing Activities</t>
  </si>
  <si>
    <t>Proceeds From Long Term Borrowing</t>
  </si>
  <si>
    <t>Repayment of Borrowing</t>
  </si>
  <si>
    <t>Repayment of Hire-Purchase and Lease Obligation</t>
  </si>
  <si>
    <t>Payment to Related company</t>
  </si>
  <si>
    <t>Settlement to Holding Co.</t>
  </si>
  <si>
    <t>Net Cash Generated From/(Used In) Financing Act.</t>
  </si>
  <si>
    <t>Net increase in Cash and Cash Equivalents</t>
  </si>
  <si>
    <t>Cash and Cash Equivalents at Beginning of Year</t>
  </si>
  <si>
    <t>Cash and Cash Equivalents at End of Year</t>
  </si>
  <si>
    <t>Cash and Bank Balances</t>
  </si>
  <si>
    <t>Fixed Deposit/ Short Term Placements</t>
  </si>
  <si>
    <t>Overdraft</t>
  </si>
  <si>
    <t>Total Cash and Bank Balances</t>
  </si>
  <si>
    <t>CONDENSED CONSOLIDATED CASH FLOW STATEMENTS</t>
  </si>
  <si>
    <t xml:space="preserve">Profit Before Taxation </t>
  </si>
  <si>
    <t xml:space="preserve">        Loss on associated companies</t>
  </si>
  <si>
    <t>Prior Year Adjustment (note 18)</t>
  </si>
  <si>
    <t>Unaudited</t>
  </si>
  <si>
    <t>Audited</t>
  </si>
  <si>
    <t>NATIONWIDE EXPRESS COURIER SERVICES BERHAD</t>
  </si>
  <si>
    <t>(COMPANY NO : 133096-M)</t>
  </si>
  <si>
    <t xml:space="preserve">PROFIT AND LOSS ACCOUNT </t>
  </si>
  <si>
    <t xml:space="preserve"> </t>
  </si>
  <si>
    <t>NET  GROUP</t>
  </si>
  <si>
    <t>PARTICULAR</t>
  </si>
  <si>
    <t>BUDGET</t>
  </si>
  <si>
    <t>REMAINING BGT</t>
  </si>
  <si>
    <t>YTD 02/03</t>
  </si>
  <si>
    <t>YTD 01/02</t>
  </si>
  <si>
    <t>TURNOVER</t>
  </si>
  <si>
    <t>Domestic</t>
  </si>
  <si>
    <t>International</t>
  </si>
  <si>
    <t>Air Freight</t>
  </si>
  <si>
    <t>Inter-Co Income</t>
  </si>
  <si>
    <t>Hide Interco</t>
  </si>
  <si>
    <t>Trucking</t>
  </si>
  <si>
    <t>Cartage Income</t>
  </si>
  <si>
    <t>Pick-Up (Cartage)</t>
  </si>
  <si>
    <t>Delivery (Cartage)</t>
  </si>
  <si>
    <t xml:space="preserve">Other Revenue </t>
  </si>
  <si>
    <t>Service Tax</t>
  </si>
  <si>
    <t>Total - Turnover</t>
  </si>
  <si>
    <t>DIRECT COSTS</t>
  </si>
  <si>
    <t>Variable Expenses</t>
  </si>
  <si>
    <t>Agent Pick - up &amp; Delivery</t>
  </si>
  <si>
    <t>Airfreight &amp; Forwarding Expenses</t>
  </si>
  <si>
    <t>Air Express Charges</t>
  </si>
  <si>
    <t>International Airfreight &amp; Forwarding Expenses</t>
  </si>
  <si>
    <t>Customs &amp; Clearance Expenses</t>
  </si>
  <si>
    <t>Printing</t>
  </si>
  <si>
    <t>Printing - Consignment Notes</t>
  </si>
  <si>
    <t>Printing - Ops Material/Forms</t>
  </si>
  <si>
    <t>Inter-Co Charges</t>
  </si>
  <si>
    <t>I/Co - Customs Clearance (NFF/NES)</t>
  </si>
  <si>
    <t>I/Co - Delivery Charges  (NEP/NES)</t>
  </si>
  <si>
    <t>Sub Total - Variable Expenses</t>
  </si>
  <si>
    <t>Fixed Operational Expenses</t>
  </si>
  <si>
    <t>Staff Related Expenses</t>
  </si>
  <si>
    <t>Salaries-Gross Pay &amp; Allowance</t>
  </si>
  <si>
    <t xml:space="preserve">Bonus </t>
  </si>
  <si>
    <t>Overtime</t>
  </si>
  <si>
    <t xml:space="preserve">Fringe Costs (EPF &amp; Socso) </t>
  </si>
  <si>
    <t>Vehicle Expenses</t>
  </si>
  <si>
    <t>Depreciation - Ops/Van</t>
  </si>
  <si>
    <t>Maintenance Facility/Property</t>
  </si>
  <si>
    <t>Operating Supplies</t>
  </si>
  <si>
    <t>Other Expenses</t>
  </si>
  <si>
    <t>Sub Total - Fixed Operational Expenses</t>
  </si>
  <si>
    <t>Total - Direct Costs</t>
  </si>
  <si>
    <t>CONTRIBUTION / TURNOVER (%)</t>
  </si>
  <si>
    <t xml:space="preserve">CONTRIBUTION </t>
  </si>
  <si>
    <t>FIXED OVERHEAD EXPENSES</t>
  </si>
  <si>
    <t>Selling &amp; Distribution</t>
  </si>
  <si>
    <t>Bonus</t>
  </si>
  <si>
    <t xml:space="preserve">Travelling </t>
  </si>
  <si>
    <t>Entertainment</t>
  </si>
  <si>
    <t>Salesman Commission</t>
  </si>
  <si>
    <t>Advertisement / Promotion</t>
  </si>
  <si>
    <t>Sub Total - Selling &amp; Distribution Expenses</t>
  </si>
  <si>
    <t>Office Administration</t>
  </si>
  <si>
    <t>Fringe Costs (EPF, Socso &amp; Amenities)</t>
  </si>
  <si>
    <t>Medical Expenses</t>
  </si>
  <si>
    <t xml:space="preserve">Recruitment </t>
  </si>
  <si>
    <t>Training</t>
  </si>
  <si>
    <t>Travelling - Admin</t>
  </si>
  <si>
    <t>Legal Fees</t>
  </si>
  <si>
    <t>Professional, Audit &amp; Tax Fees</t>
  </si>
  <si>
    <t>Telephone, Telex, Fax, Courier, Postage, etc.</t>
  </si>
  <si>
    <t>Utilities</t>
  </si>
  <si>
    <t>Repair &amp; Maintenance - Equipments</t>
  </si>
  <si>
    <t>Depreciation</t>
  </si>
  <si>
    <t>Lease/Rental</t>
  </si>
  <si>
    <t>Insurance</t>
  </si>
  <si>
    <t>Printing &amp; Stationery - General Administration</t>
  </si>
  <si>
    <t>Bank Charges &amp; Commission</t>
  </si>
  <si>
    <t>Discount Allowed</t>
  </si>
  <si>
    <t>Provision for Doubtful Debts</t>
  </si>
  <si>
    <t>(Gain) / Loss on Disposal of Fixed Assets</t>
  </si>
  <si>
    <t>Miscellaneous Expenses</t>
  </si>
  <si>
    <t>(Gain) / Loss on Foreign Exchange</t>
  </si>
  <si>
    <t>Diminution In Value</t>
  </si>
  <si>
    <t>Sub Total - Office Administration Expenses</t>
  </si>
  <si>
    <t>Total - Fixed Overhead Expenses</t>
  </si>
  <si>
    <t>Total Expenses</t>
  </si>
  <si>
    <t>PROFIT / (LOSS)  BEFORE INTEREST INCOME</t>
  </si>
  <si>
    <t>Interest Income</t>
  </si>
  <si>
    <t xml:space="preserve">NET PROFIT / (LOSS) </t>
  </si>
  <si>
    <t>NET PROFIT / (LOSS) AFTER TAX</t>
  </si>
  <si>
    <t>Dividend</t>
  </si>
  <si>
    <t>NET PROFIT / (LOSS) FOR THE PERIOD</t>
  </si>
  <si>
    <t>TO CHANGE MANUALLY</t>
  </si>
  <si>
    <t xml:space="preserve">[Basic &amp; Diluted : 42,934,500] </t>
  </si>
  <si>
    <t>Financial Report for the year ended 31st March 2002)</t>
  </si>
  <si>
    <t>Short Term Investments</t>
  </si>
  <si>
    <t>Report for the year ended 31st March 2002)</t>
  </si>
  <si>
    <t>NES</t>
  </si>
  <si>
    <t>NEFF</t>
  </si>
  <si>
    <t>NEP</t>
  </si>
  <si>
    <t>NEM</t>
  </si>
  <si>
    <t>NEL</t>
  </si>
  <si>
    <t>NED</t>
  </si>
  <si>
    <t>GROUP</t>
  </si>
  <si>
    <t>CURRENT MONTH</t>
  </si>
  <si>
    <t>ELIMINATE</t>
  </si>
  <si>
    <t>NET</t>
  </si>
  <si>
    <t>S$</t>
  </si>
  <si>
    <t>CURRENT ASSETS</t>
  </si>
  <si>
    <t>Trade Debtors Less Prov -Doubtful Debts</t>
  </si>
  <si>
    <t>Other Debtors</t>
  </si>
  <si>
    <t xml:space="preserve">Inter-Co Related Company </t>
  </si>
  <si>
    <t xml:space="preserve">Inter-Co Related Company - Europel, </t>
  </si>
  <si>
    <t>Inter-Co Related Company - NEP, NFF &amp; NEM</t>
  </si>
  <si>
    <t>Inter-Co Current Account</t>
  </si>
  <si>
    <t>Cash &amp; Bank Balances</t>
  </si>
  <si>
    <t>Fixed Deposit</t>
  </si>
  <si>
    <t xml:space="preserve">  </t>
  </si>
  <si>
    <t>TOTAL - CURRENT ASSETS</t>
  </si>
  <si>
    <t>CURRENT LIABILITIES</t>
  </si>
  <si>
    <t>Trade Creditors</t>
  </si>
  <si>
    <t>Other Creditors</t>
  </si>
  <si>
    <t>Lease Creditors</t>
  </si>
  <si>
    <t>Inter-Co Current Account - NFF</t>
  </si>
  <si>
    <t>Inter-Co Current Account - FIMA</t>
  </si>
  <si>
    <t>Proposed Dividends</t>
  </si>
  <si>
    <t>TOTAL - CURRENT LIABILITIES</t>
  </si>
  <si>
    <t>Net Current Assets / (Liabilities)</t>
  </si>
  <si>
    <t>Fixed Assets Less Depreciation</t>
  </si>
  <si>
    <t>Investment in Subsidiaries</t>
  </si>
  <si>
    <t>Trade Investment</t>
  </si>
  <si>
    <t>NET ASSETS / (LIABILITIES)</t>
  </si>
  <si>
    <t>FINANCE BY :</t>
  </si>
  <si>
    <t>Ordinary Shares</t>
  </si>
  <si>
    <t>Difference on Foreign Exchange</t>
  </si>
  <si>
    <t>Profit And Loss Account (Current)</t>
  </si>
  <si>
    <t>Deferred Taxation</t>
  </si>
  <si>
    <t>TOTAL - SHAREHOLDERS FUNDS</t>
  </si>
  <si>
    <t>current asset                      current liabiliti</t>
  </si>
  <si>
    <t xml:space="preserve">inter co current a/c nes : interco nef + nep </t>
  </si>
  <si>
    <t xml:space="preserve">                                          : + nel + ned</t>
  </si>
  <si>
    <t>current Liabiliti                      current asset</t>
  </si>
  <si>
    <t>inter co current a/c nes : interco nek</t>
  </si>
  <si>
    <t>BALANCE SHEET AS AT 31 MARCH 2002</t>
  </si>
  <si>
    <t>Proposed Dividend</t>
  </si>
  <si>
    <t>At 1 April, 2002</t>
  </si>
  <si>
    <t xml:space="preserve">Opening Balance </t>
  </si>
  <si>
    <t>(Decrease) in Creditors or Payable</t>
  </si>
  <si>
    <t>(Increase) in related companies</t>
  </si>
  <si>
    <t>minus bank charges</t>
  </si>
  <si>
    <t>interest income</t>
  </si>
  <si>
    <t>adjusted manually</t>
  </si>
  <si>
    <t>At 1 April, 2001</t>
  </si>
  <si>
    <t>trade &amp; other cred</t>
  </si>
  <si>
    <t>trade &amp; other debt</t>
  </si>
  <si>
    <t>nil</t>
  </si>
  <si>
    <t>Accumulated profit</t>
  </si>
  <si>
    <t>(Includes Dividend)</t>
  </si>
  <si>
    <t>Operating Expenses</t>
  </si>
  <si>
    <t>Net Current Asset</t>
  </si>
  <si>
    <t>Net Tangible Assets Per Share (Sen)</t>
  </si>
  <si>
    <t>Other Fees</t>
  </si>
  <si>
    <t>Storage Fees</t>
  </si>
  <si>
    <t>YTD 00/01</t>
  </si>
  <si>
    <t>9 MONTHS</t>
  </si>
  <si>
    <t>31 DEC</t>
  </si>
  <si>
    <t>BALANCE SHEET AS AT 31 DECEMBER 2002</t>
  </si>
  <si>
    <t>BALANCE SHEET AS AT 31 DECEMBER 2001</t>
  </si>
  <si>
    <t>NFF</t>
  </si>
  <si>
    <t>NEK</t>
  </si>
  <si>
    <t>Inter-Co Related Company - Europel</t>
  </si>
  <si>
    <t>Inter-Co Related Company</t>
  </si>
  <si>
    <t>inter co current a/c nes : interco nef + nep</t>
  </si>
  <si>
    <t>9 Month Ended</t>
  </si>
  <si>
    <t>31 December 2002</t>
  </si>
  <si>
    <t>31 December 2001</t>
  </si>
  <si>
    <t>Excluding deffered taxation</t>
  </si>
  <si>
    <t>At 31 December, 2002</t>
  </si>
  <si>
    <t>At 31 December, 2001</t>
  </si>
  <si>
    <t>Opening as per Annual Report</t>
  </si>
  <si>
    <t>for the 9 months period ended 31 December, 2002</t>
  </si>
  <si>
    <t>for the 9 months period ended 31 December, 2001</t>
  </si>
  <si>
    <t>inter co for c asset &amp; liabilities (c.asset, inc-,dec+), (c.lia, inc+, dec-)</t>
  </si>
  <si>
    <t>2001</t>
  </si>
  <si>
    <t>2002</t>
  </si>
  <si>
    <t>Taxation paid</t>
  </si>
  <si>
    <t>Dividend Paid</t>
  </si>
  <si>
    <t xml:space="preserve">Repayment of Hire-Purchase </t>
  </si>
  <si>
    <t xml:space="preserve">        Gain on foreign exchange</t>
  </si>
  <si>
    <t xml:space="preserve">        (Gain) on Disposal of Asset</t>
  </si>
  <si>
    <t xml:space="preserve">        (Gain)/Loss on Disposal of Asset</t>
  </si>
  <si>
    <t xml:space="preserve">        (Gain)/Loss on Foreign Exchange</t>
  </si>
  <si>
    <t xml:space="preserve">        Provision for Doubtful Debt</t>
  </si>
  <si>
    <t>(Decrease)/Increase in Creditors or Payable</t>
  </si>
  <si>
    <t>Net cash inflow from operating activities</t>
  </si>
  <si>
    <t>Net cash outflow from investing activities</t>
  </si>
  <si>
    <t>Net cash outflow from financing activities</t>
  </si>
  <si>
    <t>Net increase in cash and cash equivalents</t>
  </si>
  <si>
    <t>Cash and cash equivalents as at 1 April 2002</t>
  </si>
  <si>
    <t>Cash and cash equivalents as at 31 December 2002</t>
  </si>
  <si>
    <t>Cash and cash equivalents comprise:</t>
  </si>
  <si>
    <t xml:space="preserve">       Deposits with financial institutions</t>
  </si>
  <si>
    <t xml:space="preserve">       Cash and bank balances</t>
  </si>
  <si>
    <t xml:space="preserve">       Bank overdrafts</t>
  </si>
  <si>
    <t xml:space="preserve">       Cash and cash equivalents as at 31 December 2002</t>
  </si>
  <si>
    <t xml:space="preserve">  Financial Report for the year ended 31 March 2002)</t>
  </si>
  <si>
    <t>(The Condensed Consolidated Statements of Changes in Equity should be read in conjunction with the Annual</t>
  </si>
  <si>
    <t>Shareholders' Fund</t>
  </si>
  <si>
    <t>Dividends</t>
  </si>
  <si>
    <t>Currency translation differences</t>
  </si>
  <si>
    <t>Capital</t>
  </si>
  <si>
    <t>Share</t>
  </si>
  <si>
    <t>Exchange</t>
  </si>
  <si>
    <t>Foreign</t>
  </si>
  <si>
    <t>Profit</t>
  </si>
  <si>
    <t>Accumulated</t>
  </si>
  <si>
    <t xml:space="preserve">  Annual Financial Report for the year ended 31 March 2002)</t>
  </si>
  <si>
    <t>(The Condensed Consolidated Statements of Changes in Equity should be read in conjunction with the</t>
  </si>
  <si>
    <t>Issue of bonus shares</t>
  </si>
  <si>
    <t>Net profit for the period</t>
  </si>
  <si>
    <t>9 Months Ended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</si>
</sst>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_(* #,##0.000_);_(* \(#,##0.000\);_(* &quot;-&quot;??_);_(@_)"/>
    <numFmt numFmtId="168" formatCode="_(* #,##0.000_);_(* \(#,##0.000\);_(* &quot;-&quot;???_);_(@_)"/>
    <numFmt numFmtId="169" formatCode="0.0000"/>
    <numFmt numFmtId="170" formatCode="_(* #,##0.0000_);_(* \(#,##0.0000\);_(* &quot;-&quot;??_);_(@_)"/>
    <numFmt numFmtId="171" formatCode="0.00000000"/>
    <numFmt numFmtId="172" formatCode="0.0000000"/>
    <numFmt numFmtId="173" formatCode="0.000000"/>
    <numFmt numFmtId="174" formatCode="0.00000"/>
    <numFmt numFmtId="175" formatCode="0.000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.0_);_(* \(#,##0.0\);_(* &quot;-&quot;?_);_(@_)"/>
  </numFmts>
  <fonts count="18">
    <font>
      <sz val="10"/>
      <name val="Arial"/>
      <family val="0"/>
    </font>
    <font>
      <sz val="11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i/>
      <sz val="10"/>
      <name val="Arial"/>
      <family val="2"/>
    </font>
    <font>
      <sz val="8"/>
      <color indexed="10"/>
      <name val="Arial"/>
      <family val="2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43" fontId="3" fillId="0" borderId="0" xfId="15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2" fillId="0" borderId="3" xfId="0" applyFont="1" applyFill="1" applyBorder="1" applyAlignment="1" applyProtection="1">
      <alignment horizontal="centerContinuous"/>
      <protection/>
    </xf>
    <xf numFmtId="0" fontId="2" fillId="0" borderId="4" xfId="0" applyFont="1" applyFill="1" applyBorder="1" applyAlignment="1">
      <alignment horizontal="centerContinuous"/>
    </xf>
    <xf numFmtId="0" fontId="2" fillId="0" borderId="5" xfId="0" applyFont="1" applyFill="1" applyBorder="1" applyAlignment="1" applyProtection="1">
      <alignment horizontal="center"/>
      <protection/>
    </xf>
    <xf numFmtId="0" fontId="2" fillId="0" borderId="6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2" fillId="0" borderId="7" xfId="0" applyFont="1" applyFill="1" applyBorder="1" applyAlignment="1" applyProtection="1">
      <alignment horizontal="center"/>
      <protection/>
    </xf>
    <xf numFmtId="0" fontId="2" fillId="0" borderId="8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5" fontId="2" fillId="0" borderId="3" xfId="0" applyNumberFormat="1" applyFont="1" applyFill="1" applyBorder="1" applyAlignment="1" applyProtection="1">
      <alignment horizontal="centerContinuous"/>
      <protection/>
    </xf>
    <xf numFmtId="15" fontId="2" fillId="0" borderId="9" xfId="0" applyNumberFormat="1" applyFont="1" applyFill="1" applyBorder="1" applyAlignment="1" applyProtection="1">
      <alignment horizontal="center"/>
      <protection/>
    </xf>
    <xf numFmtId="43" fontId="3" fillId="0" borderId="6" xfId="15" applyFont="1" applyFill="1" applyBorder="1" applyAlignment="1">
      <alignment vertical="center"/>
    </xf>
    <xf numFmtId="43" fontId="3" fillId="0" borderId="0" xfId="15" applyFont="1" applyFill="1" applyBorder="1" applyAlignment="1">
      <alignment vertical="center"/>
    </xf>
    <xf numFmtId="15" fontId="3" fillId="0" borderId="7" xfId="0" applyNumberFormat="1" applyFont="1" applyFill="1" applyBorder="1" applyAlignment="1" applyProtection="1">
      <alignment horizontal="centerContinuous" vertical="center"/>
      <protection/>
    </xf>
    <xf numFmtId="43" fontId="3" fillId="0" borderId="6" xfId="15" applyFont="1" applyFill="1" applyBorder="1" applyAlignment="1" applyProtection="1">
      <alignment horizontal="left" vertical="center"/>
      <protection/>
    </xf>
    <xf numFmtId="43" fontId="2" fillId="0" borderId="0" xfId="15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43" fontId="3" fillId="0" borderId="0" xfId="15" applyFont="1" applyFill="1" applyBorder="1" applyAlignment="1" applyProtection="1">
      <alignment horizontal="left" vertical="center"/>
      <protection/>
    </xf>
    <xf numFmtId="43" fontId="2" fillId="0" borderId="0" xfId="15" applyFont="1" applyFill="1" applyBorder="1" applyAlignment="1" applyProtection="1">
      <alignment horizontal="left" vertical="center"/>
      <protection/>
    </xf>
    <xf numFmtId="164" fontId="2" fillId="0" borderId="7" xfId="15" applyNumberFormat="1" applyFont="1" applyFill="1" applyBorder="1" applyAlignment="1" applyProtection="1">
      <alignment vertical="center"/>
      <protection/>
    </xf>
    <xf numFmtId="43" fontId="2" fillId="0" borderId="0" xfId="15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43" fontId="2" fillId="3" borderId="6" xfId="15" applyFont="1" applyFill="1" applyBorder="1" applyAlignment="1" applyProtection="1">
      <alignment horizontal="left" vertical="center"/>
      <protection/>
    </xf>
    <xf numFmtId="43" fontId="2" fillId="3" borderId="0" xfId="15" applyFont="1" applyFill="1" applyBorder="1" applyAlignment="1" applyProtection="1">
      <alignment horizontal="left" vertical="center"/>
      <protection/>
    </xf>
    <xf numFmtId="0" fontId="0" fillId="3" borderId="0" xfId="0" applyFill="1" applyBorder="1" applyAlignment="1">
      <alignment/>
    </xf>
    <xf numFmtId="164" fontId="2" fillId="3" borderId="7" xfId="15" applyNumberFormat="1" applyFont="1" applyFill="1" applyBorder="1" applyAlignment="1" applyProtection="1">
      <alignment vertical="center"/>
      <protection/>
    </xf>
    <xf numFmtId="0" fontId="0" fillId="3" borderId="0" xfId="0" applyFill="1" applyAlignment="1">
      <alignment/>
    </xf>
    <xf numFmtId="43" fontId="2" fillId="0" borderId="6" xfId="15" applyFont="1" applyFill="1" applyBorder="1" applyAlignment="1" applyProtection="1">
      <alignment horizontal="left" vertical="center"/>
      <protection/>
    </xf>
    <xf numFmtId="43" fontId="2" fillId="0" borderId="6" xfId="15" applyFont="1" applyFill="1" applyBorder="1" applyAlignment="1">
      <alignment vertical="center"/>
    </xf>
    <xf numFmtId="164" fontId="2" fillId="0" borderId="7" xfId="15" applyNumberFormat="1" applyFont="1" applyFill="1" applyBorder="1" applyAlignment="1" applyProtection="1">
      <alignment horizontal="fill" vertical="center"/>
      <protection/>
    </xf>
    <xf numFmtId="164" fontId="2" fillId="0" borderId="9" xfId="15" applyNumberFormat="1" applyFont="1" applyFill="1" applyBorder="1" applyAlignment="1" applyProtection="1">
      <alignment vertical="center"/>
      <protection/>
    </xf>
    <xf numFmtId="164" fontId="0" fillId="0" borderId="0" xfId="0" applyNumberFormat="1" applyFill="1" applyAlignment="1">
      <alignment/>
    </xf>
    <xf numFmtId="164" fontId="2" fillId="0" borderId="7" xfId="15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3" fontId="2" fillId="0" borderId="0" xfId="15" applyFont="1" applyBorder="1" applyAlignment="1" applyProtection="1">
      <alignment horizontal="left" vertical="center"/>
      <protection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43" fontId="2" fillId="0" borderId="7" xfId="15" applyFont="1" applyFill="1" applyBorder="1" applyAlignment="1" applyProtection="1">
      <alignment horizontal="fill" vertical="center"/>
      <protection/>
    </xf>
    <xf numFmtId="43" fontId="2" fillId="0" borderId="7" xfId="15" applyFont="1" applyFill="1" applyBorder="1" applyAlignment="1" applyProtection="1">
      <alignment vertical="center"/>
      <protection/>
    </xf>
    <xf numFmtId="43" fontId="2" fillId="0" borderId="7" xfId="15" applyFont="1" applyFill="1" applyBorder="1" applyAlignment="1">
      <alignment vertical="center"/>
    </xf>
    <xf numFmtId="164" fontId="2" fillId="0" borderId="7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0" fillId="0" borderId="6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164" fontId="2" fillId="0" borderId="12" xfId="15" applyNumberFormat="1" applyFont="1" applyFill="1" applyBorder="1" applyAlignment="1" applyProtection="1">
      <alignment vertical="center"/>
      <protection/>
    </xf>
    <xf numFmtId="164" fontId="2" fillId="0" borderId="13" xfId="15" applyNumberFormat="1" applyFont="1" applyFill="1" applyBorder="1" applyAlignment="1" applyProtection="1">
      <alignment vertical="center"/>
      <protection/>
    </xf>
    <xf numFmtId="164" fontId="2" fillId="0" borderId="14" xfId="15" applyNumberFormat="1" applyFont="1" applyFill="1" applyBorder="1" applyAlignment="1" applyProtection="1">
      <alignment horizontal="fill" vertical="center"/>
      <protection/>
    </xf>
    <xf numFmtId="164" fontId="2" fillId="0" borderId="0" xfId="15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164" fontId="2" fillId="0" borderId="14" xfId="15" applyNumberFormat="1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164" fontId="2" fillId="0" borderId="7" xfId="15" applyNumberFormat="1" applyFont="1" applyFill="1" applyBorder="1" applyAlignment="1">
      <alignment/>
    </xf>
    <xf numFmtId="43" fontId="0" fillId="0" borderId="7" xfId="15" applyFill="1" applyBorder="1" applyAlignment="1">
      <alignment/>
    </xf>
    <xf numFmtId="0" fontId="2" fillId="0" borderId="7" xfId="0" applyFont="1" applyFill="1" applyBorder="1" applyAlignment="1">
      <alignment/>
    </xf>
    <xf numFmtId="0" fontId="0" fillId="0" borderId="7" xfId="0" applyFill="1" applyBorder="1" applyAlignment="1">
      <alignment/>
    </xf>
    <xf numFmtId="43" fontId="3" fillId="0" borderId="6" xfId="15" applyFont="1" applyBorder="1" applyAlignment="1" applyProtection="1">
      <alignment horizontal="left" vertical="center"/>
      <protection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43" fontId="2" fillId="0" borderId="7" xfId="15" applyFont="1" applyFill="1" applyBorder="1" applyAlignment="1">
      <alignment/>
    </xf>
    <xf numFmtId="37" fontId="3" fillId="0" borderId="0" xfId="0" applyNumberFormat="1" applyFont="1" applyAlignment="1" applyProtection="1">
      <alignment horizontal="centerContinuous"/>
      <protection/>
    </xf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Continuous"/>
    </xf>
    <xf numFmtId="0" fontId="3" fillId="0" borderId="19" xfId="0" applyFont="1" applyBorder="1" applyAlignment="1">
      <alignment horizontal="centerContinuous"/>
    </xf>
    <xf numFmtId="37" fontId="3" fillId="0" borderId="20" xfId="0" applyNumberFormat="1" applyFont="1" applyFill="1" applyBorder="1" applyAlignment="1" applyProtection="1">
      <alignment horizontal="center"/>
      <protection/>
    </xf>
    <xf numFmtId="37" fontId="3" fillId="0" borderId="21" xfId="0" applyNumberFormat="1" applyFont="1" applyFill="1" applyBorder="1" applyAlignment="1" applyProtection="1">
      <alignment horizontal="center"/>
      <protection/>
    </xf>
    <xf numFmtId="37" fontId="3" fillId="0" borderId="1" xfId="0" applyNumberFormat="1" applyFont="1" applyFill="1" applyBorder="1" applyAlignment="1" applyProtection="1">
      <alignment horizontal="center"/>
      <protection/>
    </xf>
    <xf numFmtId="37" fontId="3" fillId="0" borderId="5" xfId="0" applyNumberFormat="1" applyFont="1" applyFill="1" applyBorder="1" applyAlignment="1" applyProtection="1">
      <alignment horizontal="center"/>
      <protection/>
    </xf>
    <xf numFmtId="37" fontId="3" fillId="0" borderId="19" xfId="0" applyNumberFormat="1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>
      <alignment/>
    </xf>
    <xf numFmtId="0" fontId="0" fillId="0" borderId="5" xfId="0" applyFont="1" applyBorder="1" applyAlignment="1">
      <alignment/>
    </xf>
    <xf numFmtId="37" fontId="3" fillId="0" borderId="5" xfId="0" applyNumberFormat="1" applyFont="1" applyBorder="1" applyAlignment="1" applyProtection="1">
      <alignment horizontal="center"/>
      <protection/>
    </xf>
    <xf numFmtId="0" fontId="3" fillId="0" borderId="6" xfId="0" applyFont="1" applyBorder="1" applyAlignment="1">
      <alignment horizontal="centerContinuous"/>
    </xf>
    <xf numFmtId="0" fontId="3" fillId="0" borderId="22" xfId="0" applyFont="1" applyBorder="1" applyAlignment="1">
      <alignment horizontal="centerContinuous"/>
    </xf>
    <xf numFmtId="37" fontId="3" fillId="0" borderId="3" xfId="0" applyNumberFormat="1" applyFont="1" applyFill="1" applyBorder="1" applyAlignment="1" applyProtection="1">
      <alignment horizontal="centerContinuous"/>
      <protection/>
    </xf>
    <xf numFmtId="0" fontId="0" fillId="0" borderId="23" xfId="0" applyFont="1" applyFill="1" applyBorder="1" applyAlignment="1">
      <alignment horizontal="centerContinuous"/>
    </xf>
    <xf numFmtId="0" fontId="0" fillId="0" borderId="9" xfId="0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centerContinuous"/>
    </xf>
    <xf numFmtId="37" fontId="3" fillId="0" borderId="7" xfId="0" applyNumberFormat="1" applyFont="1" applyFill="1" applyBorder="1" applyAlignment="1" applyProtection="1">
      <alignment horizontal="centerContinuous"/>
      <protection/>
    </xf>
    <xf numFmtId="37" fontId="3" fillId="0" borderId="7" xfId="0" applyNumberFormat="1" applyFont="1" applyBorder="1" applyAlignment="1" applyProtection="1">
      <alignment horizontal="centerContinuous"/>
      <protection/>
    </xf>
    <xf numFmtId="37" fontId="3" fillId="0" borderId="9" xfId="0" applyNumberFormat="1" applyFont="1" applyBorder="1" applyAlignment="1" applyProtection="1">
      <alignment horizontal="centerContinuous"/>
      <protection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15" fontId="3" fillId="0" borderId="10" xfId="0" applyNumberFormat="1" applyFont="1" applyFill="1" applyBorder="1" applyAlignment="1" applyProtection="1">
      <alignment horizontal="centerContinuous"/>
      <protection/>
    </xf>
    <xf numFmtId="0" fontId="0" fillId="0" borderId="11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17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15" fontId="3" fillId="0" borderId="15" xfId="0" applyNumberFormat="1" applyFont="1" applyBorder="1" applyAlignment="1" applyProtection="1">
      <alignment horizontal="centerContinuous"/>
      <protection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4" xfId="0" applyFont="1" applyFill="1" applyBorder="1" applyAlignment="1">
      <alignment/>
    </xf>
    <xf numFmtId="164" fontId="2" fillId="0" borderId="24" xfId="0" applyNumberFormat="1" applyFont="1" applyFill="1" applyBorder="1" applyAlignment="1">
      <alignment/>
    </xf>
    <xf numFmtId="169" fontId="3" fillId="0" borderId="25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>
      <alignment/>
    </xf>
    <xf numFmtId="0" fontId="2" fillId="0" borderId="7" xfId="0" applyFont="1" applyBorder="1" applyAlignment="1">
      <alignment/>
    </xf>
    <xf numFmtId="0" fontId="3" fillId="0" borderId="24" xfId="0" applyFont="1" applyBorder="1" applyAlignment="1">
      <alignment horizontal="center"/>
    </xf>
    <xf numFmtId="43" fontId="3" fillId="0" borderId="6" xfId="15" applyFont="1" applyBorder="1" applyAlignment="1" applyProtection="1">
      <alignment horizontal="left"/>
      <protection/>
    </xf>
    <xf numFmtId="43" fontId="3" fillId="0" borderId="0" xfId="15" applyFont="1" applyBorder="1" applyAlignment="1" applyProtection="1">
      <alignment horizontal="left"/>
      <protection/>
    </xf>
    <xf numFmtId="0" fontId="2" fillId="0" borderId="25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43" fontId="2" fillId="0" borderId="6" xfId="15" applyFont="1" applyBorder="1" applyAlignment="1" applyProtection="1">
      <alignment horizontal="left"/>
      <protection/>
    </xf>
    <xf numFmtId="43" fontId="2" fillId="0" borderId="0" xfId="15" applyFont="1" applyBorder="1" applyAlignment="1" applyProtection="1">
      <alignment horizontal="left"/>
      <protection/>
    </xf>
    <xf numFmtId="164" fontId="2" fillId="0" borderId="7" xfId="15" applyNumberFormat="1" applyFont="1" applyFill="1" applyBorder="1" applyAlignment="1" applyProtection="1">
      <alignment/>
      <protection/>
    </xf>
    <xf numFmtId="164" fontId="2" fillId="0" borderId="25" xfId="15" applyNumberFormat="1" applyFont="1" applyFill="1" applyBorder="1" applyAlignment="1" applyProtection="1">
      <alignment/>
      <protection/>
    </xf>
    <xf numFmtId="164" fontId="2" fillId="0" borderId="22" xfId="15" applyNumberFormat="1" applyFont="1" applyFill="1" applyBorder="1" applyAlignment="1" applyProtection="1">
      <alignment/>
      <protection/>
    </xf>
    <xf numFmtId="164" fontId="2" fillId="0" borderId="7" xfId="15" applyNumberFormat="1" applyFont="1" applyBorder="1" applyAlignment="1" applyProtection="1">
      <alignment/>
      <protection/>
    </xf>
    <xf numFmtId="164" fontId="2" fillId="0" borderId="24" xfId="15" applyNumberFormat="1" applyFont="1" applyBorder="1" applyAlignment="1" applyProtection="1">
      <alignment/>
      <protection/>
    </xf>
    <xf numFmtId="164" fontId="2" fillId="2" borderId="7" xfId="15" applyNumberFormat="1" applyFont="1" applyFill="1" applyBorder="1" applyAlignment="1" applyProtection="1">
      <alignment/>
      <protection/>
    </xf>
    <xf numFmtId="43" fontId="2" fillId="0" borderId="6" xfId="15" applyFont="1" applyFill="1" applyBorder="1" applyAlignment="1" applyProtection="1">
      <alignment horizontal="left"/>
      <protection/>
    </xf>
    <xf numFmtId="43" fontId="2" fillId="0" borderId="0" xfId="15" applyFont="1" applyFill="1" applyBorder="1" applyAlignment="1" applyProtection="1">
      <alignment horizontal="left"/>
      <protection/>
    </xf>
    <xf numFmtId="164" fontId="2" fillId="0" borderId="22" xfId="15" applyNumberFormat="1" applyFont="1" applyFill="1" applyBorder="1" applyAlignment="1">
      <alignment/>
    </xf>
    <xf numFmtId="164" fontId="2" fillId="0" borderId="24" xfId="15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43" fontId="2" fillId="0" borderId="6" xfId="15" applyFont="1" applyBorder="1" applyAlignment="1">
      <alignment/>
    </xf>
    <xf numFmtId="43" fontId="2" fillId="0" borderId="0" xfId="15" applyFont="1" applyBorder="1" applyAlignment="1">
      <alignment/>
    </xf>
    <xf numFmtId="164" fontId="2" fillId="0" borderId="24" xfId="15" applyNumberFormat="1" applyFont="1" applyFill="1" applyBorder="1" applyAlignment="1" applyProtection="1">
      <alignment horizontal="fill"/>
      <protection/>
    </xf>
    <xf numFmtId="164" fontId="2" fillId="0" borderId="25" xfId="15" applyNumberFormat="1" applyFont="1" applyFill="1" applyBorder="1" applyAlignment="1" applyProtection="1">
      <alignment horizontal="fill"/>
      <protection/>
    </xf>
    <xf numFmtId="164" fontId="2" fillId="0" borderId="7" xfId="15" applyNumberFormat="1" applyFont="1" applyFill="1" applyBorder="1" applyAlignment="1" applyProtection="1">
      <alignment horizontal="fill"/>
      <protection/>
    </xf>
    <xf numFmtId="164" fontId="2" fillId="0" borderId="22" xfId="15" applyNumberFormat="1" applyFont="1" applyFill="1" applyBorder="1" applyAlignment="1" applyProtection="1">
      <alignment horizontal="fill"/>
      <protection/>
    </xf>
    <xf numFmtId="164" fontId="2" fillId="0" borderId="7" xfId="15" applyNumberFormat="1" applyFont="1" applyBorder="1" applyAlignment="1" applyProtection="1">
      <alignment horizontal="fill"/>
      <protection/>
    </xf>
    <xf numFmtId="164" fontId="2" fillId="0" borderId="24" xfId="15" applyNumberFormat="1" applyFont="1" applyBorder="1" applyAlignment="1" applyProtection="1">
      <alignment horizontal="fill"/>
      <protection/>
    </xf>
    <xf numFmtId="43" fontId="2" fillId="0" borderId="0" xfId="15" applyFont="1" applyBorder="1" applyAlignment="1">
      <alignment vertical="center"/>
    </xf>
    <xf numFmtId="164" fontId="2" fillId="0" borderId="26" xfId="15" applyNumberFormat="1" applyFont="1" applyFill="1" applyBorder="1" applyAlignment="1" applyProtection="1">
      <alignment vertical="center"/>
      <protection/>
    </xf>
    <xf numFmtId="164" fontId="2" fillId="0" borderId="24" xfId="21" applyNumberFormat="1" applyFont="1" applyFill="1" applyBorder="1" applyAlignment="1" applyProtection="1">
      <alignment horizontal="fill"/>
      <protection/>
    </xf>
    <xf numFmtId="10" fontId="2" fillId="0" borderId="24" xfId="21" applyNumberFormat="1" applyFont="1" applyFill="1" applyBorder="1" applyAlignment="1" applyProtection="1">
      <alignment horizontal="fill"/>
      <protection/>
    </xf>
    <xf numFmtId="10" fontId="2" fillId="0" borderId="25" xfId="21" applyNumberFormat="1" applyFont="1" applyFill="1" applyBorder="1" applyAlignment="1" applyProtection="1">
      <alignment horizontal="fill"/>
      <protection/>
    </xf>
    <xf numFmtId="10" fontId="2" fillId="0" borderId="7" xfId="21" applyNumberFormat="1" applyFont="1" applyFill="1" applyBorder="1" applyAlignment="1" applyProtection="1">
      <alignment horizontal="fill"/>
      <protection/>
    </xf>
    <xf numFmtId="10" fontId="2" fillId="0" borderId="0" xfId="21" applyNumberFormat="1" applyFont="1" applyFill="1" applyBorder="1" applyAlignment="1" applyProtection="1">
      <alignment horizontal="fill"/>
      <protection/>
    </xf>
    <xf numFmtId="10" fontId="2" fillId="0" borderId="27" xfId="21" applyNumberFormat="1" applyFont="1" applyFill="1" applyBorder="1" applyAlignment="1" applyProtection="1">
      <alignment horizontal="fill"/>
      <protection/>
    </xf>
    <xf numFmtId="10" fontId="2" fillId="0" borderId="7" xfId="21" applyNumberFormat="1" applyFont="1" applyBorder="1" applyAlignment="1" applyProtection="1">
      <alignment horizontal="fill"/>
      <protection/>
    </xf>
    <xf numFmtId="10" fontId="2" fillId="0" borderId="24" xfId="21" applyNumberFormat="1" applyFont="1" applyBorder="1" applyAlignment="1" applyProtection="1">
      <alignment horizontal="fill"/>
      <protection/>
    </xf>
    <xf numFmtId="164" fontId="2" fillId="0" borderId="24" xfId="15" applyNumberFormat="1" applyFont="1" applyFill="1" applyBorder="1" applyAlignment="1">
      <alignment/>
    </xf>
    <xf numFmtId="43" fontId="2" fillId="0" borderId="25" xfId="15" applyFont="1" applyFill="1" applyBorder="1" applyAlignment="1">
      <alignment/>
    </xf>
    <xf numFmtId="164" fontId="2" fillId="0" borderId="7" xfId="15" applyNumberFormat="1" applyFont="1" applyBorder="1" applyAlignment="1">
      <alignment/>
    </xf>
    <xf numFmtId="164" fontId="2" fillId="0" borderId="24" xfId="15" applyNumberFormat="1" applyFont="1" applyBorder="1" applyAlignment="1">
      <alignment/>
    </xf>
    <xf numFmtId="164" fontId="2" fillId="4" borderId="7" xfId="15" applyNumberFormat="1" applyFont="1" applyFill="1" applyBorder="1" applyAlignment="1">
      <alignment/>
    </xf>
    <xf numFmtId="164" fontId="2" fillId="4" borderId="24" xfId="15" applyNumberFormat="1" applyFont="1" applyFill="1" applyBorder="1" applyAlignment="1" applyProtection="1">
      <alignment/>
      <protection/>
    </xf>
    <xf numFmtId="164" fontId="2" fillId="4" borderId="25" xfId="15" applyNumberFormat="1" applyFont="1" applyFill="1" applyBorder="1" applyAlignment="1" applyProtection="1">
      <alignment/>
      <protection/>
    </xf>
    <xf numFmtId="164" fontId="2" fillId="4" borderId="7" xfId="15" applyNumberFormat="1" applyFont="1" applyFill="1" applyBorder="1" applyAlignment="1" applyProtection="1">
      <alignment/>
      <protection/>
    </xf>
    <xf numFmtId="164" fontId="2" fillId="4" borderId="22" xfId="15" applyNumberFormat="1" applyFont="1" applyFill="1" applyBorder="1" applyAlignment="1" applyProtection="1">
      <alignment/>
      <protection/>
    </xf>
    <xf numFmtId="43" fontId="3" fillId="0" borderId="0" xfId="15" applyFont="1" applyBorder="1" applyAlignment="1" applyProtection="1">
      <alignment horizontal="left" vertical="center"/>
      <protection/>
    </xf>
    <xf numFmtId="164" fontId="2" fillId="0" borderId="28" xfId="15" applyNumberFormat="1" applyFont="1" applyFill="1" applyBorder="1" applyAlignment="1" applyProtection="1">
      <alignment vertical="center"/>
      <protection/>
    </xf>
    <xf numFmtId="164" fontId="2" fillId="0" borderId="29" xfId="15" applyNumberFormat="1" applyFont="1" applyFill="1" applyBorder="1" applyAlignment="1" applyProtection="1">
      <alignment vertical="center"/>
      <protection/>
    </xf>
    <xf numFmtId="164" fontId="2" fillId="0" borderId="30" xfId="15" applyNumberFormat="1" applyFont="1" applyFill="1" applyBorder="1" applyAlignment="1" applyProtection="1">
      <alignment vertical="center"/>
      <protection/>
    </xf>
    <xf numFmtId="164" fontId="2" fillId="0" borderId="14" xfId="15" applyNumberFormat="1" applyFont="1" applyFill="1" applyBorder="1" applyAlignment="1" applyProtection="1">
      <alignment horizontal="fill"/>
      <protection/>
    </xf>
    <xf numFmtId="164" fontId="2" fillId="0" borderId="25" xfId="15" applyNumberFormat="1" applyFont="1" applyFill="1" applyBorder="1" applyAlignment="1">
      <alignment/>
    </xf>
    <xf numFmtId="164" fontId="2" fillId="0" borderId="6" xfId="15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1" xfId="15" applyNumberFormat="1" applyFont="1" applyFill="1" applyBorder="1" applyAlignment="1" applyProtection="1">
      <alignment horizontal="fill"/>
      <protection/>
    </xf>
    <xf numFmtId="0" fontId="2" fillId="0" borderId="11" xfId="0" applyFont="1" applyFill="1" applyBorder="1" applyAlignment="1">
      <alignment/>
    </xf>
    <xf numFmtId="164" fontId="2" fillId="0" borderId="31" xfId="15" applyNumberFormat="1" applyFont="1" applyFill="1" applyBorder="1" applyAlignment="1" applyProtection="1">
      <alignment horizontal="fill"/>
      <protection/>
    </xf>
    <xf numFmtId="164" fontId="2" fillId="0" borderId="11" xfId="15" applyNumberFormat="1" applyFont="1" applyBorder="1" applyAlignment="1" applyProtection="1">
      <alignment horizontal="fill"/>
      <protection/>
    </xf>
    <xf numFmtId="164" fontId="2" fillId="0" borderId="17" xfId="15" applyNumberFormat="1" applyFont="1" applyBorder="1" applyAlignment="1" applyProtection="1">
      <alignment horizontal="fill"/>
      <protection/>
    </xf>
    <xf numFmtId="164" fontId="2" fillId="0" borderId="0" xfId="0" applyNumberFormat="1" applyFont="1" applyAlignment="1">
      <alignment/>
    </xf>
    <xf numFmtId="164" fontId="2" fillId="0" borderId="0" xfId="15" applyNumberFormat="1" applyFont="1" applyFill="1" applyAlignment="1">
      <alignment/>
    </xf>
    <xf numFmtId="43" fontId="2" fillId="0" borderId="0" xfId="15" applyFont="1" applyFill="1" applyAlignment="1">
      <alignment/>
    </xf>
    <xf numFmtId="43" fontId="2" fillId="0" borderId="0" xfId="15" applyNumberFormat="1" applyFont="1" applyFill="1" applyAlignment="1">
      <alignment/>
    </xf>
    <xf numFmtId="164" fontId="2" fillId="0" borderId="0" xfId="15" applyNumberFormat="1" applyFont="1" applyAlignment="1">
      <alignment/>
    </xf>
    <xf numFmtId="170" fontId="3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0" fontId="8" fillId="0" borderId="0" xfId="0" applyFont="1" applyAlignment="1">
      <alignment/>
    </xf>
    <xf numFmtId="43" fontId="0" fillId="0" borderId="0" xfId="15" applyFont="1" applyAlignment="1">
      <alignment/>
    </xf>
    <xf numFmtId="0" fontId="3" fillId="0" borderId="0" xfId="0" applyFont="1" applyFill="1" applyAlignment="1">
      <alignment/>
    </xf>
    <xf numFmtId="43" fontId="3" fillId="0" borderId="0" xfId="15" applyFont="1" applyFill="1" applyAlignment="1" applyProtection="1">
      <alignment horizontal="center" vertical="center"/>
      <protection/>
    </xf>
    <xf numFmtId="164" fontId="2" fillId="0" borderId="0" xfId="15" applyNumberFormat="1" applyFont="1" applyBorder="1" applyAlignment="1">
      <alignment/>
    </xf>
    <xf numFmtId="0" fontId="2" fillId="0" borderId="0" xfId="0" applyFont="1" applyFill="1" applyBorder="1" applyAlignment="1">
      <alignment/>
    </xf>
    <xf numFmtId="37" fontId="11" fillId="0" borderId="0" xfId="0" applyNumberFormat="1" applyFont="1" applyAlignment="1" applyProtection="1">
      <alignment horizontal="centerContinuous"/>
      <protection/>
    </xf>
    <xf numFmtId="0" fontId="12" fillId="0" borderId="0" xfId="0" applyFont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43" fontId="12" fillId="0" borderId="0" xfId="15" applyFont="1" applyAlignment="1">
      <alignment/>
    </xf>
    <xf numFmtId="164" fontId="12" fillId="0" borderId="0" xfId="15" applyNumberFormat="1" applyFont="1" applyAlignment="1">
      <alignment/>
    </xf>
    <xf numFmtId="0" fontId="11" fillId="0" borderId="0" xfId="0" applyFont="1" applyAlignment="1">
      <alignment/>
    </xf>
    <xf numFmtId="164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1" fillId="0" borderId="1" xfId="0" applyFont="1" applyBorder="1" applyAlignment="1">
      <alignment horizontal="centerContinuous"/>
    </xf>
    <xf numFmtId="0" fontId="11" fillId="0" borderId="19" xfId="0" applyFont="1" applyBorder="1" applyAlignment="1">
      <alignment horizontal="centerContinuous"/>
    </xf>
    <xf numFmtId="37" fontId="11" fillId="0" borderId="20" xfId="0" applyNumberFormat="1" applyFont="1" applyFill="1" applyBorder="1" applyAlignment="1" applyProtection="1">
      <alignment horizontal="center"/>
      <protection/>
    </xf>
    <xf numFmtId="37" fontId="11" fillId="0" borderId="21" xfId="0" applyNumberFormat="1" applyFont="1" applyFill="1" applyBorder="1" applyAlignment="1" applyProtection="1">
      <alignment horizontal="center"/>
      <protection/>
    </xf>
    <xf numFmtId="37" fontId="11" fillId="0" borderId="5" xfId="0" applyNumberFormat="1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>
      <alignment/>
    </xf>
    <xf numFmtId="0" fontId="1" fillId="0" borderId="5" xfId="0" applyFont="1" applyBorder="1" applyAlignment="1">
      <alignment/>
    </xf>
    <xf numFmtId="37" fontId="11" fillId="0" borderId="5" xfId="0" applyNumberFormat="1" applyFont="1" applyBorder="1" applyAlignment="1" applyProtection="1">
      <alignment horizontal="center"/>
      <protection/>
    </xf>
    <xf numFmtId="0" fontId="11" fillId="0" borderId="6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37" fontId="11" fillId="0" borderId="3" xfId="0" applyNumberFormat="1" applyFont="1" applyFill="1" applyBorder="1" applyAlignment="1" applyProtection="1">
      <alignment horizontal="centerContinuous"/>
      <protection/>
    </xf>
    <xf numFmtId="0" fontId="1" fillId="0" borderId="23" xfId="0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centerContinuous"/>
    </xf>
    <xf numFmtId="37" fontId="11" fillId="0" borderId="7" xfId="0" applyNumberFormat="1" applyFont="1" applyFill="1" applyBorder="1" applyAlignment="1" applyProtection="1">
      <alignment horizontal="centerContinuous"/>
      <protection/>
    </xf>
    <xf numFmtId="37" fontId="11" fillId="0" borderId="7" xfId="0" applyNumberFormat="1" applyFont="1" applyBorder="1" applyAlignment="1" applyProtection="1">
      <alignment horizontal="centerContinuous"/>
      <protection/>
    </xf>
    <xf numFmtId="37" fontId="11" fillId="0" borderId="9" xfId="0" applyNumberFormat="1" applyFont="1" applyBorder="1" applyAlignment="1" applyProtection="1">
      <alignment horizontal="centerContinuous"/>
      <protection/>
    </xf>
    <xf numFmtId="0" fontId="1" fillId="0" borderId="23" xfId="0" applyFont="1" applyBorder="1" applyAlignment="1">
      <alignment horizontal="centerContinuous"/>
    </xf>
    <xf numFmtId="0" fontId="11" fillId="0" borderId="10" xfId="0" applyFont="1" applyBorder="1" applyAlignment="1">
      <alignment/>
    </xf>
    <xf numFmtId="0" fontId="11" fillId="0" borderId="17" xfId="0" applyFont="1" applyBorder="1" applyAlignment="1">
      <alignment/>
    </xf>
    <xf numFmtId="15" fontId="11" fillId="0" borderId="10" xfId="0" applyNumberFormat="1" applyFont="1" applyFill="1" applyBorder="1" applyAlignment="1" applyProtection="1">
      <alignment horizontal="centerContinuous"/>
      <protection/>
    </xf>
    <xf numFmtId="0" fontId="1" fillId="0" borderId="11" xfId="0" applyFont="1" applyFill="1" applyBorder="1" applyAlignment="1">
      <alignment horizontal="centerContinuous"/>
    </xf>
    <xf numFmtId="0" fontId="1" fillId="0" borderId="17" xfId="0" applyFont="1" applyFill="1" applyBorder="1" applyAlignment="1">
      <alignment horizontal="centerContinuous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15" fontId="11" fillId="0" borderId="15" xfId="0" applyNumberFormat="1" applyFont="1" applyBorder="1" applyAlignment="1" applyProtection="1">
      <alignment horizontal="centerContinuous"/>
      <protection/>
    </xf>
    <xf numFmtId="0" fontId="1" fillId="0" borderId="11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4" xfId="0" applyFont="1" applyFill="1" applyBorder="1" applyAlignment="1">
      <alignment/>
    </xf>
    <xf numFmtId="164" fontId="12" fillId="0" borderId="24" xfId="0" applyNumberFormat="1" applyFont="1" applyFill="1" applyBorder="1" applyAlignment="1">
      <alignment/>
    </xf>
    <xf numFmtId="169" fontId="11" fillId="0" borderId="24" xfId="0" applyNumberFormat="1" applyFont="1" applyFill="1" applyBorder="1" applyAlignment="1">
      <alignment horizontal="center"/>
    </xf>
    <xf numFmtId="164" fontId="12" fillId="0" borderId="7" xfId="0" applyNumberFormat="1" applyFont="1" applyFill="1" applyBorder="1" applyAlignment="1">
      <alignment/>
    </xf>
    <xf numFmtId="0" fontId="12" fillId="0" borderId="7" xfId="0" applyFont="1" applyFill="1" applyBorder="1" applyAlignment="1">
      <alignment/>
    </xf>
    <xf numFmtId="0" fontId="12" fillId="0" borderId="7" xfId="0" applyFont="1" applyBorder="1" applyAlignment="1">
      <alignment/>
    </xf>
    <xf numFmtId="0" fontId="11" fillId="0" borderId="24" xfId="0" applyFont="1" applyBorder="1" applyAlignment="1">
      <alignment horizontal="center"/>
    </xf>
    <xf numFmtId="164" fontId="12" fillId="0" borderId="24" xfId="0" applyNumberFormat="1" applyFont="1" applyBorder="1" applyAlignment="1">
      <alignment/>
    </xf>
    <xf numFmtId="43" fontId="11" fillId="0" borderId="6" xfId="15" applyFont="1" applyBorder="1" applyAlignment="1" applyProtection="1">
      <alignment horizontal="left"/>
      <protection/>
    </xf>
    <xf numFmtId="43" fontId="11" fillId="0" borderId="0" xfId="15" applyFont="1" applyBorder="1" applyAlignment="1" applyProtection="1">
      <alignment horizontal="left"/>
      <protection/>
    </xf>
    <xf numFmtId="0" fontId="12" fillId="0" borderId="25" xfId="0" applyFont="1" applyFill="1" applyBorder="1" applyAlignment="1">
      <alignment/>
    </xf>
    <xf numFmtId="0" fontId="12" fillId="0" borderId="25" xfId="0" applyFont="1" applyBorder="1" applyAlignment="1">
      <alignment/>
    </xf>
    <xf numFmtId="43" fontId="12" fillId="0" borderId="6" xfId="15" applyFont="1" applyBorder="1" applyAlignment="1" applyProtection="1">
      <alignment horizontal="left"/>
      <protection/>
    </xf>
    <xf numFmtId="43" fontId="12" fillId="0" borderId="0" xfId="15" applyFont="1" applyBorder="1" applyAlignment="1" applyProtection="1">
      <alignment horizontal="left"/>
      <protection/>
    </xf>
    <xf numFmtId="164" fontId="12" fillId="0" borderId="7" xfId="15" applyNumberFormat="1" applyFont="1" applyBorder="1" applyAlignment="1">
      <alignment/>
    </xf>
    <xf numFmtId="164" fontId="12" fillId="0" borderId="24" xfId="15" applyNumberFormat="1" applyFont="1" applyFill="1" applyBorder="1" applyAlignment="1" applyProtection="1">
      <alignment/>
      <protection/>
    </xf>
    <xf numFmtId="164" fontId="12" fillId="0" borderId="7" xfId="15" applyNumberFormat="1" applyFont="1" applyFill="1" applyBorder="1" applyAlignment="1" applyProtection="1">
      <alignment/>
      <protection/>
    </xf>
    <xf numFmtId="164" fontId="12" fillId="0" borderId="7" xfId="15" applyNumberFormat="1" applyFont="1" applyBorder="1" applyAlignment="1" applyProtection="1">
      <alignment/>
      <protection/>
    </xf>
    <xf numFmtId="164" fontId="12" fillId="0" borderId="24" xfId="15" applyNumberFormat="1" applyFont="1" applyBorder="1" applyAlignment="1" applyProtection="1">
      <alignment/>
      <protection/>
    </xf>
    <xf numFmtId="164" fontId="12" fillId="0" borderId="7" xfId="15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164" fontId="12" fillId="0" borderId="25" xfId="15" applyNumberFormat="1" applyFont="1" applyFill="1" applyBorder="1" applyAlignment="1" applyProtection="1">
      <alignment/>
      <protection/>
    </xf>
    <xf numFmtId="164" fontId="12" fillId="0" borderId="0" xfId="15" applyNumberFormat="1" applyFont="1" applyBorder="1" applyAlignment="1" applyProtection="1">
      <alignment/>
      <protection/>
    </xf>
    <xf numFmtId="43" fontId="12" fillId="0" borderId="6" xfId="15" applyFont="1" applyBorder="1" applyAlignment="1">
      <alignment/>
    </xf>
    <xf numFmtId="43" fontId="12" fillId="0" borderId="0" xfId="15" applyFont="1" applyBorder="1" applyAlignment="1">
      <alignment/>
    </xf>
    <xf numFmtId="164" fontId="12" fillId="0" borderId="24" xfId="15" applyNumberFormat="1" applyFont="1" applyFill="1" applyBorder="1" applyAlignment="1" applyProtection="1">
      <alignment horizontal="fill"/>
      <protection/>
    </xf>
    <xf numFmtId="164" fontId="12" fillId="0" borderId="32" xfId="15" applyNumberFormat="1" applyFont="1" applyFill="1" applyBorder="1" applyAlignment="1" applyProtection="1">
      <alignment horizontal="fill"/>
      <protection/>
    </xf>
    <xf numFmtId="164" fontId="12" fillId="0" borderId="7" xfId="15" applyNumberFormat="1" applyFont="1" applyFill="1" applyBorder="1" applyAlignment="1" applyProtection="1">
      <alignment horizontal="fill"/>
      <protection/>
    </xf>
    <xf numFmtId="164" fontId="12" fillId="0" borderId="7" xfId="15" applyNumberFormat="1" applyFont="1" applyBorder="1" applyAlignment="1" applyProtection="1">
      <alignment horizontal="fill"/>
      <protection/>
    </xf>
    <xf numFmtId="164" fontId="12" fillId="0" borderId="24" xfId="15" applyNumberFormat="1" applyFont="1" applyBorder="1" applyAlignment="1" applyProtection="1">
      <alignment horizontal="fill"/>
      <protection/>
    </xf>
    <xf numFmtId="164" fontId="12" fillId="0" borderId="32" xfId="15" applyNumberFormat="1" applyFont="1" applyBorder="1" applyAlignment="1" applyProtection="1">
      <alignment horizontal="fill"/>
      <protection/>
    </xf>
    <xf numFmtId="43" fontId="11" fillId="0" borderId="6" xfId="15" applyFont="1" applyBorder="1" applyAlignment="1" applyProtection="1">
      <alignment horizontal="left" vertical="center"/>
      <protection/>
    </xf>
    <xf numFmtId="43" fontId="12" fillId="0" borderId="0" xfId="15" applyFont="1" applyBorder="1" applyAlignment="1">
      <alignment vertical="center"/>
    </xf>
    <xf numFmtId="164" fontId="12" fillId="0" borderId="26" xfId="15" applyNumberFormat="1" applyFont="1" applyFill="1" applyBorder="1" applyAlignment="1" applyProtection="1">
      <alignment vertical="center"/>
      <protection/>
    </xf>
    <xf numFmtId="164" fontId="12" fillId="0" borderId="26" xfId="15" applyNumberFormat="1" applyFont="1" applyBorder="1" applyAlignment="1" applyProtection="1">
      <alignment vertical="center"/>
      <protection/>
    </xf>
    <xf numFmtId="164" fontId="12" fillId="0" borderId="24" xfId="21" applyNumberFormat="1" applyFont="1" applyFill="1" applyBorder="1" applyAlignment="1" applyProtection="1">
      <alignment horizontal="fill"/>
      <protection/>
    </xf>
    <xf numFmtId="10" fontId="12" fillId="0" borderId="24" xfId="21" applyNumberFormat="1" applyFont="1" applyFill="1" applyBorder="1" applyAlignment="1" applyProtection="1">
      <alignment horizontal="fill"/>
      <protection/>
    </xf>
    <xf numFmtId="10" fontId="12" fillId="0" borderId="7" xfId="21" applyNumberFormat="1" applyFont="1" applyFill="1" applyBorder="1" applyAlignment="1" applyProtection="1">
      <alignment horizontal="fill"/>
      <protection/>
    </xf>
    <xf numFmtId="10" fontId="12" fillId="0" borderId="7" xfId="21" applyNumberFormat="1" applyFont="1" applyBorder="1" applyAlignment="1" applyProtection="1">
      <alignment horizontal="fill"/>
      <protection/>
    </xf>
    <xf numFmtId="10" fontId="12" fillId="0" borderId="24" xfId="21" applyNumberFormat="1" applyFont="1" applyBorder="1" applyAlignment="1" applyProtection="1">
      <alignment horizontal="fill"/>
      <protection/>
    </xf>
    <xf numFmtId="164" fontId="12" fillId="0" borderId="24" xfId="15" applyNumberFormat="1" applyFont="1" applyFill="1" applyBorder="1" applyAlignment="1">
      <alignment/>
    </xf>
    <xf numFmtId="43" fontId="12" fillId="0" borderId="24" xfId="15" applyFont="1" applyFill="1" applyBorder="1" applyAlignment="1">
      <alignment/>
    </xf>
    <xf numFmtId="164" fontId="12" fillId="0" borderId="24" xfId="15" applyNumberFormat="1" applyFont="1" applyBorder="1" applyAlignment="1">
      <alignment/>
    </xf>
    <xf numFmtId="43" fontId="1" fillId="0" borderId="0" xfId="0" applyNumberFormat="1" applyFont="1" applyAlignment="1">
      <alignment/>
    </xf>
    <xf numFmtId="164" fontId="1" fillId="0" borderId="0" xfId="15" applyNumberFormat="1" applyFont="1" applyAlignment="1">
      <alignment/>
    </xf>
    <xf numFmtId="43" fontId="11" fillId="0" borderId="0" xfId="15" applyFont="1" applyBorder="1" applyAlignment="1" applyProtection="1">
      <alignment horizontal="left" vertical="center"/>
      <protection/>
    </xf>
    <xf numFmtId="164" fontId="12" fillId="0" borderId="28" xfId="15" applyNumberFormat="1" applyFont="1" applyFill="1" applyBorder="1" applyAlignment="1" applyProtection="1">
      <alignment vertical="center"/>
      <protection/>
    </xf>
    <xf numFmtId="164" fontId="12" fillId="0" borderId="28" xfId="15" applyNumberFormat="1" applyFont="1" applyBorder="1" applyAlignment="1" applyProtection="1">
      <alignment vertical="center"/>
      <protection/>
    </xf>
    <xf numFmtId="164" fontId="12" fillId="0" borderId="6" xfId="15" applyNumberFormat="1" applyFont="1" applyFill="1" applyBorder="1" applyAlignment="1" applyProtection="1">
      <alignment/>
      <protection/>
    </xf>
    <xf numFmtId="164" fontId="12" fillId="0" borderId="33" xfId="15" applyNumberFormat="1" applyFont="1" applyBorder="1" applyAlignment="1" applyProtection="1">
      <alignment/>
      <protection/>
    </xf>
    <xf numFmtId="164" fontId="12" fillId="0" borderId="25" xfId="15" applyNumberFormat="1" applyFont="1" applyBorder="1" applyAlignment="1" applyProtection="1">
      <alignment/>
      <protection/>
    </xf>
    <xf numFmtId="164" fontId="12" fillId="0" borderId="33" xfId="15" applyNumberFormat="1" applyFont="1" applyFill="1" applyBorder="1" applyAlignment="1" applyProtection="1">
      <alignment/>
      <protection/>
    </xf>
    <xf numFmtId="0" fontId="13" fillId="0" borderId="0" xfId="0" applyFont="1" applyBorder="1" applyAlignment="1">
      <alignment vertical="center"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164" fontId="12" fillId="0" borderId="11" xfId="15" applyNumberFormat="1" applyFont="1" applyFill="1" applyBorder="1" applyAlignment="1" applyProtection="1">
      <alignment horizontal="fill"/>
      <protection/>
    </xf>
    <xf numFmtId="0" fontId="12" fillId="0" borderId="11" xfId="0" applyFont="1" applyFill="1" applyBorder="1" applyAlignment="1">
      <alignment/>
    </xf>
    <xf numFmtId="164" fontId="12" fillId="0" borderId="31" xfId="15" applyNumberFormat="1" applyFont="1" applyFill="1" applyBorder="1" applyAlignment="1" applyProtection="1">
      <alignment horizontal="fill"/>
      <protection/>
    </xf>
    <xf numFmtId="164" fontId="12" fillId="0" borderId="11" xfId="15" applyNumberFormat="1" applyFont="1" applyBorder="1" applyAlignment="1" applyProtection="1">
      <alignment horizontal="fill"/>
      <protection/>
    </xf>
    <xf numFmtId="164" fontId="12" fillId="0" borderId="17" xfId="15" applyNumberFormat="1" applyFont="1" applyBorder="1" applyAlignment="1" applyProtection="1">
      <alignment horizontal="fill"/>
      <protection/>
    </xf>
    <xf numFmtId="0" fontId="12" fillId="0" borderId="0" xfId="0" applyFont="1" applyAlignment="1">
      <alignment/>
    </xf>
    <xf numFmtId="0" fontId="1" fillId="0" borderId="0" xfId="0" applyFont="1" applyFill="1" applyAlignment="1">
      <alignment/>
    </xf>
    <xf numFmtId="164" fontId="12" fillId="0" borderId="0" xfId="0" applyNumberFormat="1" applyFont="1" applyAlignment="1">
      <alignment/>
    </xf>
    <xf numFmtId="43" fontId="12" fillId="0" borderId="0" xfId="15" applyFont="1" applyFill="1" applyAlignment="1">
      <alignment/>
    </xf>
    <xf numFmtId="164" fontId="12" fillId="0" borderId="0" xfId="15" applyNumberFormat="1" applyFont="1" applyFill="1" applyAlignment="1">
      <alignment/>
    </xf>
    <xf numFmtId="43" fontId="12" fillId="0" borderId="0" xfId="15" applyNumberFormat="1" applyFont="1" applyFill="1" applyAlignment="1">
      <alignment/>
    </xf>
    <xf numFmtId="170" fontId="1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43" fontId="12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43" fontId="1" fillId="0" borderId="0" xfId="15" applyFont="1" applyAlignment="1">
      <alignment/>
    </xf>
    <xf numFmtId="43" fontId="2" fillId="0" borderId="0" xfId="15" applyFont="1" applyAlignment="1">
      <alignment/>
    </xf>
    <xf numFmtId="0" fontId="15" fillId="0" borderId="0" xfId="0" applyFont="1" applyAlignment="1">
      <alignment/>
    </xf>
    <xf numFmtId="0" fontId="11" fillId="0" borderId="0" xfId="0" applyFont="1" applyBorder="1" applyAlignment="1">
      <alignment/>
    </xf>
    <xf numFmtId="43" fontId="2" fillId="0" borderId="0" xfId="15" applyFont="1" applyAlignment="1">
      <alignment/>
    </xf>
    <xf numFmtId="0" fontId="2" fillId="0" borderId="0" xfId="0" applyNumberFormat="1" applyFont="1" applyAlignment="1">
      <alignment/>
    </xf>
    <xf numFmtId="164" fontId="2" fillId="0" borderId="0" xfId="15" applyNumberFormat="1" applyFont="1" applyAlignment="1">
      <alignment/>
    </xf>
    <xf numFmtId="0" fontId="2" fillId="0" borderId="0" xfId="0" applyFont="1" applyAlignment="1">
      <alignment horizontal="left"/>
    </xf>
    <xf numFmtId="43" fontId="11" fillId="0" borderId="0" xfId="15" applyFont="1" applyAlignment="1">
      <alignment/>
    </xf>
    <xf numFmtId="164" fontId="16" fillId="0" borderId="0" xfId="15" applyNumberFormat="1" applyFont="1" applyAlignment="1" quotePrefix="1">
      <alignment horizontal="right"/>
    </xf>
    <xf numFmtId="164" fontId="16" fillId="0" borderId="0" xfId="15" applyNumberFormat="1" applyFont="1" applyAlignment="1">
      <alignment horizontal="right"/>
    </xf>
    <xf numFmtId="164" fontId="11" fillId="0" borderId="0" xfId="15" applyNumberFormat="1" applyFont="1" applyAlignment="1">
      <alignment horizontal="right"/>
    </xf>
    <xf numFmtId="0" fontId="11" fillId="0" borderId="0" xfId="0" applyNumberFormat="1" applyFont="1" applyAlignment="1">
      <alignment horizontal="center"/>
    </xf>
    <xf numFmtId="43" fontId="11" fillId="0" borderId="0" xfId="15" applyFont="1" applyAlignment="1">
      <alignment/>
    </xf>
    <xf numFmtId="0" fontId="11" fillId="0" borderId="0" xfId="0" applyNumberFormat="1" applyFont="1" applyAlignment="1">
      <alignment/>
    </xf>
    <xf numFmtId="164" fontId="12" fillId="0" borderId="0" xfId="15" applyNumberFormat="1" applyFont="1" applyAlignment="1">
      <alignment/>
    </xf>
    <xf numFmtId="43" fontId="12" fillId="0" borderId="0" xfId="15" applyFont="1" applyAlignment="1">
      <alignment/>
    </xf>
    <xf numFmtId="0" fontId="12" fillId="0" borderId="0" xfId="0" applyNumberFormat="1" applyFont="1" applyAlignment="1">
      <alignment/>
    </xf>
    <xf numFmtId="164" fontId="12" fillId="0" borderId="0" xfId="15" applyNumberFormat="1" applyFont="1" applyFill="1" applyAlignment="1">
      <alignment/>
    </xf>
    <xf numFmtId="164" fontId="12" fillId="0" borderId="0" xfId="15" applyNumberFormat="1" applyFont="1" applyAlignment="1">
      <alignment horizontal="right"/>
    </xf>
    <xf numFmtId="164" fontId="12" fillId="0" borderId="2" xfId="15" applyNumberFormat="1" applyFont="1" applyBorder="1" applyAlignment="1">
      <alignment/>
    </xf>
    <xf numFmtId="164" fontId="12" fillId="0" borderId="23" xfId="15" applyNumberFormat="1" applyFont="1" applyBorder="1" applyAlignment="1">
      <alignment/>
    </xf>
    <xf numFmtId="164" fontId="11" fillId="0" borderId="0" xfId="15" applyNumberFormat="1" applyFont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164" fontId="12" fillId="0" borderId="11" xfId="15" applyNumberFormat="1" applyFont="1" applyBorder="1" applyAlignment="1">
      <alignment/>
    </xf>
    <xf numFmtId="164" fontId="12" fillId="0" borderId="23" xfId="15" applyNumberFormat="1" applyFont="1" applyBorder="1" applyAlignment="1">
      <alignment/>
    </xf>
    <xf numFmtId="0" fontId="11" fillId="0" borderId="0" xfId="0" applyFont="1" applyAlignment="1">
      <alignment horizontal="center"/>
    </xf>
    <xf numFmtId="15" fontId="11" fillId="0" borderId="0" xfId="0" applyNumberFormat="1" applyFont="1" applyAlignment="1">
      <alignment horizontal="right"/>
    </xf>
    <xf numFmtId="164" fontId="12" fillId="0" borderId="5" xfId="15" applyNumberFormat="1" applyFont="1" applyBorder="1" applyAlignment="1">
      <alignment/>
    </xf>
    <xf numFmtId="164" fontId="12" fillId="0" borderId="15" xfId="15" applyNumberFormat="1" applyFont="1" applyBorder="1" applyAlignment="1">
      <alignment/>
    </xf>
    <xf numFmtId="164" fontId="12" fillId="0" borderId="9" xfId="15" applyNumberFormat="1" applyFont="1" applyBorder="1" applyAlignment="1">
      <alignment/>
    </xf>
    <xf numFmtId="164" fontId="12" fillId="0" borderId="34" xfId="15" applyNumberFormat="1" applyFont="1" applyBorder="1" applyAlignment="1">
      <alignment/>
    </xf>
    <xf numFmtId="164" fontId="12" fillId="0" borderId="2" xfId="15" applyNumberFormat="1" applyFont="1" applyBorder="1" applyAlignment="1">
      <alignment/>
    </xf>
    <xf numFmtId="3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5" fontId="11" fillId="0" borderId="0" xfId="0" applyNumberFormat="1" applyFont="1" applyAlignment="1" quotePrefix="1">
      <alignment horizontal="right"/>
    </xf>
    <xf numFmtId="2" fontId="12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64" fontId="12" fillId="2" borderId="0" xfId="15" applyNumberFormat="1" applyFont="1" applyFill="1" applyAlignment="1">
      <alignment/>
    </xf>
    <xf numFmtId="164" fontId="12" fillId="0" borderId="0" xfId="15" applyNumberFormat="1" applyFont="1" applyFill="1" applyAlignment="1">
      <alignment horizontal="right"/>
    </xf>
    <xf numFmtId="164" fontId="12" fillId="0" borderId="2" xfId="15" applyNumberFormat="1" applyFont="1" applyFill="1" applyBorder="1" applyAlignment="1">
      <alignment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wrapText="1" indent="3"/>
    </xf>
    <xf numFmtId="0" fontId="17" fillId="0" borderId="0" xfId="0" applyFont="1" applyAlignment="1">
      <alignment horizontal="left" wrapText="1" indent="1"/>
    </xf>
    <xf numFmtId="164" fontId="2" fillId="0" borderId="11" xfId="15" applyNumberFormat="1" applyFont="1" applyBorder="1" applyAlignment="1">
      <alignment/>
    </xf>
    <xf numFmtId="164" fontId="2" fillId="0" borderId="34" xfId="15" applyNumberFormat="1" applyFont="1" applyBorder="1" applyAlignment="1">
      <alignment/>
    </xf>
    <xf numFmtId="164" fontId="2" fillId="0" borderId="34" xfId="0" applyNumberFormat="1" applyFont="1" applyBorder="1" applyAlignment="1">
      <alignment/>
    </xf>
    <xf numFmtId="164" fontId="12" fillId="0" borderId="0" xfId="15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164" fontId="11" fillId="0" borderId="0" xfId="15" applyNumberFormat="1" applyFont="1" applyAlignment="1">
      <alignment/>
    </xf>
    <xf numFmtId="0" fontId="6" fillId="2" borderId="2" xfId="0" applyFont="1" applyFill="1" applyBorder="1" applyAlignment="1">
      <alignment horizontal="center"/>
    </xf>
    <xf numFmtId="15" fontId="2" fillId="0" borderId="3" xfId="0" applyNumberFormat="1" applyFont="1" applyFill="1" applyBorder="1" applyAlignment="1" applyProtection="1">
      <alignment horizontal="center"/>
      <protection/>
    </xf>
    <xf numFmtId="15" fontId="2" fillId="0" borderId="4" xfId="0" applyNumberFormat="1" applyFont="1" applyFill="1" applyBorder="1" applyAlignment="1" applyProtection="1">
      <alignment horizontal="center"/>
      <protection/>
    </xf>
    <xf numFmtId="43" fontId="3" fillId="0" borderId="0" xfId="15" applyFont="1" applyFill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externalLink" Target="externalLinks/externalLink15.xml" /><Relationship Id="rId34" Type="http://schemas.openxmlformats.org/officeDocument/2006/relationships/externalLink" Target="externalLinks/externalLink16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ti-acc\mr-03\MR\Mr-03\Cs\CS09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urul-acc\mr02\CS\CS11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urul-acc\mr02\Mr01\CS\CS11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urul-acc\mr02\CS\CS12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urul-acc\mr02\Mr01\CS\CS12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ti-acc\mr-03\MR\Mr-03\Nes\1202N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urul-acc\mr02\Mr02\NES\1201N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msi-acc\mr-02\NEP\0801N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ti-acc\mr-03\MR\Mr-03\Nes\0902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msi-acc\mr-02\NFF\0801N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urul%20-%20acc\mr02\Mr02\NES\0901N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ti-acc\mr-03\MR\Mr-03\Cs\CS1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ti-acc\mr-03\MR\Mr-03\Cs\CS11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ti-acc\mr-03\MR\Mr-03\Cs\CS12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urul-acc\mr02\CS\CS10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urul-acc\mr02\Mr01\CS\CS1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**00"/>
      <sheetName val="**01"/>
      <sheetName val="0000"/>
      <sheetName val="1000"/>
      <sheetName val="2000"/>
      <sheetName val="3000"/>
      <sheetName val="4000"/>
      <sheetName val="0001"/>
      <sheetName val="BS"/>
      <sheetName val="EQUITY"/>
      <sheetName val="PLnew"/>
      <sheetName val="PL-SUM"/>
      <sheetName val="PL-CM"/>
      <sheetName val="PL-YTD"/>
      <sheetName val="B-CM"/>
      <sheetName val="B-YTD"/>
      <sheetName val="Sheet1"/>
      <sheetName val="B-2K"/>
    </sheetNames>
    <sheetDataSet>
      <sheetData sheetId="10">
        <row r="58">
          <cell r="J58">
            <v>3294985.4499999993</v>
          </cell>
        </row>
      </sheetData>
      <sheetData sheetId="12">
        <row r="7">
          <cell r="E7">
            <v>37529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**00"/>
      <sheetName val="**01"/>
      <sheetName val="0000"/>
      <sheetName val="1000"/>
      <sheetName val="2000"/>
      <sheetName val="3000"/>
      <sheetName val="4000"/>
      <sheetName val="0001"/>
      <sheetName val="BS"/>
      <sheetName val="EQUITY"/>
      <sheetName val="PLnew"/>
      <sheetName val="PL-SUM"/>
      <sheetName val="PL-CM"/>
      <sheetName val="PL-YTD"/>
      <sheetName val="B-CM"/>
      <sheetName val="B-YTD"/>
      <sheetName val="Sheet1"/>
      <sheetName val="B-2K"/>
    </sheetNames>
    <sheetDataSet>
      <sheetData sheetId="12">
        <row r="10">
          <cell r="P10">
            <v>4923651</v>
          </cell>
          <cell r="Q10">
            <v>5752065.079572824</v>
          </cell>
        </row>
        <row r="11">
          <cell r="P11">
            <v>140727</v>
          </cell>
          <cell r="Q11">
            <v>0</v>
          </cell>
        </row>
        <row r="12">
          <cell r="P12">
            <v>75986</v>
          </cell>
          <cell r="Q12">
            <v>67369.67717441452</v>
          </cell>
        </row>
        <row r="13">
          <cell r="P13">
            <v>-4299</v>
          </cell>
          <cell r="Q13">
            <v>-3151.5750511768274</v>
          </cell>
        </row>
        <row r="14">
          <cell r="P14">
            <v>37598</v>
          </cell>
          <cell r="Q14">
            <v>0</v>
          </cell>
        </row>
        <row r="15">
          <cell r="P15">
            <v>84446</v>
          </cell>
          <cell r="Q15">
            <v>259800</v>
          </cell>
        </row>
        <row r="16">
          <cell r="P16">
            <v>24706</v>
          </cell>
          <cell r="Q16">
            <v>-292360.4814</v>
          </cell>
        </row>
        <row r="17">
          <cell r="P17">
            <v>-82760</v>
          </cell>
          <cell r="Q17">
            <v>-65085.08975999997</v>
          </cell>
        </row>
        <row r="18">
          <cell r="P18">
            <v>1678</v>
          </cell>
          <cell r="Q18">
            <v>5277.767999999999</v>
          </cell>
        </row>
        <row r="19">
          <cell r="P19">
            <v>-4499</v>
          </cell>
          <cell r="Q19">
            <v>0</v>
          </cell>
        </row>
        <row r="25">
          <cell r="P25">
            <v>279230</v>
          </cell>
          <cell r="Q25">
            <v>477062.092444971</v>
          </cell>
        </row>
        <row r="26">
          <cell r="P26">
            <v>795434</v>
          </cell>
          <cell r="Q26">
            <v>637079.3678851632</v>
          </cell>
        </row>
        <row r="27">
          <cell r="P27">
            <v>62293</v>
          </cell>
          <cell r="Q27">
            <v>0</v>
          </cell>
        </row>
        <row r="28">
          <cell r="P28">
            <v>30466</v>
          </cell>
          <cell r="Q28">
            <v>57313.901751728714</v>
          </cell>
        </row>
        <row r="30">
          <cell r="P30">
            <v>57840</v>
          </cell>
          <cell r="Q30">
            <v>63130.53584574414</v>
          </cell>
        </row>
        <row r="31">
          <cell r="P31">
            <v>86911</v>
          </cell>
          <cell r="Q31">
            <v>124563.29124004178</v>
          </cell>
        </row>
        <row r="33">
          <cell r="P33">
            <v>0</v>
          </cell>
          <cell r="Q33">
            <v>0</v>
          </cell>
        </row>
        <row r="34">
          <cell r="P34">
            <v>0</v>
          </cell>
          <cell r="Q34">
            <v>0</v>
          </cell>
        </row>
        <row r="40">
          <cell r="P40">
            <v>1232249</v>
          </cell>
          <cell r="Q40">
            <v>1330706.8503583334</v>
          </cell>
        </row>
        <row r="41">
          <cell r="P41">
            <v>0</v>
          </cell>
          <cell r="Q41">
            <v>0</v>
          </cell>
        </row>
        <row r="42">
          <cell r="P42">
            <v>105104</v>
          </cell>
          <cell r="Q42">
            <v>89823.72384908888</v>
          </cell>
        </row>
        <row r="43">
          <cell r="P43">
            <v>147917</v>
          </cell>
          <cell r="Q43">
            <v>141076.63309933332</v>
          </cell>
        </row>
        <row r="44">
          <cell r="P44">
            <v>270992</v>
          </cell>
          <cell r="Q44">
            <v>344536.2242509731</v>
          </cell>
        </row>
        <row r="45">
          <cell r="P45">
            <v>117080</v>
          </cell>
          <cell r="Q45">
            <v>141403.71583333332</v>
          </cell>
        </row>
        <row r="46">
          <cell r="P46">
            <v>58332</v>
          </cell>
          <cell r="Q46">
            <v>26213.870833333334</v>
          </cell>
        </row>
        <row r="47">
          <cell r="P47">
            <v>6047</v>
          </cell>
          <cell r="Q47">
            <v>5402.5125</v>
          </cell>
        </row>
        <row r="48">
          <cell r="P48">
            <v>3056</v>
          </cell>
          <cell r="Q48">
            <v>631.75</v>
          </cell>
        </row>
        <row r="61">
          <cell r="P61">
            <v>84563</v>
          </cell>
          <cell r="Q61">
            <v>108502.97355</v>
          </cell>
        </row>
        <row r="62">
          <cell r="P62">
            <v>0</v>
          </cell>
          <cell r="Q62">
            <v>0</v>
          </cell>
        </row>
        <row r="63">
          <cell r="P63">
            <v>0</v>
          </cell>
          <cell r="Q63">
            <v>11.227495916330774</v>
          </cell>
        </row>
        <row r="64">
          <cell r="P64">
            <v>10408</v>
          </cell>
          <cell r="Q64">
            <v>11766.996064</v>
          </cell>
        </row>
        <row r="65">
          <cell r="P65">
            <v>14273</v>
          </cell>
          <cell r="Q65">
            <v>16408.86625</v>
          </cell>
        </row>
        <row r="66">
          <cell r="P66">
            <v>0</v>
          </cell>
          <cell r="Q66">
            <v>1874.5125</v>
          </cell>
        </row>
        <row r="67">
          <cell r="P67">
            <v>5000</v>
          </cell>
          <cell r="Q67">
            <v>12500</v>
          </cell>
        </row>
        <row r="68">
          <cell r="P68">
            <v>34143</v>
          </cell>
          <cell r="Q68">
            <v>33870.583333333336</v>
          </cell>
        </row>
        <row r="74">
          <cell r="P74">
            <v>357465</v>
          </cell>
          <cell r="Q74">
            <v>402045.11706666666</v>
          </cell>
        </row>
        <row r="75">
          <cell r="P75">
            <v>0</v>
          </cell>
          <cell r="Q75">
            <v>0</v>
          </cell>
        </row>
        <row r="76">
          <cell r="P76">
            <v>9387</v>
          </cell>
          <cell r="Q76">
            <v>23029.250054981334</v>
          </cell>
        </row>
        <row r="77">
          <cell r="P77">
            <v>52571</v>
          </cell>
          <cell r="Q77">
            <v>59699.732134666665</v>
          </cell>
        </row>
        <row r="78">
          <cell r="P78">
            <v>39142</v>
          </cell>
          <cell r="Q78">
            <v>51960.45</v>
          </cell>
        </row>
        <row r="79">
          <cell r="P79">
            <v>2933</v>
          </cell>
          <cell r="Q79">
            <v>4063.6358333333337</v>
          </cell>
        </row>
        <row r="80">
          <cell r="P80">
            <v>12155</v>
          </cell>
          <cell r="Q80">
            <v>34833.607461116226</v>
          </cell>
        </row>
        <row r="81">
          <cell r="P81">
            <v>18234</v>
          </cell>
          <cell r="Q81">
            <v>15678.264166666668</v>
          </cell>
        </row>
        <row r="82">
          <cell r="P82">
            <v>2500</v>
          </cell>
          <cell r="Q82">
            <v>2458.333333333333</v>
          </cell>
        </row>
        <row r="83">
          <cell r="P83">
            <v>64416</v>
          </cell>
          <cell r="Q83">
            <v>39296.325</v>
          </cell>
        </row>
        <row r="84">
          <cell r="P84">
            <v>109199</v>
          </cell>
          <cell r="Q84">
            <v>120606.03104333334</v>
          </cell>
        </row>
        <row r="85">
          <cell r="P85">
            <v>39268</v>
          </cell>
          <cell r="Q85">
            <v>37736.93833333333</v>
          </cell>
        </row>
        <row r="86">
          <cell r="P86">
            <v>10885</v>
          </cell>
          <cell r="Q86">
            <v>12235.366666666667</v>
          </cell>
        </row>
        <row r="87">
          <cell r="P87">
            <v>152941</v>
          </cell>
          <cell r="Q87">
            <v>257804.41692499665</v>
          </cell>
        </row>
        <row r="88">
          <cell r="P88">
            <v>123963</v>
          </cell>
          <cell r="Q88">
            <v>116181.1722222222</v>
          </cell>
        </row>
        <row r="89">
          <cell r="P89">
            <v>11049</v>
          </cell>
          <cell r="Q89">
            <v>10186.075</v>
          </cell>
        </row>
        <row r="90">
          <cell r="P90">
            <v>41317</v>
          </cell>
          <cell r="Q90">
            <v>40177.212804166666</v>
          </cell>
        </row>
        <row r="91">
          <cell r="P91">
            <v>6119</v>
          </cell>
          <cell r="Q91">
            <v>6523.362499999999</v>
          </cell>
        </row>
        <row r="92">
          <cell r="P92">
            <v>0</v>
          </cell>
          <cell r="Q92">
            <v>0</v>
          </cell>
        </row>
        <row r="93">
          <cell r="P93">
            <v>23128</v>
          </cell>
          <cell r="Q93">
            <v>39833.66957089116</v>
          </cell>
        </row>
        <row r="94">
          <cell r="P94">
            <v>0</v>
          </cell>
          <cell r="Q94">
            <v>-6250</v>
          </cell>
        </row>
        <row r="95">
          <cell r="P95">
            <v>2439</v>
          </cell>
          <cell r="Q95">
            <v>4388.9158333333335</v>
          </cell>
        </row>
        <row r="96">
          <cell r="P96">
            <v>9793</v>
          </cell>
          <cell r="Q96">
            <v>0</v>
          </cell>
        </row>
        <row r="97">
          <cell r="P97">
            <v>0</v>
          </cell>
          <cell r="Q97">
            <v>0</v>
          </cell>
        </row>
        <row r="106">
          <cell r="P106">
            <v>38138</v>
          </cell>
          <cell r="Q106">
            <v>53262.7882</v>
          </cell>
        </row>
        <row r="110">
          <cell r="P110">
            <v>239090</v>
          </cell>
          <cell r="Q110">
            <v>292466.5</v>
          </cell>
        </row>
        <row r="114">
          <cell r="P114">
            <v>0</v>
          </cell>
          <cell r="Q114">
            <v>0</v>
          </cell>
        </row>
      </sheetData>
      <sheetData sheetId="13">
        <row r="3">
          <cell r="A3" t="str">
            <v>FOR THE PERIOD ENDED 30 NOVEMBER 2001</v>
          </cell>
        </row>
        <row r="10">
          <cell r="P10">
            <v>40171652.14</v>
          </cell>
          <cell r="Q10">
            <v>44303900.44544588</v>
          </cell>
        </row>
        <row r="11">
          <cell r="P11">
            <v>512165</v>
          </cell>
          <cell r="Q11">
            <v>0</v>
          </cell>
        </row>
        <row r="12">
          <cell r="P12">
            <v>452712</v>
          </cell>
          <cell r="Q12">
            <v>518823.9506535372</v>
          </cell>
        </row>
        <row r="13">
          <cell r="P13">
            <v>-28019.85999999987</v>
          </cell>
          <cell r="Q13">
            <v>-24270.75039411895</v>
          </cell>
        </row>
        <row r="14">
          <cell r="P14">
            <v>323309</v>
          </cell>
          <cell r="Q14">
            <v>0</v>
          </cell>
        </row>
        <row r="15">
          <cell r="P15">
            <v>615545</v>
          </cell>
          <cell r="Q15">
            <v>2013000</v>
          </cell>
        </row>
        <row r="18">
          <cell r="P18">
            <v>13424</v>
          </cell>
          <cell r="Q18">
            <v>40644.87999999999</v>
          </cell>
        </row>
        <row r="19">
          <cell r="P19">
            <v>-30374</v>
          </cell>
          <cell r="Q19">
            <v>0</v>
          </cell>
        </row>
        <row r="25">
          <cell r="P25">
            <v>2232749</v>
          </cell>
          <cell r="Q25">
            <v>3674258.631472765</v>
          </cell>
        </row>
        <row r="26">
          <cell r="P26">
            <v>6537955</v>
          </cell>
          <cell r="Q26">
            <v>4907675.173828268</v>
          </cell>
        </row>
        <row r="27">
          <cell r="P27">
            <v>247969</v>
          </cell>
          <cell r="Q27">
            <v>0</v>
          </cell>
        </row>
        <row r="28">
          <cell r="P28">
            <v>330025</v>
          </cell>
          <cell r="Q28">
            <v>441382.92153630167</v>
          </cell>
        </row>
        <row r="30">
          <cell r="P30">
            <v>508386</v>
          </cell>
          <cell r="Q30">
            <v>486177.6898465354</v>
          </cell>
        </row>
        <row r="31">
          <cell r="P31">
            <v>862359</v>
          </cell>
          <cell r="Q31">
            <v>959280.5187451495</v>
          </cell>
        </row>
        <row r="33">
          <cell r="P33">
            <v>0</v>
          </cell>
          <cell r="Q33">
            <v>0</v>
          </cell>
        </row>
        <row r="34">
          <cell r="P34">
            <v>0</v>
          </cell>
          <cell r="Q34">
            <v>0</v>
          </cell>
        </row>
        <row r="40">
          <cell r="P40">
            <v>10061953</v>
          </cell>
          <cell r="Q40">
            <v>10645654.802866668</v>
          </cell>
        </row>
        <row r="41">
          <cell r="P41">
            <v>0</v>
          </cell>
          <cell r="Q41">
            <v>0</v>
          </cell>
        </row>
        <row r="42">
          <cell r="P42">
            <v>841661</v>
          </cell>
          <cell r="Q42">
            <v>715813.0591251673</v>
          </cell>
        </row>
        <row r="43">
          <cell r="P43">
            <v>1205244</v>
          </cell>
          <cell r="Q43">
            <v>1128613.0647946668</v>
          </cell>
        </row>
        <row r="44">
          <cell r="P44">
            <v>2372777</v>
          </cell>
          <cell r="Q44">
            <v>2754276.1796530876</v>
          </cell>
        </row>
        <row r="45">
          <cell r="P45">
            <v>850949</v>
          </cell>
          <cell r="Q45">
            <v>1131229.7266666666</v>
          </cell>
        </row>
        <row r="46">
          <cell r="P46">
            <v>492297</v>
          </cell>
          <cell r="Q46">
            <v>209710.96666666667</v>
          </cell>
        </row>
        <row r="47">
          <cell r="P47">
            <v>74597</v>
          </cell>
          <cell r="Q47">
            <v>43220.1</v>
          </cell>
        </row>
        <row r="48">
          <cell r="P48">
            <v>60945</v>
          </cell>
          <cell r="Q48">
            <v>5054</v>
          </cell>
        </row>
        <row r="61">
          <cell r="P61">
            <v>660275</v>
          </cell>
          <cell r="Q61">
            <v>868023.7884</v>
          </cell>
        </row>
        <row r="62">
          <cell r="P62">
            <v>0</v>
          </cell>
          <cell r="Q62">
            <v>0</v>
          </cell>
        </row>
        <row r="63">
          <cell r="P63">
            <v>0</v>
          </cell>
          <cell r="Q63">
            <v>89.8199673306462</v>
          </cell>
        </row>
        <row r="64">
          <cell r="P64">
            <v>79580</v>
          </cell>
          <cell r="Q64">
            <v>94135.968512</v>
          </cell>
        </row>
        <row r="65">
          <cell r="P65">
            <v>106670</v>
          </cell>
          <cell r="Q65">
            <v>131080.51249999998</v>
          </cell>
        </row>
        <row r="66">
          <cell r="P66">
            <v>10918</v>
          </cell>
          <cell r="Q66">
            <v>14996.100000000002</v>
          </cell>
        </row>
        <row r="67">
          <cell r="P67">
            <v>-6000</v>
          </cell>
          <cell r="Q67">
            <v>100000</v>
          </cell>
        </row>
        <row r="68">
          <cell r="P68">
            <v>127358</v>
          </cell>
          <cell r="Q68">
            <v>270964.6666666666</v>
          </cell>
        </row>
        <row r="74">
          <cell r="P74">
            <v>2966828.9</v>
          </cell>
          <cell r="Q74">
            <v>3216360.9365333333</v>
          </cell>
        </row>
        <row r="75">
          <cell r="P75">
            <v>0</v>
          </cell>
          <cell r="Q75">
            <v>0</v>
          </cell>
        </row>
        <row r="76">
          <cell r="P76">
            <v>99500</v>
          </cell>
          <cell r="Q76">
            <v>183982.45590234667</v>
          </cell>
        </row>
        <row r="77">
          <cell r="P77">
            <v>474484</v>
          </cell>
          <cell r="Q77">
            <v>477597.8570773333</v>
          </cell>
        </row>
        <row r="78">
          <cell r="P78">
            <v>312321</v>
          </cell>
          <cell r="Q78">
            <v>415683.60000000003</v>
          </cell>
        </row>
        <row r="79">
          <cell r="P79">
            <v>23434</v>
          </cell>
          <cell r="Q79">
            <v>32509.08666666667</v>
          </cell>
        </row>
        <row r="80">
          <cell r="P80">
            <v>312969</v>
          </cell>
          <cell r="Q80">
            <v>278668.85968892975</v>
          </cell>
        </row>
        <row r="81">
          <cell r="P81">
            <v>140999</v>
          </cell>
          <cell r="Q81">
            <v>124378.28333333335</v>
          </cell>
        </row>
        <row r="82">
          <cell r="P82">
            <v>30802</v>
          </cell>
          <cell r="Q82">
            <v>19666.666666666664</v>
          </cell>
        </row>
        <row r="83">
          <cell r="P83">
            <v>325742</v>
          </cell>
          <cell r="Q83">
            <v>314370.60000000003</v>
          </cell>
        </row>
        <row r="84">
          <cell r="P84">
            <v>935181</v>
          </cell>
          <cell r="Q84">
            <v>963124.7127666668</v>
          </cell>
        </row>
        <row r="85">
          <cell r="P85">
            <v>316275</v>
          </cell>
          <cell r="Q85">
            <v>301390.9766666666</v>
          </cell>
        </row>
        <row r="86">
          <cell r="P86">
            <v>95736</v>
          </cell>
          <cell r="Q86">
            <v>97882.93333333333</v>
          </cell>
        </row>
        <row r="87">
          <cell r="P87">
            <v>1196990</v>
          </cell>
          <cell r="Q87">
            <v>1890739.8096425259</v>
          </cell>
        </row>
        <row r="88">
          <cell r="P88">
            <v>940884</v>
          </cell>
          <cell r="Q88">
            <v>929449.3777777778</v>
          </cell>
        </row>
        <row r="89">
          <cell r="P89">
            <v>89191</v>
          </cell>
          <cell r="Q89">
            <v>81488.6</v>
          </cell>
        </row>
        <row r="90">
          <cell r="P90">
            <v>317801</v>
          </cell>
          <cell r="Q90">
            <v>321106.7122083333</v>
          </cell>
        </row>
        <row r="91">
          <cell r="P91">
            <v>47654</v>
          </cell>
          <cell r="Q91">
            <v>52186.899999999994</v>
          </cell>
        </row>
        <row r="92">
          <cell r="P92">
            <v>0</v>
          </cell>
          <cell r="Q92">
            <v>0</v>
          </cell>
        </row>
        <row r="93">
          <cell r="P93">
            <v>100702</v>
          </cell>
          <cell r="Q93">
            <v>313527.97872602</v>
          </cell>
        </row>
        <row r="94">
          <cell r="P94">
            <v>-11437</v>
          </cell>
          <cell r="Q94">
            <v>-50000</v>
          </cell>
        </row>
        <row r="95">
          <cell r="P95">
            <v>16409</v>
          </cell>
          <cell r="Q95">
            <v>35111.32666666666</v>
          </cell>
        </row>
        <row r="96">
          <cell r="P96">
            <v>39141.14</v>
          </cell>
          <cell r="Q96">
            <v>0</v>
          </cell>
        </row>
        <row r="97">
          <cell r="P97">
            <v>0</v>
          </cell>
          <cell r="Q97">
            <v>0</v>
          </cell>
        </row>
        <row r="106">
          <cell r="P106">
            <v>317397</v>
          </cell>
          <cell r="Q106">
            <v>310620.39712000004</v>
          </cell>
        </row>
        <row r="110">
          <cell r="P110">
            <v>1961245</v>
          </cell>
          <cell r="Q110">
            <v>2339732</v>
          </cell>
        </row>
        <row r="114">
          <cell r="P114">
            <v>1914879</v>
          </cell>
          <cell r="Q114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**00"/>
      <sheetName val="**01"/>
      <sheetName val="0000"/>
      <sheetName val="1000"/>
      <sheetName val="2000"/>
      <sheetName val="3000"/>
      <sheetName val="4000"/>
      <sheetName val="0001"/>
      <sheetName val="BS"/>
      <sheetName val="EQUITY"/>
      <sheetName val="PLnew"/>
      <sheetName val="PL-SUM"/>
      <sheetName val="PL-CM"/>
      <sheetName val="PL-YTD"/>
      <sheetName val="B-CM"/>
      <sheetName val="B-YTD"/>
      <sheetName val="B-2K"/>
    </sheetNames>
    <sheetDataSet>
      <sheetData sheetId="13">
        <row r="10">
          <cell r="Q10">
            <v>43324174.981289856</v>
          </cell>
        </row>
        <row r="20">
          <cell r="Q20">
            <v>2791951.240564062</v>
          </cell>
        </row>
        <row r="21">
          <cell r="Q21">
            <v>5836679.4732570825</v>
          </cell>
        </row>
        <row r="22">
          <cell r="Q22">
            <v>388343.2546410299</v>
          </cell>
        </row>
        <row r="23">
          <cell r="Q23">
            <v>422218.31468574377</v>
          </cell>
        </row>
        <row r="24">
          <cell r="Q24">
            <v>906986.9403180263</v>
          </cell>
        </row>
        <row r="25">
          <cell r="Q25">
            <v>0</v>
          </cell>
        </row>
        <row r="26">
          <cell r="Q26">
            <v>0</v>
          </cell>
        </row>
        <row r="31">
          <cell r="Q31">
            <v>7954569.6</v>
          </cell>
        </row>
        <row r="32">
          <cell r="Q32">
            <v>1487208.0746666668</v>
          </cell>
        </row>
        <row r="33">
          <cell r="Q33">
            <v>555503.7743209904</v>
          </cell>
        </row>
        <row r="34">
          <cell r="Q34">
            <v>1078279.2048000002</v>
          </cell>
        </row>
        <row r="35">
          <cell r="Q35">
            <v>2442160.0591960726</v>
          </cell>
        </row>
        <row r="36">
          <cell r="Q36">
            <v>1012111.6799999999</v>
          </cell>
        </row>
        <row r="37">
          <cell r="Q37">
            <v>477329.6100000001</v>
          </cell>
        </row>
        <row r="38">
          <cell r="Q38">
            <v>34792.79333333333</v>
          </cell>
        </row>
        <row r="39">
          <cell r="Q39">
            <v>2697.84</v>
          </cell>
        </row>
        <row r="51">
          <cell r="Q51">
            <v>645553.6</v>
          </cell>
        </row>
        <row r="52">
          <cell r="Q52">
            <v>117210.93333333336</v>
          </cell>
        </row>
        <row r="53">
          <cell r="Q53">
            <v>2705.14704</v>
          </cell>
        </row>
        <row r="54">
          <cell r="Q54">
            <v>83984.56</v>
          </cell>
        </row>
        <row r="55">
          <cell r="Q55">
            <v>132154.74666666664</v>
          </cell>
        </row>
        <row r="56">
          <cell r="Q56">
            <v>16420</v>
          </cell>
        </row>
        <row r="57">
          <cell r="Q57">
            <v>100000</v>
          </cell>
        </row>
        <row r="58">
          <cell r="Q58">
            <v>69264.4</v>
          </cell>
        </row>
        <row r="63">
          <cell r="Q63">
            <v>2332197.966666667</v>
          </cell>
        </row>
        <row r="64">
          <cell r="Q64">
            <v>435333.4551111112</v>
          </cell>
        </row>
        <row r="65">
          <cell r="Q65">
            <v>154186.71656666664</v>
          </cell>
        </row>
        <row r="66">
          <cell r="Q66">
            <v>414686.33376666665</v>
          </cell>
        </row>
        <row r="67">
          <cell r="Q67">
            <v>230304</v>
          </cell>
        </row>
        <row r="68">
          <cell r="Q68">
            <v>7090.666666666666</v>
          </cell>
        </row>
        <row r="69">
          <cell r="Q69">
            <v>163973.09466666667</v>
          </cell>
        </row>
        <row r="70">
          <cell r="Q70">
            <v>131464.7391604952</v>
          </cell>
        </row>
        <row r="71">
          <cell r="Q71">
            <v>16000</v>
          </cell>
        </row>
        <row r="72">
          <cell r="Q72">
            <v>185544.28666666665</v>
          </cell>
        </row>
        <row r="73">
          <cell r="Q73">
            <v>814604.66</v>
          </cell>
        </row>
        <row r="74">
          <cell r="Q74">
            <v>244138.818</v>
          </cell>
        </row>
        <row r="75">
          <cell r="Q75">
            <v>86521.60666666667</v>
          </cell>
        </row>
        <row r="76">
          <cell r="Q76">
            <v>1413189.3800000001</v>
          </cell>
        </row>
        <row r="77">
          <cell r="Q77">
            <v>890585.7066666665</v>
          </cell>
        </row>
        <row r="78">
          <cell r="Q78">
            <v>63763.48</v>
          </cell>
        </row>
        <row r="79">
          <cell r="Q79">
            <v>235852.13333333336</v>
          </cell>
        </row>
        <row r="80">
          <cell r="Q80">
            <v>52227.746666666666</v>
          </cell>
        </row>
        <row r="81">
          <cell r="Q81">
            <v>0</v>
          </cell>
        </row>
        <row r="82">
          <cell r="Q82">
            <v>92353.88174810556</v>
          </cell>
        </row>
        <row r="83">
          <cell r="Q83">
            <v>0</v>
          </cell>
        </row>
        <row r="84">
          <cell r="Q84">
            <v>7789.673333333333</v>
          </cell>
        </row>
        <row r="85">
          <cell r="Q85">
            <v>0</v>
          </cell>
        </row>
        <row r="95">
          <cell r="Q95">
            <v>156524.6676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**00"/>
      <sheetName val="**01"/>
      <sheetName val="0000"/>
      <sheetName val="1000"/>
      <sheetName val="2000"/>
      <sheetName val="3000"/>
      <sheetName val="4000"/>
      <sheetName val="0001"/>
      <sheetName val="BS"/>
      <sheetName val="EQUITY"/>
      <sheetName val="PLnew"/>
      <sheetName val="PL-SUM"/>
      <sheetName val="PL-CM"/>
      <sheetName val="PL-YTD"/>
      <sheetName val="B-CM"/>
      <sheetName val="B-YTD"/>
      <sheetName val="Sheet1"/>
      <sheetName val="B-2K"/>
    </sheetNames>
    <sheetDataSet>
      <sheetData sheetId="10">
        <row r="58">
          <cell r="J58">
            <v>4511823.1</v>
          </cell>
        </row>
      </sheetData>
      <sheetData sheetId="12">
        <row r="7">
          <cell r="E7">
            <v>37256</v>
          </cell>
        </row>
        <row r="10">
          <cell r="P10">
            <v>4525645</v>
          </cell>
          <cell r="Q10">
            <v>5554455.057518588</v>
          </cell>
        </row>
        <row r="11">
          <cell r="P11">
            <v>128981</v>
          </cell>
          <cell r="Q11">
            <v>0</v>
          </cell>
        </row>
        <row r="12">
          <cell r="P12">
            <v>86630</v>
          </cell>
          <cell r="Q12">
            <v>65046.584858055416</v>
          </cell>
        </row>
        <row r="13">
          <cell r="P13">
            <v>-3704</v>
          </cell>
          <cell r="Q13">
            <v>-3042.900049412274</v>
          </cell>
        </row>
        <row r="14">
          <cell r="P14">
            <v>64854</v>
          </cell>
          <cell r="Q14">
            <v>0</v>
          </cell>
        </row>
        <row r="15">
          <cell r="P15">
            <v>73642</v>
          </cell>
          <cell r="Q15">
            <v>250800</v>
          </cell>
        </row>
        <row r="16">
          <cell r="P16">
            <v>20506</v>
          </cell>
          <cell r="Q16">
            <v>-282320.4648000001</v>
          </cell>
        </row>
        <row r="17">
          <cell r="P17">
            <v>-69303</v>
          </cell>
          <cell r="Q17">
            <v>-62840.776320000004</v>
          </cell>
        </row>
        <row r="18">
          <cell r="P18">
            <v>1678</v>
          </cell>
          <cell r="Q18">
            <v>5095.776</v>
          </cell>
        </row>
        <row r="19">
          <cell r="P19">
            <v>-3694</v>
          </cell>
          <cell r="Q19">
            <v>0</v>
          </cell>
        </row>
        <row r="25">
          <cell r="P25">
            <v>280914</v>
          </cell>
          <cell r="Q25">
            <v>460650.0030503169</v>
          </cell>
        </row>
        <row r="26">
          <cell r="P26">
            <v>937739</v>
          </cell>
          <cell r="Q26">
            <v>615155.3945098128</v>
          </cell>
        </row>
        <row r="27">
          <cell r="P27">
            <v>92364</v>
          </cell>
          <cell r="Q27">
            <v>0</v>
          </cell>
        </row>
        <row r="28">
          <cell r="P28">
            <v>2682</v>
          </cell>
          <cell r="Q28">
            <v>55337.56031201394</v>
          </cell>
        </row>
        <row r="30">
          <cell r="P30">
            <v>40833</v>
          </cell>
          <cell r="Q30">
            <v>60953.62081658055</v>
          </cell>
        </row>
        <row r="31">
          <cell r="P31">
            <v>109325</v>
          </cell>
          <cell r="Q31">
            <v>120268.00533521277</v>
          </cell>
        </row>
        <row r="33">
          <cell r="P33">
            <v>0</v>
          </cell>
          <cell r="Q33">
            <v>0</v>
          </cell>
        </row>
        <row r="34">
          <cell r="P34">
            <v>0</v>
          </cell>
          <cell r="Q34">
            <v>0</v>
          </cell>
        </row>
        <row r="40">
          <cell r="P40">
            <v>1248494</v>
          </cell>
          <cell r="Q40">
            <v>1330706.8503583334</v>
          </cell>
        </row>
        <row r="41">
          <cell r="P41">
            <v>0</v>
          </cell>
          <cell r="Q41">
            <v>0</v>
          </cell>
        </row>
        <row r="42">
          <cell r="P42">
            <v>97995</v>
          </cell>
          <cell r="Q42">
            <v>89503.33173360307</v>
          </cell>
        </row>
        <row r="43">
          <cell r="P43">
            <v>149380</v>
          </cell>
          <cell r="Q43">
            <v>141076.63309933332</v>
          </cell>
        </row>
        <row r="44">
          <cell r="P44">
            <v>272945</v>
          </cell>
          <cell r="Q44">
            <v>344303.88413312344</v>
          </cell>
        </row>
        <row r="45">
          <cell r="P45">
            <v>114293</v>
          </cell>
          <cell r="Q45">
            <v>141403.71583333332</v>
          </cell>
        </row>
        <row r="46">
          <cell r="P46">
            <v>43350</v>
          </cell>
          <cell r="Q46">
            <v>26213.870833333334</v>
          </cell>
        </row>
        <row r="47">
          <cell r="P47">
            <v>6448</v>
          </cell>
          <cell r="Q47">
            <v>5493.8625</v>
          </cell>
        </row>
        <row r="48">
          <cell r="P48">
            <v>1639</v>
          </cell>
          <cell r="Q48">
            <v>1095.75</v>
          </cell>
        </row>
        <row r="61">
          <cell r="P61">
            <v>91916</v>
          </cell>
          <cell r="Q61">
            <v>108502.97355</v>
          </cell>
        </row>
        <row r="62">
          <cell r="P62">
            <v>0</v>
          </cell>
          <cell r="Q62">
            <v>0</v>
          </cell>
        </row>
        <row r="63">
          <cell r="P63">
            <v>0</v>
          </cell>
          <cell r="Q63">
            <v>11.227495916330774</v>
          </cell>
        </row>
        <row r="64">
          <cell r="P64">
            <v>11161</v>
          </cell>
          <cell r="Q64">
            <v>11766.996064</v>
          </cell>
        </row>
        <row r="65">
          <cell r="P65">
            <v>13150</v>
          </cell>
          <cell r="Q65">
            <v>16386.895</v>
          </cell>
        </row>
        <row r="66">
          <cell r="P66">
            <v>0</v>
          </cell>
          <cell r="Q66">
            <v>1972.5125</v>
          </cell>
        </row>
        <row r="67">
          <cell r="P67">
            <v>5000</v>
          </cell>
          <cell r="Q67">
            <v>12500</v>
          </cell>
        </row>
        <row r="68">
          <cell r="P68">
            <v>5100</v>
          </cell>
          <cell r="Q68">
            <v>33870.583333333336</v>
          </cell>
        </row>
        <row r="74">
          <cell r="P74">
            <v>357359</v>
          </cell>
          <cell r="Q74">
            <v>402045.11706666666</v>
          </cell>
        </row>
        <row r="75">
          <cell r="P75">
            <v>0</v>
          </cell>
          <cell r="Q75">
            <v>0</v>
          </cell>
        </row>
        <row r="76">
          <cell r="P76">
            <v>10622</v>
          </cell>
          <cell r="Q76">
            <v>23000.225685269335</v>
          </cell>
        </row>
        <row r="77">
          <cell r="P77">
            <v>64575</v>
          </cell>
          <cell r="Q77">
            <v>59699.732134666665</v>
          </cell>
        </row>
        <row r="78">
          <cell r="P78">
            <v>41688</v>
          </cell>
          <cell r="Q78">
            <v>51960.45</v>
          </cell>
        </row>
        <row r="79">
          <cell r="P79">
            <v>0</v>
          </cell>
          <cell r="Q79">
            <v>4063.6358333333337</v>
          </cell>
        </row>
        <row r="80">
          <cell r="P80">
            <v>-6068</v>
          </cell>
          <cell r="Q80">
            <v>34833.607461116226</v>
          </cell>
        </row>
        <row r="81">
          <cell r="P81">
            <v>13026</v>
          </cell>
          <cell r="Q81">
            <v>15678.264166666668</v>
          </cell>
        </row>
        <row r="82">
          <cell r="P82">
            <v>2500</v>
          </cell>
          <cell r="Q82">
            <v>2458.333333333333</v>
          </cell>
        </row>
        <row r="83">
          <cell r="P83">
            <v>31626</v>
          </cell>
          <cell r="Q83">
            <v>39296.325</v>
          </cell>
        </row>
        <row r="84">
          <cell r="P84">
            <v>109232</v>
          </cell>
          <cell r="Q84">
            <v>120407.16155333334</v>
          </cell>
        </row>
        <row r="85">
          <cell r="P85">
            <v>39959</v>
          </cell>
          <cell r="Q85">
            <v>37678.72333333333</v>
          </cell>
        </row>
        <row r="86">
          <cell r="P86">
            <v>11507</v>
          </cell>
          <cell r="Q86">
            <v>12235.366666666667</v>
          </cell>
        </row>
        <row r="87">
          <cell r="P87">
            <v>152058</v>
          </cell>
          <cell r="Q87">
            <v>259798.25261186855</v>
          </cell>
        </row>
        <row r="88">
          <cell r="P88">
            <v>117493</v>
          </cell>
          <cell r="Q88">
            <v>116181.1722222222</v>
          </cell>
        </row>
        <row r="89">
          <cell r="P89">
            <v>11039</v>
          </cell>
          <cell r="Q89">
            <v>10186.075</v>
          </cell>
        </row>
        <row r="90">
          <cell r="P90">
            <v>31363</v>
          </cell>
          <cell r="Q90">
            <v>40141.32931666667</v>
          </cell>
        </row>
        <row r="91">
          <cell r="P91">
            <v>6422</v>
          </cell>
          <cell r="Q91">
            <v>6523.362499999999</v>
          </cell>
        </row>
        <row r="92">
          <cell r="P92">
            <v>0</v>
          </cell>
          <cell r="Q92">
            <v>0</v>
          </cell>
        </row>
        <row r="93">
          <cell r="P93">
            <v>42795</v>
          </cell>
          <cell r="Q93">
            <v>39240.43366614779</v>
          </cell>
        </row>
        <row r="94">
          <cell r="P94">
            <v>0</v>
          </cell>
          <cell r="Q94">
            <v>-6250</v>
          </cell>
        </row>
        <row r="95">
          <cell r="P95">
            <v>2206</v>
          </cell>
          <cell r="Q95">
            <v>4388.9158333333335</v>
          </cell>
        </row>
        <row r="96">
          <cell r="P96">
            <v>27154</v>
          </cell>
          <cell r="Q96">
            <v>0</v>
          </cell>
        </row>
        <row r="97">
          <cell r="P97">
            <v>0</v>
          </cell>
          <cell r="Q97">
            <v>0</v>
          </cell>
        </row>
        <row r="106">
          <cell r="P106">
            <v>34413</v>
          </cell>
          <cell r="Q106">
            <v>59924.28292</v>
          </cell>
        </row>
        <row r="110">
          <cell r="P110">
            <v>301964</v>
          </cell>
          <cell r="Q110">
            <v>292466.5</v>
          </cell>
        </row>
        <row r="114">
          <cell r="P114">
            <v>0</v>
          </cell>
          <cell r="Q114">
            <v>0</v>
          </cell>
        </row>
      </sheetData>
      <sheetData sheetId="13">
        <row r="3">
          <cell r="A3" t="str">
            <v>FOR THE PERIOD ENDED 31 DECEMBER 2001</v>
          </cell>
        </row>
        <row r="10">
          <cell r="P10">
            <v>44697297.14</v>
          </cell>
          <cell r="Q10">
            <v>49858355.502964474</v>
          </cell>
        </row>
        <row r="11">
          <cell r="P11">
            <v>641146</v>
          </cell>
          <cell r="Q11">
            <v>0</v>
          </cell>
        </row>
        <row r="12">
          <cell r="P12">
            <v>539342</v>
          </cell>
          <cell r="Q12">
            <v>583870.5355115926</v>
          </cell>
        </row>
        <row r="13">
          <cell r="P13">
            <v>-31723.85999999987</v>
          </cell>
          <cell r="Q13">
            <v>-27313.650443532504</v>
          </cell>
        </row>
        <row r="14">
          <cell r="P14">
            <v>388163</v>
          </cell>
          <cell r="Q14">
            <v>0</v>
          </cell>
        </row>
        <row r="15">
          <cell r="P15">
            <v>689187</v>
          </cell>
          <cell r="Q15">
            <v>2263800</v>
          </cell>
        </row>
        <row r="18">
          <cell r="P18">
            <v>15102</v>
          </cell>
          <cell r="Q18">
            <v>45740.65599999999</v>
          </cell>
        </row>
        <row r="19">
          <cell r="P19">
            <v>-34068</v>
          </cell>
          <cell r="Q19">
            <v>0</v>
          </cell>
        </row>
        <row r="25">
          <cell r="P25">
            <v>2513663</v>
          </cell>
          <cell r="Q25">
            <v>4134908.634523082</v>
          </cell>
        </row>
        <row r="26">
          <cell r="P26">
            <v>7475694</v>
          </cell>
          <cell r="Q26">
            <v>5522830.568338081</v>
          </cell>
        </row>
        <row r="27">
          <cell r="P27">
            <v>340333</v>
          </cell>
          <cell r="Q27">
            <v>0</v>
          </cell>
        </row>
        <row r="28">
          <cell r="P28">
            <v>332707</v>
          </cell>
          <cell r="Q28">
            <v>496720.48184831557</v>
          </cell>
        </row>
        <row r="30">
          <cell r="P30">
            <v>549219</v>
          </cell>
          <cell r="Q30">
            <v>547131.3106631159</v>
          </cell>
        </row>
        <row r="31">
          <cell r="P31">
            <v>971684</v>
          </cell>
          <cell r="Q31">
            <v>1079548.5240803624</v>
          </cell>
        </row>
        <row r="33">
          <cell r="P33">
            <v>0</v>
          </cell>
          <cell r="Q33">
            <v>0</v>
          </cell>
        </row>
        <row r="34">
          <cell r="P34">
            <v>0</v>
          </cell>
          <cell r="Q34">
            <v>0</v>
          </cell>
        </row>
        <row r="40">
          <cell r="P40">
            <v>11310447</v>
          </cell>
          <cell r="Q40">
            <v>11976361.653225001</v>
          </cell>
        </row>
        <row r="41">
          <cell r="P41">
            <v>0</v>
          </cell>
          <cell r="Q41">
            <v>0</v>
          </cell>
        </row>
        <row r="42">
          <cell r="P42">
            <v>939656</v>
          </cell>
          <cell r="Q42">
            <v>805316.3908587705</v>
          </cell>
        </row>
        <row r="43">
          <cell r="P43">
            <v>1354624</v>
          </cell>
          <cell r="Q43">
            <v>1269689.697894</v>
          </cell>
        </row>
        <row r="44">
          <cell r="P44">
            <v>2645722</v>
          </cell>
          <cell r="Q44">
            <v>3098580.063786212</v>
          </cell>
        </row>
        <row r="45">
          <cell r="P45">
            <v>965242</v>
          </cell>
          <cell r="Q45">
            <v>1272633.4425000001</v>
          </cell>
        </row>
        <row r="46">
          <cell r="P46">
            <v>535647</v>
          </cell>
          <cell r="Q46">
            <v>235924.8375</v>
          </cell>
        </row>
        <row r="47">
          <cell r="P47">
            <v>81045</v>
          </cell>
          <cell r="Q47">
            <v>48713.962499999994</v>
          </cell>
        </row>
        <row r="48">
          <cell r="P48">
            <v>62584</v>
          </cell>
          <cell r="Q48">
            <v>6149.75</v>
          </cell>
        </row>
        <row r="61">
          <cell r="P61">
            <v>752191</v>
          </cell>
          <cell r="Q61">
            <v>976526.76195</v>
          </cell>
        </row>
        <row r="62">
          <cell r="P62">
            <v>0</v>
          </cell>
          <cell r="Q62">
            <v>0</v>
          </cell>
        </row>
        <row r="63">
          <cell r="P63">
            <v>0</v>
          </cell>
          <cell r="Q63">
            <v>101.04746324697697</v>
          </cell>
        </row>
        <row r="64">
          <cell r="P64">
            <v>90741</v>
          </cell>
          <cell r="Q64">
            <v>105902.96457600001</v>
          </cell>
        </row>
        <row r="65">
          <cell r="P65">
            <v>119820</v>
          </cell>
          <cell r="Q65">
            <v>147467.4075</v>
          </cell>
        </row>
        <row r="66">
          <cell r="P66">
            <v>10918</v>
          </cell>
          <cell r="Q66">
            <v>16968.612500000003</v>
          </cell>
        </row>
        <row r="67">
          <cell r="P67">
            <v>-1000</v>
          </cell>
          <cell r="Q67">
            <v>112500</v>
          </cell>
        </row>
        <row r="68">
          <cell r="P68">
            <v>132458</v>
          </cell>
          <cell r="Q68">
            <v>304835.25</v>
          </cell>
        </row>
        <row r="74">
          <cell r="P74">
            <v>3324187.9</v>
          </cell>
          <cell r="Q74">
            <v>3618406.0536</v>
          </cell>
        </row>
        <row r="75">
          <cell r="P75">
            <v>0</v>
          </cell>
          <cell r="Q75">
            <v>0</v>
          </cell>
        </row>
        <row r="76">
          <cell r="P76">
            <v>110122</v>
          </cell>
          <cell r="Q76">
            <v>206982.681587616</v>
          </cell>
        </row>
        <row r="77">
          <cell r="P77">
            <v>539059</v>
          </cell>
          <cell r="Q77">
            <v>537297.589212</v>
          </cell>
        </row>
        <row r="78">
          <cell r="P78">
            <v>354009</v>
          </cell>
          <cell r="Q78">
            <v>467644.05000000005</v>
          </cell>
        </row>
        <row r="79">
          <cell r="P79">
            <v>23434</v>
          </cell>
          <cell r="Q79">
            <v>36572.7225</v>
          </cell>
        </row>
        <row r="80">
          <cell r="P80">
            <v>306901</v>
          </cell>
          <cell r="Q80">
            <v>313502.467150046</v>
          </cell>
        </row>
        <row r="81">
          <cell r="P81">
            <v>154025</v>
          </cell>
          <cell r="Q81">
            <v>140056.54750000002</v>
          </cell>
        </row>
        <row r="82">
          <cell r="P82">
            <v>33302</v>
          </cell>
          <cell r="Q82">
            <v>22125</v>
          </cell>
        </row>
        <row r="83">
          <cell r="P83">
            <v>357368</v>
          </cell>
          <cell r="Q83">
            <v>353666.925</v>
          </cell>
        </row>
        <row r="84">
          <cell r="P84">
            <v>1044413</v>
          </cell>
          <cell r="Q84">
            <v>1083531.87432</v>
          </cell>
        </row>
        <row r="85">
          <cell r="P85">
            <v>356234</v>
          </cell>
          <cell r="Q85">
            <v>339069.69999999995</v>
          </cell>
        </row>
        <row r="86">
          <cell r="P86">
            <v>107243</v>
          </cell>
          <cell r="Q86">
            <v>110118.3</v>
          </cell>
        </row>
        <row r="87">
          <cell r="P87">
            <v>1349048</v>
          </cell>
          <cell r="Q87">
            <v>2150538.0622543944</v>
          </cell>
        </row>
        <row r="88">
          <cell r="P88">
            <v>1058377</v>
          </cell>
          <cell r="Q88">
            <v>1045630.5500000002</v>
          </cell>
        </row>
        <row r="89">
          <cell r="P89">
            <v>100230</v>
          </cell>
          <cell r="Q89">
            <v>91674.67500000002</v>
          </cell>
        </row>
        <row r="90">
          <cell r="P90">
            <v>349164</v>
          </cell>
          <cell r="Q90">
            <v>361248.0415250001</v>
          </cell>
        </row>
        <row r="91">
          <cell r="P91">
            <v>54076</v>
          </cell>
          <cell r="Q91">
            <v>58710.2625</v>
          </cell>
        </row>
        <row r="92">
          <cell r="P92">
            <v>0</v>
          </cell>
          <cell r="Q92">
            <v>0</v>
          </cell>
        </row>
        <row r="93">
          <cell r="P93">
            <v>143497</v>
          </cell>
          <cell r="Q93">
            <v>352768.41239216784</v>
          </cell>
        </row>
        <row r="94">
          <cell r="P94">
            <v>-11437</v>
          </cell>
          <cell r="Q94">
            <v>-56250</v>
          </cell>
        </row>
        <row r="95">
          <cell r="P95">
            <v>18615</v>
          </cell>
          <cell r="Q95">
            <v>39500.242499999986</v>
          </cell>
        </row>
        <row r="96">
          <cell r="P96">
            <v>66295.14</v>
          </cell>
          <cell r="Q96">
            <v>0</v>
          </cell>
        </row>
        <row r="97">
          <cell r="P97">
            <v>0</v>
          </cell>
          <cell r="Q97">
            <v>0</v>
          </cell>
        </row>
        <row r="106">
          <cell r="P106">
            <v>351810</v>
          </cell>
          <cell r="Q106">
            <v>370544.68004</v>
          </cell>
        </row>
        <row r="110">
          <cell r="P110">
            <v>1754598</v>
          </cell>
          <cell r="Q110">
            <v>2632198.5</v>
          </cell>
        </row>
        <row r="114">
          <cell r="P114">
            <v>1914879</v>
          </cell>
          <cell r="Q114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**00"/>
      <sheetName val="**01"/>
      <sheetName val="0000"/>
      <sheetName val="1000"/>
      <sheetName val="2000"/>
      <sheetName val="3000"/>
      <sheetName val="4000"/>
      <sheetName val="0001"/>
      <sheetName val="BS"/>
      <sheetName val="EQUITY"/>
      <sheetName val="PLnew"/>
      <sheetName val="PL-SUM"/>
      <sheetName val="PL-CM"/>
      <sheetName val="PL-YTD"/>
      <sheetName val="B-CM"/>
      <sheetName val="B-YTD"/>
      <sheetName val="B-2K"/>
    </sheetNames>
    <sheetDataSet>
      <sheetData sheetId="13">
        <row r="10">
          <cell r="F10">
            <v>46063429.83842319</v>
          </cell>
          <cell r="J10">
            <v>1822545.5999999996</v>
          </cell>
        </row>
        <row r="12">
          <cell r="F12">
            <v>339597.88064231887</v>
          </cell>
          <cell r="O12">
            <v>-164640.4260692985</v>
          </cell>
        </row>
        <row r="13">
          <cell r="F13">
            <v>637094.0150197827</v>
          </cell>
          <cell r="J13">
            <v>1778116.601548424</v>
          </cell>
          <cell r="O13">
            <v>-1778116.601548424</v>
          </cell>
        </row>
        <row r="20">
          <cell r="Q20">
            <v>3154367.767558761</v>
          </cell>
        </row>
        <row r="21">
          <cell r="Q21">
            <v>6571829.357966157</v>
          </cell>
        </row>
        <row r="22">
          <cell r="Q22">
            <v>437350.34534694493</v>
          </cell>
        </row>
        <row r="23">
          <cell r="Q23">
            <v>475105.2295142614</v>
          </cell>
        </row>
        <row r="24">
          <cell r="Q24">
            <v>1020616.6294562423</v>
          </cell>
        </row>
        <row r="25">
          <cell r="Q25">
            <v>0</v>
          </cell>
        </row>
        <row r="26">
          <cell r="Q26">
            <v>0</v>
          </cell>
        </row>
        <row r="31">
          <cell r="Q31">
            <v>8948890.799999999</v>
          </cell>
        </row>
        <row r="32">
          <cell r="Q32">
            <v>1673109.084</v>
          </cell>
        </row>
        <row r="33">
          <cell r="Q33">
            <v>625385.385782079</v>
          </cell>
        </row>
        <row r="34">
          <cell r="Q34">
            <v>1213064.1054000002</v>
          </cell>
        </row>
        <row r="35">
          <cell r="Q35">
            <v>2742468.8643251047</v>
          </cell>
        </row>
        <row r="36">
          <cell r="Q36">
            <v>1144391.35</v>
          </cell>
        </row>
        <row r="37">
          <cell r="Q37">
            <v>549809.7400000001</v>
          </cell>
        </row>
        <row r="38">
          <cell r="Q38">
            <v>39141.892499999994</v>
          </cell>
        </row>
        <row r="39">
          <cell r="Q39">
            <v>3035.07</v>
          </cell>
        </row>
        <row r="51">
          <cell r="Q51">
            <v>726247.8</v>
          </cell>
        </row>
        <row r="52">
          <cell r="Q52">
            <v>131862.30000000005</v>
          </cell>
        </row>
        <row r="53">
          <cell r="Q53">
            <v>3043.29042</v>
          </cell>
        </row>
        <row r="54">
          <cell r="Q54">
            <v>94482.62999999999</v>
          </cell>
        </row>
        <row r="55">
          <cell r="Q55">
            <v>149116.59</v>
          </cell>
        </row>
        <row r="56">
          <cell r="Q56">
            <v>18472.5</v>
          </cell>
        </row>
        <row r="57">
          <cell r="Q57">
            <v>112500</v>
          </cell>
        </row>
        <row r="58">
          <cell r="Q58">
            <v>77597.4</v>
          </cell>
        </row>
        <row r="63">
          <cell r="Q63">
            <v>2623722.7125</v>
          </cell>
        </row>
        <row r="64">
          <cell r="Q64">
            <v>489750.13700000016</v>
          </cell>
        </row>
        <row r="65">
          <cell r="Q65">
            <v>173460.05613749995</v>
          </cell>
        </row>
        <row r="66">
          <cell r="Q66">
            <v>466522.1254875</v>
          </cell>
        </row>
        <row r="67">
          <cell r="Q67">
            <v>259092</v>
          </cell>
        </row>
        <row r="68">
          <cell r="Q68">
            <v>7976.999999999999</v>
          </cell>
        </row>
        <row r="69">
          <cell r="Q69">
            <v>184469.7315</v>
          </cell>
        </row>
        <row r="70">
          <cell r="Q70">
            <v>148119.6513910395</v>
          </cell>
        </row>
        <row r="71">
          <cell r="Q71">
            <v>18000</v>
          </cell>
        </row>
        <row r="72">
          <cell r="Q72">
            <v>208737.32249999998</v>
          </cell>
        </row>
        <row r="73">
          <cell r="Q73">
            <v>916430.2424999999</v>
          </cell>
        </row>
        <row r="74">
          <cell r="Q74">
            <v>274656.17025</v>
          </cell>
        </row>
        <row r="75">
          <cell r="Q75">
            <v>97336.80750000001</v>
          </cell>
        </row>
        <row r="76">
          <cell r="Q76">
            <v>1606061.4700000002</v>
          </cell>
        </row>
        <row r="77">
          <cell r="Q77">
            <v>998938.9199999999</v>
          </cell>
        </row>
        <row r="78">
          <cell r="Q78">
            <v>71733.91500000001</v>
          </cell>
        </row>
        <row r="79">
          <cell r="Q79">
            <v>265333.65</v>
          </cell>
        </row>
        <row r="80">
          <cell r="Q80">
            <v>58756.215000000004</v>
          </cell>
        </row>
        <row r="81">
          <cell r="Q81">
            <v>0</v>
          </cell>
        </row>
        <row r="82">
          <cell r="Q82">
            <v>72706.37819082545</v>
          </cell>
        </row>
        <row r="83">
          <cell r="Q83">
            <v>0</v>
          </cell>
        </row>
        <row r="84">
          <cell r="Q84">
            <v>8763.3825</v>
          </cell>
        </row>
        <row r="85">
          <cell r="Q85">
            <v>0</v>
          </cell>
        </row>
        <row r="95">
          <cell r="Q95">
            <v>186757.9593833333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**00"/>
      <sheetName val="0000"/>
      <sheetName val="1000"/>
      <sheetName val="0001"/>
      <sheetName val="PI"/>
      <sheetName val="ID"/>
      <sheetName val="CO"/>
      <sheetName val="PLS"/>
      <sheetName val="PLSNew"/>
      <sheetName val="PL"/>
      <sheetName val="IN"/>
      <sheetName val="BS"/>
      <sheetName val="EQUITY"/>
      <sheetName val="IC"/>
      <sheetName val="MI"/>
      <sheetName val="TRD"/>
      <sheetName val="BSD"/>
    </sheetNames>
    <sheetDataSet>
      <sheetData sheetId="11">
        <row r="9">
          <cell r="C9">
            <v>15995337</v>
          </cell>
        </row>
        <row r="10">
          <cell r="C10">
            <v>2824197</v>
          </cell>
        </row>
        <row r="11">
          <cell r="C11">
            <v>110725</v>
          </cell>
        </row>
        <row r="12">
          <cell r="C12">
            <v>2110384</v>
          </cell>
        </row>
        <row r="13">
          <cell r="C13">
            <v>52316</v>
          </cell>
        </row>
        <row r="14">
          <cell r="C14">
            <v>13155920</v>
          </cell>
        </row>
        <row r="19">
          <cell r="C19">
            <v>1350573</v>
          </cell>
        </row>
        <row r="20">
          <cell r="C20">
            <v>3472810</v>
          </cell>
        </row>
        <row r="21">
          <cell r="C21">
            <v>6938</v>
          </cell>
        </row>
        <row r="23">
          <cell r="C23">
            <v>0</v>
          </cell>
        </row>
        <row r="24">
          <cell r="C24">
            <v>7251</v>
          </cell>
        </row>
        <row r="25">
          <cell r="C25">
            <v>1215027</v>
          </cell>
        </row>
        <row r="26">
          <cell r="C26">
            <v>1545642</v>
          </cell>
        </row>
        <row r="31">
          <cell r="C31">
            <v>24567696</v>
          </cell>
        </row>
        <row r="32">
          <cell r="C32">
            <v>436000</v>
          </cell>
        </row>
        <row r="33">
          <cell r="C33">
            <v>0</v>
          </cell>
        </row>
        <row r="38">
          <cell r="C38">
            <v>42934500</v>
          </cell>
        </row>
        <row r="39">
          <cell r="C39">
            <v>6382715</v>
          </cell>
        </row>
        <row r="41">
          <cell r="C41">
            <v>0</v>
          </cell>
        </row>
        <row r="42">
          <cell r="C42">
            <v>2185119</v>
          </cell>
        </row>
        <row r="44">
          <cell r="C44">
            <v>152000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**00"/>
      <sheetName val="0000"/>
      <sheetName val="1000"/>
      <sheetName val="0001"/>
      <sheetName val="PI"/>
      <sheetName val="ID"/>
      <sheetName val="CO"/>
      <sheetName val="PLS"/>
      <sheetName val="PLSNew"/>
      <sheetName val="PL"/>
      <sheetName val="IN"/>
      <sheetName val="BS"/>
      <sheetName val="EQUITY"/>
      <sheetName val="IC"/>
      <sheetName val="MI"/>
      <sheetName val="TRD"/>
      <sheetName val="BSD"/>
    </sheetNames>
    <sheetDataSet>
      <sheetData sheetId="16">
        <row r="20">
          <cell r="G20">
            <v>16779496</v>
          </cell>
        </row>
        <row r="37">
          <cell r="G37">
            <v>2525181</v>
          </cell>
        </row>
        <row r="39">
          <cell r="G39">
            <v>25166</v>
          </cell>
        </row>
        <row r="40">
          <cell r="G40">
            <v>3072088</v>
          </cell>
        </row>
        <row r="43">
          <cell r="G43">
            <v>-137866</v>
          </cell>
        </row>
        <row r="46">
          <cell r="G46">
            <v>-20637</v>
          </cell>
        </row>
        <row r="49">
          <cell r="G49">
            <v>11999933</v>
          </cell>
        </row>
        <row r="77">
          <cell r="G77">
            <v>1061200</v>
          </cell>
        </row>
        <row r="86">
          <cell r="G86">
            <v>-2374361</v>
          </cell>
        </row>
        <row r="121">
          <cell r="G121">
            <v>-4705644</v>
          </cell>
        </row>
        <row r="124">
          <cell r="G124">
            <v>-9864</v>
          </cell>
        </row>
        <row r="126">
          <cell r="G126">
            <v>-152659</v>
          </cell>
        </row>
        <row r="128">
          <cell r="G128">
            <v>-1914878</v>
          </cell>
        </row>
        <row r="151">
          <cell r="G151">
            <v>26228890</v>
          </cell>
        </row>
        <row r="154">
          <cell r="G154">
            <v>136000</v>
          </cell>
        </row>
        <row r="157">
          <cell r="G157">
            <v>42934500</v>
          </cell>
        </row>
        <row r="159">
          <cell r="G159">
            <v>6218534.612</v>
          </cell>
        </row>
        <row r="160">
          <cell r="G160">
            <v>2681010</v>
          </cell>
        </row>
        <row r="161">
          <cell r="G161">
            <v>678000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**00"/>
      <sheetName val="0000"/>
      <sheetName val="1000"/>
      <sheetName val="2000"/>
      <sheetName val="3000"/>
      <sheetName val="4000"/>
      <sheetName val="5000"/>
      <sheetName val="6000"/>
      <sheetName val="7000"/>
      <sheetName val="8000"/>
      <sheetName val="9000"/>
      <sheetName val="PI"/>
      <sheetName val="PLS"/>
      <sheetName val="PLSnew"/>
      <sheetName val="PL"/>
      <sheetName val="IN"/>
      <sheetName val="BS"/>
      <sheetName val="EQUITY"/>
      <sheetName val="IC"/>
      <sheetName val="TRDS$"/>
      <sheetName val="TRDRM"/>
      <sheetName val="TRDS$R"/>
      <sheetName val="BSD"/>
    </sheetNames>
    <sheetDataSet>
      <sheetData sheetId="16">
        <row r="11">
          <cell r="C11">
            <v>0</v>
          </cell>
        </row>
        <row r="12">
          <cell r="C12">
            <v>0</v>
          </cell>
        </row>
        <row r="14">
          <cell r="C14">
            <v>0</v>
          </cell>
        </row>
        <row r="21">
          <cell r="C21">
            <v>0</v>
          </cell>
        </row>
        <row r="24">
          <cell r="C24">
            <v>0</v>
          </cell>
        </row>
        <row r="25">
          <cell r="C25">
            <v>0</v>
          </cell>
        </row>
        <row r="32">
          <cell r="C32">
            <v>0</v>
          </cell>
        </row>
        <row r="33">
          <cell r="C33">
            <v>0</v>
          </cell>
        </row>
        <row r="38">
          <cell r="C38">
            <v>100000</v>
          </cell>
        </row>
        <row r="39">
          <cell r="C39">
            <v>-973911</v>
          </cell>
        </row>
        <row r="59">
          <cell r="C59">
            <v>0</v>
          </cell>
        </row>
        <row r="60">
          <cell r="C60">
            <v>0</v>
          </cell>
        </row>
        <row r="62">
          <cell r="C62">
            <v>0</v>
          </cell>
        </row>
        <row r="69">
          <cell r="C69">
            <v>0</v>
          </cell>
        </row>
        <row r="72">
          <cell r="C72">
            <v>0</v>
          </cell>
        </row>
        <row r="73">
          <cell r="C73">
            <v>0</v>
          </cell>
        </row>
        <row r="80">
          <cell r="C80">
            <v>0</v>
          </cell>
        </row>
        <row r="81">
          <cell r="C81">
            <v>0</v>
          </cell>
        </row>
        <row r="86">
          <cell r="C86">
            <v>129253</v>
          </cell>
        </row>
        <row r="90">
          <cell r="C9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**00"/>
      <sheetName val="0000"/>
      <sheetName val="1000"/>
      <sheetName val="0001"/>
      <sheetName val="PI"/>
      <sheetName val="ID"/>
      <sheetName val="CO"/>
      <sheetName val="PLS"/>
      <sheetName val="PLSNew"/>
      <sheetName val="PL"/>
      <sheetName val="IN"/>
      <sheetName val="BS"/>
      <sheetName val="EQUITY"/>
      <sheetName val="IC"/>
      <sheetName val="MI"/>
      <sheetName val="TRD"/>
      <sheetName val="BSD"/>
    </sheetNames>
    <sheetDataSet>
      <sheetData sheetId="16">
        <row r="41">
          <cell r="G41">
            <v>110725</v>
          </cell>
        </row>
        <row r="159">
          <cell r="G159">
            <v>436000</v>
          </cell>
        </row>
        <row r="162">
          <cell r="G162">
            <v>42934500</v>
          </cell>
        </row>
        <row r="166">
          <cell r="G166">
            <v>152000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**00"/>
      <sheetName val="0000"/>
      <sheetName val="1000"/>
      <sheetName val="2000"/>
      <sheetName val="3000"/>
      <sheetName val="4000"/>
      <sheetName val="5000"/>
      <sheetName val="6000"/>
      <sheetName val="7000"/>
      <sheetName val="8000"/>
      <sheetName val="PI"/>
      <sheetName val="PLS"/>
      <sheetName val="PLSnew"/>
      <sheetName val="PL"/>
      <sheetName val="IN"/>
      <sheetName val="BS"/>
      <sheetName val="EQUITY"/>
      <sheetName val="IC"/>
      <sheetName val="TRD"/>
      <sheetName val="TRDR"/>
      <sheetName val="BSD"/>
    </sheetNames>
    <sheetDataSet>
      <sheetData sheetId="15">
        <row r="22">
          <cell r="C22">
            <v>0</v>
          </cell>
        </row>
        <row r="25">
          <cell r="C25">
            <v>0</v>
          </cell>
        </row>
        <row r="38">
          <cell r="C38">
            <v>200000</v>
          </cell>
        </row>
        <row r="39">
          <cell r="C39">
            <v>-508038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**00"/>
      <sheetName val="0000"/>
      <sheetName val="1000"/>
      <sheetName val="0001"/>
      <sheetName val="PI"/>
      <sheetName val="ID"/>
      <sheetName val="CO"/>
      <sheetName val="PLS"/>
      <sheetName val="PLSNew"/>
      <sheetName val="PL"/>
      <sheetName val="IN"/>
      <sheetName val="BS"/>
      <sheetName val="EQUITY"/>
      <sheetName val="IC"/>
      <sheetName val="MI"/>
      <sheetName val="TRD"/>
      <sheetName val="BSD"/>
    </sheetNames>
    <sheetDataSet>
      <sheetData sheetId="11">
        <row r="40">
          <cell r="C40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**00"/>
      <sheetName val="**01"/>
      <sheetName val="0000"/>
      <sheetName val="1000"/>
      <sheetName val="2000"/>
      <sheetName val="3000"/>
      <sheetName val="4000"/>
      <sheetName val="0001"/>
      <sheetName val="BS"/>
      <sheetName val="EQUITY"/>
      <sheetName val="PLnew"/>
      <sheetName val="PL-SUM"/>
      <sheetName val="PL-CM"/>
      <sheetName val="PL-YTD"/>
      <sheetName val="B-CM"/>
      <sheetName val="B-YTD"/>
      <sheetName val="Sheet1"/>
      <sheetName val="B-2K"/>
    </sheetNames>
    <sheetDataSet>
      <sheetData sheetId="12">
        <row r="10">
          <cell r="R10">
            <v>5594843</v>
          </cell>
          <cell r="S10">
            <v>6263129.3361080075</v>
          </cell>
        </row>
        <row r="11">
          <cell r="R11">
            <v>216052</v>
          </cell>
          <cell r="S11">
            <v>293655.0279329609</v>
          </cell>
        </row>
        <row r="12">
          <cell r="R12">
            <v>47169</v>
          </cell>
          <cell r="S12">
            <v>217667.44044692733</v>
          </cell>
        </row>
        <row r="13">
          <cell r="R13">
            <v>707338</v>
          </cell>
          <cell r="S13">
            <v>181564.24581005584</v>
          </cell>
        </row>
        <row r="14">
          <cell r="R14">
            <v>23692</v>
          </cell>
          <cell r="S14">
            <v>89800.17970204842</v>
          </cell>
        </row>
        <row r="15">
          <cell r="R15">
            <v>52591</v>
          </cell>
          <cell r="S15">
            <v>111731.84357541898</v>
          </cell>
        </row>
        <row r="16">
          <cell r="R16">
            <v>-531817</v>
          </cell>
          <cell r="S16">
            <v>32588.45437616387</v>
          </cell>
        </row>
        <row r="17">
          <cell r="R17">
            <v>-92976</v>
          </cell>
          <cell r="S17">
            <v>-102420.85661080072</v>
          </cell>
        </row>
        <row r="18">
          <cell r="R18">
            <v>11233</v>
          </cell>
          <cell r="S18">
            <v>7461.45251396648</v>
          </cell>
        </row>
        <row r="19">
          <cell r="R19">
            <v>-29464</v>
          </cell>
          <cell r="S19">
            <v>0</v>
          </cell>
        </row>
        <row r="25">
          <cell r="R25">
            <v>382357</v>
          </cell>
          <cell r="S25">
            <v>396469.9708361825</v>
          </cell>
        </row>
        <row r="26">
          <cell r="R26">
            <v>504763</v>
          </cell>
          <cell r="S26">
            <v>1088928.2056769088</v>
          </cell>
        </row>
        <row r="27">
          <cell r="R27">
            <v>416134</v>
          </cell>
          <cell r="S27">
            <v>0</v>
          </cell>
        </row>
        <row r="28">
          <cell r="R28">
            <v>181513</v>
          </cell>
          <cell r="S28">
            <v>163659.07821229054</v>
          </cell>
        </row>
        <row r="29">
          <cell r="R29">
            <v>60032</v>
          </cell>
          <cell r="S29">
            <v>60021.30718808193</v>
          </cell>
        </row>
        <row r="31">
          <cell r="R31">
            <v>51134</v>
          </cell>
          <cell r="S31">
            <v>1606.1452515828678</v>
          </cell>
        </row>
        <row r="32">
          <cell r="R32">
            <v>104176</v>
          </cell>
          <cell r="S32">
            <v>200454.68579836035</v>
          </cell>
        </row>
        <row r="34">
          <cell r="R34">
            <v>0</v>
          </cell>
          <cell r="S34">
            <v>0</v>
          </cell>
        </row>
        <row r="35">
          <cell r="R35">
            <v>0</v>
          </cell>
          <cell r="S35">
            <v>0</v>
          </cell>
        </row>
        <row r="41">
          <cell r="R41">
            <v>1294423</v>
          </cell>
          <cell r="S41">
            <v>1337116.1080074487</v>
          </cell>
        </row>
        <row r="42">
          <cell r="R42">
            <v>0</v>
          </cell>
          <cell r="S42">
            <v>190331.09869646182</v>
          </cell>
        </row>
        <row r="43">
          <cell r="R43">
            <v>92848</v>
          </cell>
          <cell r="S43">
            <v>119550.74487895716</v>
          </cell>
        </row>
        <row r="44">
          <cell r="R44">
            <v>155139</v>
          </cell>
          <cell r="S44">
            <v>187183.9404096834</v>
          </cell>
        </row>
        <row r="45">
          <cell r="R45">
            <v>338289</v>
          </cell>
          <cell r="S45">
            <v>361120.0186219739</v>
          </cell>
        </row>
        <row r="46">
          <cell r="R46">
            <v>77670</v>
          </cell>
          <cell r="S46">
            <v>137156.51769087522</v>
          </cell>
        </row>
        <row r="47">
          <cell r="R47">
            <v>76512</v>
          </cell>
          <cell r="S47">
            <v>87128.30540037244</v>
          </cell>
        </row>
        <row r="48">
          <cell r="R48">
            <v>4752</v>
          </cell>
          <cell r="S48">
            <v>9867.039106145252</v>
          </cell>
        </row>
        <row r="49">
          <cell r="R49">
            <v>2286</v>
          </cell>
          <cell r="S49">
            <v>7448.7895716946</v>
          </cell>
        </row>
        <row r="62">
          <cell r="R62">
            <v>74764</v>
          </cell>
          <cell r="S62">
            <v>101611.45251396648</v>
          </cell>
        </row>
        <row r="63">
          <cell r="R63">
            <v>0</v>
          </cell>
          <cell r="S63">
            <v>15388.081936685288</v>
          </cell>
        </row>
        <row r="64">
          <cell r="R64">
            <v>0</v>
          </cell>
          <cell r="S64">
            <v>0</v>
          </cell>
        </row>
        <row r="65">
          <cell r="R65">
            <v>8979</v>
          </cell>
          <cell r="S65">
            <v>14101.106145251397</v>
          </cell>
        </row>
        <row r="66">
          <cell r="R66">
            <v>12889</v>
          </cell>
          <cell r="S66">
            <v>16953.351955307262</v>
          </cell>
        </row>
        <row r="67">
          <cell r="R67">
            <v>592</v>
          </cell>
          <cell r="S67">
            <v>1947.7653631284916</v>
          </cell>
        </row>
        <row r="68">
          <cell r="R68">
            <v>5000</v>
          </cell>
          <cell r="S68">
            <v>7448.7895716945995</v>
          </cell>
        </row>
        <row r="69">
          <cell r="R69">
            <v>7954</v>
          </cell>
          <cell r="S69">
            <v>34916.20111731844</v>
          </cell>
        </row>
        <row r="75">
          <cell r="R75">
            <v>381291</v>
          </cell>
          <cell r="S75">
            <v>391025.69832402235</v>
          </cell>
        </row>
        <row r="76">
          <cell r="R76">
            <v>0</v>
          </cell>
          <cell r="S76">
            <v>0</v>
          </cell>
        </row>
        <row r="77">
          <cell r="R77">
            <v>12615</v>
          </cell>
          <cell r="S77">
            <v>74913.3147113594</v>
          </cell>
        </row>
        <row r="78">
          <cell r="R78">
            <v>54559</v>
          </cell>
          <cell r="S78">
            <v>72092.09497206705</v>
          </cell>
        </row>
        <row r="79">
          <cell r="R79">
            <v>44081</v>
          </cell>
          <cell r="S79">
            <v>21860.521415270017</v>
          </cell>
        </row>
        <row r="80">
          <cell r="R80">
            <v>354</v>
          </cell>
          <cell r="S80">
            <v>59969.832402234635</v>
          </cell>
        </row>
        <row r="81">
          <cell r="R81">
            <v>28166</v>
          </cell>
          <cell r="S81">
            <v>27629.35754189944</v>
          </cell>
        </row>
        <row r="82">
          <cell r="R82">
            <v>28578</v>
          </cell>
          <cell r="S82">
            <v>19558.659217877095</v>
          </cell>
        </row>
        <row r="83">
          <cell r="R83">
            <v>2511</v>
          </cell>
          <cell r="S83">
            <v>19161.73184357542</v>
          </cell>
        </row>
        <row r="84">
          <cell r="R84">
            <v>33031</v>
          </cell>
          <cell r="S84">
            <v>41469.25884543762</v>
          </cell>
        </row>
        <row r="85">
          <cell r="R85">
            <v>148403</v>
          </cell>
          <cell r="S85">
            <v>143559.59031657354</v>
          </cell>
        </row>
        <row r="86">
          <cell r="R86">
            <v>41511</v>
          </cell>
          <cell r="S86">
            <v>3878.7709497206706</v>
          </cell>
        </row>
        <row r="87">
          <cell r="R87">
            <v>13354</v>
          </cell>
          <cell r="S87">
            <v>57016.7597765363</v>
          </cell>
        </row>
        <row r="88">
          <cell r="R88">
            <v>171666</v>
          </cell>
          <cell r="S88">
            <v>192972.62569832403</v>
          </cell>
        </row>
        <row r="89">
          <cell r="R89">
            <v>123476</v>
          </cell>
          <cell r="S89">
            <v>136015.42521638735</v>
          </cell>
        </row>
        <row r="90">
          <cell r="R90">
            <v>15753</v>
          </cell>
          <cell r="S90">
            <v>12463.035381750466</v>
          </cell>
        </row>
        <row r="91">
          <cell r="R91">
            <v>47589</v>
          </cell>
          <cell r="S91">
            <v>43104.00372439479</v>
          </cell>
        </row>
        <row r="92">
          <cell r="R92">
            <v>6407</v>
          </cell>
          <cell r="S92">
            <v>6965.36312849162</v>
          </cell>
        </row>
        <row r="93">
          <cell r="R93">
            <v>0</v>
          </cell>
          <cell r="S93">
            <v>0</v>
          </cell>
        </row>
        <row r="94">
          <cell r="R94">
            <v>16276</v>
          </cell>
          <cell r="S94">
            <v>14709.77653631285</v>
          </cell>
        </row>
        <row r="95">
          <cell r="R95">
            <v>703</v>
          </cell>
          <cell r="S95">
            <v>21083.426443202978</v>
          </cell>
        </row>
        <row r="96">
          <cell r="R96">
            <v>10950</v>
          </cell>
          <cell r="S96">
            <v>8.100558659217876</v>
          </cell>
        </row>
        <row r="97">
          <cell r="R97">
            <v>-6502</v>
          </cell>
          <cell r="S97">
            <v>3063.1284916201116</v>
          </cell>
        </row>
        <row r="98">
          <cell r="R98">
            <v>0</v>
          </cell>
          <cell r="S98">
            <v>4655.493482309124</v>
          </cell>
        </row>
        <row r="107">
          <cell r="R107">
            <v>36756</v>
          </cell>
          <cell r="S107">
            <v>33532.8677839851</v>
          </cell>
        </row>
        <row r="111">
          <cell r="R111">
            <v>211121</v>
          </cell>
          <cell r="S111">
            <v>0</v>
          </cell>
        </row>
        <row r="115">
          <cell r="R115">
            <v>0</v>
          </cell>
          <cell r="S115">
            <v>0</v>
          </cell>
        </row>
        <row r="117">
          <cell r="R117">
            <v>714773</v>
          </cell>
          <cell r="S117">
            <v>1109393.4751349166</v>
          </cell>
        </row>
      </sheetData>
      <sheetData sheetId="13">
        <row r="3">
          <cell r="A3" t="str">
            <v>FOR THE MONTH OF 31 OCTOBER 2002</v>
          </cell>
        </row>
        <row r="10">
          <cell r="R10">
            <v>36904944</v>
          </cell>
          <cell r="S10">
            <v>40334552.924535565</v>
          </cell>
          <cell r="AB10">
            <v>32520465.635264434</v>
          </cell>
        </row>
        <row r="11">
          <cell r="R11">
            <v>1408983</v>
          </cell>
          <cell r="S11">
            <v>1891138.3798882682</v>
          </cell>
          <cell r="AB11">
            <v>-1891138.3798882682</v>
          </cell>
        </row>
        <row r="12">
          <cell r="R12">
            <v>274942</v>
          </cell>
          <cell r="S12">
            <v>1401778.3164782121</v>
          </cell>
          <cell r="AB12">
            <v>-1401778.3164782121</v>
          </cell>
        </row>
        <row r="13">
          <cell r="R13">
            <v>204790</v>
          </cell>
          <cell r="S13">
            <v>0</v>
          </cell>
          <cell r="AB13">
            <v>0</v>
          </cell>
        </row>
        <row r="14">
          <cell r="R14">
            <v>352485</v>
          </cell>
          <cell r="S14">
            <v>578313.1572811918</v>
          </cell>
          <cell r="AB14">
            <v>-578313.1572811918</v>
          </cell>
        </row>
        <row r="15">
          <cell r="R15">
            <v>355699</v>
          </cell>
          <cell r="S15">
            <v>719553.0726256983</v>
          </cell>
          <cell r="AB15">
            <v>480446.92737430125</v>
          </cell>
        </row>
        <row r="16">
          <cell r="AB16">
            <v>290130.35381750466</v>
          </cell>
        </row>
        <row r="17">
          <cell r="AB17">
            <v>1359590.316573556</v>
          </cell>
        </row>
        <row r="18">
          <cell r="R18">
            <v>28714</v>
          </cell>
          <cell r="S18">
            <v>48051.75418994413</v>
          </cell>
          <cell r="AB18">
            <v>996538.1758100559</v>
          </cell>
        </row>
        <row r="19">
          <cell r="R19">
            <v>-59162</v>
          </cell>
          <cell r="S19">
            <v>0</v>
          </cell>
          <cell r="AB19">
            <v>-97406.17959999999</v>
          </cell>
        </row>
        <row r="25">
          <cell r="R25">
            <v>2619598</v>
          </cell>
          <cell r="S25">
            <v>2553266.6121850153</v>
          </cell>
          <cell r="AB25">
            <v>1704820.8745955853</v>
          </cell>
        </row>
        <row r="26">
          <cell r="R26">
            <v>5190874.23</v>
          </cell>
          <cell r="S26">
            <v>7012697.644559292</v>
          </cell>
          <cell r="AB26">
            <v>4790089.784410708</v>
          </cell>
        </row>
        <row r="27">
          <cell r="R27">
            <v>950106</v>
          </cell>
          <cell r="S27">
            <v>0</v>
          </cell>
        </row>
        <row r="28">
          <cell r="R28">
            <v>982825</v>
          </cell>
          <cell r="S28">
            <v>1053964.463687151</v>
          </cell>
          <cell r="AB28">
            <v>596035.5363128493</v>
          </cell>
        </row>
        <row r="29">
          <cell r="R29">
            <v>273102</v>
          </cell>
          <cell r="S29">
            <v>386537.2182912476</v>
          </cell>
          <cell r="AB29">
            <v>258091.62090875232</v>
          </cell>
        </row>
        <row r="31">
          <cell r="R31">
            <v>342606</v>
          </cell>
          <cell r="S31">
            <v>10343.575420193669</v>
          </cell>
          <cell r="AB31">
            <v>792964.7934194063</v>
          </cell>
        </row>
        <row r="32">
          <cell r="R32">
            <v>731703</v>
          </cell>
          <cell r="S32">
            <v>1290928.176541441</v>
          </cell>
          <cell r="AB32">
            <v>75896.7800953493</v>
          </cell>
        </row>
        <row r="33">
          <cell r="AB33">
            <v>0</v>
          </cell>
        </row>
        <row r="34">
          <cell r="R34">
            <v>0</v>
          </cell>
          <cell r="S34">
            <v>0</v>
          </cell>
          <cell r="AB34">
            <v>0</v>
          </cell>
        </row>
        <row r="35">
          <cell r="R35">
            <v>0</v>
          </cell>
          <cell r="S35">
            <v>0</v>
          </cell>
          <cell r="AB35">
            <v>0</v>
          </cell>
        </row>
        <row r="41">
          <cell r="R41">
            <v>8973815</v>
          </cell>
          <cell r="S41">
            <v>8611027.73556797</v>
          </cell>
          <cell r="AB41">
            <v>7684065.26443203</v>
          </cell>
        </row>
        <row r="42">
          <cell r="R42">
            <v>0</v>
          </cell>
          <cell r="S42">
            <v>1225732.275605214</v>
          </cell>
          <cell r="AB42">
            <v>-1116042.275605214</v>
          </cell>
        </row>
        <row r="43">
          <cell r="R43">
            <v>687561</v>
          </cell>
          <cell r="S43">
            <v>769906.7970204841</v>
          </cell>
          <cell r="AB43">
            <v>514068.2029795159</v>
          </cell>
        </row>
        <row r="44">
          <cell r="R44">
            <v>1087030</v>
          </cell>
          <cell r="S44">
            <v>1205464.576238361</v>
          </cell>
          <cell r="AB44">
            <v>804890.9437616391</v>
          </cell>
        </row>
        <row r="45">
          <cell r="R45">
            <v>2245857</v>
          </cell>
          <cell r="S45">
            <v>2325612.9199255123</v>
          </cell>
          <cell r="AB45">
            <v>1552816.0800744877</v>
          </cell>
        </row>
        <row r="46">
          <cell r="R46">
            <v>614787</v>
          </cell>
          <cell r="S46">
            <v>883287.9739292365</v>
          </cell>
          <cell r="AB46">
            <v>589773.0260707632</v>
          </cell>
        </row>
        <row r="47">
          <cell r="R47">
            <v>412713</v>
          </cell>
          <cell r="S47">
            <v>561106.2867783986</v>
          </cell>
          <cell r="AB47">
            <v>374651.7132216012</v>
          </cell>
        </row>
        <row r="48">
          <cell r="R48">
            <v>67769</v>
          </cell>
          <cell r="S48">
            <v>63543.73184357541</v>
          </cell>
          <cell r="AB48">
            <v>42428.2681564246</v>
          </cell>
        </row>
        <row r="49">
          <cell r="R49">
            <v>12476</v>
          </cell>
          <cell r="S49">
            <v>47970.20484171322</v>
          </cell>
          <cell r="AB49">
            <v>32029.795158286783</v>
          </cell>
        </row>
        <row r="62">
          <cell r="R62">
            <v>548858</v>
          </cell>
          <cell r="S62">
            <v>642304.2532588455</v>
          </cell>
          <cell r="AB62">
            <v>586275.7467411547</v>
          </cell>
        </row>
        <row r="63">
          <cell r="R63">
            <v>0</v>
          </cell>
          <cell r="S63">
            <v>111172.74860335195</v>
          </cell>
          <cell r="AB63">
            <v>-83177.74860335195</v>
          </cell>
        </row>
        <row r="64">
          <cell r="R64">
            <v>51</v>
          </cell>
          <cell r="S64">
            <v>0</v>
          </cell>
          <cell r="AB64">
            <v>0</v>
          </cell>
        </row>
        <row r="65">
          <cell r="R65">
            <v>67241</v>
          </cell>
          <cell r="S65">
            <v>90811.123575419</v>
          </cell>
          <cell r="AB65">
            <v>60634.756424581006</v>
          </cell>
        </row>
        <row r="66">
          <cell r="R66">
            <v>98971</v>
          </cell>
          <cell r="S66">
            <v>109179.58659217876</v>
          </cell>
          <cell r="AB66">
            <v>72899.41340782124</v>
          </cell>
        </row>
        <row r="67">
          <cell r="R67">
            <v>9975</v>
          </cell>
          <cell r="S67">
            <v>12543.608938547486</v>
          </cell>
          <cell r="AB67">
            <v>8375.391061452514</v>
          </cell>
        </row>
        <row r="68">
          <cell r="R68">
            <v>35000</v>
          </cell>
          <cell r="S68">
            <v>47970.204841713225</v>
          </cell>
          <cell r="AB68">
            <v>32029.79515828679</v>
          </cell>
        </row>
        <row r="69">
          <cell r="R69">
            <v>86037</v>
          </cell>
          <cell r="S69">
            <v>224860.3351955307</v>
          </cell>
          <cell r="AB69">
            <v>150139.66480446924</v>
          </cell>
        </row>
        <row r="75">
          <cell r="R75">
            <v>2709407</v>
          </cell>
          <cell r="S75">
            <v>2518205.4972067038</v>
          </cell>
          <cell r="AB75">
            <v>2469168.5027932962</v>
          </cell>
        </row>
        <row r="76">
          <cell r="R76">
            <v>0</v>
          </cell>
          <cell r="S76">
            <v>0</v>
          </cell>
          <cell r="AB76">
            <v>16811</v>
          </cell>
        </row>
        <row r="77">
          <cell r="R77">
            <v>94649</v>
          </cell>
          <cell r="S77">
            <v>482441.7467411545</v>
          </cell>
          <cell r="AB77">
            <v>-298185.6467411545</v>
          </cell>
        </row>
        <row r="78">
          <cell r="R78">
            <v>404863</v>
          </cell>
          <cell r="S78">
            <v>464273.0916201117</v>
          </cell>
          <cell r="AB78">
            <v>344738.9083798883</v>
          </cell>
        </row>
        <row r="79">
          <cell r="R79">
            <v>319190</v>
          </cell>
          <cell r="S79">
            <v>140781.7579143389</v>
          </cell>
          <cell r="AB79">
            <v>469577.2420856612</v>
          </cell>
        </row>
        <row r="80">
          <cell r="R80">
            <v>14618</v>
          </cell>
          <cell r="S80">
            <v>386205.7206703911</v>
          </cell>
          <cell r="AB80">
            <v>-336705.7206703911</v>
          </cell>
        </row>
        <row r="81">
          <cell r="R81">
            <v>137101</v>
          </cell>
          <cell r="S81">
            <v>177933.0625698324</v>
          </cell>
          <cell r="AB81">
            <v>268806.2374301676</v>
          </cell>
        </row>
        <row r="82">
          <cell r="R82">
            <v>147553</v>
          </cell>
          <cell r="S82">
            <v>125957.7653631285</v>
          </cell>
          <cell r="AB82">
            <v>106899.2346368715</v>
          </cell>
        </row>
        <row r="83">
          <cell r="R83">
            <v>28174</v>
          </cell>
          <cell r="S83">
            <v>123401.55307262568</v>
          </cell>
          <cell r="AB83">
            <v>-60401.553072625684</v>
          </cell>
        </row>
        <row r="84">
          <cell r="R84">
            <v>206090</v>
          </cell>
          <cell r="S84">
            <v>267062.0269646183</v>
          </cell>
          <cell r="AB84">
            <v>159357.81303538178</v>
          </cell>
        </row>
        <row r="85">
          <cell r="R85">
            <v>978305</v>
          </cell>
          <cell r="S85">
            <v>924523.7616387337</v>
          </cell>
          <cell r="AB85">
            <v>630266.2383612663</v>
          </cell>
        </row>
        <row r="86">
          <cell r="R86">
            <v>291795</v>
          </cell>
          <cell r="S86">
            <v>24979.28491620112</v>
          </cell>
          <cell r="AB86">
            <v>460466.7150837988</v>
          </cell>
        </row>
        <row r="87">
          <cell r="R87">
            <v>96788</v>
          </cell>
          <cell r="S87">
            <v>367187.9329608938</v>
          </cell>
          <cell r="AB87">
            <v>-199543.93296089378</v>
          </cell>
        </row>
        <row r="88">
          <cell r="R88">
            <v>1182460</v>
          </cell>
          <cell r="S88">
            <v>1242743.7094972066</v>
          </cell>
          <cell r="AB88">
            <v>806710.2905027932</v>
          </cell>
        </row>
        <row r="89">
          <cell r="R89">
            <v>865200</v>
          </cell>
          <cell r="S89">
            <v>875939.3383935344</v>
          </cell>
          <cell r="AB89">
            <v>628038.3284304655</v>
          </cell>
        </row>
        <row r="90">
          <cell r="R90">
            <v>108939</v>
          </cell>
          <cell r="S90">
            <v>80261.94785847301</v>
          </cell>
          <cell r="AB90">
            <v>60205.05214152699</v>
          </cell>
        </row>
        <row r="91">
          <cell r="R91">
            <v>324688.32</v>
          </cell>
          <cell r="S91">
            <v>277589.78398510243</v>
          </cell>
          <cell r="AB91">
            <v>197194.21601489763</v>
          </cell>
        </row>
        <row r="92">
          <cell r="R92">
            <v>49452</v>
          </cell>
          <cell r="S92">
            <v>44856.93854748603</v>
          </cell>
          <cell r="AB92">
            <v>18318.061452513975</v>
          </cell>
        </row>
        <row r="93">
          <cell r="R93">
            <v>0</v>
          </cell>
          <cell r="S93">
            <v>0</v>
          </cell>
          <cell r="AB93">
            <v>0</v>
          </cell>
        </row>
        <row r="94">
          <cell r="R94">
            <v>131415</v>
          </cell>
          <cell r="S94">
            <v>94730.96089385475</v>
          </cell>
          <cell r="AB94">
            <v>239688.0391061452</v>
          </cell>
        </row>
        <row r="95">
          <cell r="R95">
            <v>21939</v>
          </cell>
          <cell r="S95">
            <v>135777.26629422719</v>
          </cell>
          <cell r="AB95">
            <v>-135777.26629422719</v>
          </cell>
        </row>
        <row r="96">
          <cell r="R96">
            <v>59519</v>
          </cell>
          <cell r="S96">
            <v>52.167597765363126</v>
          </cell>
          <cell r="AB96">
            <v>32932.832402234635</v>
          </cell>
        </row>
        <row r="97">
          <cell r="R97">
            <v>-70518</v>
          </cell>
          <cell r="S97">
            <v>19726.54748603352</v>
          </cell>
          <cell r="AB97">
            <v>-19726.54748603352</v>
          </cell>
        </row>
        <row r="98">
          <cell r="R98">
            <v>0</v>
          </cell>
          <cell r="S98">
            <v>29981.378026070764</v>
          </cell>
          <cell r="AB98">
            <v>20018.621973929243</v>
          </cell>
        </row>
        <row r="107">
          <cell r="R107">
            <v>246377</v>
          </cell>
          <cell r="S107">
            <v>215951.66852886407</v>
          </cell>
          <cell r="AB107">
            <v>144190.85661080075</v>
          </cell>
        </row>
        <row r="111">
          <cell r="R111">
            <v>1333294</v>
          </cell>
          <cell r="S111">
            <v>0</v>
          </cell>
          <cell r="AB111">
            <v>0</v>
          </cell>
        </row>
        <row r="115">
          <cell r="R115">
            <v>0</v>
          </cell>
          <cell r="S115">
            <v>0</v>
          </cell>
          <cell r="AB115">
            <v>0</v>
          </cell>
        </row>
        <row r="117">
          <cell r="R117">
            <v>4039105.450000003</v>
          </cell>
          <cell r="S117">
            <v>7144493.979868868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**00"/>
      <sheetName val="**01"/>
      <sheetName val="0000"/>
      <sheetName val="1000"/>
      <sheetName val="2000"/>
      <sheetName val="3000"/>
      <sheetName val="4000"/>
      <sheetName val="0001"/>
      <sheetName val="BS"/>
      <sheetName val="EQUITY"/>
      <sheetName val="PLnew"/>
      <sheetName val="PL-SUM"/>
      <sheetName val="PL-CM"/>
      <sheetName val="PL-YTD"/>
      <sheetName val="B-CM"/>
      <sheetName val="B-YTD"/>
      <sheetName val="Sheet1"/>
      <sheetName val="B-2K"/>
    </sheetNames>
    <sheetDataSet>
      <sheetData sheetId="12">
        <row r="10">
          <cell r="R10">
            <v>5092129</v>
          </cell>
          <cell r="S10">
            <v>5511553.815775047</v>
          </cell>
        </row>
        <row r="11">
          <cell r="R11">
            <v>198417</v>
          </cell>
          <cell r="S11">
            <v>258416.4245810056</v>
          </cell>
        </row>
        <row r="12">
          <cell r="R12">
            <v>52005</v>
          </cell>
          <cell r="S12">
            <v>191547.34759329606</v>
          </cell>
        </row>
        <row r="13">
          <cell r="R13">
            <v>859479</v>
          </cell>
          <cell r="S13">
            <v>159776.53631284917</v>
          </cell>
        </row>
        <row r="14">
          <cell r="R14">
            <v>27832</v>
          </cell>
          <cell r="S14">
            <v>79024.1581378026</v>
          </cell>
        </row>
        <row r="15">
          <cell r="R15">
            <v>38759</v>
          </cell>
          <cell r="S15">
            <v>98324.02234636871</v>
          </cell>
        </row>
        <row r="16">
          <cell r="R16">
            <v>-689889</v>
          </cell>
          <cell r="S16">
            <v>28677.83985102421</v>
          </cell>
        </row>
        <row r="17">
          <cell r="R17">
            <v>-90399</v>
          </cell>
          <cell r="S17">
            <v>-90130.35381750466</v>
          </cell>
        </row>
        <row r="18">
          <cell r="R18">
            <v>2804</v>
          </cell>
          <cell r="S18">
            <v>6566.078212290503</v>
          </cell>
        </row>
        <row r="19">
          <cell r="R19">
            <v>-37143</v>
          </cell>
          <cell r="S19">
            <v>0</v>
          </cell>
        </row>
        <row r="25">
          <cell r="R25">
            <v>364930</v>
          </cell>
          <cell r="S25">
            <v>348893.5743358406</v>
          </cell>
        </row>
        <row r="26">
          <cell r="R26">
            <v>277439</v>
          </cell>
          <cell r="S26">
            <v>958256.8209956797</v>
          </cell>
        </row>
        <row r="27">
          <cell r="R27">
            <v>532890</v>
          </cell>
          <cell r="S27">
            <v>0</v>
          </cell>
        </row>
        <row r="28">
          <cell r="R28">
            <v>137857</v>
          </cell>
          <cell r="S28">
            <v>144019.98882681565</v>
          </cell>
        </row>
        <row r="29">
          <cell r="R29">
            <v>78385</v>
          </cell>
          <cell r="S29">
            <v>52818.750325512105</v>
          </cell>
        </row>
        <row r="31">
          <cell r="R31">
            <v>42622</v>
          </cell>
          <cell r="S31">
            <v>1413.4078213929236</v>
          </cell>
        </row>
        <row r="32">
          <cell r="R32">
            <v>103074</v>
          </cell>
          <cell r="S32">
            <v>176400.12350255714</v>
          </cell>
        </row>
        <row r="34">
          <cell r="R34">
            <v>0</v>
          </cell>
          <cell r="S34">
            <v>0</v>
          </cell>
        </row>
        <row r="35">
          <cell r="R35">
            <v>0</v>
          </cell>
          <cell r="S35">
            <v>0</v>
          </cell>
        </row>
        <row r="41">
          <cell r="R41">
            <v>1305907</v>
          </cell>
          <cell r="S41">
            <v>1176662.175046555</v>
          </cell>
        </row>
        <row r="42">
          <cell r="R42">
            <v>0</v>
          </cell>
          <cell r="S42">
            <v>167491.3668528864</v>
          </cell>
        </row>
        <row r="43">
          <cell r="R43">
            <v>96907</v>
          </cell>
          <cell r="S43">
            <v>105204.65549348229</v>
          </cell>
        </row>
        <row r="44">
          <cell r="R44">
            <v>157171</v>
          </cell>
          <cell r="S44">
            <v>164721.86756052138</v>
          </cell>
        </row>
        <row r="45">
          <cell r="R45">
            <v>335256</v>
          </cell>
          <cell r="S45">
            <v>317785.6163873371</v>
          </cell>
        </row>
        <row r="46">
          <cell r="R46">
            <v>80262</v>
          </cell>
          <cell r="S46">
            <v>120697.7355679702</v>
          </cell>
        </row>
        <row r="47">
          <cell r="R47">
            <v>63575</v>
          </cell>
          <cell r="S47">
            <v>76672.90875232774</v>
          </cell>
        </row>
        <row r="48">
          <cell r="R48">
            <v>6398</v>
          </cell>
          <cell r="S48">
            <v>8682.994413407821</v>
          </cell>
        </row>
        <row r="49">
          <cell r="R49">
            <v>2272</v>
          </cell>
          <cell r="S49">
            <v>6554.934823091247</v>
          </cell>
        </row>
        <row r="62">
          <cell r="R62">
            <v>82720</v>
          </cell>
          <cell r="S62">
            <v>89418.07821229051</v>
          </cell>
        </row>
        <row r="63">
          <cell r="R63">
            <v>0</v>
          </cell>
          <cell r="S63">
            <v>13541.512104283054</v>
          </cell>
        </row>
        <row r="64">
          <cell r="R64">
            <v>0</v>
          </cell>
          <cell r="S64">
            <v>0</v>
          </cell>
        </row>
        <row r="65">
          <cell r="R65">
            <v>9904</v>
          </cell>
          <cell r="S65">
            <v>12408.973407821228</v>
          </cell>
        </row>
        <row r="66">
          <cell r="R66">
            <v>15618</v>
          </cell>
          <cell r="S66">
            <v>14918.949720670389</v>
          </cell>
        </row>
        <row r="67">
          <cell r="R67">
            <v>4081</v>
          </cell>
          <cell r="S67">
            <v>1714.0335195530724</v>
          </cell>
        </row>
        <row r="68">
          <cell r="R68">
            <v>5000</v>
          </cell>
          <cell r="S68">
            <v>6554.934823091247</v>
          </cell>
        </row>
        <row r="69">
          <cell r="R69">
            <v>15947</v>
          </cell>
          <cell r="S69">
            <v>30726.256983240222</v>
          </cell>
        </row>
        <row r="75">
          <cell r="R75">
            <v>384194</v>
          </cell>
          <cell r="S75">
            <v>344102.6145251396</v>
          </cell>
        </row>
        <row r="76">
          <cell r="R76">
            <v>0</v>
          </cell>
          <cell r="S76">
            <v>0</v>
          </cell>
        </row>
        <row r="77">
          <cell r="R77">
            <v>11260</v>
          </cell>
          <cell r="S77">
            <v>65923.71694599628</v>
          </cell>
        </row>
        <row r="78">
          <cell r="R78">
            <v>69565</v>
          </cell>
          <cell r="S78">
            <v>63441.04357541899</v>
          </cell>
        </row>
        <row r="79">
          <cell r="R79">
            <v>43564</v>
          </cell>
          <cell r="S79">
            <v>19237.258845437616</v>
          </cell>
        </row>
        <row r="80">
          <cell r="R80">
            <v>552</v>
          </cell>
          <cell r="S80">
            <v>52773.45251396648</v>
          </cell>
        </row>
        <row r="81">
          <cell r="R81">
            <v>14558</v>
          </cell>
          <cell r="S81">
            <v>24313.83463687151</v>
          </cell>
        </row>
        <row r="82">
          <cell r="R82">
            <v>25655</v>
          </cell>
          <cell r="S82">
            <v>17211.620111731845</v>
          </cell>
        </row>
        <row r="83">
          <cell r="R83">
            <v>2500</v>
          </cell>
          <cell r="S83">
            <v>16862.324022346365</v>
          </cell>
        </row>
        <row r="84">
          <cell r="R84">
            <v>29889</v>
          </cell>
          <cell r="S84">
            <v>36492.9477839851</v>
          </cell>
        </row>
        <row r="85">
          <cell r="R85">
            <v>140132</v>
          </cell>
          <cell r="S85">
            <v>126332.43947858473</v>
          </cell>
        </row>
        <row r="86">
          <cell r="R86">
            <v>40387</v>
          </cell>
          <cell r="S86">
            <v>3413.3184357541895</v>
          </cell>
        </row>
        <row r="87">
          <cell r="R87">
            <v>12541</v>
          </cell>
          <cell r="S87">
            <v>50174.74860335195</v>
          </cell>
        </row>
        <row r="88">
          <cell r="R88">
            <v>168831</v>
          </cell>
          <cell r="S88">
            <v>169815.9106145251</v>
          </cell>
        </row>
        <row r="89">
          <cell r="R89">
            <v>124973</v>
          </cell>
          <cell r="S89">
            <v>119693.57419042086</v>
          </cell>
        </row>
        <row r="90">
          <cell r="R90">
            <v>15756</v>
          </cell>
          <cell r="S90">
            <v>10967.47113594041</v>
          </cell>
        </row>
        <row r="91">
          <cell r="R91">
            <v>40427</v>
          </cell>
          <cell r="S91">
            <v>37931.52327746741</v>
          </cell>
        </row>
        <row r="92">
          <cell r="R92">
            <v>6206</v>
          </cell>
          <cell r="S92">
            <v>6129.519553072625</v>
          </cell>
        </row>
        <row r="93">
          <cell r="R93">
            <v>0</v>
          </cell>
          <cell r="S93">
            <v>0</v>
          </cell>
        </row>
        <row r="94">
          <cell r="R94">
            <v>40981</v>
          </cell>
          <cell r="S94">
            <v>12944.603351955306</v>
          </cell>
        </row>
        <row r="95">
          <cell r="R95">
            <v>0</v>
          </cell>
          <cell r="S95">
            <v>18553.41527001862</v>
          </cell>
        </row>
        <row r="96">
          <cell r="R96">
            <v>9607</v>
          </cell>
          <cell r="S96">
            <v>7.128491620111731</v>
          </cell>
        </row>
        <row r="97">
          <cell r="R97">
            <v>-3202</v>
          </cell>
          <cell r="S97">
            <v>2695.5530726256984</v>
          </cell>
        </row>
        <row r="98">
          <cell r="R98">
            <v>0</v>
          </cell>
          <cell r="S98">
            <v>4096.83426443203</v>
          </cell>
        </row>
        <row r="107">
          <cell r="R107">
            <v>37175</v>
          </cell>
          <cell r="S107">
            <v>29508.92364990689</v>
          </cell>
        </row>
        <row r="111">
          <cell r="R111">
            <v>138252</v>
          </cell>
          <cell r="S111">
            <v>0</v>
          </cell>
        </row>
        <row r="115">
          <cell r="R115">
            <v>0</v>
          </cell>
          <cell r="S115">
            <v>0</v>
          </cell>
        </row>
        <row r="117">
          <cell r="R117">
            <v>377135</v>
          </cell>
          <cell r="S117">
            <v>976266.258118728</v>
          </cell>
        </row>
      </sheetData>
      <sheetData sheetId="13">
        <row r="3">
          <cell r="A3" t="str">
            <v>FOR THE MONTH OF 30 NOVEMBER 2002</v>
          </cell>
        </row>
        <row r="10">
          <cell r="R10">
            <v>41999271</v>
          </cell>
          <cell r="S10">
            <v>45846106.74031062</v>
          </cell>
          <cell r="AB10">
            <v>27008911.819489382</v>
          </cell>
        </row>
        <row r="11">
          <cell r="R11">
            <v>1605056</v>
          </cell>
          <cell r="S11">
            <v>2149554.804469274</v>
          </cell>
          <cell r="AB11">
            <v>-2149554.804469274</v>
          </cell>
        </row>
        <row r="12">
          <cell r="R12">
            <v>326947</v>
          </cell>
          <cell r="S12">
            <v>1593325.6640715082</v>
          </cell>
          <cell r="AB12">
            <v>-1593325.6640715082</v>
          </cell>
        </row>
        <row r="13">
          <cell r="R13">
            <v>251577</v>
          </cell>
          <cell r="S13">
            <v>0</v>
          </cell>
          <cell r="AB13">
            <v>0</v>
          </cell>
        </row>
        <row r="14">
          <cell r="R14">
            <v>380317</v>
          </cell>
          <cell r="S14">
            <v>657337.3154189944</v>
          </cell>
          <cell r="AB14">
            <v>-657337.3154189944</v>
          </cell>
        </row>
        <row r="15">
          <cell r="R15">
            <v>394458</v>
          </cell>
          <cell r="S15">
            <v>817877.094972067</v>
          </cell>
          <cell r="AB15">
            <v>382122.9050279325</v>
          </cell>
        </row>
        <row r="16">
          <cell r="AB16">
            <v>261452.51396648044</v>
          </cell>
        </row>
        <row r="17">
          <cell r="AB17">
            <v>1449720.6703910609</v>
          </cell>
        </row>
        <row r="18">
          <cell r="R18">
            <v>30640</v>
          </cell>
          <cell r="S18">
            <v>54617.83240223463</v>
          </cell>
          <cell r="AB18">
            <v>989972.0975977654</v>
          </cell>
        </row>
        <row r="19">
          <cell r="R19">
            <v>-96305</v>
          </cell>
          <cell r="S19">
            <v>0</v>
          </cell>
          <cell r="AB19">
            <v>-97406.17959999999</v>
          </cell>
        </row>
        <row r="25">
          <cell r="R25">
            <v>2981245</v>
          </cell>
          <cell r="S25">
            <v>2902160.186520856</v>
          </cell>
          <cell r="AB25">
            <v>1355927.3002597447</v>
          </cell>
        </row>
        <row r="26">
          <cell r="R26">
            <v>5472549.23</v>
          </cell>
          <cell r="S26">
            <v>7970954.465554972</v>
          </cell>
          <cell r="AB26">
            <v>3831832.9634150276</v>
          </cell>
        </row>
        <row r="27">
          <cell r="R27">
            <v>1482996</v>
          </cell>
          <cell r="S27">
            <v>0</v>
          </cell>
        </row>
        <row r="28">
          <cell r="R28">
            <v>1122480</v>
          </cell>
          <cell r="S28">
            <v>1197984.4525139665</v>
          </cell>
          <cell r="AB28">
            <v>452015.54748603376</v>
          </cell>
        </row>
        <row r="29">
          <cell r="R29">
            <v>351386</v>
          </cell>
          <cell r="S29">
            <v>439355.9686167597</v>
          </cell>
          <cell r="AB29">
            <v>205272.87058324023</v>
          </cell>
        </row>
        <row r="31">
          <cell r="R31">
            <v>385228</v>
          </cell>
          <cell r="S31">
            <v>11756.983241586593</v>
          </cell>
          <cell r="AB31">
            <v>791551.3855980134</v>
          </cell>
        </row>
        <row r="32">
          <cell r="R32">
            <v>835536</v>
          </cell>
          <cell r="S32">
            <v>1467328.3000439978</v>
          </cell>
          <cell r="AB32">
            <v>-100503.34340720763</v>
          </cell>
        </row>
        <row r="33">
          <cell r="AB33">
            <v>0</v>
          </cell>
        </row>
        <row r="34">
          <cell r="R34">
            <v>0</v>
          </cell>
          <cell r="S34">
            <v>0</v>
          </cell>
          <cell r="AB34">
            <v>0</v>
          </cell>
        </row>
        <row r="35">
          <cell r="R35">
            <v>0</v>
          </cell>
          <cell r="S35">
            <v>0</v>
          </cell>
          <cell r="AB35">
            <v>0</v>
          </cell>
        </row>
        <row r="41">
          <cell r="R41">
            <v>10285578</v>
          </cell>
          <cell r="S41">
            <v>9787689.910614524</v>
          </cell>
          <cell r="AB41">
            <v>6507403.089385476</v>
          </cell>
        </row>
        <row r="42">
          <cell r="R42">
            <v>0</v>
          </cell>
          <cell r="S42">
            <v>1393223.6424581003</v>
          </cell>
          <cell r="AB42">
            <v>-1283533.6424581003</v>
          </cell>
        </row>
        <row r="43">
          <cell r="R43">
            <v>784375</v>
          </cell>
          <cell r="S43">
            <v>875111.4525139665</v>
          </cell>
          <cell r="AB43">
            <v>408863.5474860335</v>
          </cell>
        </row>
        <row r="44">
          <cell r="R44">
            <v>1244848</v>
          </cell>
          <cell r="S44">
            <v>1370186.4437988824</v>
          </cell>
          <cell r="AB44">
            <v>640169.0762011176</v>
          </cell>
        </row>
        <row r="45">
          <cell r="R45">
            <v>2581711</v>
          </cell>
          <cell r="S45">
            <v>2643398.5363128497</v>
          </cell>
          <cell r="AB45">
            <v>1235030.4636871503</v>
          </cell>
        </row>
        <row r="46">
          <cell r="R46">
            <v>695049</v>
          </cell>
          <cell r="S46">
            <v>1003985.7094972067</v>
          </cell>
          <cell r="AB46">
            <v>469075.29050279304</v>
          </cell>
        </row>
        <row r="47">
          <cell r="R47">
            <v>476262</v>
          </cell>
          <cell r="S47">
            <v>637779.1955307262</v>
          </cell>
          <cell r="AB47">
            <v>297978.80446927354</v>
          </cell>
        </row>
        <row r="48">
          <cell r="R48">
            <v>74167</v>
          </cell>
          <cell r="S48">
            <v>72226.72625698324</v>
          </cell>
          <cell r="AB48">
            <v>33745.273743016776</v>
          </cell>
        </row>
        <row r="49">
          <cell r="R49">
            <v>14318</v>
          </cell>
          <cell r="S49">
            <v>54525.13966480446</v>
          </cell>
          <cell r="AB49">
            <v>25474.86033519554</v>
          </cell>
        </row>
        <row r="62">
          <cell r="R62">
            <v>626023</v>
          </cell>
          <cell r="S62">
            <v>730072.5363128493</v>
          </cell>
          <cell r="AB62">
            <v>498507.463687151</v>
          </cell>
        </row>
        <row r="63">
          <cell r="R63">
            <v>0</v>
          </cell>
          <cell r="S63">
            <v>126364.0558659218</v>
          </cell>
          <cell r="AB63">
            <v>-98369.0558659218</v>
          </cell>
        </row>
        <row r="64">
          <cell r="R64">
            <v>51</v>
          </cell>
          <cell r="S64">
            <v>0</v>
          </cell>
          <cell r="AB64">
            <v>0</v>
          </cell>
        </row>
        <row r="65">
          <cell r="R65">
            <v>76369</v>
          </cell>
          <cell r="S65">
            <v>103220.09698324022</v>
          </cell>
          <cell r="AB65">
            <v>48225.783016759786</v>
          </cell>
        </row>
        <row r="66">
          <cell r="R66">
            <v>114589</v>
          </cell>
          <cell r="S66">
            <v>124098.53631284914</v>
          </cell>
          <cell r="AB66">
            <v>57980.463687150856</v>
          </cell>
        </row>
        <row r="67">
          <cell r="R67">
            <v>14056</v>
          </cell>
          <cell r="S67">
            <v>14257.642458100558</v>
          </cell>
          <cell r="AB67">
            <v>6661.357541899442</v>
          </cell>
        </row>
        <row r="68">
          <cell r="R68">
            <v>40000</v>
          </cell>
          <cell r="S68">
            <v>54525.139664804476</v>
          </cell>
          <cell r="AB68">
            <v>25474.86033519554</v>
          </cell>
        </row>
        <row r="69">
          <cell r="R69">
            <v>102204</v>
          </cell>
          <cell r="S69">
            <v>255586.59217877095</v>
          </cell>
          <cell r="AB69">
            <v>119413.40782122899</v>
          </cell>
        </row>
        <row r="75">
          <cell r="R75">
            <v>3093689</v>
          </cell>
          <cell r="S75">
            <v>2862308.1117318436</v>
          </cell>
          <cell r="AB75">
            <v>2125065.8882681564</v>
          </cell>
        </row>
        <row r="76">
          <cell r="R76">
            <v>0</v>
          </cell>
          <cell r="S76">
            <v>0</v>
          </cell>
          <cell r="AB76">
            <v>16811</v>
          </cell>
        </row>
        <row r="77">
          <cell r="R77">
            <v>105909</v>
          </cell>
          <cell r="S77">
            <v>548365.4636871507</v>
          </cell>
          <cell r="AB77">
            <v>-364109.3636871507</v>
          </cell>
        </row>
        <row r="78">
          <cell r="R78">
            <v>474432</v>
          </cell>
          <cell r="S78">
            <v>527714.1351955307</v>
          </cell>
          <cell r="AB78">
            <v>281297.8648044693</v>
          </cell>
        </row>
        <row r="79">
          <cell r="R79">
            <v>362291</v>
          </cell>
          <cell r="S79">
            <v>160019.01675977654</v>
          </cell>
          <cell r="AB79">
            <v>450339.9832402236</v>
          </cell>
        </row>
        <row r="80">
          <cell r="R80">
            <v>15158</v>
          </cell>
          <cell r="S80">
            <v>438979.1731843576</v>
          </cell>
          <cell r="AB80">
            <v>-389479.1731843576</v>
          </cell>
        </row>
        <row r="81">
          <cell r="R81">
            <v>153071</v>
          </cell>
          <cell r="S81">
            <v>202246.8972067039</v>
          </cell>
          <cell r="AB81">
            <v>244492.4027932961</v>
          </cell>
        </row>
        <row r="82">
          <cell r="R82">
            <v>173286</v>
          </cell>
          <cell r="S82">
            <v>143169.38547486035</v>
          </cell>
          <cell r="AB82">
            <v>89687.61452513965</v>
          </cell>
        </row>
        <row r="83">
          <cell r="R83">
            <v>30674</v>
          </cell>
          <cell r="S83">
            <v>140263.87709497203</v>
          </cell>
          <cell r="AB83">
            <v>-77263.87709497203</v>
          </cell>
        </row>
        <row r="84">
          <cell r="R84">
            <v>242522</v>
          </cell>
          <cell r="S84">
            <v>303554.9747486034</v>
          </cell>
          <cell r="AB84">
            <v>122864.86525139667</v>
          </cell>
        </row>
        <row r="85">
          <cell r="R85">
            <v>1119337</v>
          </cell>
          <cell r="S85">
            <v>1050856.2011173184</v>
          </cell>
          <cell r="AB85">
            <v>503933.79888268164</v>
          </cell>
        </row>
        <row r="86">
          <cell r="R86">
            <v>332199</v>
          </cell>
          <cell r="S86">
            <v>28392.60335195531</v>
          </cell>
          <cell r="AB86">
            <v>457053.39664804464</v>
          </cell>
        </row>
        <row r="87">
          <cell r="R87">
            <v>109329</v>
          </cell>
          <cell r="S87">
            <v>417362.6815642458</v>
          </cell>
          <cell r="AB87">
            <v>-249718.68156424578</v>
          </cell>
        </row>
        <row r="88">
          <cell r="R88">
            <v>1351313</v>
          </cell>
          <cell r="S88">
            <v>1412559.6201117316</v>
          </cell>
          <cell r="AB88">
            <v>636894.3798882682</v>
          </cell>
        </row>
        <row r="89">
          <cell r="R89">
            <v>990278</v>
          </cell>
          <cell r="S89">
            <v>995632.9125839552</v>
          </cell>
          <cell r="AB89">
            <v>508344.75424004474</v>
          </cell>
        </row>
        <row r="90">
          <cell r="R90">
            <v>124716</v>
          </cell>
          <cell r="S90">
            <v>91229.41899441341</v>
          </cell>
          <cell r="AB90">
            <v>49237.58100558659</v>
          </cell>
        </row>
        <row r="91">
          <cell r="R91">
            <v>365322.32</v>
          </cell>
          <cell r="S91">
            <v>315521.30726256984</v>
          </cell>
          <cell r="AB91">
            <v>159262.69273743022</v>
          </cell>
        </row>
        <row r="92">
          <cell r="R92">
            <v>55658</v>
          </cell>
          <cell r="S92">
            <v>50986.45810055866</v>
          </cell>
          <cell r="AB92">
            <v>12188.541899441349</v>
          </cell>
        </row>
        <row r="93">
          <cell r="R93">
            <v>0</v>
          </cell>
          <cell r="S93">
            <v>0</v>
          </cell>
          <cell r="AB93">
            <v>0</v>
          </cell>
        </row>
        <row r="94">
          <cell r="R94">
            <v>172281</v>
          </cell>
          <cell r="S94">
            <v>107675.56424581005</v>
          </cell>
          <cell r="AB94">
            <v>226743.4357541899</v>
          </cell>
        </row>
        <row r="95">
          <cell r="R95">
            <v>21939</v>
          </cell>
          <cell r="S95">
            <v>154330.6815642458</v>
          </cell>
          <cell r="AB95">
            <v>-154330.6815642458</v>
          </cell>
        </row>
        <row r="96">
          <cell r="R96">
            <v>67196</v>
          </cell>
          <cell r="S96">
            <v>59.29608938547486</v>
          </cell>
          <cell r="AB96">
            <v>32925.703910614524</v>
          </cell>
        </row>
        <row r="97">
          <cell r="R97">
            <v>-93923</v>
          </cell>
          <cell r="S97">
            <v>22422.10055865922</v>
          </cell>
          <cell r="AB97">
            <v>-22422.10055865922</v>
          </cell>
        </row>
        <row r="98">
          <cell r="R98">
            <v>0</v>
          </cell>
          <cell r="S98">
            <v>34078.21229050279</v>
          </cell>
          <cell r="AB98">
            <v>15921.787709497214</v>
          </cell>
        </row>
        <row r="107">
          <cell r="R107">
            <v>283552</v>
          </cell>
          <cell r="S107">
            <v>245460.59217877098</v>
          </cell>
          <cell r="AB107">
            <v>114681.93296089384</v>
          </cell>
        </row>
        <row r="111">
          <cell r="R111">
            <v>1471546</v>
          </cell>
          <cell r="S111">
            <v>0</v>
          </cell>
          <cell r="AB111">
            <v>0</v>
          </cell>
        </row>
        <row r="115">
          <cell r="R115">
            <v>1545642</v>
          </cell>
          <cell r="S115">
            <v>0</v>
          </cell>
          <cell r="AB115">
            <v>0</v>
          </cell>
        </row>
        <row r="117">
          <cell r="R117">
            <v>2879050.450000003</v>
          </cell>
          <cell r="S117">
            <v>8120760.237987602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**00"/>
      <sheetName val="**01"/>
      <sheetName val="0000"/>
      <sheetName val="1000"/>
      <sheetName val="2000"/>
      <sheetName val="3000"/>
      <sheetName val="4000"/>
      <sheetName val="0001"/>
      <sheetName val="BS"/>
      <sheetName val="EQUITY"/>
      <sheetName val="PLnew"/>
      <sheetName val="PL-SUM"/>
      <sheetName val="PL-CM"/>
      <sheetName val="PL-YTD"/>
      <sheetName val="B-CM"/>
      <sheetName val="B-YTD"/>
      <sheetName val="Sheet1"/>
      <sheetName val="B-2K"/>
    </sheetNames>
    <sheetDataSet>
      <sheetData sheetId="10">
        <row r="62">
          <cell r="J62">
            <v>3017743.4499999993</v>
          </cell>
        </row>
      </sheetData>
      <sheetData sheetId="12">
        <row r="7">
          <cell r="E7">
            <v>37621</v>
          </cell>
        </row>
        <row r="10">
          <cell r="R10">
            <v>4874404</v>
          </cell>
          <cell r="S10">
            <v>4885240.8821642455</v>
          </cell>
        </row>
        <row r="11">
          <cell r="R11">
            <v>182912</v>
          </cell>
          <cell r="S11">
            <v>229050.9217877095</v>
          </cell>
        </row>
        <row r="12">
          <cell r="R12">
            <v>38307</v>
          </cell>
          <cell r="S12">
            <v>169780.60354860334</v>
          </cell>
        </row>
        <row r="13">
          <cell r="R13">
            <v>739868</v>
          </cell>
          <cell r="S13">
            <v>141620.1117318436</v>
          </cell>
        </row>
        <row r="14">
          <cell r="R14">
            <v>31416</v>
          </cell>
          <cell r="S14">
            <v>70044.14016759777</v>
          </cell>
        </row>
        <row r="15">
          <cell r="R15">
            <v>45353</v>
          </cell>
          <cell r="S15">
            <v>87150.83798882682</v>
          </cell>
        </row>
        <row r="16">
          <cell r="R16">
            <v>-570331</v>
          </cell>
          <cell r="S16">
            <v>25418.99441340782</v>
          </cell>
        </row>
        <row r="17">
          <cell r="R17">
            <v>-90275</v>
          </cell>
          <cell r="S17">
            <v>-79888.26815642459</v>
          </cell>
        </row>
        <row r="18">
          <cell r="R18">
            <v>1926</v>
          </cell>
          <cell r="S18">
            <v>5819.932960893855</v>
          </cell>
        </row>
        <row r="19">
          <cell r="R19">
            <v>-29940</v>
          </cell>
          <cell r="S19">
            <v>0</v>
          </cell>
        </row>
        <row r="25">
          <cell r="R25">
            <v>481949</v>
          </cell>
          <cell r="S25">
            <v>309246.5772522224</v>
          </cell>
        </row>
        <row r="26">
          <cell r="R26">
            <v>213166</v>
          </cell>
          <cell r="S26">
            <v>849364.0004279889</v>
          </cell>
        </row>
        <row r="27">
          <cell r="R27">
            <v>515629</v>
          </cell>
          <cell r="S27">
            <v>0</v>
          </cell>
        </row>
        <row r="28">
          <cell r="R28">
            <v>126494</v>
          </cell>
          <cell r="S28">
            <v>127654.08100558662</v>
          </cell>
        </row>
        <row r="29">
          <cell r="R29">
            <v>70578</v>
          </cell>
        </row>
        <row r="30">
          <cell r="R30">
            <v>13981</v>
          </cell>
          <cell r="S30">
            <v>46816.61960670391</v>
          </cell>
        </row>
        <row r="32">
          <cell r="R32">
            <v>34694</v>
          </cell>
          <cell r="S32">
            <v>1252.793296234637</v>
          </cell>
        </row>
        <row r="33">
          <cell r="R33">
            <v>87610</v>
          </cell>
          <cell r="S33">
            <v>156354.6549227211</v>
          </cell>
        </row>
        <row r="35">
          <cell r="R35">
            <v>0</v>
          </cell>
          <cell r="S35">
            <v>0</v>
          </cell>
        </row>
        <row r="36">
          <cell r="R36">
            <v>0</v>
          </cell>
          <cell r="S36">
            <v>0</v>
          </cell>
        </row>
        <row r="42">
          <cell r="R42">
            <v>1306979</v>
          </cell>
          <cell r="S42">
            <v>1042950.5642458103</v>
          </cell>
        </row>
        <row r="43">
          <cell r="R43">
            <v>0</v>
          </cell>
          <cell r="S43">
            <v>148458.25698324025</v>
          </cell>
        </row>
        <row r="44">
          <cell r="R44">
            <v>110551</v>
          </cell>
          <cell r="S44">
            <v>93249.5810055866</v>
          </cell>
        </row>
        <row r="45">
          <cell r="R45">
            <v>156576</v>
          </cell>
          <cell r="S45">
            <v>146003.47351955308</v>
          </cell>
        </row>
        <row r="46">
          <cell r="R46">
            <v>315133</v>
          </cell>
          <cell r="S46">
            <v>281673.6145251397</v>
          </cell>
        </row>
        <row r="47">
          <cell r="R47">
            <v>98057</v>
          </cell>
          <cell r="S47">
            <v>106982.08379888268</v>
          </cell>
        </row>
        <row r="48">
          <cell r="R48">
            <v>58385</v>
          </cell>
          <cell r="S48">
            <v>67960.07821229051</v>
          </cell>
        </row>
        <row r="49">
          <cell r="R49">
            <v>3301</v>
          </cell>
          <cell r="S49">
            <v>7696.290502793297</v>
          </cell>
        </row>
        <row r="50">
          <cell r="R50">
            <v>785</v>
          </cell>
          <cell r="S50">
            <v>5810.055865921789</v>
          </cell>
        </row>
        <row r="63">
          <cell r="R63">
            <v>80419</v>
          </cell>
          <cell r="S63">
            <v>79256.93296089386</v>
          </cell>
        </row>
        <row r="64">
          <cell r="R64">
            <v>0</v>
          </cell>
          <cell r="S64">
            <v>12002.703910614526</v>
          </cell>
        </row>
        <row r="65">
          <cell r="R65">
            <v>0</v>
          </cell>
          <cell r="S65">
            <v>0</v>
          </cell>
        </row>
        <row r="66">
          <cell r="R66">
            <v>9404</v>
          </cell>
          <cell r="S66">
            <v>10998.862793296088</v>
          </cell>
        </row>
        <row r="67">
          <cell r="R67">
            <v>15645</v>
          </cell>
          <cell r="S67">
            <v>13223.614525139667</v>
          </cell>
        </row>
        <row r="68">
          <cell r="R68">
            <v>1618</v>
          </cell>
          <cell r="S68">
            <v>1519.2569832402237</v>
          </cell>
        </row>
        <row r="69">
          <cell r="R69">
            <v>5000</v>
          </cell>
          <cell r="S69">
            <v>5810.055865921789</v>
          </cell>
        </row>
        <row r="70">
          <cell r="R70">
            <v>35259</v>
          </cell>
          <cell r="S70">
            <v>27234.636871508385</v>
          </cell>
        </row>
        <row r="76">
          <cell r="R76">
            <v>379616</v>
          </cell>
          <cell r="S76">
            <v>305000.04469273746</v>
          </cell>
        </row>
        <row r="77">
          <cell r="R77">
            <v>0</v>
          </cell>
          <cell r="S77">
            <v>0</v>
          </cell>
        </row>
        <row r="78">
          <cell r="R78">
            <v>12222</v>
          </cell>
          <cell r="S78">
            <v>58432.38547486034</v>
          </cell>
        </row>
        <row r="79">
          <cell r="R79">
            <v>63108</v>
          </cell>
          <cell r="S79">
            <v>56231.83407821229</v>
          </cell>
        </row>
        <row r="80">
          <cell r="R80">
            <v>32252</v>
          </cell>
          <cell r="S80">
            <v>17051.206703910615</v>
          </cell>
        </row>
        <row r="81">
          <cell r="R81">
            <v>136</v>
          </cell>
          <cell r="S81">
            <v>46776.469273743016</v>
          </cell>
        </row>
        <row r="82">
          <cell r="R82">
            <v>5958</v>
          </cell>
          <cell r="S82">
            <v>21550.89888268157</v>
          </cell>
        </row>
        <row r="83">
          <cell r="R83">
            <v>35706</v>
          </cell>
          <cell r="S83">
            <v>15255.754189944135</v>
          </cell>
        </row>
        <row r="84">
          <cell r="R84">
            <v>2500</v>
          </cell>
          <cell r="S84">
            <v>14946.15083798883</v>
          </cell>
        </row>
        <row r="85">
          <cell r="R85">
            <v>35672</v>
          </cell>
          <cell r="S85">
            <v>32346.021899441344</v>
          </cell>
        </row>
        <row r="86">
          <cell r="R86">
            <v>161715</v>
          </cell>
          <cell r="S86">
            <v>111976.48044692738</v>
          </cell>
        </row>
        <row r="87">
          <cell r="R87">
            <v>40862</v>
          </cell>
          <cell r="S87">
            <v>3025.441340782123</v>
          </cell>
        </row>
        <row r="88">
          <cell r="R88">
            <v>13562</v>
          </cell>
          <cell r="S88">
            <v>44473.072625698325</v>
          </cell>
        </row>
        <row r="89">
          <cell r="R89">
            <v>169907</v>
          </cell>
          <cell r="S89">
            <v>150518.64804469276</v>
          </cell>
        </row>
        <row r="90">
          <cell r="R90">
            <v>129578</v>
          </cell>
          <cell r="S90">
            <v>106092.03166878213</v>
          </cell>
        </row>
        <row r="91">
          <cell r="R91">
            <v>15777</v>
          </cell>
          <cell r="S91">
            <v>9721.167597765365</v>
          </cell>
        </row>
        <row r="92">
          <cell r="R92">
            <v>60529</v>
          </cell>
          <cell r="S92">
            <v>33621.122905027936</v>
          </cell>
        </row>
        <row r="93">
          <cell r="R93">
            <v>6177</v>
          </cell>
          <cell r="S93">
            <v>5432.983240223463</v>
          </cell>
        </row>
        <row r="94">
          <cell r="R94">
            <v>0</v>
          </cell>
          <cell r="S94">
            <v>0</v>
          </cell>
        </row>
        <row r="95">
          <cell r="R95">
            <v>95535</v>
          </cell>
          <cell r="S95">
            <v>11473.625698324024</v>
          </cell>
        </row>
        <row r="96">
          <cell r="R96">
            <v>0</v>
          </cell>
          <cell r="S96">
            <v>16445.072625698325</v>
          </cell>
        </row>
        <row r="97">
          <cell r="R97">
            <v>12408</v>
          </cell>
          <cell r="S97">
            <v>6.318435754189944</v>
          </cell>
        </row>
        <row r="98">
          <cell r="R98">
            <v>-23623</v>
          </cell>
          <cell r="S98">
            <v>2389.2402234636875</v>
          </cell>
        </row>
        <row r="99">
          <cell r="R99">
            <v>0</v>
          </cell>
          <cell r="S99">
            <v>3631.2849162011175</v>
          </cell>
        </row>
        <row r="108">
          <cell r="R108">
            <v>35660</v>
          </cell>
          <cell r="S108">
            <v>26155.63687150838</v>
          </cell>
        </row>
        <row r="112">
          <cell r="R112">
            <v>12737</v>
          </cell>
          <cell r="S112">
            <v>0</v>
          </cell>
        </row>
        <row r="116">
          <cell r="R116">
            <v>0</v>
          </cell>
          <cell r="S116">
            <v>0</v>
          </cell>
        </row>
        <row r="118">
          <cell r="R118">
            <v>176491</v>
          </cell>
          <cell r="S118">
            <v>865326.9106052341</v>
          </cell>
        </row>
      </sheetData>
      <sheetData sheetId="13">
        <row r="3">
          <cell r="A3" t="str">
            <v>FOR THE MONTH OF 31 DECEMBER 2002</v>
          </cell>
        </row>
        <row r="10">
          <cell r="R10">
            <v>46642879</v>
          </cell>
          <cell r="S10">
            <v>50731347.62247485</v>
          </cell>
          <cell r="AB10">
            <v>22123670.93732515</v>
          </cell>
        </row>
        <row r="11">
          <cell r="R11">
            <v>1771719</v>
          </cell>
          <cell r="S11">
            <v>2378605.7262569834</v>
          </cell>
          <cell r="AB11">
            <v>-2378605.7262569834</v>
          </cell>
        </row>
        <row r="12">
          <cell r="R12">
            <v>365254</v>
          </cell>
          <cell r="S12">
            <v>1763106.2676201116</v>
          </cell>
          <cell r="AB12">
            <v>-1763106.2676201116</v>
          </cell>
        </row>
        <row r="13">
          <cell r="R13">
            <v>157226</v>
          </cell>
          <cell r="S13">
            <v>0</v>
          </cell>
          <cell r="AB13">
            <v>0</v>
          </cell>
        </row>
        <row r="14">
          <cell r="R14">
            <v>411733</v>
          </cell>
          <cell r="S14">
            <v>727381.4555865922</v>
          </cell>
          <cell r="AB14">
            <v>-727381.4555865922</v>
          </cell>
        </row>
        <row r="15">
          <cell r="R15">
            <v>439811</v>
          </cell>
          <cell r="S15">
            <v>905027.9329608938</v>
          </cell>
          <cell r="AB15">
            <v>294972.0670391057</v>
          </cell>
        </row>
        <row r="16">
          <cell r="AB16">
            <v>236033.51955307263</v>
          </cell>
        </row>
        <row r="17">
          <cell r="AB17">
            <v>1529608.9385474853</v>
          </cell>
        </row>
        <row r="18">
          <cell r="R18">
            <v>31096</v>
          </cell>
          <cell r="S18">
            <v>60437.765363128485</v>
          </cell>
          <cell r="AB18">
            <v>984152.1646368715</v>
          </cell>
        </row>
        <row r="19">
          <cell r="R19">
            <v>-126245</v>
          </cell>
          <cell r="S19">
            <v>0</v>
          </cell>
          <cell r="AB19">
            <v>-97406.17959999999</v>
          </cell>
        </row>
        <row r="25">
          <cell r="R25">
            <v>3399094</v>
          </cell>
          <cell r="S25">
            <v>3211406.7637730786</v>
          </cell>
          <cell r="AB25">
            <v>1046680.723007522</v>
          </cell>
        </row>
        <row r="26">
          <cell r="R26">
            <v>5666028.23</v>
          </cell>
          <cell r="S26">
            <v>8820318.465982962</v>
          </cell>
          <cell r="AB26">
            <v>2982468.9629870374</v>
          </cell>
        </row>
        <row r="27">
          <cell r="R27">
            <v>1998625</v>
          </cell>
          <cell r="S27">
            <v>0</v>
          </cell>
        </row>
        <row r="28">
          <cell r="R28">
            <v>1234716</v>
          </cell>
          <cell r="S28">
            <v>1325638.5335195533</v>
          </cell>
          <cell r="AB28">
            <v>324361.466480447</v>
          </cell>
        </row>
        <row r="29">
          <cell r="R29">
            <v>70578</v>
          </cell>
          <cell r="S29">
            <v>0</v>
          </cell>
        </row>
        <row r="30">
          <cell r="R30">
            <v>365367</v>
          </cell>
          <cell r="S30">
            <v>486172.5882234636</v>
          </cell>
          <cell r="AB30">
            <v>158456.2509765363</v>
          </cell>
        </row>
        <row r="32">
          <cell r="R32">
            <v>419922</v>
          </cell>
          <cell r="S32">
            <v>13009.77653782123</v>
          </cell>
          <cell r="AB32">
            <v>790298.5923017787</v>
          </cell>
        </row>
        <row r="33">
          <cell r="R33">
            <v>921301</v>
          </cell>
          <cell r="S33">
            <v>1623682.9549667186</v>
          </cell>
          <cell r="AB33">
            <v>-256857.99832992838</v>
          </cell>
        </row>
        <row r="34">
          <cell r="AB34">
            <v>0</v>
          </cell>
        </row>
        <row r="35">
          <cell r="R35">
            <v>0</v>
          </cell>
          <cell r="S35">
            <v>0</v>
          </cell>
          <cell r="AB35">
            <v>0</v>
          </cell>
        </row>
        <row r="36">
          <cell r="R36">
            <v>0</v>
          </cell>
          <cell r="S36">
            <v>0</v>
          </cell>
          <cell r="AB36">
            <v>0</v>
          </cell>
        </row>
        <row r="42">
          <cell r="R42">
            <v>11527474</v>
          </cell>
          <cell r="S42">
            <v>10830640.474860335</v>
          </cell>
          <cell r="AB42">
            <v>5464452.525139665</v>
          </cell>
        </row>
        <row r="43">
          <cell r="R43">
            <v>0</v>
          </cell>
          <cell r="S43">
            <v>1541681.8994413405</v>
          </cell>
          <cell r="AB43">
            <v>-1431991.8994413405</v>
          </cell>
        </row>
        <row r="44">
          <cell r="R44">
            <v>888221</v>
          </cell>
          <cell r="S44">
            <v>968361.033519553</v>
          </cell>
          <cell r="AB44">
            <v>315613.966480447</v>
          </cell>
        </row>
        <row r="45">
          <cell r="R45">
            <v>1391799</v>
          </cell>
          <cell r="S45">
            <v>1516189.9173184356</v>
          </cell>
          <cell r="AB45">
            <v>494165.6026815644</v>
          </cell>
        </row>
        <row r="46">
          <cell r="R46">
            <v>2885145</v>
          </cell>
          <cell r="S46">
            <v>2925072.150837989</v>
          </cell>
          <cell r="AB46">
            <v>953356.8491620109</v>
          </cell>
        </row>
        <row r="47">
          <cell r="R47">
            <v>793106</v>
          </cell>
          <cell r="S47">
            <v>1110967.7932960894</v>
          </cell>
          <cell r="AB47">
            <v>362093.2067039104</v>
          </cell>
        </row>
        <row r="48">
          <cell r="R48">
            <v>534647</v>
          </cell>
          <cell r="S48">
            <v>705739.2737430166</v>
          </cell>
          <cell r="AB48">
            <v>230018.72625698312</v>
          </cell>
        </row>
        <row r="49">
          <cell r="R49">
            <v>77468</v>
          </cell>
          <cell r="S49">
            <v>79923.01675977654</v>
          </cell>
          <cell r="AB49">
            <v>26048.983240223475</v>
          </cell>
        </row>
        <row r="50">
          <cell r="R50">
            <v>15103</v>
          </cell>
          <cell r="S50">
            <v>60335.195530726254</v>
          </cell>
          <cell r="AB50">
            <v>19664.804469273746</v>
          </cell>
        </row>
        <row r="63">
          <cell r="R63">
            <v>699707</v>
          </cell>
          <cell r="S63">
            <v>807867.150837989</v>
          </cell>
          <cell r="AB63">
            <v>420712.8491620113</v>
          </cell>
        </row>
        <row r="64">
          <cell r="R64">
            <v>0</v>
          </cell>
          <cell r="S64">
            <v>139829.0782122905</v>
          </cell>
          <cell r="AB64">
            <v>-111834.07821229051</v>
          </cell>
        </row>
        <row r="65">
          <cell r="R65">
            <v>51</v>
          </cell>
          <cell r="S65">
            <v>0</v>
          </cell>
          <cell r="AB65">
            <v>0</v>
          </cell>
        </row>
        <row r="66">
          <cell r="R66">
            <v>84835</v>
          </cell>
          <cell r="S66">
            <v>114218.95977653633</v>
          </cell>
          <cell r="AB66">
            <v>37226.920223463676</v>
          </cell>
        </row>
        <row r="67">
          <cell r="R67">
            <v>130234</v>
          </cell>
          <cell r="S67">
            <v>137322.15083798883</v>
          </cell>
          <cell r="AB67">
            <v>44756.849162011174</v>
          </cell>
        </row>
        <row r="68">
          <cell r="R68">
            <v>15674</v>
          </cell>
          <cell r="S68">
            <v>15776.899441340782</v>
          </cell>
          <cell r="AB68">
            <v>5142.100558659218</v>
          </cell>
        </row>
        <row r="69">
          <cell r="R69">
            <v>45000</v>
          </cell>
          <cell r="S69">
            <v>60335.19553072626</v>
          </cell>
          <cell r="AB69">
            <v>19664.804469273753</v>
          </cell>
        </row>
        <row r="70">
          <cell r="R70">
            <v>137192</v>
          </cell>
          <cell r="S70">
            <v>282821.2290502793</v>
          </cell>
          <cell r="AB70">
            <v>92178.77094972064</v>
          </cell>
        </row>
        <row r="76">
          <cell r="R76">
            <v>3468221</v>
          </cell>
          <cell r="S76">
            <v>3167308.156424581</v>
          </cell>
          <cell r="AB76">
            <v>1820065.843575419</v>
          </cell>
        </row>
        <row r="77">
          <cell r="R77">
            <v>0</v>
          </cell>
          <cell r="S77">
            <v>0</v>
          </cell>
          <cell r="AB77">
            <v>16811</v>
          </cell>
        </row>
        <row r="78">
          <cell r="R78">
            <v>118131</v>
          </cell>
          <cell r="S78">
            <v>606797.849162011</v>
          </cell>
          <cell r="AB78">
            <v>-422541.749162011</v>
          </cell>
        </row>
        <row r="79">
          <cell r="R79">
            <v>537282</v>
          </cell>
          <cell r="S79">
            <v>583945.969273743</v>
          </cell>
          <cell r="AB79">
            <v>225066.030726257</v>
          </cell>
        </row>
        <row r="80">
          <cell r="R80">
            <v>394090</v>
          </cell>
          <cell r="S80">
            <v>177070.22346368714</v>
          </cell>
          <cell r="AB80">
            <v>433288.776536313</v>
          </cell>
        </row>
        <row r="81">
          <cell r="R81">
            <v>15158</v>
          </cell>
          <cell r="S81">
            <v>485755.6424581006</v>
          </cell>
          <cell r="AB81">
            <v>-436255.6424581006</v>
          </cell>
        </row>
        <row r="82">
          <cell r="R82">
            <v>156664</v>
          </cell>
          <cell r="S82">
            <v>223797.79608938546</v>
          </cell>
          <cell r="AB82">
            <v>222941.50391061453</v>
          </cell>
        </row>
        <row r="83">
          <cell r="R83">
            <v>208854</v>
          </cell>
          <cell r="S83">
            <v>158425.13966480448</v>
          </cell>
          <cell r="AB83">
            <v>74431.86033519552</v>
          </cell>
        </row>
        <row r="84">
          <cell r="R84">
            <v>33174</v>
          </cell>
          <cell r="S84">
            <v>155210.02793296086</v>
          </cell>
          <cell r="AB84">
            <v>-92210.02793296086</v>
          </cell>
        </row>
        <row r="85">
          <cell r="R85">
            <v>268974</v>
          </cell>
          <cell r="S85">
            <v>335900.99664804473</v>
          </cell>
          <cell r="AB85">
            <v>90518.84335195535</v>
          </cell>
        </row>
        <row r="86">
          <cell r="R86">
            <v>1276567</v>
          </cell>
          <cell r="S86">
            <v>1162832.6815642458</v>
          </cell>
          <cell r="AB86">
            <v>391957.31843575416</v>
          </cell>
        </row>
        <row r="87">
          <cell r="R87">
            <v>371967</v>
          </cell>
          <cell r="S87">
            <v>31418.044692737436</v>
          </cell>
          <cell r="AB87">
            <v>454027.9553072625</v>
          </cell>
        </row>
        <row r="88">
          <cell r="R88">
            <v>122891</v>
          </cell>
          <cell r="S88">
            <v>461835.75418994407</v>
          </cell>
          <cell r="AB88">
            <v>-294191.75418994407</v>
          </cell>
        </row>
        <row r="89">
          <cell r="R89">
            <v>1519862</v>
          </cell>
          <cell r="S89">
            <v>1563078.2681564244</v>
          </cell>
          <cell r="AB89">
            <v>486375.73184357537</v>
          </cell>
        </row>
        <row r="90">
          <cell r="R90">
            <v>1113658</v>
          </cell>
          <cell r="S90">
            <v>1101724.9442527373</v>
          </cell>
          <cell r="AB90">
            <v>402252.7225712626</v>
          </cell>
        </row>
        <row r="91">
          <cell r="R91">
            <v>139255</v>
          </cell>
          <cell r="S91">
            <v>100950.58659217878</v>
          </cell>
          <cell r="AB91">
            <v>39516.41340782122</v>
          </cell>
        </row>
        <row r="92">
          <cell r="R92">
            <v>424554.32</v>
          </cell>
          <cell r="S92">
            <v>349142.43016759783</v>
          </cell>
          <cell r="AB92">
            <v>125641.56983240222</v>
          </cell>
        </row>
        <row r="93">
          <cell r="R93">
            <v>61835</v>
          </cell>
          <cell r="S93">
            <v>56419.44134078212</v>
          </cell>
          <cell r="AB93">
            <v>6755.558659217888</v>
          </cell>
        </row>
        <row r="94">
          <cell r="R94">
            <v>0</v>
          </cell>
          <cell r="S94">
            <v>0</v>
          </cell>
          <cell r="AB94">
            <v>0</v>
          </cell>
        </row>
        <row r="95">
          <cell r="R95">
            <v>268079</v>
          </cell>
          <cell r="S95">
            <v>119149.18994413406</v>
          </cell>
          <cell r="AB95">
            <v>215269.81005586588</v>
          </cell>
        </row>
        <row r="96">
          <cell r="R96">
            <v>21939</v>
          </cell>
          <cell r="S96">
            <v>170775.75418994413</v>
          </cell>
          <cell r="AB96">
            <v>-170775.75418994413</v>
          </cell>
        </row>
        <row r="97">
          <cell r="R97">
            <v>79534</v>
          </cell>
          <cell r="S97">
            <v>65.6145251396648</v>
          </cell>
          <cell r="AB97">
            <v>32919.38547486033</v>
          </cell>
        </row>
        <row r="98">
          <cell r="R98">
            <v>-94186</v>
          </cell>
          <cell r="S98">
            <v>24811.340782122905</v>
          </cell>
          <cell r="AB98">
            <v>-24811.340782122905</v>
          </cell>
        </row>
        <row r="99">
          <cell r="R99">
            <v>0</v>
          </cell>
          <cell r="S99">
            <v>37709.49720670391</v>
          </cell>
          <cell r="AB99">
            <v>12290.502793296095</v>
          </cell>
        </row>
        <row r="108">
          <cell r="R108">
            <v>319212</v>
          </cell>
          <cell r="S108">
            <v>271616.22905027936</v>
          </cell>
          <cell r="AB108">
            <v>88526.29608938546</v>
          </cell>
        </row>
        <row r="112">
          <cell r="G112">
            <v>16442</v>
          </cell>
          <cell r="R112">
            <v>1484283</v>
          </cell>
          <cell r="S112">
            <v>0</v>
          </cell>
          <cell r="AB112">
            <v>0</v>
          </cell>
        </row>
        <row r="116">
          <cell r="R116">
            <v>1545642</v>
          </cell>
          <cell r="S116">
            <v>0</v>
          </cell>
          <cell r="AB116">
            <v>0</v>
          </cell>
        </row>
        <row r="118">
          <cell r="R118">
            <v>3017743.450000003</v>
          </cell>
          <cell r="S118">
            <v>8986087.148592807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**00"/>
      <sheetName val="**01"/>
      <sheetName val="0000"/>
      <sheetName val="1000"/>
      <sheetName val="2000"/>
      <sheetName val="3000"/>
      <sheetName val="4000"/>
      <sheetName val="0001"/>
      <sheetName val="BS"/>
      <sheetName val="EQUITY"/>
      <sheetName val="PLnew"/>
      <sheetName val="PL-SUM"/>
      <sheetName val="PL-CM"/>
      <sheetName val="PL-YTD"/>
      <sheetName val="B-CM"/>
      <sheetName val="B-YTD"/>
      <sheetName val="Sheet1"/>
      <sheetName val="B-2K"/>
    </sheetNames>
    <sheetDataSet>
      <sheetData sheetId="12">
        <row r="10">
          <cell r="P10">
            <v>5240301.14</v>
          </cell>
          <cell r="Q10">
            <v>5488585.050167176</v>
          </cell>
        </row>
        <row r="11">
          <cell r="P11">
            <v>129682</v>
          </cell>
          <cell r="Q11">
            <v>0</v>
          </cell>
        </row>
        <row r="12">
          <cell r="P12">
            <v>56793</v>
          </cell>
          <cell r="Q12">
            <v>64272.22075260237</v>
          </cell>
        </row>
        <row r="13">
          <cell r="P13">
            <v>-4843.859999999986</v>
          </cell>
          <cell r="Q13">
            <v>-3006.675048823934</v>
          </cell>
        </row>
        <row r="14">
          <cell r="P14">
            <v>45797</v>
          </cell>
          <cell r="Q14">
            <v>0</v>
          </cell>
        </row>
        <row r="15">
          <cell r="P15">
            <v>71412</v>
          </cell>
          <cell r="Q15">
            <v>247800</v>
          </cell>
        </row>
        <row r="16">
          <cell r="P16">
            <v>16092</v>
          </cell>
          <cell r="Q16">
            <v>-278973.79260000004</v>
          </cell>
        </row>
        <row r="17">
          <cell r="P17">
            <v>-105823</v>
          </cell>
          <cell r="Q17">
            <v>-62092.671840000025</v>
          </cell>
        </row>
        <row r="18">
          <cell r="P18">
            <v>1678</v>
          </cell>
          <cell r="Q18">
            <v>5035.112</v>
          </cell>
        </row>
        <row r="19">
          <cell r="P19">
            <v>-4441</v>
          </cell>
          <cell r="Q19">
            <v>0</v>
          </cell>
        </row>
        <row r="25">
          <cell r="P25">
            <v>295650</v>
          </cell>
          <cell r="Q25">
            <v>455179.30658543215</v>
          </cell>
        </row>
        <row r="26">
          <cell r="P26">
            <v>866311</v>
          </cell>
          <cell r="Q26">
            <v>607847.403384696</v>
          </cell>
        </row>
        <row r="27">
          <cell r="P27">
            <v>80092</v>
          </cell>
          <cell r="Q27">
            <v>0</v>
          </cell>
        </row>
        <row r="28">
          <cell r="P28">
            <v>38265</v>
          </cell>
          <cell r="Q28">
            <v>54678.77983210901</v>
          </cell>
        </row>
        <row r="30">
          <cell r="P30">
            <v>71412</v>
          </cell>
          <cell r="Q30">
            <v>60227.982473526026</v>
          </cell>
        </row>
        <row r="31">
          <cell r="P31">
            <v>126749</v>
          </cell>
          <cell r="Q31">
            <v>118836.24336693643</v>
          </cell>
        </row>
        <row r="33">
          <cell r="P33">
            <v>0</v>
          </cell>
          <cell r="Q33">
            <v>0</v>
          </cell>
        </row>
        <row r="34">
          <cell r="P34">
            <v>0</v>
          </cell>
          <cell r="Q34">
            <v>0</v>
          </cell>
        </row>
        <row r="40">
          <cell r="P40">
            <v>1253237</v>
          </cell>
          <cell r="Q40">
            <v>1330706.8503583334</v>
          </cell>
        </row>
        <row r="41">
          <cell r="P41">
            <v>0</v>
          </cell>
          <cell r="Q41">
            <v>0</v>
          </cell>
        </row>
        <row r="42">
          <cell r="P42">
            <v>94254</v>
          </cell>
          <cell r="Q42">
            <v>89396.53436177445</v>
          </cell>
        </row>
        <row r="43">
          <cell r="P43">
            <v>149388</v>
          </cell>
          <cell r="Q43">
            <v>141076.63309933332</v>
          </cell>
        </row>
        <row r="44">
          <cell r="P44">
            <v>302638</v>
          </cell>
          <cell r="Q44">
            <v>344226.4374271736</v>
          </cell>
        </row>
        <row r="45">
          <cell r="P45">
            <v>121196</v>
          </cell>
          <cell r="Q45">
            <v>141403.71583333332</v>
          </cell>
        </row>
        <row r="46">
          <cell r="P46">
            <v>59562</v>
          </cell>
          <cell r="Q46">
            <v>26213.870833333334</v>
          </cell>
        </row>
        <row r="47">
          <cell r="P47">
            <v>6934</v>
          </cell>
          <cell r="Q47">
            <v>5402.5125</v>
          </cell>
        </row>
        <row r="48">
          <cell r="P48">
            <v>69</v>
          </cell>
          <cell r="Q48">
            <v>631.75</v>
          </cell>
        </row>
        <row r="61">
          <cell r="P61">
            <v>87652</v>
          </cell>
          <cell r="Q61">
            <v>108502.97355</v>
          </cell>
        </row>
        <row r="62">
          <cell r="P62">
            <v>0</v>
          </cell>
          <cell r="Q62">
            <v>0</v>
          </cell>
        </row>
        <row r="63">
          <cell r="P63">
            <v>0</v>
          </cell>
          <cell r="Q63">
            <v>11.227495916330774</v>
          </cell>
        </row>
        <row r="64">
          <cell r="P64">
            <v>10178</v>
          </cell>
          <cell r="Q64">
            <v>11766.996064</v>
          </cell>
        </row>
        <row r="65">
          <cell r="P65">
            <v>15761</v>
          </cell>
          <cell r="Q65">
            <v>16379.571249999999</v>
          </cell>
        </row>
        <row r="66">
          <cell r="P66">
            <v>557</v>
          </cell>
          <cell r="Q66">
            <v>1874.5125</v>
          </cell>
        </row>
        <row r="67">
          <cell r="P67">
            <v>5000</v>
          </cell>
          <cell r="Q67">
            <v>12500</v>
          </cell>
        </row>
        <row r="68">
          <cell r="P68">
            <v>8544</v>
          </cell>
          <cell r="Q68">
            <v>33870.583333333336</v>
          </cell>
        </row>
        <row r="74">
          <cell r="P74">
            <v>363922</v>
          </cell>
          <cell r="Q74">
            <v>402045.11706666666</v>
          </cell>
        </row>
        <row r="75">
          <cell r="P75">
            <v>0</v>
          </cell>
          <cell r="Q75">
            <v>0</v>
          </cell>
        </row>
        <row r="76">
          <cell r="P76">
            <v>10017</v>
          </cell>
          <cell r="Q76">
            <v>22990.550895365337</v>
          </cell>
        </row>
        <row r="77">
          <cell r="P77">
            <v>55895</v>
          </cell>
          <cell r="Q77">
            <v>59699.732134666665</v>
          </cell>
        </row>
        <row r="78">
          <cell r="P78">
            <v>39037</v>
          </cell>
          <cell r="Q78">
            <v>51960.45</v>
          </cell>
        </row>
        <row r="79">
          <cell r="P79">
            <v>4720</v>
          </cell>
          <cell r="Q79">
            <v>4063.6358333333337</v>
          </cell>
        </row>
        <row r="80">
          <cell r="P80">
            <v>40546</v>
          </cell>
          <cell r="Q80">
            <v>34833.607461116226</v>
          </cell>
        </row>
        <row r="81">
          <cell r="P81">
            <v>10712</v>
          </cell>
          <cell r="Q81">
            <v>15678.264166666668</v>
          </cell>
        </row>
        <row r="82">
          <cell r="P82">
            <v>2910</v>
          </cell>
          <cell r="Q82">
            <v>2458.333333333333</v>
          </cell>
        </row>
        <row r="83">
          <cell r="P83">
            <v>44174</v>
          </cell>
          <cell r="Q83">
            <v>39296.325</v>
          </cell>
        </row>
        <row r="84">
          <cell r="P84">
            <v>119301</v>
          </cell>
          <cell r="Q84">
            <v>120340.87172333334</v>
          </cell>
        </row>
        <row r="85">
          <cell r="P85">
            <v>41560</v>
          </cell>
          <cell r="Q85">
            <v>37659.31833333333</v>
          </cell>
        </row>
        <row r="86">
          <cell r="P86">
            <v>10465</v>
          </cell>
          <cell r="Q86">
            <v>12235.366666666667</v>
          </cell>
        </row>
        <row r="87">
          <cell r="P87">
            <v>153290</v>
          </cell>
          <cell r="Q87">
            <v>256765.42839499662</v>
          </cell>
        </row>
        <row r="88">
          <cell r="P88">
            <v>118169</v>
          </cell>
          <cell r="Q88">
            <v>116181.1722222222</v>
          </cell>
        </row>
        <row r="89">
          <cell r="P89">
            <v>11054</v>
          </cell>
          <cell r="Q89">
            <v>10186.075</v>
          </cell>
        </row>
        <row r="90">
          <cell r="P90">
            <v>54971</v>
          </cell>
          <cell r="Q90">
            <v>40129.36815416667</v>
          </cell>
        </row>
        <row r="91">
          <cell r="P91">
            <v>6305</v>
          </cell>
          <cell r="Q91">
            <v>6523.362499999999</v>
          </cell>
        </row>
        <row r="92">
          <cell r="P92">
            <v>0</v>
          </cell>
          <cell r="Q92">
            <v>0</v>
          </cell>
        </row>
        <row r="93">
          <cell r="P93">
            <v>24327</v>
          </cell>
          <cell r="Q93">
            <v>39042.68836456666</v>
          </cell>
        </row>
        <row r="94">
          <cell r="P94">
            <v>0</v>
          </cell>
          <cell r="Q94">
            <v>-6250</v>
          </cell>
        </row>
        <row r="95">
          <cell r="P95">
            <v>1631</v>
          </cell>
          <cell r="Q95">
            <v>4388.9158333333335</v>
          </cell>
        </row>
        <row r="96">
          <cell r="P96">
            <v>60115.14</v>
          </cell>
          <cell r="Q96">
            <v>0</v>
          </cell>
        </row>
        <row r="97">
          <cell r="P97">
            <v>0</v>
          </cell>
          <cell r="Q97">
            <v>0</v>
          </cell>
        </row>
        <row r="106">
          <cell r="P106">
            <v>29334</v>
          </cell>
          <cell r="Q106">
            <v>47711.2926</v>
          </cell>
        </row>
        <row r="110">
          <cell r="P110">
            <v>0</v>
          </cell>
          <cell r="Q110">
            <v>292466.5</v>
          </cell>
        </row>
        <row r="114">
          <cell r="P114">
            <v>0</v>
          </cell>
          <cell r="Q114">
            <v>0</v>
          </cell>
        </row>
      </sheetData>
      <sheetData sheetId="13">
        <row r="3">
          <cell r="A3" t="str">
            <v>FOR THE PERIOD ENDED 31 OCTOBER 2001</v>
          </cell>
        </row>
        <row r="10">
          <cell r="P10">
            <v>35248001.14</v>
          </cell>
          <cell r="Q10">
            <v>38551835.36587306</v>
          </cell>
        </row>
        <row r="11">
          <cell r="P11">
            <v>371438</v>
          </cell>
          <cell r="Q11">
            <v>0</v>
          </cell>
        </row>
        <row r="12">
          <cell r="P12">
            <v>376726</v>
          </cell>
          <cell r="Q12">
            <v>451454.27347912267</v>
          </cell>
        </row>
        <row r="13">
          <cell r="P13">
            <v>-23720.85999999987</v>
          </cell>
          <cell r="Q13">
            <v>-21119.175342943054</v>
          </cell>
        </row>
        <row r="14">
          <cell r="P14">
            <v>285711</v>
          </cell>
          <cell r="Q14">
            <v>0</v>
          </cell>
        </row>
        <row r="15">
          <cell r="P15">
            <v>531099</v>
          </cell>
          <cell r="Q15">
            <v>1753200</v>
          </cell>
        </row>
        <row r="18">
          <cell r="P18">
            <v>11746</v>
          </cell>
          <cell r="Q18">
            <v>35367.111999999994</v>
          </cell>
        </row>
        <row r="19">
          <cell r="P19">
            <v>-25875</v>
          </cell>
          <cell r="Q19">
            <v>0</v>
          </cell>
        </row>
        <row r="25">
          <cell r="P25">
            <v>1953519</v>
          </cell>
          <cell r="Q25">
            <v>3197196.5390277943</v>
          </cell>
        </row>
        <row r="26">
          <cell r="P26">
            <v>5742521</v>
          </cell>
          <cell r="Q26">
            <v>4270595.805943105</v>
          </cell>
        </row>
        <row r="27">
          <cell r="P27">
            <v>185676</v>
          </cell>
          <cell r="Q27">
            <v>0</v>
          </cell>
        </row>
        <row r="28">
          <cell r="P28">
            <v>299559</v>
          </cell>
          <cell r="Q28">
            <v>384069.01978457294</v>
          </cell>
        </row>
        <row r="30">
          <cell r="P30">
            <v>450546</v>
          </cell>
          <cell r="Q30">
            <v>423047.15400079126</v>
          </cell>
        </row>
        <row r="31">
          <cell r="P31">
            <v>775448</v>
          </cell>
          <cell r="Q31">
            <v>834717.2275051075</v>
          </cell>
        </row>
        <row r="33">
          <cell r="P33">
            <v>0</v>
          </cell>
          <cell r="Q33">
            <v>0</v>
          </cell>
        </row>
        <row r="34">
          <cell r="P34">
            <v>0</v>
          </cell>
          <cell r="Q34">
            <v>0</v>
          </cell>
        </row>
        <row r="40">
          <cell r="P40">
            <v>8829704</v>
          </cell>
          <cell r="Q40">
            <v>9314947.952508336</v>
          </cell>
        </row>
        <row r="41">
          <cell r="P41">
            <v>0</v>
          </cell>
          <cell r="Q41">
            <v>0</v>
          </cell>
        </row>
        <row r="42">
          <cell r="P42">
            <v>736557</v>
          </cell>
          <cell r="Q42">
            <v>625989.3352760784</v>
          </cell>
        </row>
        <row r="43">
          <cell r="P43">
            <v>1057327</v>
          </cell>
          <cell r="Q43">
            <v>987536.4316953334</v>
          </cell>
        </row>
        <row r="44">
          <cell r="P44">
            <v>2101785</v>
          </cell>
          <cell r="Q44">
            <v>2409739.955402115</v>
          </cell>
        </row>
        <row r="45">
          <cell r="P45">
            <v>733869</v>
          </cell>
          <cell r="Q45">
            <v>989826.0108333334</v>
          </cell>
        </row>
        <row r="46">
          <cell r="P46">
            <v>433965</v>
          </cell>
          <cell r="Q46">
            <v>183497.09583333333</v>
          </cell>
        </row>
        <row r="47">
          <cell r="P47">
            <v>68550</v>
          </cell>
          <cell r="Q47">
            <v>37817.5875</v>
          </cell>
        </row>
        <row r="48">
          <cell r="P48">
            <v>57889</v>
          </cell>
          <cell r="Q48">
            <v>4422.25</v>
          </cell>
        </row>
        <row r="61">
          <cell r="P61">
            <v>575712</v>
          </cell>
          <cell r="Q61">
            <v>759520.8148500001</v>
          </cell>
        </row>
        <row r="62">
          <cell r="P62">
            <v>0</v>
          </cell>
          <cell r="Q62">
            <v>0</v>
          </cell>
        </row>
        <row r="63">
          <cell r="P63">
            <v>0</v>
          </cell>
          <cell r="Q63">
            <v>78.59247141431541</v>
          </cell>
        </row>
        <row r="64">
          <cell r="P64">
            <v>69172</v>
          </cell>
          <cell r="Q64">
            <v>82368.97244799999</v>
          </cell>
        </row>
        <row r="65">
          <cell r="P65">
            <v>92397</v>
          </cell>
          <cell r="Q65">
            <v>114671.64624999999</v>
          </cell>
        </row>
        <row r="66">
          <cell r="P66">
            <v>10918</v>
          </cell>
          <cell r="Q66">
            <v>13121.587500000001</v>
          </cell>
        </row>
        <row r="67">
          <cell r="P67">
            <v>-11000</v>
          </cell>
          <cell r="Q67">
            <v>87500</v>
          </cell>
        </row>
        <row r="68">
          <cell r="P68">
            <v>93215</v>
          </cell>
          <cell r="Q68">
            <v>237094.0833333333</v>
          </cell>
        </row>
        <row r="74">
          <cell r="P74">
            <v>2609363.9</v>
          </cell>
          <cell r="Q74">
            <v>2814315.819466667</v>
          </cell>
        </row>
        <row r="75">
          <cell r="P75">
            <v>0</v>
          </cell>
          <cell r="Q75">
            <v>0</v>
          </cell>
        </row>
        <row r="76">
          <cell r="P76">
            <v>90113</v>
          </cell>
          <cell r="Q76">
            <v>160953.20584736535</v>
          </cell>
        </row>
        <row r="77">
          <cell r="P77">
            <v>421913</v>
          </cell>
          <cell r="Q77">
            <v>417898.1249426667</v>
          </cell>
        </row>
        <row r="78">
          <cell r="P78">
            <v>273179</v>
          </cell>
          <cell r="Q78">
            <v>363723.15</v>
          </cell>
        </row>
        <row r="79">
          <cell r="P79">
            <v>20501</v>
          </cell>
          <cell r="Q79">
            <v>28445.450833333332</v>
          </cell>
        </row>
        <row r="80">
          <cell r="P80">
            <v>300814</v>
          </cell>
          <cell r="Q80">
            <v>243835.2522278136</v>
          </cell>
        </row>
        <row r="81">
          <cell r="P81">
            <v>122765</v>
          </cell>
          <cell r="Q81">
            <v>108700.01916666667</v>
          </cell>
        </row>
        <row r="82">
          <cell r="P82">
            <v>28302</v>
          </cell>
          <cell r="Q82">
            <v>17208.333333333336</v>
          </cell>
        </row>
        <row r="83">
          <cell r="P83">
            <v>261326</v>
          </cell>
          <cell r="Q83">
            <v>275074.275</v>
          </cell>
        </row>
        <row r="84">
          <cell r="P84">
            <v>825982</v>
          </cell>
          <cell r="Q84">
            <v>842518.6817233334</v>
          </cell>
        </row>
        <row r="85">
          <cell r="P85">
            <v>277007</v>
          </cell>
          <cell r="Q85">
            <v>263654.03833333333</v>
          </cell>
        </row>
        <row r="86">
          <cell r="P86">
            <v>84851</v>
          </cell>
          <cell r="Q86">
            <v>85647.56666666667</v>
          </cell>
        </row>
        <row r="87">
          <cell r="P87">
            <v>1044049</v>
          </cell>
          <cell r="Q87">
            <v>1632935.392717529</v>
          </cell>
        </row>
        <row r="88">
          <cell r="P88">
            <v>816921</v>
          </cell>
          <cell r="Q88">
            <v>813268.2055555556</v>
          </cell>
        </row>
        <row r="89">
          <cell r="P89">
            <v>78142</v>
          </cell>
          <cell r="Q89">
            <v>71302.525</v>
          </cell>
        </row>
        <row r="90">
          <cell r="P90">
            <v>276484</v>
          </cell>
          <cell r="Q90">
            <v>280929.4994041667</v>
          </cell>
        </row>
        <row r="91">
          <cell r="P91">
            <v>41535</v>
          </cell>
          <cell r="Q91">
            <v>45663.537500000006</v>
          </cell>
        </row>
        <row r="92">
          <cell r="P92">
            <v>0</v>
          </cell>
          <cell r="Q92">
            <v>0</v>
          </cell>
        </row>
        <row r="93">
          <cell r="P93">
            <v>77574</v>
          </cell>
          <cell r="Q93">
            <v>273694.3091551289</v>
          </cell>
        </row>
        <row r="94">
          <cell r="P94">
            <v>-11437</v>
          </cell>
          <cell r="Q94">
            <v>-43750</v>
          </cell>
        </row>
        <row r="95">
          <cell r="P95">
            <v>13970</v>
          </cell>
          <cell r="Q95">
            <v>30722.410833333328</v>
          </cell>
        </row>
        <row r="96">
          <cell r="P96">
            <v>29348.14</v>
          </cell>
          <cell r="Q96">
            <v>0</v>
          </cell>
        </row>
        <row r="97">
          <cell r="P97">
            <v>0</v>
          </cell>
          <cell r="Q97">
            <v>0</v>
          </cell>
        </row>
        <row r="106">
          <cell r="P106">
            <v>279259</v>
          </cell>
          <cell r="Q106">
            <v>257357.60892</v>
          </cell>
        </row>
        <row r="110">
          <cell r="P110">
            <v>1722155</v>
          </cell>
          <cell r="Q110">
            <v>2047265.5</v>
          </cell>
        </row>
        <row r="114">
          <cell r="P114">
            <v>1914879</v>
          </cell>
          <cell r="Q11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**00"/>
      <sheetName val="**01"/>
      <sheetName val="0000"/>
      <sheetName val="1000"/>
      <sheetName val="2000"/>
      <sheetName val="3000"/>
      <sheetName val="4000"/>
      <sheetName val="0001"/>
      <sheetName val="BS"/>
      <sheetName val="EQUITY"/>
      <sheetName val="PLnew"/>
      <sheetName val="PL-SUM"/>
      <sheetName val="PL-CM"/>
      <sheetName val="PL-YTD"/>
      <sheetName val="B-CM"/>
      <sheetName val="B-YTD"/>
      <sheetName val="B-2K"/>
    </sheetNames>
    <sheetDataSet>
      <sheetData sheetId="13">
        <row r="10">
          <cell r="Q10">
            <v>37652985.79993334</v>
          </cell>
        </row>
        <row r="20">
          <cell r="Q20">
            <v>2421894.641497314</v>
          </cell>
        </row>
        <row r="21">
          <cell r="Q21">
            <v>5077449.695000135</v>
          </cell>
        </row>
        <row r="22">
          <cell r="Q22">
            <v>337770.5464178142</v>
          </cell>
        </row>
        <row r="23">
          <cell r="Q23">
            <v>367475.52986294276</v>
          </cell>
        </row>
        <row r="24">
          <cell r="Q24">
            <v>789563.2618851053</v>
          </cell>
        </row>
        <row r="25">
          <cell r="Q25">
            <v>0</v>
          </cell>
        </row>
        <row r="26">
          <cell r="Q26">
            <v>0</v>
          </cell>
        </row>
        <row r="31">
          <cell r="Q31">
            <v>6960248.399999999</v>
          </cell>
        </row>
        <row r="32">
          <cell r="Q32">
            <v>1301307.0653333333</v>
          </cell>
        </row>
        <row r="33">
          <cell r="Q33">
            <v>485662.8691619415</v>
          </cell>
        </row>
        <row r="34">
          <cell r="Q34">
            <v>943494.3042000001</v>
          </cell>
        </row>
        <row r="35">
          <cell r="Q35">
            <v>2137127.393930214</v>
          </cell>
        </row>
        <row r="36">
          <cell r="Q36">
            <v>880680.2599999999</v>
          </cell>
        </row>
        <row r="37">
          <cell r="Q37">
            <v>404849.48000000004</v>
          </cell>
        </row>
        <row r="38">
          <cell r="Q38">
            <v>30443.694166666664</v>
          </cell>
        </row>
        <row r="39">
          <cell r="Q39">
            <v>2360.61</v>
          </cell>
        </row>
        <row r="51">
          <cell r="Q51">
            <v>564859.4</v>
          </cell>
        </row>
        <row r="52">
          <cell r="Q52">
            <v>102559.56666666668</v>
          </cell>
        </row>
        <row r="53">
          <cell r="Q53">
            <v>2367.00366</v>
          </cell>
        </row>
        <row r="54">
          <cell r="Q54">
            <v>73486.48999999999</v>
          </cell>
        </row>
        <row r="55">
          <cell r="Q55">
            <v>115252.90333333332</v>
          </cell>
        </row>
        <row r="56">
          <cell r="Q56">
            <v>14367.5</v>
          </cell>
        </row>
        <row r="57">
          <cell r="Q57">
            <v>87500</v>
          </cell>
        </row>
        <row r="58">
          <cell r="Q58">
            <v>60931.4</v>
          </cell>
        </row>
        <row r="63">
          <cell r="Q63">
            <v>2040673.2208333334</v>
          </cell>
        </row>
        <row r="64">
          <cell r="Q64">
            <v>380916.77322222234</v>
          </cell>
        </row>
        <row r="65">
          <cell r="Q65">
            <v>134913.3769958333</v>
          </cell>
        </row>
        <row r="66">
          <cell r="Q66">
            <v>362850.54204583337</v>
          </cell>
        </row>
        <row r="67">
          <cell r="Q67">
            <v>201516</v>
          </cell>
        </row>
        <row r="68">
          <cell r="Q68">
            <v>6204.333333333333</v>
          </cell>
        </row>
        <row r="69">
          <cell r="Q69">
            <v>143476.45783333335</v>
          </cell>
        </row>
        <row r="70">
          <cell r="Q70">
            <v>114830.18008097073</v>
          </cell>
        </row>
        <row r="71">
          <cell r="Q71">
            <v>14000</v>
          </cell>
        </row>
        <row r="72">
          <cell r="Q72">
            <v>162351.25083333332</v>
          </cell>
        </row>
        <row r="73">
          <cell r="Q73">
            <v>712779.0775</v>
          </cell>
        </row>
        <row r="74">
          <cell r="Q74">
            <v>213621.46575</v>
          </cell>
        </row>
        <row r="75">
          <cell r="Q75">
            <v>75706.40583333334</v>
          </cell>
        </row>
        <row r="76">
          <cell r="Q76">
            <v>1222721.59</v>
          </cell>
        </row>
        <row r="77">
          <cell r="Q77">
            <v>782232.4933333334</v>
          </cell>
        </row>
        <row r="78">
          <cell r="Q78">
            <v>55793.045000000006</v>
          </cell>
        </row>
        <row r="79">
          <cell r="Q79">
            <v>206370.61666666667</v>
          </cell>
        </row>
        <row r="80">
          <cell r="Q80">
            <v>45699.278333333335</v>
          </cell>
        </row>
        <row r="81">
          <cell r="Q81">
            <v>0</v>
          </cell>
        </row>
        <row r="82">
          <cell r="Q82">
            <v>156588.12416761264</v>
          </cell>
        </row>
        <row r="83">
          <cell r="Q83">
            <v>0</v>
          </cell>
        </row>
        <row r="84">
          <cell r="Q84">
            <v>6815.964166666667</v>
          </cell>
        </row>
        <row r="85">
          <cell r="Q85">
            <v>0</v>
          </cell>
        </row>
        <row r="95">
          <cell r="Q95">
            <v>129616.37581666667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3"/>
  <sheetViews>
    <sheetView tabSelected="1" zoomScale="75" zoomScaleNormal="75" workbookViewId="0" topLeftCell="A1">
      <selection activeCell="C11" sqref="C11"/>
    </sheetView>
  </sheetViews>
  <sheetFormatPr defaultColWidth="9.140625" defaultRowHeight="12.75"/>
  <cols>
    <col min="1" max="1" width="3.00390625" style="1" customWidth="1"/>
    <col min="2" max="2" width="35.421875" style="1" customWidth="1"/>
    <col min="3" max="3" width="16.8515625" style="1" customWidth="1"/>
    <col min="4" max="4" width="2.28125" style="1" customWidth="1"/>
    <col min="5" max="5" width="16.7109375" style="1" customWidth="1"/>
    <col min="6" max="6" width="2.28125" style="1" customWidth="1"/>
    <col min="7" max="7" width="16.7109375" style="1" customWidth="1"/>
    <col min="8" max="8" width="2.28125" style="1" customWidth="1"/>
    <col min="9" max="9" width="16.7109375" style="1" customWidth="1"/>
    <col min="10" max="16384" width="9.140625" style="1" customWidth="1"/>
  </cols>
  <sheetData>
    <row r="2" spans="2:3" ht="15.75">
      <c r="B2" s="300" t="s">
        <v>82</v>
      </c>
      <c r="C2" s="79"/>
    </row>
    <row r="3" spans="2:3" ht="15.75">
      <c r="B3" s="300" t="s">
        <v>83</v>
      </c>
      <c r="C3" s="79"/>
    </row>
    <row r="4" ht="15.75">
      <c r="B4" s="300" t="s">
        <v>0</v>
      </c>
    </row>
    <row r="6" ht="14.25">
      <c r="B6" s="301" t="s">
        <v>1</v>
      </c>
    </row>
    <row r="9" spans="3:4" ht="12.75">
      <c r="C9" s="109"/>
      <c r="D9" s="109"/>
    </row>
    <row r="12" ht="12.75">
      <c r="C12" s="305"/>
    </row>
    <row r="13" spans="3:9" s="288" customFormat="1" ht="15">
      <c r="C13" s="322" t="s">
        <v>2</v>
      </c>
      <c r="D13" s="322"/>
      <c r="E13" s="322" t="s">
        <v>245</v>
      </c>
      <c r="G13" s="322" t="s">
        <v>2</v>
      </c>
      <c r="H13" s="322"/>
      <c r="I13" s="322" t="s">
        <v>245</v>
      </c>
    </row>
    <row r="14" spans="3:9" s="288" customFormat="1" ht="15">
      <c r="C14" s="322" t="s">
        <v>3</v>
      </c>
      <c r="D14" s="322"/>
      <c r="E14" s="322" t="s">
        <v>4</v>
      </c>
      <c r="G14" s="322" t="s">
        <v>3</v>
      </c>
      <c r="H14" s="322"/>
      <c r="I14" s="322" t="s">
        <v>4</v>
      </c>
    </row>
    <row r="15" spans="3:9" s="288" customFormat="1" ht="15">
      <c r="C15" s="334" t="s">
        <v>246</v>
      </c>
      <c r="D15" s="322"/>
      <c r="E15" s="334" t="s">
        <v>246</v>
      </c>
      <c r="G15" s="334" t="s">
        <v>246</v>
      </c>
      <c r="H15" s="322"/>
      <c r="I15" s="334" t="s">
        <v>246</v>
      </c>
    </row>
    <row r="16" spans="3:9" s="288" customFormat="1" ht="15">
      <c r="C16" s="322">
        <v>2002</v>
      </c>
      <c r="D16" s="322"/>
      <c r="E16" s="322">
        <v>2002</v>
      </c>
      <c r="G16" s="322">
        <v>2001</v>
      </c>
      <c r="H16" s="322"/>
      <c r="I16" s="322">
        <v>2001</v>
      </c>
    </row>
    <row r="17" spans="3:9" s="288" customFormat="1" ht="15">
      <c r="C17" s="322" t="s">
        <v>5</v>
      </c>
      <c r="D17" s="322"/>
      <c r="E17" s="322" t="s">
        <v>5</v>
      </c>
      <c r="G17" s="322" t="s">
        <v>5</v>
      </c>
      <c r="H17" s="322"/>
      <c r="I17" s="322" t="s">
        <v>5</v>
      </c>
    </row>
    <row r="18" s="288" customFormat="1" ht="15"/>
    <row r="19" s="288" customFormat="1" ht="15"/>
    <row r="20" spans="2:9" s="288" customFormat="1" ht="15">
      <c r="B20" s="288" t="s">
        <v>6</v>
      </c>
      <c r="C20" s="196">
        <f>'CS-12'!E21/1000+'CS-11'!E21/1000+'CS-10'!E21/1000</f>
        <v>16435.297</v>
      </c>
      <c r="D20" s="196"/>
      <c r="E20" s="196">
        <f>'CS-12'!G21/1000</f>
        <v>49536.247</v>
      </c>
      <c r="G20" s="196">
        <f>'CS-101'!E21/1000+'CS-111'!E21/1000+'CS-121'!E21/1000</f>
        <v>15678.545140000002</v>
      </c>
      <c r="H20" s="196"/>
      <c r="I20" s="196">
        <f>'CS-121'!G21/1000</f>
        <v>46936.16914</v>
      </c>
    </row>
    <row r="21" spans="3:9" s="288" customFormat="1" ht="15">
      <c r="C21" s="196"/>
      <c r="D21" s="196"/>
      <c r="E21" s="196"/>
      <c r="G21" s="196"/>
      <c r="H21" s="196"/>
      <c r="I21" s="196"/>
    </row>
    <row r="22" spans="2:12" s="288" customFormat="1" ht="15">
      <c r="B22" s="288" t="s">
        <v>239</v>
      </c>
      <c r="C22" s="196">
        <f>(-'CS-10'!E104/1000)+('CS-10'!E92/1000)+(-'CS-11'!E104/1000)+('CS-11'!E92/1000)+('CS-12'!E93/1000)+(-'CS-12'!E105/1000)</f>
        <v>-14895.589</v>
      </c>
      <c r="D22" s="196"/>
      <c r="E22" s="196">
        <f>('CS-12'!G93/1000)+(-'CS-12'!G105/1000)</f>
        <v>-43745.95555</v>
      </c>
      <c r="G22" s="196">
        <f>(-'CS-101'!E103/1000)+('CS-101'!E91/1000)+(-'CS-111'!E103/1000)+('CS-111'!E91/1000)+(-'CS-121'!E103/1000)+('CS-121'!E91/1000)</f>
        <v>-13829.250139999998</v>
      </c>
      <c r="H22" s="196"/>
      <c r="I22" s="196">
        <f>(-'CS-121'!G103/1000)+('CS-121'!G91/1000)</f>
        <v>-40967.482039999995</v>
      </c>
      <c r="J22" s="297" t="s">
        <v>230</v>
      </c>
      <c r="L22" s="297" t="s">
        <v>232</v>
      </c>
    </row>
    <row r="23" spans="3:9" s="288" customFormat="1" ht="15">
      <c r="C23" s="196"/>
      <c r="D23" s="196"/>
      <c r="E23" s="196"/>
      <c r="G23" s="196"/>
      <c r="H23" s="196"/>
      <c r="I23" s="196"/>
    </row>
    <row r="24" spans="2:10" s="288" customFormat="1" ht="15">
      <c r="B24" s="288" t="s">
        <v>7</v>
      </c>
      <c r="C24" s="196">
        <f>('CS-10'!E107/1000)+('CS-11'!E107/1000)+('CS-12'!E108/1000)</f>
        <v>109.591</v>
      </c>
      <c r="D24" s="196"/>
      <c r="E24" s="196">
        <f>'CS-12'!G108/1000</f>
        <v>319.212</v>
      </c>
      <c r="G24" s="196">
        <f>'CS-101'!E106/1000+'CS-111'!E106/1000+'CS-121'!E106/1000</f>
        <v>101.88499999999999</v>
      </c>
      <c r="H24" s="196"/>
      <c r="I24" s="196">
        <f>'CS-121'!G106/1000</f>
        <v>351.81</v>
      </c>
      <c r="J24" s="297" t="s">
        <v>231</v>
      </c>
    </row>
    <row r="25" spans="3:9" s="288" customFormat="1" ht="15">
      <c r="C25" s="196"/>
      <c r="D25" s="196"/>
      <c r="E25" s="196"/>
      <c r="G25" s="196"/>
      <c r="H25" s="196"/>
      <c r="I25" s="196"/>
    </row>
    <row r="26" spans="2:9" s="288" customFormat="1" ht="15">
      <c r="B26" s="288" t="s">
        <v>8</v>
      </c>
      <c r="C26" s="331">
        <f>+C20+C22+C24</f>
        <v>1649.2989999999986</v>
      </c>
      <c r="D26" s="196"/>
      <c r="E26" s="331">
        <f>+E20+E22+E24-1</f>
        <v>6108.503450000004</v>
      </c>
      <c r="G26" s="331">
        <f>+G20+G22+G24+1</f>
        <v>1952.1800000000037</v>
      </c>
      <c r="H26" s="196"/>
      <c r="I26" s="331">
        <f>+I20+I22+I24+1</f>
        <v>6321.497100000003</v>
      </c>
    </row>
    <row r="27" spans="3:9" s="288" customFormat="1" ht="15">
      <c r="C27" s="196"/>
      <c r="D27" s="196"/>
      <c r="E27" s="196"/>
      <c r="G27" s="196"/>
      <c r="H27" s="196"/>
      <c r="I27" s="196"/>
    </row>
    <row r="28" spans="2:9" s="288" customFormat="1" ht="15">
      <c r="B28" s="288" t="s">
        <v>9</v>
      </c>
      <c r="C28" s="196">
        <f>(-'CS-10'!E92/1000)+(-'CS-11'!E92/1000)+(-'CS-12'!E93/1000)</f>
        <v>-18.79</v>
      </c>
      <c r="D28" s="196"/>
      <c r="E28" s="196">
        <f>-'CS-12'!G93/1000</f>
        <v>-61.835</v>
      </c>
      <c r="G28" s="196">
        <f>-'CS-101'!E91/1000-'CS-111'!E91/1000-'CS-121'!E91/1000</f>
        <v>-18.846</v>
      </c>
      <c r="H28" s="196"/>
      <c r="I28" s="196">
        <f>-'CS-121'!G91/1000</f>
        <v>-54.076</v>
      </c>
    </row>
    <row r="29" spans="3:9" s="288" customFormat="1" ht="15">
      <c r="C29" s="196"/>
      <c r="D29" s="196"/>
      <c r="E29" s="196"/>
      <c r="G29" s="196"/>
      <c r="H29" s="196"/>
      <c r="I29" s="196"/>
    </row>
    <row r="30" spans="2:9" s="288" customFormat="1" ht="15">
      <c r="B30" s="288" t="s">
        <v>37</v>
      </c>
      <c r="C30" s="196">
        <v>0</v>
      </c>
      <c r="D30" s="196"/>
      <c r="E30" s="196">
        <v>0</v>
      </c>
      <c r="G30" s="196">
        <v>0</v>
      </c>
      <c r="H30" s="196"/>
      <c r="I30" s="196">
        <v>0</v>
      </c>
    </row>
    <row r="31" spans="3:9" s="288" customFormat="1" ht="15">
      <c r="C31" s="196"/>
      <c r="D31" s="196"/>
      <c r="E31" s="196"/>
      <c r="G31" s="196"/>
      <c r="H31" s="196"/>
      <c r="I31" s="196"/>
    </row>
    <row r="32" spans="2:9" s="288" customFormat="1" ht="15">
      <c r="B32" s="288" t="s">
        <v>10</v>
      </c>
      <c r="C32" s="331">
        <f>+C20+C22+C24+C28+C30-1</f>
        <v>1629.5089999999987</v>
      </c>
      <c r="D32" s="196"/>
      <c r="E32" s="331">
        <f>+E20+E22+E24+E28+E30-1</f>
        <v>6046.668450000004</v>
      </c>
      <c r="G32" s="331">
        <f>+G20+G22+G24+G28+G30+1</f>
        <v>1933.3340000000037</v>
      </c>
      <c r="H32" s="196"/>
      <c r="I32" s="331">
        <f>+I20+I22+I24+I28+I30+1</f>
        <v>6267.421100000003</v>
      </c>
    </row>
    <row r="33" spans="3:9" s="288" customFormat="1" ht="15">
      <c r="C33" s="196"/>
      <c r="D33" s="196"/>
      <c r="E33" s="196"/>
      <c r="G33" s="196"/>
      <c r="H33" s="196"/>
      <c r="I33" s="196"/>
    </row>
    <row r="34" spans="3:9" s="288" customFormat="1" ht="15">
      <c r="C34" s="196"/>
      <c r="D34" s="196"/>
      <c r="E34" s="196"/>
      <c r="G34" s="196"/>
      <c r="H34" s="196"/>
      <c r="I34" s="196"/>
    </row>
    <row r="35" spans="2:9" s="288" customFormat="1" ht="15">
      <c r="B35" s="288" t="s">
        <v>11</v>
      </c>
      <c r="C35" s="196">
        <f>-'CS-10'!E111/1000-'CS-11'!E111/1000-'CS-12'!E112/1000</f>
        <v>-362.11000000000007</v>
      </c>
      <c r="D35" s="196"/>
      <c r="E35" s="196">
        <f>-'CS-12'!G112/1000</f>
        <v>-1484.283</v>
      </c>
      <c r="G35" s="196">
        <f>-'CS-101'!E110/1000-'CS-111'!E110/1000-'CS-121'!E110/1000</f>
        <v>-541.054</v>
      </c>
      <c r="H35" s="196"/>
      <c r="I35" s="196">
        <f>-'CS-121'!G110/1000</f>
        <v>-1754.598</v>
      </c>
    </row>
    <row r="36" spans="3:9" s="288" customFormat="1" ht="15">
      <c r="C36" s="331"/>
      <c r="D36" s="196"/>
      <c r="E36" s="331"/>
      <c r="G36" s="331"/>
      <c r="H36" s="196"/>
      <c r="I36" s="331"/>
    </row>
    <row r="37" spans="2:9" s="288" customFormat="1" ht="15">
      <c r="B37" s="288" t="s">
        <v>12</v>
      </c>
      <c r="C37" s="196">
        <f>+C32+C35+1</f>
        <v>1268.3989999999985</v>
      </c>
      <c r="D37" s="196"/>
      <c r="E37" s="196">
        <f>+E32+E35+1</f>
        <v>4563.385450000003</v>
      </c>
      <c r="G37" s="196">
        <f>+G32+G35</f>
        <v>1392.2800000000038</v>
      </c>
      <c r="H37" s="196"/>
      <c r="I37" s="196">
        <f>+I32+I35-1</f>
        <v>4511.823100000003</v>
      </c>
    </row>
    <row r="38" spans="3:9" s="288" customFormat="1" ht="15">
      <c r="C38" s="196"/>
      <c r="D38" s="196"/>
      <c r="E38" s="196"/>
      <c r="G38" s="196"/>
      <c r="H38" s="196"/>
      <c r="I38" s="196"/>
    </row>
    <row r="39" spans="2:9" s="288" customFormat="1" ht="15">
      <c r="B39" s="288" t="s">
        <v>39</v>
      </c>
      <c r="C39" s="196">
        <v>0</v>
      </c>
      <c r="D39" s="335"/>
      <c r="E39" s="196">
        <v>0</v>
      </c>
      <c r="G39" s="196">
        <v>0</v>
      </c>
      <c r="H39" s="335"/>
      <c r="I39" s="196">
        <v>0</v>
      </c>
    </row>
    <row r="40" spans="3:9" s="288" customFormat="1" ht="15">
      <c r="C40" s="196"/>
      <c r="D40" s="196"/>
      <c r="E40" s="196"/>
      <c r="G40" s="196"/>
      <c r="H40" s="196"/>
      <c r="I40" s="196"/>
    </row>
    <row r="41" spans="2:9" s="288" customFormat="1" ht="15">
      <c r="B41" s="288" t="s">
        <v>13</v>
      </c>
      <c r="C41" s="324">
        <f>C37+C39</f>
        <v>1268.3989999999985</v>
      </c>
      <c r="D41" s="196"/>
      <c r="E41" s="324">
        <f>E37+E39</f>
        <v>4563.385450000003</v>
      </c>
      <c r="G41" s="324">
        <f>G37+G39</f>
        <v>1392.2800000000038</v>
      </c>
      <c r="H41" s="196"/>
      <c r="I41" s="324">
        <f>I37+I39</f>
        <v>4511.823100000003</v>
      </c>
    </row>
    <row r="42" spans="3:9" s="288" customFormat="1" ht="15">
      <c r="C42" s="332"/>
      <c r="D42" s="332"/>
      <c r="E42" s="332"/>
      <c r="G42" s="332"/>
      <c r="H42" s="332"/>
      <c r="I42" s="332"/>
    </row>
    <row r="43" spans="3:9" s="288" customFormat="1" ht="15">
      <c r="C43" s="332"/>
      <c r="D43" s="332"/>
      <c r="E43" s="332"/>
      <c r="G43" s="332"/>
      <c r="H43" s="332"/>
      <c r="I43" s="332"/>
    </row>
    <row r="44" spans="2:9" s="288" customFormat="1" ht="15">
      <c r="B44" s="288" t="s">
        <v>41</v>
      </c>
      <c r="C44" s="335">
        <f>((C41*1000)/42934500)*100</f>
        <v>2.954265217948267</v>
      </c>
      <c r="D44" s="335"/>
      <c r="E44" s="335">
        <f>((E41*1000)/42934500)*100</f>
        <v>10.628714553564157</v>
      </c>
      <c r="G44" s="335">
        <f>((G41*1000)/42934500)*100</f>
        <v>3.2428000791904035</v>
      </c>
      <c r="H44" s="335"/>
      <c r="I44" s="335">
        <f>((I41*1000)/42934500)*100</f>
        <v>10.508619175721165</v>
      </c>
    </row>
    <row r="45" spans="2:9" s="288" customFormat="1" ht="15">
      <c r="B45" s="288" t="s">
        <v>42</v>
      </c>
      <c r="C45" s="335">
        <f>((C41*1000)/42934500)*100</f>
        <v>2.954265217948267</v>
      </c>
      <c r="D45" s="335"/>
      <c r="E45" s="335">
        <f>((E41*1000)/42934500)*100</f>
        <v>10.628714553564157</v>
      </c>
      <c r="G45" s="335">
        <f>((G41*1000)/42934500)*100</f>
        <v>3.2428000791904035</v>
      </c>
      <c r="H45" s="335"/>
      <c r="I45" s="335">
        <f>((I41*1000)/42934500)*100</f>
        <v>10.508619175721165</v>
      </c>
    </row>
    <row r="46" spans="3:5" s="288" customFormat="1" ht="15">
      <c r="C46" s="332"/>
      <c r="D46" s="332"/>
      <c r="E46" s="332"/>
    </row>
    <row r="47" spans="2:5" s="288" customFormat="1" ht="15">
      <c r="B47" s="288" t="s">
        <v>43</v>
      </c>
      <c r="C47" s="332"/>
      <c r="D47" s="332"/>
      <c r="E47" s="332"/>
    </row>
    <row r="48" spans="2:5" s="288" customFormat="1" ht="15">
      <c r="B48" s="288" t="s">
        <v>174</v>
      </c>
      <c r="C48" s="332"/>
      <c r="D48" s="332"/>
      <c r="E48" s="332"/>
    </row>
    <row r="49" spans="3:5" s="288" customFormat="1" ht="15">
      <c r="C49" s="332"/>
      <c r="D49" s="332"/>
      <c r="E49" s="332"/>
    </row>
    <row r="50" spans="3:5" s="288" customFormat="1" ht="15">
      <c r="C50" s="332"/>
      <c r="D50" s="332"/>
      <c r="E50" s="332"/>
    </row>
    <row r="51" s="288" customFormat="1" ht="15"/>
    <row r="52" s="288" customFormat="1" ht="15">
      <c r="B52" s="288" t="s">
        <v>38</v>
      </c>
    </row>
    <row r="53" s="288" customFormat="1" ht="15">
      <c r="B53" s="288" t="s">
        <v>175</v>
      </c>
    </row>
  </sheetData>
  <printOptions/>
  <pageMargins left="0.75" right="0.75" top="1" bottom="1" header="0.5" footer="0.5"/>
  <pageSetup horizontalDpi="600" verticalDpi="600" orientation="portrait" scale="81" r:id="rId1"/>
  <headerFooter alignWithMargins="0">
    <oddFooter>&amp;C&amp;"Times New Roman,Regular"1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J51"/>
  <sheetViews>
    <sheetView zoomScale="75" zoomScaleNormal="75" workbookViewId="0" topLeftCell="A1">
      <selection activeCell="C7" sqref="C7"/>
    </sheetView>
  </sheetViews>
  <sheetFormatPr defaultColWidth="9.140625" defaultRowHeight="12.75"/>
  <cols>
    <col min="1" max="1" width="9.140625" style="1" customWidth="1"/>
    <col min="2" max="2" width="36.140625" style="1" customWidth="1"/>
    <col min="3" max="4" width="9.140625" style="1" customWidth="1"/>
    <col min="5" max="5" width="15.57421875" style="1" customWidth="1"/>
    <col min="6" max="6" width="9.140625" style="1" customWidth="1"/>
    <col min="7" max="7" width="14.57421875" style="1" customWidth="1"/>
    <col min="8" max="8" width="9.140625" style="1" customWidth="1"/>
    <col min="9" max="9" width="21.421875" style="1" customWidth="1"/>
    <col min="10" max="10" width="14.140625" style="1" customWidth="1"/>
    <col min="11" max="16384" width="9.140625" style="1" customWidth="1"/>
  </cols>
  <sheetData>
    <row r="2" ht="15.75">
      <c r="A2" s="300" t="s">
        <v>82</v>
      </c>
    </row>
    <row r="3" ht="15.75">
      <c r="A3" s="300" t="s">
        <v>83</v>
      </c>
    </row>
    <row r="4" ht="15.75">
      <c r="A4" s="300" t="s">
        <v>0</v>
      </c>
    </row>
    <row r="5" ht="15.75">
      <c r="A5" s="300"/>
    </row>
    <row r="6" ht="14.25">
      <c r="A6" s="197" t="s">
        <v>14</v>
      </c>
    </row>
    <row r="7" spans="5:7" s="288" customFormat="1" ht="15">
      <c r="E7" s="325" t="s">
        <v>80</v>
      </c>
      <c r="G7" s="325" t="s">
        <v>81</v>
      </c>
    </row>
    <row r="8" spans="5:7" s="288" customFormat="1" ht="15">
      <c r="E8" s="326">
        <v>37621</v>
      </c>
      <c r="F8" s="322"/>
      <c r="G8" s="326">
        <v>37346</v>
      </c>
    </row>
    <row r="9" spans="5:7" s="288" customFormat="1" ht="15">
      <c r="E9" s="322" t="s">
        <v>5</v>
      </c>
      <c r="F9" s="322"/>
      <c r="G9" s="322" t="s">
        <v>5</v>
      </c>
    </row>
    <row r="10" s="288" customFormat="1" ht="15"/>
    <row r="11" spans="2:7" s="288" customFormat="1" ht="15">
      <c r="B11" s="197" t="s">
        <v>15</v>
      </c>
      <c r="E11" s="196">
        <v>24719</v>
      </c>
      <c r="F11" s="196"/>
      <c r="G11" s="196">
        <f>25824.231</f>
        <v>25824.231</v>
      </c>
    </row>
    <row r="12" spans="2:7" s="288" customFormat="1" ht="15">
      <c r="B12" s="197" t="s">
        <v>16</v>
      </c>
      <c r="E12" s="196">
        <v>0</v>
      </c>
      <c r="F12" s="196"/>
      <c r="G12" s="196">
        <v>0</v>
      </c>
    </row>
    <row r="13" spans="2:7" s="288" customFormat="1" ht="15">
      <c r="B13" s="197"/>
      <c r="E13" s="196"/>
      <c r="F13" s="196"/>
      <c r="G13" s="196"/>
    </row>
    <row r="14" spans="2:7" s="288" customFormat="1" ht="15">
      <c r="B14" s="197" t="s">
        <v>17</v>
      </c>
      <c r="E14" s="323"/>
      <c r="F14" s="196"/>
      <c r="G14" s="196"/>
    </row>
    <row r="15" spans="2:10" s="288" customFormat="1" ht="15">
      <c r="B15" s="288" t="s">
        <v>18</v>
      </c>
      <c r="E15" s="242">
        <v>0</v>
      </c>
      <c r="F15" s="196"/>
      <c r="G15" s="327">
        <v>0</v>
      </c>
      <c r="I15" s="195"/>
      <c r="J15" s="195"/>
    </row>
    <row r="16" spans="2:10" s="288" customFormat="1" ht="15">
      <c r="B16" s="288" t="s">
        <v>19</v>
      </c>
      <c r="E16" s="242">
        <f>17688+2948+340</f>
        <v>20976</v>
      </c>
      <c r="F16" s="196"/>
      <c r="G16" s="242">
        <f>15469.912+2487.025+268.73</f>
        <v>18225.667</v>
      </c>
      <c r="I16" s="195"/>
      <c r="J16" s="195"/>
    </row>
    <row r="17" spans="2:10" s="288" customFormat="1" ht="15">
      <c r="B17" s="288" t="s">
        <v>176</v>
      </c>
      <c r="E17" s="242">
        <v>0</v>
      </c>
      <c r="F17" s="196"/>
      <c r="G17" s="242">
        <v>0</v>
      </c>
      <c r="I17" s="195"/>
      <c r="J17" s="195"/>
    </row>
    <row r="18" spans="2:10" s="288" customFormat="1" ht="15">
      <c r="B18" s="288" t="s">
        <v>20</v>
      </c>
      <c r="E18" s="242">
        <f>357+13832</f>
        <v>14189</v>
      </c>
      <c r="F18" s="196"/>
      <c r="G18" s="242">
        <f>3146.683+11192.031</f>
        <v>14338.714</v>
      </c>
      <c r="I18" s="195"/>
      <c r="J18" s="195"/>
    </row>
    <row r="19" spans="5:10" s="288" customFormat="1" ht="15">
      <c r="E19" s="242"/>
      <c r="F19" s="196"/>
      <c r="G19" s="328"/>
      <c r="I19" s="195"/>
      <c r="J19" s="195"/>
    </row>
    <row r="20" spans="5:10" s="288" customFormat="1" ht="15">
      <c r="E20" s="329">
        <f>SUM(E15:E19)</f>
        <v>35165</v>
      </c>
      <c r="F20" s="196"/>
      <c r="G20" s="329">
        <f>SUM(G15:G19)+1</f>
        <v>32565.381</v>
      </c>
      <c r="I20" s="195"/>
      <c r="J20" s="195"/>
    </row>
    <row r="21" spans="5:10" s="288" customFormat="1" ht="15">
      <c r="E21" s="196"/>
      <c r="F21" s="196"/>
      <c r="G21" s="196"/>
      <c r="I21" s="195"/>
      <c r="J21" s="195"/>
    </row>
    <row r="22" spans="2:10" s="288" customFormat="1" ht="15">
      <c r="B22" s="197" t="s">
        <v>21</v>
      </c>
      <c r="E22" s="196"/>
      <c r="F22" s="196"/>
      <c r="G22" s="196"/>
      <c r="I22" s="195"/>
      <c r="J22" s="195"/>
    </row>
    <row r="23" spans="2:10" s="288" customFormat="1" ht="15">
      <c r="B23" s="288" t="s">
        <v>22</v>
      </c>
      <c r="E23" s="327">
        <f>2264+4158+84+7</f>
        <v>6513</v>
      </c>
      <c r="F23" s="196"/>
      <c r="G23" s="327">
        <f>3020+2948.5</f>
        <v>5968.5</v>
      </c>
      <c r="I23" s="195"/>
      <c r="J23" s="195"/>
    </row>
    <row r="24" spans="2:10" s="288" customFormat="1" ht="15">
      <c r="B24" s="288" t="s">
        <v>23</v>
      </c>
      <c r="E24" s="242">
        <v>0</v>
      </c>
      <c r="F24" s="196"/>
      <c r="G24" s="242">
        <v>0</v>
      </c>
      <c r="I24" s="195"/>
      <c r="J24" s="195"/>
    </row>
    <row r="25" spans="2:10" s="288" customFormat="1" ht="15">
      <c r="B25" s="288" t="s">
        <v>11</v>
      </c>
      <c r="E25" s="242">
        <f>1273</f>
        <v>1273</v>
      </c>
      <c r="F25" s="196"/>
      <c r="G25" s="242">
        <v>1696.357</v>
      </c>
      <c r="I25" s="195"/>
      <c r="J25" s="195"/>
    </row>
    <row r="26" spans="2:10" s="288" customFormat="1" ht="15">
      <c r="B26" s="288" t="s">
        <v>225</v>
      </c>
      <c r="E26" s="242">
        <v>1546</v>
      </c>
      <c r="F26" s="196"/>
      <c r="G26" s="242">
        <v>3091.284</v>
      </c>
      <c r="I26" s="195"/>
      <c r="J26" s="195"/>
    </row>
    <row r="27" spans="5:10" s="288" customFormat="1" ht="15">
      <c r="E27" s="329">
        <f>SUM(E23:E26)</f>
        <v>9332</v>
      </c>
      <c r="F27" s="196"/>
      <c r="G27" s="329">
        <f>SUM(G23:G26)</f>
        <v>10756.141</v>
      </c>
      <c r="I27" s="195"/>
      <c r="J27" s="195"/>
    </row>
    <row r="28" spans="5:10" s="288" customFormat="1" ht="15">
      <c r="E28" s="196"/>
      <c r="F28" s="196"/>
      <c r="G28" s="196"/>
      <c r="I28" s="195"/>
      <c r="J28" s="195"/>
    </row>
    <row r="29" spans="2:10" s="288" customFormat="1" ht="15">
      <c r="B29" s="197" t="s">
        <v>240</v>
      </c>
      <c r="E29" s="196">
        <f>$E$20-$E$27</f>
        <v>25833</v>
      </c>
      <c r="F29" s="196"/>
      <c r="G29" s="196">
        <f>$G$20-$G$27</f>
        <v>21809.24</v>
      </c>
      <c r="I29" s="195"/>
      <c r="J29" s="195"/>
    </row>
    <row r="30" spans="5:10" s="288" customFormat="1" ht="15">
      <c r="E30" s="196"/>
      <c r="F30" s="196"/>
      <c r="G30" s="196"/>
      <c r="I30" s="195"/>
      <c r="J30" s="195"/>
    </row>
    <row r="31" spans="5:10" s="288" customFormat="1" ht="15.75" thickBot="1">
      <c r="E31" s="330">
        <f>SUM(E11:E12)+E29</f>
        <v>50552</v>
      </c>
      <c r="F31" s="196"/>
      <c r="G31" s="330">
        <f>SUM(G11:G12)+$G$29</f>
        <v>47633.471000000005</v>
      </c>
      <c r="I31" s="195"/>
      <c r="J31" s="195"/>
    </row>
    <row r="32" spans="5:10" s="288" customFormat="1" ht="15.75" thickTop="1">
      <c r="E32" s="196"/>
      <c r="F32" s="196"/>
      <c r="G32" s="196"/>
      <c r="I32" s="195"/>
      <c r="J32" s="195"/>
    </row>
    <row r="33" spans="2:10" s="288" customFormat="1" ht="15">
      <c r="B33" s="288" t="s">
        <v>24</v>
      </c>
      <c r="E33" s="196">
        <v>42935</v>
      </c>
      <c r="F33" s="196"/>
      <c r="G33" s="196">
        <v>42934.6</v>
      </c>
      <c r="I33" s="195"/>
      <c r="J33" s="195"/>
    </row>
    <row r="34" spans="2:10" s="288" customFormat="1" ht="15">
      <c r="B34" s="288" t="s">
        <v>25</v>
      </c>
      <c r="E34" s="196">
        <f>4417+31+3017</f>
        <v>7465</v>
      </c>
      <c r="F34" s="196"/>
      <c r="G34" s="196">
        <f>3975+126+440.5</f>
        <v>4541.5</v>
      </c>
      <c r="I34" s="195"/>
      <c r="J34" s="195"/>
    </row>
    <row r="35" spans="2:10" s="288" customFormat="1" ht="15">
      <c r="B35" s="197" t="s">
        <v>288</v>
      </c>
      <c r="E35" s="331">
        <f>+E33+E34</f>
        <v>50400</v>
      </c>
      <c r="F35" s="196"/>
      <c r="G35" s="331">
        <f>+G33+G34+1</f>
        <v>47477.1</v>
      </c>
      <c r="I35" s="195"/>
      <c r="J35" s="195"/>
    </row>
    <row r="36" spans="5:10" s="288" customFormat="1" ht="15">
      <c r="E36" s="196"/>
      <c r="F36" s="196"/>
      <c r="G36" s="196"/>
      <c r="I36" s="195"/>
      <c r="J36" s="195"/>
    </row>
    <row r="37" spans="2:10" s="288" customFormat="1" ht="15">
      <c r="B37" s="197" t="s">
        <v>26</v>
      </c>
      <c r="E37" s="196"/>
      <c r="F37" s="196"/>
      <c r="G37" s="196"/>
      <c r="I37" s="195"/>
      <c r="J37" s="195"/>
    </row>
    <row r="38" spans="2:10" s="288" customFormat="1" ht="15">
      <c r="B38" s="288" t="s">
        <v>27</v>
      </c>
      <c r="E38" s="196">
        <f>12.89-12.89</f>
        <v>0</v>
      </c>
      <c r="F38" s="196"/>
      <c r="G38" s="196">
        <v>3.913</v>
      </c>
      <c r="I38" s="195"/>
      <c r="J38" s="195"/>
    </row>
    <row r="39" spans="2:10" s="288" customFormat="1" ht="15">
      <c r="B39" s="288" t="s">
        <v>28</v>
      </c>
      <c r="E39" s="196">
        <v>0</v>
      </c>
      <c r="F39" s="196"/>
      <c r="G39" s="196">
        <v>0</v>
      </c>
      <c r="I39" s="195"/>
      <c r="J39" s="195"/>
    </row>
    <row r="40" spans="2:10" s="288" customFormat="1" ht="15">
      <c r="B40" s="288" t="s">
        <v>217</v>
      </c>
      <c r="E40" s="196">
        <v>152</v>
      </c>
      <c r="F40" s="196"/>
      <c r="G40" s="196">
        <v>152</v>
      </c>
      <c r="I40" s="195"/>
      <c r="J40" s="195"/>
    </row>
    <row r="41" spans="5:10" s="288" customFormat="1" ht="15.75" thickBot="1">
      <c r="E41" s="330">
        <f>SUM(E35:E40)</f>
        <v>50552</v>
      </c>
      <c r="F41" s="196"/>
      <c r="G41" s="330">
        <f>SUM(G35:G40)</f>
        <v>47633.013</v>
      </c>
      <c r="I41" s="195"/>
      <c r="J41" s="195"/>
    </row>
    <row r="42" spans="5:10" s="288" customFormat="1" ht="15.75" thickTop="1">
      <c r="E42" s="332"/>
      <c r="F42" s="332"/>
      <c r="G42" s="332"/>
      <c r="I42" s="195"/>
      <c r="J42" s="195"/>
    </row>
    <row r="43" spans="2:10" s="288" customFormat="1" ht="15">
      <c r="B43" s="197" t="s">
        <v>241</v>
      </c>
      <c r="E43" s="333">
        <f>E35/E33*100</f>
        <v>117.38674740887387</v>
      </c>
      <c r="G43" s="333">
        <f>G35/G33*100</f>
        <v>110.5800449986724</v>
      </c>
      <c r="I43" s="195"/>
      <c r="J43" s="195"/>
    </row>
    <row r="44" spans="9:10" s="288" customFormat="1" ht="15">
      <c r="I44" s="195"/>
      <c r="J44" s="195"/>
    </row>
    <row r="45" spans="2:10" s="288" customFormat="1" ht="15">
      <c r="B45" s="288" t="s">
        <v>29</v>
      </c>
      <c r="I45" s="195"/>
      <c r="J45" s="195"/>
    </row>
    <row r="46" spans="2:10" s="288" customFormat="1" ht="15">
      <c r="B46" s="288" t="s">
        <v>177</v>
      </c>
      <c r="I46" s="195"/>
      <c r="J46" s="195"/>
    </row>
    <row r="47" spans="5:10" s="288" customFormat="1" ht="15">
      <c r="E47" s="290">
        <f>E41-E31</f>
        <v>0</v>
      </c>
      <c r="I47" s="195"/>
      <c r="J47" s="195"/>
    </row>
    <row r="48" spans="9:10" ht="12.75">
      <c r="I48" s="299"/>
      <c r="J48" s="299"/>
    </row>
    <row r="49" spans="9:10" ht="12.75">
      <c r="I49" s="299"/>
      <c r="J49" s="299"/>
    </row>
    <row r="50" spans="9:10" ht="12.75">
      <c r="I50" s="299"/>
      <c r="J50" s="299"/>
    </row>
    <row r="51" spans="9:10" ht="12.75">
      <c r="I51" s="299"/>
      <c r="J51" s="299"/>
    </row>
  </sheetData>
  <printOptions/>
  <pageMargins left="0.5" right="0.61" top="1" bottom="1" header="0.5" footer="0.5"/>
  <pageSetup horizontalDpi="600" verticalDpi="600" orientation="portrait" scale="93" r:id="rId1"/>
  <headerFooter alignWithMargins="0">
    <oddFooter>&amp;C&amp;"Times New Roman,Regular"2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4"/>
  <sheetViews>
    <sheetView workbookViewId="0" topLeftCell="A1">
      <selection activeCell="C8" sqref="C8"/>
    </sheetView>
  </sheetViews>
  <sheetFormatPr defaultColWidth="9.140625" defaultRowHeight="12.75"/>
  <cols>
    <col min="1" max="1" width="1.7109375" style="78" customWidth="1"/>
    <col min="2" max="2" width="39.28125" style="78" customWidth="1"/>
    <col min="3" max="3" width="14.7109375" style="132" customWidth="1"/>
    <col min="4" max="9" width="12.7109375" style="132" customWidth="1"/>
    <col min="10" max="10" width="13.7109375" style="132" customWidth="1"/>
    <col min="11" max="12" width="12.7109375" style="78" customWidth="1"/>
    <col min="13" max="16384" width="9.140625" style="78" customWidth="1"/>
  </cols>
  <sheetData>
    <row r="1" spans="1:12" ht="12.75">
      <c r="A1" s="74" t="s">
        <v>82</v>
      </c>
      <c r="B1" s="75"/>
      <c r="C1" s="76"/>
      <c r="D1" s="76"/>
      <c r="E1" s="76"/>
      <c r="F1" s="76"/>
      <c r="G1" s="76"/>
      <c r="H1" s="76"/>
      <c r="I1" s="76"/>
      <c r="J1" s="76"/>
      <c r="K1" s="77"/>
      <c r="L1" s="77"/>
    </row>
    <row r="2" spans="1:12" ht="12.75">
      <c r="A2" s="74" t="s">
        <v>224</v>
      </c>
      <c r="B2" s="74"/>
      <c r="C2" s="76"/>
      <c r="D2" s="76"/>
      <c r="E2" s="76"/>
      <c r="F2" s="76"/>
      <c r="G2" s="76"/>
      <c r="H2" s="76"/>
      <c r="I2" s="76"/>
      <c r="J2" s="76"/>
      <c r="K2" s="77"/>
      <c r="L2" s="77"/>
    </row>
    <row r="3" spans="1:10" ht="12.75">
      <c r="A3" s="79"/>
      <c r="B3" s="79"/>
      <c r="C3" s="51"/>
      <c r="D3" s="51"/>
      <c r="E3" s="2"/>
      <c r="F3" s="2"/>
      <c r="G3" s="2"/>
      <c r="H3" s="2"/>
      <c r="I3" s="2"/>
      <c r="J3" s="2"/>
    </row>
    <row r="4" spans="1:12" ht="12.75">
      <c r="A4" s="80"/>
      <c r="B4" s="81"/>
      <c r="C4" s="82" t="s">
        <v>178</v>
      </c>
      <c r="D4" s="83" t="s">
        <v>179</v>
      </c>
      <c r="E4" s="84" t="s">
        <v>180</v>
      </c>
      <c r="F4" s="85" t="s">
        <v>181</v>
      </c>
      <c r="G4" s="86" t="s">
        <v>182</v>
      </c>
      <c r="H4" s="86" t="s">
        <v>183</v>
      </c>
      <c r="I4" s="86" t="s">
        <v>184</v>
      </c>
      <c r="J4" s="87"/>
      <c r="K4" s="88"/>
      <c r="L4" s="89" t="s">
        <v>180</v>
      </c>
    </row>
    <row r="5" spans="1:12" ht="12.75">
      <c r="A5" s="90" t="s">
        <v>87</v>
      </c>
      <c r="B5" s="91"/>
      <c r="C5" s="92" t="s">
        <v>185</v>
      </c>
      <c r="D5" s="93"/>
      <c r="E5" s="93"/>
      <c r="F5" s="94"/>
      <c r="G5" s="95"/>
      <c r="H5" s="95"/>
      <c r="I5" s="95"/>
      <c r="J5" s="96" t="s">
        <v>186</v>
      </c>
      <c r="K5" s="97" t="s">
        <v>187</v>
      </c>
      <c r="L5" s="98" t="s">
        <v>2</v>
      </c>
    </row>
    <row r="6" spans="1:12" ht="12.75">
      <c r="A6" s="99"/>
      <c r="B6" s="100"/>
      <c r="C6" s="101">
        <f>'[1]PL-CM'!E7</f>
        <v>37529</v>
      </c>
      <c r="D6" s="102"/>
      <c r="E6" s="102"/>
      <c r="F6" s="103"/>
      <c r="G6" s="104"/>
      <c r="H6" s="104"/>
      <c r="I6" s="104"/>
      <c r="J6" s="105"/>
      <c r="K6" s="106"/>
      <c r="L6" s="107">
        <f>C6</f>
        <v>37529</v>
      </c>
    </row>
    <row r="7" spans="1:12" ht="12.75">
      <c r="A7" s="108"/>
      <c r="B7" s="109"/>
      <c r="C7" s="110"/>
      <c r="D7" s="111"/>
      <c r="E7" s="112">
        <v>2.061</v>
      </c>
      <c r="F7" s="50"/>
      <c r="G7" s="113"/>
      <c r="H7" s="113"/>
      <c r="I7" s="113"/>
      <c r="J7" s="66"/>
      <c r="K7" s="114"/>
      <c r="L7" s="115" t="s">
        <v>188</v>
      </c>
    </row>
    <row r="8" spans="1:12" ht="12.75">
      <c r="A8" s="116" t="s">
        <v>189</v>
      </c>
      <c r="B8" s="117"/>
      <c r="C8" s="118"/>
      <c r="D8" s="118"/>
      <c r="E8" s="118"/>
      <c r="F8" s="66"/>
      <c r="G8" s="119"/>
      <c r="H8" s="119"/>
      <c r="I8" s="119"/>
      <c r="J8" s="66"/>
      <c r="K8" s="114"/>
      <c r="L8" s="114"/>
    </row>
    <row r="9" spans="1:12" ht="12.75">
      <c r="A9" s="120"/>
      <c r="B9" s="121" t="s">
        <v>190</v>
      </c>
      <c r="C9" s="64">
        <v>14700763</v>
      </c>
      <c r="D9" s="122">
        <v>550323</v>
      </c>
      <c r="E9" s="123">
        <v>218825</v>
      </c>
      <c r="F9" s="122">
        <v>0</v>
      </c>
      <c r="G9" s="124">
        <v>0</v>
      </c>
      <c r="H9" s="124">
        <v>0</v>
      </c>
      <c r="I9" s="124">
        <f>SUM(C9:H9)</f>
        <v>15469911</v>
      </c>
      <c r="J9" s="122"/>
      <c r="K9" s="125">
        <f aca="true" t="shared" si="0" ref="K9:K16">SUM(I9:J9)</f>
        <v>15469911</v>
      </c>
      <c r="L9" s="126">
        <v>106174</v>
      </c>
    </row>
    <row r="10" spans="1:12" ht="12.75">
      <c r="A10" s="120"/>
      <c r="B10" s="121" t="s">
        <v>191</v>
      </c>
      <c r="C10" s="64">
        <v>2360493</v>
      </c>
      <c r="D10" s="122">
        <v>66813</v>
      </c>
      <c r="E10" s="123">
        <v>59719</v>
      </c>
      <c r="F10" s="122">
        <v>0</v>
      </c>
      <c r="G10" s="124">
        <v>0</v>
      </c>
      <c r="H10" s="124">
        <v>0</v>
      </c>
      <c r="I10" s="124">
        <f aca="true" t="shared" si="1" ref="I10:I16">SUM(C10:H10)</f>
        <v>2487025</v>
      </c>
      <c r="J10" s="122"/>
      <c r="K10" s="125">
        <f t="shared" si="0"/>
        <v>2487025</v>
      </c>
      <c r="L10" s="126">
        <v>28976</v>
      </c>
    </row>
    <row r="11" spans="1:12" ht="12.75">
      <c r="A11" s="120"/>
      <c r="B11" s="121" t="s">
        <v>192</v>
      </c>
      <c r="C11" s="64">
        <f aca="true" t="shared" si="2" ref="C11:H11">SUM(C12:C13)</f>
        <v>2447440</v>
      </c>
      <c r="D11" s="64">
        <v>158005</v>
      </c>
      <c r="E11" s="64">
        <f>SUM(E12:E13)</f>
        <v>0</v>
      </c>
      <c r="F11" s="64">
        <v>0</v>
      </c>
      <c r="G11" s="64">
        <f t="shared" si="2"/>
        <v>0</v>
      </c>
      <c r="H11" s="64">
        <f t="shared" si="2"/>
        <v>0</v>
      </c>
      <c r="I11" s="124">
        <f t="shared" si="1"/>
        <v>2605445</v>
      </c>
      <c r="J11" s="122"/>
      <c r="K11" s="125">
        <f t="shared" si="0"/>
        <v>2605445</v>
      </c>
      <c r="L11" s="64">
        <v>0</v>
      </c>
    </row>
    <row r="12" spans="1:12" ht="12.75" hidden="1">
      <c r="A12" s="120"/>
      <c r="B12" s="121" t="s">
        <v>193</v>
      </c>
      <c r="C12" s="122">
        <f>+'[2]BSD'!$G$41</f>
        <v>110725</v>
      </c>
      <c r="D12" s="127">
        <v>158005</v>
      </c>
      <c r="E12" s="123">
        <v>0</v>
      </c>
      <c r="F12" s="122">
        <v>0</v>
      </c>
      <c r="G12" s="124">
        <v>0</v>
      </c>
      <c r="H12" s="124">
        <v>0</v>
      </c>
      <c r="I12" s="124">
        <f t="shared" si="1"/>
        <v>268730</v>
      </c>
      <c r="J12" s="122"/>
      <c r="K12" s="125">
        <f t="shared" si="0"/>
        <v>268730</v>
      </c>
      <c r="L12" s="126">
        <v>0</v>
      </c>
    </row>
    <row r="13" spans="1:12" ht="12.75" hidden="1">
      <c r="A13" s="120"/>
      <c r="B13" s="121" t="s">
        <v>194</v>
      </c>
      <c r="C13" s="122">
        <v>2336715</v>
      </c>
      <c r="D13" s="127"/>
      <c r="E13" s="123">
        <v>0</v>
      </c>
      <c r="F13" s="122">
        <v>137866</v>
      </c>
      <c r="G13" s="124">
        <v>0</v>
      </c>
      <c r="H13" s="124">
        <v>0</v>
      </c>
      <c r="I13" s="124">
        <f t="shared" si="1"/>
        <v>2474581</v>
      </c>
      <c r="J13" s="122">
        <f>-I13</f>
        <v>-2474581</v>
      </c>
      <c r="K13" s="125">
        <f t="shared" si="0"/>
        <v>0</v>
      </c>
      <c r="L13" s="126">
        <v>0</v>
      </c>
    </row>
    <row r="14" spans="1:12" s="132" customFormat="1" ht="12.75" hidden="1">
      <c r="A14" s="128"/>
      <c r="B14" s="129" t="s">
        <v>195</v>
      </c>
      <c r="C14" s="64"/>
      <c r="D14" s="122">
        <v>0</v>
      </c>
      <c r="E14" s="123">
        <v>0</v>
      </c>
      <c r="F14" s="64">
        <v>0</v>
      </c>
      <c r="G14" s="130">
        <v>0</v>
      </c>
      <c r="H14" s="130">
        <v>0</v>
      </c>
      <c r="I14" s="124">
        <f t="shared" si="1"/>
        <v>0</v>
      </c>
      <c r="J14" s="122">
        <f>-I14</f>
        <v>0</v>
      </c>
      <c r="K14" s="122">
        <f t="shared" si="0"/>
        <v>0</v>
      </c>
      <c r="L14" s="131">
        <v>0</v>
      </c>
    </row>
    <row r="15" spans="1:12" ht="12.75">
      <c r="A15" s="120"/>
      <c r="B15" s="121" t="s">
        <v>196</v>
      </c>
      <c r="C15" s="64">
        <v>2974520</v>
      </c>
      <c r="D15" s="122">
        <v>38415</v>
      </c>
      <c r="E15" s="123">
        <v>129980</v>
      </c>
      <c r="F15" s="64">
        <v>3768</v>
      </c>
      <c r="G15" s="130">
        <v>0</v>
      </c>
      <c r="H15" s="130">
        <v>0</v>
      </c>
      <c r="I15" s="124">
        <f t="shared" si="1"/>
        <v>3146683</v>
      </c>
      <c r="J15" s="122"/>
      <c r="K15" s="125">
        <f t="shared" si="0"/>
        <v>3146683</v>
      </c>
      <c r="L15" s="126">
        <v>63066</v>
      </c>
    </row>
    <row r="16" spans="1:12" ht="12.75">
      <c r="A16" s="120"/>
      <c r="B16" s="121" t="s">
        <v>197</v>
      </c>
      <c r="C16" s="64">
        <v>11020941</v>
      </c>
      <c r="D16" s="122">
        <v>171090</v>
      </c>
      <c r="E16" s="123">
        <v>0</v>
      </c>
      <c r="F16" s="122">
        <v>0</v>
      </c>
      <c r="G16" s="124">
        <v>0</v>
      </c>
      <c r="H16" s="124">
        <v>0</v>
      </c>
      <c r="I16" s="124">
        <f t="shared" si="1"/>
        <v>11192031</v>
      </c>
      <c r="J16" s="122"/>
      <c r="K16" s="125">
        <f t="shared" si="0"/>
        <v>11192031</v>
      </c>
      <c r="L16" s="126">
        <v>0</v>
      </c>
    </row>
    <row r="17" spans="1:12" ht="4.5" customHeight="1">
      <c r="A17" s="133"/>
      <c r="B17" s="134"/>
      <c r="C17" s="135" t="s">
        <v>85</v>
      </c>
      <c r="D17" s="135" t="s">
        <v>85</v>
      </c>
      <c r="E17" s="136" t="s">
        <v>85</v>
      </c>
      <c r="F17" s="137" t="s">
        <v>198</v>
      </c>
      <c r="G17" s="138"/>
      <c r="H17" s="138"/>
      <c r="I17" s="138" t="s">
        <v>198</v>
      </c>
      <c r="J17" s="137" t="s">
        <v>85</v>
      </c>
      <c r="K17" s="139" t="s">
        <v>85</v>
      </c>
      <c r="L17" s="140" t="s">
        <v>85</v>
      </c>
    </row>
    <row r="18" spans="1:12" ht="12.75">
      <c r="A18" s="68" t="s">
        <v>199</v>
      </c>
      <c r="B18" s="141"/>
      <c r="C18" s="142">
        <f>SUM(C9:C16)-C11</f>
        <v>33504157</v>
      </c>
      <c r="D18" s="142">
        <f>SUM(D9:D16)-D11</f>
        <v>984646</v>
      </c>
      <c r="E18" s="142">
        <f aca="true" t="shared" si="3" ref="E18:K18">SUM(E9:E16)-E11</f>
        <v>408524</v>
      </c>
      <c r="F18" s="142">
        <f>SUM(F9:F16)-F11</f>
        <v>141634</v>
      </c>
      <c r="G18" s="142">
        <f t="shared" si="3"/>
        <v>0</v>
      </c>
      <c r="H18" s="142">
        <f t="shared" si="3"/>
        <v>0</v>
      </c>
      <c r="I18" s="142">
        <f t="shared" si="3"/>
        <v>35038961</v>
      </c>
      <c r="J18" s="142">
        <f t="shared" si="3"/>
        <v>-2474581</v>
      </c>
      <c r="K18" s="142">
        <f t="shared" si="3"/>
        <v>32564380</v>
      </c>
      <c r="L18" s="142">
        <f>SUM(L9:L16)-L11</f>
        <v>198216</v>
      </c>
    </row>
    <row r="19" spans="1:12" ht="4.5" customHeight="1">
      <c r="A19" s="133"/>
      <c r="B19" s="134"/>
      <c r="C19" s="143" t="s">
        <v>85</v>
      </c>
      <c r="D19" s="144" t="s">
        <v>85</v>
      </c>
      <c r="E19" s="145" t="s">
        <v>85</v>
      </c>
      <c r="F19" s="146" t="s">
        <v>85</v>
      </c>
      <c r="G19" s="147"/>
      <c r="H19" s="147"/>
      <c r="I19" s="148" t="s">
        <v>85</v>
      </c>
      <c r="J19" s="146" t="s">
        <v>85</v>
      </c>
      <c r="K19" s="149" t="s">
        <v>85</v>
      </c>
      <c r="L19" s="150" t="s">
        <v>85</v>
      </c>
    </row>
    <row r="20" spans="1:12" ht="12.75">
      <c r="A20" s="116" t="s">
        <v>200</v>
      </c>
      <c r="B20" s="117"/>
      <c r="C20" s="151"/>
      <c r="D20" s="151"/>
      <c r="E20" s="152"/>
      <c r="F20" s="64"/>
      <c r="G20" s="130"/>
      <c r="H20" s="130"/>
      <c r="I20" s="130"/>
      <c r="J20" s="64"/>
      <c r="K20" s="153"/>
      <c r="L20" s="154"/>
    </row>
    <row r="21" spans="1:12" ht="12.75">
      <c r="A21" s="120"/>
      <c r="B21" s="121" t="s">
        <v>201</v>
      </c>
      <c r="C21" s="64">
        <v>2681045</v>
      </c>
      <c r="D21" s="131">
        <v>153211</v>
      </c>
      <c r="E21" s="123">
        <v>185836</v>
      </c>
      <c r="F21" s="122">
        <v>0</v>
      </c>
      <c r="G21" s="124">
        <v>0</v>
      </c>
      <c r="H21" s="124">
        <v>0</v>
      </c>
      <c r="I21" s="124">
        <f aca="true" t="shared" si="4" ref="I21:I29">SUM(C21:H21)</f>
        <v>3020092</v>
      </c>
      <c r="J21" s="122"/>
      <c r="K21" s="125">
        <f>SUM(I21:J21)</f>
        <v>3020092</v>
      </c>
      <c r="L21" s="126">
        <v>90168</v>
      </c>
    </row>
    <row r="22" spans="1:12" ht="12.75">
      <c r="A22" s="120"/>
      <c r="B22" s="121" t="s">
        <v>202</v>
      </c>
      <c r="C22" s="64">
        <v>2607704</v>
      </c>
      <c r="D22" s="131">
        <v>68073</v>
      </c>
      <c r="E22" s="123">
        <v>242351</v>
      </c>
      <c r="F22" s="122">
        <v>3060</v>
      </c>
      <c r="G22" s="124">
        <v>0</v>
      </c>
      <c r="H22" s="124">
        <v>0</v>
      </c>
      <c r="I22" s="124">
        <f t="shared" si="4"/>
        <v>2921188</v>
      </c>
      <c r="J22" s="122"/>
      <c r="K22" s="125">
        <f>SUM(I22:J22)</f>
        <v>2921188</v>
      </c>
      <c r="L22" s="126">
        <v>117590</v>
      </c>
    </row>
    <row r="23" spans="1:12" ht="12.75">
      <c r="A23" s="120"/>
      <c r="B23" s="121" t="s">
        <v>203</v>
      </c>
      <c r="C23" s="64">
        <v>3913</v>
      </c>
      <c r="D23" s="131">
        <f>'[3]BS'!$C$22</f>
        <v>0</v>
      </c>
      <c r="E23" s="123">
        <v>0</v>
      </c>
      <c r="F23" s="122">
        <v>0</v>
      </c>
      <c r="G23" s="124">
        <v>0</v>
      </c>
      <c r="H23" s="124">
        <v>0</v>
      </c>
      <c r="I23" s="124">
        <f t="shared" si="4"/>
        <v>3913</v>
      </c>
      <c r="J23" s="122"/>
      <c r="K23" s="125">
        <f>SUM(I23:J23)</f>
        <v>3913</v>
      </c>
      <c r="L23" s="126">
        <v>0</v>
      </c>
    </row>
    <row r="24" spans="1:12" ht="12.75">
      <c r="A24" s="120"/>
      <c r="B24" s="121" t="s">
        <v>195</v>
      </c>
      <c r="C24" s="64">
        <f>SUM(C25:C27)</f>
        <v>164361</v>
      </c>
      <c r="D24" s="64">
        <v>639823</v>
      </c>
      <c r="E24" s="64">
        <f>SUM(E25:E27)</f>
        <v>1696727</v>
      </c>
      <c r="F24" s="64">
        <f>SUM(F25:F27)</f>
        <v>0</v>
      </c>
      <c r="G24" s="64">
        <f>SUM(G25:G27)</f>
        <v>0</v>
      </c>
      <c r="H24" s="64">
        <f>SUM(H25:H27)</f>
        <v>0</v>
      </c>
      <c r="I24" s="124">
        <f t="shared" si="4"/>
        <v>2500911</v>
      </c>
      <c r="J24" s="64">
        <f>SUM(J25:J27)</f>
        <v>-2474581</v>
      </c>
      <c r="K24" s="125">
        <f>SUM(I24:J24)</f>
        <v>26330</v>
      </c>
      <c r="L24" s="64">
        <f>SUM(L25:L26)</f>
        <v>823254</v>
      </c>
    </row>
    <row r="25" spans="1:12" ht="12.75" hidden="1">
      <c r="A25" s="120"/>
      <c r="B25" s="121" t="s">
        <v>195</v>
      </c>
      <c r="C25" s="155">
        <v>137866</v>
      </c>
      <c r="D25" s="156">
        <v>639823</v>
      </c>
      <c r="E25" s="157">
        <f>1696727+165</f>
        <v>1696892</v>
      </c>
      <c r="F25" s="158">
        <v>0</v>
      </c>
      <c r="G25" s="159">
        <v>0</v>
      </c>
      <c r="H25" s="159">
        <v>0</v>
      </c>
      <c r="I25" s="124">
        <f>SUM(C25:H25)</f>
        <v>2474581</v>
      </c>
      <c r="J25" s="122">
        <f>-I25</f>
        <v>-2474581</v>
      </c>
      <c r="K25" s="125">
        <f>I25+J25</f>
        <v>0</v>
      </c>
      <c r="L25" s="126">
        <v>823254</v>
      </c>
    </row>
    <row r="26" spans="1:12" ht="12.75" hidden="1">
      <c r="A26" s="120"/>
      <c r="B26" s="121" t="s">
        <v>204</v>
      </c>
      <c r="C26" s="64">
        <v>0</v>
      </c>
      <c r="D26" s="131">
        <v>0</v>
      </c>
      <c r="E26" s="123">
        <v>-165</v>
      </c>
      <c r="F26" s="122">
        <v>0</v>
      </c>
      <c r="G26" s="124">
        <v>0</v>
      </c>
      <c r="H26" s="124">
        <v>0</v>
      </c>
      <c r="I26" s="124">
        <f t="shared" si="4"/>
        <v>-165</v>
      </c>
      <c r="J26" s="122"/>
      <c r="K26" s="125">
        <f>I26+J26</f>
        <v>-165</v>
      </c>
      <c r="L26" s="126">
        <v>0</v>
      </c>
    </row>
    <row r="27" spans="1:12" ht="12.75" hidden="1">
      <c r="A27" s="120"/>
      <c r="B27" s="121" t="s">
        <v>205</v>
      </c>
      <c r="C27" s="64">
        <v>26495</v>
      </c>
      <c r="D27" s="131">
        <v>0</v>
      </c>
      <c r="E27" s="123">
        <v>0</v>
      </c>
      <c r="F27" s="122">
        <v>0</v>
      </c>
      <c r="G27" s="124">
        <v>0</v>
      </c>
      <c r="H27" s="124">
        <v>0</v>
      </c>
      <c r="I27" s="124">
        <f t="shared" si="4"/>
        <v>26495</v>
      </c>
      <c r="J27" s="122"/>
      <c r="K27" s="125">
        <f>SUM(I27:J27)</f>
        <v>26495</v>
      </c>
      <c r="L27" s="126">
        <v>0</v>
      </c>
    </row>
    <row r="28" spans="1:12" ht="12.75">
      <c r="A28" s="120"/>
      <c r="B28" s="121" t="s">
        <v>11</v>
      </c>
      <c r="C28" s="64">
        <v>1684194</v>
      </c>
      <c r="D28" s="131">
        <v>0</v>
      </c>
      <c r="E28" s="123">
        <v>0</v>
      </c>
      <c r="F28" s="122">
        <f>9082+3081</f>
        <v>12163</v>
      </c>
      <c r="G28" s="124">
        <v>0</v>
      </c>
      <c r="H28" s="124">
        <v>0</v>
      </c>
      <c r="I28" s="124">
        <f t="shared" si="4"/>
        <v>1696357</v>
      </c>
      <c r="J28" s="122"/>
      <c r="K28" s="125">
        <f>SUM(I28:J28)</f>
        <v>1696357</v>
      </c>
      <c r="L28" s="126">
        <v>0</v>
      </c>
    </row>
    <row r="29" spans="1:12" ht="12.75">
      <c r="A29" s="120"/>
      <c r="B29" s="121" t="s">
        <v>206</v>
      </c>
      <c r="C29" s="64">
        <v>3091284</v>
      </c>
      <c r="D29" s="131">
        <f>'[3]BS'!$C$25</f>
        <v>0</v>
      </c>
      <c r="E29" s="123">
        <v>0</v>
      </c>
      <c r="F29" s="122">
        <v>0</v>
      </c>
      <c r="G29" s="124">
        <v>0</v>
      </c>
      <c r="H29" s="124">
        <v>0</v>
      </c>
      <c r="I29" s="124">
        <f t="shared" si="4"/>
        <v>3091284</v>
      </c>
      <c r="J29" s="122">
        <v>0</v>
      </c>
      <c r="K29" s="125">
        <f>SUM(I29:J29)</f>
        <v>3091284</v>
      </c>
      <c r="L29" s="126">
        <v>0</v>
      </c>
    </row>
    <row r="30" spans="1:12" ht="4.5" customHeight="1">
      <c r="A30" s="133"/>
      <c r="B30" s="134"/>
      <c r="C30" s="135" t="s">
        <v>85</v>
      </c>
      <c r="D30" s="135" t="s">
        <v>85</v>
      </c>
      <c r="E30" s="136" t="s">
        <v>85</v>
      </c>
      <c r="F30" s="137" t="s">
        <v>85</v>
      </c>
      <c r="G30" s="138"/>
      <c r="H30" s="138"/>
      <c r="I30" s="138" t="s">
        <v>85</v>
      </c>
      <c r="J30" s="137" t="s">
        <v>85</v>
      </c>
      <c r="K30" s="139" t="s">
        <v>85</v>
      </c>
      <c r="L30" s="140" t="s">
        <v>85</v>
      </c>
    </row>
    <row r="31" spans="1:12" ht="12.75">
      <c r="A31" s="68" t="s">
        <v>207</v>
      </c>
      <c r="B31" s="141"/>
      <c r="C31" s="142">
        <f>SUM(C21:C29)-C24</f>
        <v>10232501</v>
      </c>
      <c r="D31" s="142">
        <f aca="true" t="shared" si="5" ref="D31:J31">SUM(D21:D29)-D24</f>
        <v>861107</v>
      </c>
      <c r="E31" s="142">
        <f>SUM(E21:E29)-E24</f>
        <v>2124914</v>
      </c>
      <c r="F31" s="142">
        <f t="shared" si="5"/>
        <v>15223</v>
      </c>
      <c r="G31" s="142">
        <f t="shared" si="5"/>
        <v>0</v>
      </c>
      <c r="H31" s="142">
        <f t="shared" si="5"/>
        <v>0</v>
      </c>
      <c r="I31" s="142">
        <f t="shared" si="5"/>
        <v>13233745</v>
      </c>
      <c r="J31" s="142">
        <f t="shared" si="5"/>
        <v>-2474581</v>
      </c>
      <c r="K31" s="142">
        <f>SUM(K21:K29)-K24</f>
        <v>10759164</v>
      </c>
      <c r="L31" s="142">
        <f>SUM(L21:L29)-L24</f>
        <v>1031012</v>
      </c>
    </row>
    <row r="32" spans="1:12" ht="4.5" customHeight="1">
      <c r="A32" s="133"/>
      <c r="B32" s="134"/>
      <c r="C32" s="135" t="s">
        <v>85</v>
      </c>
      <c r="D32" s="135" t="s">
        <v>85</v>
      </c>
      <c r="E32" s="136" t="s">
        <v>85</v>
      </c>
      <c r="F32" s="137" t="s">
        <v>85</v>
      </c>
      <c r="G32" s="138"/>
      <c r="H32" s="138"/>
      <c r="I32" s="138" t="s">
        <v>85</v>
      </c>
      <c r="J32" s="137" t="s">
        <v>85</v>
      </c>
      <c r="K32" s="139" t="s">
        <v>85</v>
      </c>
      <c r="L32" s="140" t="s">
        <v>85</v>
      </c>
    </row>
    <row r="33" spans="1:12" ht="12.75">
      <c r="A33" s="120" t="s">
        <v>85</v>
      </c>
      <c r="B33" s="121" t="s">
        <v>208</v>
      </c>
      <c r="C33" s="122">
        <f>C18-C31</f>
        <v>23271656</v>
      </c>
      <c r="D33" s="122">
        <v>123539</v>
      </c>
      <c r="E33" s="123">
        <v>-1716390</v>
      </c>
      <c r="F33" s="122">
        <f>F18-F31</f>
        <v>126411</v>
      </c>
      <c r="G33" s="122">
        <f>G18-G31</f>
        <v>0</v>
      </c>
      <c r="H33" s="122">
        <f>H18-H31</f>
        <v>0</v>
      </c>
      <c r="I33" s="124">
        <f>I18-I31</f>
        <v>21805216</v>
      </c>
      <c r="J33" s="131"/>
      <c r="K33" s="125">
        <f>SUM(I33:J33)</f>
        <v>21805216</v>
      </c>
      <c r="L33" s="126">
        <v>-832795</v>
      </c>
    </row>
    <row r="34" spans="1:12" ht="12.75">
      <c r="A34" s="120" t="s">
        <v>85</v>
      </c>
      <c r="B34" s="121" t="s">
        <v>209</v>
      </c>
      <c r="C34" s="64">
        <v>25761559</v>
      </c>
      <c r="D34" s="131">
        <v>40088</v>
      </c>
      <c r="E34" s="123">
        <v>22584</v>
      </c>
      <c r="F34" s="122">
        <v>0</v>
      </c>
      <c r="G34" s="122">
        <v>0</v>
      </c>
      <c r="H34" s="122">
        <v>0</v>
      </c>
      <c r="I34" s="124">
        <f>SUM(C34:H34)</f>
        <v>25824231</v>
      </c>
      <c r="J34" s="122"/>
      <c r="K34" s="125">
        <f>SUM(I34:J34)</f>
        <v>25824231</v>
      </c>
      <c r="L34" s="126">
        <v>10958</v>
      </c>
    </row>
    <row r="35" spans="1:12" ht="12.75">
      <c r="A35" s="120"/>
      <c r="B35" s="121" t="s">
        <v>210</v>
      </c>
      <c r="C35" s="122">
        <f>+'[2]BSD'!$G$159</f>
        <v>436000</v>
      </c>
      <c r="D35" s="131">
        <v>0</v>
      </c>
      <c r="E35" s="123">
        <v>0</v>
      </c>
      <c r="F35" s="122">
        <v>0</v>
      </c>
      <c r="G35" s="122">
        <v>0</v>
      </c>
      <c r="H35" s="122">
        <v>0</v>
      </c>
      <c r="I35" s="124">
        <f>SUM(C35:H35)</f>
        <v>436000</v>
      </c>
      <c r="J35" s="122">
        <f>-I35</f>
        <v>-436000</v>
      </c>
      <c r="K35" s="125">
        <f>SUM(I35:J35)</f>
        <v>0</v>
      </c>
      <c r="L35" s="126">
        <v>0</v>
      </c>
    </row>
    <row r="36" spans="1:12" ht="12.75">
      <c r="A36" s="120" t="s">
        <v>85</v>
      </c>
      <c r="B36" s="121" t="s">
        <v>211</v>
      </c>
      <c r="C36" s="122">
        <v>0</v>
      </c>
      <c r="D36" s="131">
        <v>0</v>
      </c>
      <c r="E36" s="123">
        <v>0</v>
      </c>
      <c r="F36" s="122">
        <v>0</v>
      </c>
      <c r="G36" s="122">
        <v>0</v>
      </c>
      <c r="H36" s="122">
        <v>0</v>
      </c>
      <c r="I36" s="124">
        <f>SUM(C36:H36)</f>
        <v>0</v>
      </c>
      <c r="J36" s="122"/>
      <c r="K36" s="125">
        <f>SUM(I36:J36)</f>
        <v>0</v>
      </c>
      <c r="L36" s="126">
        <v>0</v>
      </c>
    </row>
    <row r="37" spans="1:12" ht="4.5" customHeight="1">
      <c r="A37" s="133"/>
      <c r="B37" s="134"/>
      <c r="C37" s="135" t="s">
        <v>85</v>
      </c>
      <c r="D37" s="135" t="s">
        <v>85</v>
      </c>
      <c r="E37" s="136" t="s">
        <v>85</v>
      </c>
      <c r="F37" s="137" t="s">
        <v>85</v>
      </c>
      <c r="G37" s="138"/>
      <c r="H37" s="138"/>
      <c r="I37" s="138" t="s">
        <v>85</v>
      </c>
      <c r="J37" s="137" t="s">
        <v>85</v>
      </c>
      <c r="K37" s="139" t="s">
        <v>85</v>
      </c>
      <c r="L37" s="140" t="s">
        <v>85</v>
      </c>
    </row>
    <row r="38" spans="1:12" ht="13.5" thickBot="1">
      <c r="A38" s="68" t="s">
        <v>212</v>
      </c>
      <c r="B38" s="160"/>
      <c r="C38" s="161">
        <f>SUM(C33:C36)</f>
        <v>49469215</v>
      </c>
      <c r="D38" s="161">
        <f aca="true" t="shared" si="6" ref="D38:L38">SUM(D33:D36)</f>
        <v>163627</v>
      </c>
      <c r="E38" s="162">
        <f t="shared" si="6"/>
        <v>-1693806</v>
      </c>
      <c r="F38" s="56">
        <f t="shared" si="6"/>
        <v>126411</v>
      </c>
      <c r="G38" s="56">
        <f t="shared" si="6"/>
        <v>0</v>
      </c>
      <c r="H38" s="56">
        <f t="shared" si="6"/>
        <v>0</v>
      </c>
      <c r="I38" s="163">
        <f t="shared" si="6"/>
        <v>48065447</v>
      </c>
      <c r="J38" s="161">
        <f t="shared" si="6"/>
        <v>-436000</v>
      </c>
      <c r="K38" s="161">
        <f t="shared" si="6"/>
        <v>47629447</v>
      </c>
      <c r="L38" s="161">
        <f t="shared" si="6"/>
        <v>-821837</v>
      </c>
    </row>
    <row r="39" spans="1:12" ht="4.5" customHeight="1" thickTop="1">
      <c r="A39" s="133"/>
      <c r="B39" s="134"/>
      <c r="C39" s="135" t="s">
        <v>85</v>
      </c>
      <c r="D39" s="135" t="s">
        <v>85</v>
      </c>
      <c r="E39" s="136" t="s">
        <v>85</v>
      </c>
      <c r="F39" s="164" t="s">
        <v>85</v>
      </c>
      <c r="G39" s="164"/>
      <c r="H39" s="164"/>
      <c r="I39" s="138" t="s">
        <v>85</v>
      </c>
      <c r="J39" s="137" t="s">
        <v>85</v>
      </c>
      <c r="K39" s="139" t="s">
        <v>85</v>
      </c>
      <c r="L39" s="140" t="s">
        <v>85</v>
      </c>
    </row>
    <row r="40" spans="1:12" ht="4.5" customHeight="1">
      <c r="A40" s="133"/>
      <c r="B40" s="134"/>
      <c r="C40" s="151"/>
      <c r="D40" s="151"/>
      <c r="E40" s="165"/>
      <c r="F40" s="64"/>
      <c r="G40" s="130"/>
      <c r="H40" s="130"/>
      <c r="I40" s="130"/>
      <c r="J40" s="64"/>
      <c r="K40" s="153"/>
      <c r="L40" s="154"/>
    </row>
    <row r="41" spans="1:12" ht="12.75">
      <c r="A41" s="68" t="s">
        <v>213</v>
      </c>
      <c r="B41" s="160"/>
      <c r="C41" s="151"/>
      <c r="D41" s="151"/>
      <c r="E41" s="165"/>
      <c r="F41" s="64"/>
      <c r="G41" s="130"/>
      <c r="H41" s="130"/>
      <c r="I41" s="130"/>
      <c r="J41" s="64"/>
      <c r="K41" s="153"/>
      <c r="L41" s="154"/>
    </row>
    <row r="42" spans="1:12" ht="12.75">
      <c r="A42" s="120" t="s">
        <v>85</v>
      </c>
      <c r="B42" s="121" t="s">
        <v>214</v>
      </c>
      <c r="C42" s="122">
        <f>+'[2]BSD'!$G$162</f>
        <v>42934500</v>
      </c>
      <c r="D42" s="131">
        <v>500000</v>
      </c>
      <c r="E42" s="123">
        <v>129253</v>
      </c>
      <c r="F42" s="122">
        <v>25000</v>
      </c>
      <c r="G42" s="122">
        <v>0</v>
      </c>
      <c r="H42" s="122">
        <v>0</v>
      </c>
      <c r="I42" s="124">
        <f>SUM(C42:H42)</f>
        <v>43588753</v>
      </c>
      <c r="J42" s="122">
        <f>-(D42+E42+F42)</f>
        <v>-654253</v>
      </c>
      <c r="K42" s="125">
        <f>SUM(I42:J42)</f>
        <v>42934500</v>
      </c>
      <c r="L42" s="126">
        <v>100000</v>
      </c>
    </row>
    <row r="43" spans="1:12" ht="12.75">
      <c r="A43" s="120" t="s">
        <v>85</v>
      </c>
      <c r="B43" s="121" t="s">
        <v>25</v>
      </c>
      <c r="C43" s="64">
        <f>6218535-1</f>
        <v>6218534</v>
      </c>
      <c r="D43" s="131">
        <v>-508038</v>
      </c>
      <c r="E43" s="123">
        <v>-2056425</v>
      </c>
      <c r="F43" s="122">
        <v>103091</v>
      </c>
      <c r="G43" s="122">
        <v>0</v>
      </c>
      <c r="H43" s="122">
        <v>0</v>
      </c>
      <c r="I43" s="124">
        <f>SUM(C43:H43)</f>
        <v>3757162</v>
      </c>
      <c r="J43" s="122">
        <f>-157500+375752+1</f>
        <v>218253</v>
      </c>
      <c r="K43" s="125">
        <f>SUM(I43:J43)</f>
        <v>3975415</v>
      </c>
      <c r="L43" s="126">
        <v>-973912</v>
      </c>
    </row>
    <row r="44" spans="1:12" ht="12.75">
      <c r="A44" s="120"/>
      <c r="B44" s="121" t="s">
        <v>215</v>
      </c>
      <c r="C44" s="64">
        <f>+'[4]BS'!$C$40</f>
        <v>0</v>
      </c>
      <c r="D44" s="131">
        <v>0</v>
      </c>
      <c r="E44" s="123">
        <v>126035</v>
      </c>
      <c r="F44" s="122">
        <v>0</v>
      </c>
      <c r="G44" s="122">
        <v>0</v>
      </c>
      <c r="H44" s="122">
        <v>0</v>
      </c>
      <c r="I44" s="124">
        <f>SUM(C44:H44)</f>
        <v>126035</v>
      </c>
      <c r="J44" s="122"/>
      <c r="K44" s="125">
        <f>SUM(I44:J44)</f>
        <v>126035</v>
      </c>
      <c r="L44" s="126">
        <v>0</v>
      </c>
    </row>
    <row r="45" spans="1:12" ht="12.75">
      <c r="A45" s="120" t="s">
        <v>85</v>
      </c>
      <c r="B45" s="121" t="s">
        <v>216</v>
      </c>
      <c r="C45" s="64">
        <v>164181</v>
      </c>
      <c r="D45" s="131">
        <v>171665</v>
      </c>
      <c r="E45" s="123">
        <v>107331</v>
      </c>
      <c r="F45" s="122">
        <v>-1680</v>
      </c>
      <c r="G45" s="122">
        <v>0</v>
      </c>
      <c r="H45" s="122">
        <v>0</v>
      </c>
      <c r="I45" s="124">
        <f>SUM(C45:H45)</f>
        <v>441497</v>
      </c>
      <c r="J45" s="166"/>
      <c r="K45" s="125">
        <f>SUM(I45:J45)</f>
        <v>441497</v>
      </c>
      <c r="L45" s="126">
        <v>52075</v>
      </c>
    </row>
    <row r="46" spans="1:12" ht="12.75">
      <c r="A46" s="120" t="s">
        <v>85</v>
      </c>
      <c r="B46" s="121" t="s">
        <v>217</v>
      </c>
      <c r="C46" s="122">
        <f>+'[2]BSD'!$G$166</f>
        <v>152000</v>
      </c>
      <c r="D46" s="131">
        <v>0</v>
      </c>
      <c r="E46" s="166">
        <v>0</v>
      </c>
      <c r="F46" s="122">
        <v>0</v>
      </c>
      <c r="G46" s="122">
        <v>0</v>
      </c>
      <c r="H46" s="122">
        <v>0</v>
      </c>
      <c r="I46" s="124">
        <f>SUM(C46:H46)</f>
        <v>152000</v>
      </c>
      <c r="J46" s="122"/>
      <c r="K46" s="125">
        <f>SUM(I46:J46)</f>
        <v>152000</v>
      </c>
      <c r="L46" s="126">
        <v>0</v>
      </c>
    </row>
    <row r="47" spans="1:12" ht="4.5" customHeight="1">
      <c r="A47" s="133"/>
      <c r="B47" s="134"/>
      <c r="C47" s="122"/>
      <c r="D47" s="135" t="s">
        <v>198</v>
      </c>
      <c r="E47" s="136"/>
      <c r="F47" s="137" t="s">
        <v>198</v>
      </c>
      <c r="G47" s="137" t="s">
        <v>198</v>
      </c>
      <c r="H47" s="137" t="s">
        <v>198</v>
      </c>
      <c r="I47" s="138" t="s">
        <v>198</v>
      </c>
      <c r="J47" s="137" t="s">
        <v>198</v>
      </c>
      <c r="K47" s="139" t="s">
        <v>198</v>
      </c>
      <c r="L47" s="140" t="s">
        <v>198</v>
      </c>
    </row>
    <row r="48" spans="1:12" ht="13.5" thickBot="1">
      <c r="A48" s="68" t="s">
        <v>218</v>
      </c>
      <c r="B48" s="167"/>
      <c r="C48" s="161">
        <f>SUM(C42:C46)</f>
        <v>49469215</v>
      </c>
      <c r="D48" s="161">
        <f aca="true" t="shared" si="7" ref="D48:L48">SUM(D42:D46)</f>
        <v>163627</v>
      </c>
      <c r="E48" s="162">
        <f t="shared" si="7"/>
        <v>-1693806</v>
      </c>
      <c r="F48" s="56">
        <f t="shared" si="7"/>
        <v>126411</v>
      </c>
      <c r="G48" s="56">
        <f>SUM(G42:G46)</f>
        <v>0</v>
      </c>
      <c r="H48" s="56">
        <f>SUM(H42:H46)</f>
        <v>0</v>
      </c>
      <c r="I48" s="163">
        <f t="shared" si="7"/>
        <v>48065447</v>
      </c>
      <c r="J48" s="161">
        <f t="shared" si="7"/>
        <v>-436000</v>
      </c>
      <c r="K48" s="161">
        <f t="shared" si="7"/>
        <v>47629447</v>
      </c>
      <c r="L48" s="161">
        <f t="shared" si="7"/>
        <v>-821837</v>
      </c>
    </row>
    <row r="49" spans="1:12" ht="4.5" customHeight="1" thickTop="1">
      <c r="A49" s="168"/>
      <c r="B49" s="169"/>
      <c r="C49" s="170" t="s">
        <v>85</v>
      </c>
      <c r="D49" s="170" t="s">
        <v>85</v>
      </c>
      <c r="E49" s="170" t="s">
        <v>85</v>
      </c>
      <c r="F49" s="171"/>
      <c r="G49" s="171"/>
      <c r="H49" s="171"/>
      <c r="I49" s="172" t="s">
        <v>85</v>
      </c>
      <c r="J49" s="170" t="s">
        <v>85</v>
      </c>
      <c r="K49" s="173" t="s">
        <v>85</v>
      </c>
      <c r="L49" s="174" t="s">
        <v>85</v>
      </c>
    </row>
    <row r="50" spans="1:12" ht="12.75">
      <c r="A50" s="1"/>
      <c r="B50" s="1"/>
      <c r="C50" s="51"/>
      <c r="D50" s="51"/>
      <c r="E50" s="51"/>
      <c r="F50" s="2"/>
      <c r="G50" s="2"/>
      <c r="H50" s="2"/>
      <c r="J50" s="2"/>
      <c r="L50" s="175"/>
    </row>
    <row r="51" spans="1:12" ht="12.75">
      <c r="A51" s="1"/>
      <c r="B51" s="1"/>
      <c r="C51" s="176">
        <f>C38-C48</f>
        <v>0</v>
      </c>
      <c r="D51" s="176">
        <f aca="true" t="shared" si="8" ref="D51:L51">D38-D48</f>
        <v>0</v>
      </c>
      <c r="E51" s="176">
        <f t="shared" si="8"/>
        <v>0</v>
      </c>
      <c r="F51" s="177">
        <f t="shared" si="8"/>
        <v>0</v>
      </c>
      <c r="G51" s="177">
        <f t="shared" si="8"/>
        <v>0</v>
      </c>
      <c r="H51" s="177">
        <f t="shared" si="8"/>
        <v>0</v>
      </c>
      <c r="I51" s="176">
        <f t="shared" si="8"/>
        <v>0</v>
      </c>
      <c r="J51" s="178">
        <f t="shared" si="8"/>
        <v>0</v>
      </c>
      <c r="K51" s="179">
        <f t="shared" si="8"/>
        <v>0</v>
      </c>
      <c r="L51" s="175">
        <f t="shared" si="8"/>
        <v>0</v>
      </c>
    </row>
    <row r="52" spans="1:12" ht="12.75">
      <c r="A52" s="1"/>
      <c r="B52" s="1"/>
      <c r="C52" s="51"/>
      <c r="D52" s="51"/>
      <c r="E52" s="180">
        <f>E48/L48</f>
        <v>2.060999930643181</v>
      </c>
      <c r="F52" s="51"/>
      <c r="G52" s="51"/>
      <c r="H52" s="51"/>
      <c r="I52" s="181" t="s">
        <v>85</v>
      </c>
      <c r="J52" s="182"/>
      <c r="K52" s="183"/>
      <c r="L52" s="175"/>
    </row>
    <row r="53" spans="1:12" ht="12.75">
      <c r="A53" s="1"/>
      <c r="B53" s="184" t="s">
        <v>219</v>
      </c>
      <c r="C53" s="51"/>
      <c r="D53" s="51"/>
      <c r="E53" s="177"/>
      <c r="F53" s="51"/>
      <c r="G53" s="51"/>
      <c r="H53" s="51"/>
      <c r="I53" s="181"/>
      <c r="J53" s="177"/>
      <c r="K53" s="185"/>
      <c r="L53" s="175"/>
    </row>
    <row r="54" spans="1:12" ht="12.75">
      <c r="A54" s="1"/>
      <c r="B54" s="184" t="s">
        <v>220</v>
      </c>
      <c r="C54" s="51">
        <f>C45+D45+E45+F45+G45+H45+J45</f>
        <v>441497</v>
      </c>
      <c r="D54" s="51"/>
      <c r="E54" s="51"/>
      <c r="F54" s="51"/>
      <c r="G54" s="51"/>
      <c r="H54" s="51"/>
      <c r="I54" s="181"/>
      <c r="J54" s="2"/>
      <c r="L54" s="175"/>
    </row>
    <row r="55" spans="1:12" ht="12.75">
      <c r="A55" s="1"/>
      <c r="B55" s="184" t="s">
        <v>221</v>
      </c>
      <c r="C55" s="178">
        <f>C54-C56</f>
        <v>-2853488.4499999993</v>
      </c>
      <c r="D55" s="51"/>
      <c r="E55" s="51"/>
      <c r="F55" s="51"/>
      <c r="G55" s="51"/>
      <c r="H55" s="51"/>
      <c r="J55" s="2"/>
      <c r="L55" s="175"/>
    </row>
    <row r="56" spans="1:12" ht="12.75">
      <c r="A56" s="1"/>
      <c r="B56" s="184" t="s">
        <v>222</v>
      </c>
      <c r="C56" s="51">
        <f>'[1]PLnew'!J58</f>
        <v>3294985.4499999993</v>
      </c>
      <c r="D56" s="51"/>
      <c r="E56" s="51"/>
      <c r="F56" s="2"/>
      <c r="G56" s="2"/>
      <c r="H56" s="2"/>
      <c r="J56" s="2"/>
      <c r="L56" s="175"/>
    </row>
    <row r="57" spans="1:12" ht="12.75">
      <c r="A57" s="1"/>
      <c r="B57" s="184" t="s">
        <v>223</v>
      </c>
      <c r="C57" s="51"/>
      <c r="D57" s="51"/>
      <c r="E57" s="51"/>
      <c r="F57" s="2"/>
      <c r="G57" s="2"/>
      <c r="H57" s="2"/>
      <c r="J57" s="177"/>
      <c r="L57" s="175"/>
    </row>
    <row r="58" spans="1:12" ht="12.75">
      <c r="A58" s="1"/>
      <c r="B58" s="1"/>
      <c r="C58" s="51"/>
      <c r="D58" s="51"/>
      <c r="E58" s="51"/>
      <c r="F58" s="2"/>
      <c r="G58" s="2"/>
      <c r="H58" s="2"/>
      <c r="J58" s="177"/>
      <c r="L58" s="175"/>
    </row>
    <row r="59" spans="1:12" ht="12.75">
      <c r="A59" s="1"/>
      <c r="B59" s="1"/>
      <c r="C59" s="51"/>
      <c r="D59" s="51"/>
      <c r="E59" s="51"/>
      <c r="F59" s="2"/>
      <c r="G59" s="2"/>
      <c r="H59" s="2"/>
      <c r="J59" s="182"/>
      <c r="L59" s="175"/>
    </row>
    <row r="60" spans="1:12" ht="12.75">
      <c r="A60" s="1"/>
      <c r="B60" s="1"/>
      <c r="C60" s="182"/>
      <c r="D60" s="51"/>
      <c r="E60" s="51"/>
      <c r="F60" s="2"/>
      <c r="G60" s="2"/>
      <c r="H60" s="2"/>
      <c r="J60" s="2"/>
      <c r="L60" s="175"/>
    </row>
    <row r="61" spans="1:12" ht="12.75">
      <c r="A61" s="1"/>
      <c r="B61" s="1"/>
      <c r="C61" s="51"/>
      <c r="D61" s="51"/>
      <c r="E61" s="51"/>
      <c r="F61" s="2"/>
      <c r="G61" s="2"/>
      <c r="H61" s="2"/>
      <c r="J61" s="2"/>
      <c r="L61" s="175"/>
    </row>
    <row r="62" spans="1:12" ht="12.75">
      <c r="A62" s="1"/>
      <c r="B62" s="1"/>
      <c r="C62" s="51"/>
      <c r="D62" s="51"/>
      <c r="E62" s="51"/>
      <c r="F62" s="2"/>
      <c r="G62" s="2"/>
      <c r="H62" s="2"/>
      <c r="J62" s="2"/>
      <c r="L62" s="175"/>
    </row>
    <row r="63" spans="1:10" ht="12.75">
      <c r="A63" s="1"/>
      <c r="B63" s="1"/>
      <c r="C63" s="51"/>
      <c r="D63" s="51"/>
      <c r="E63" s="51"/>
      <c r="F63" s="2"/>
      <c r="G63" s="2"/>
      <c r="H63" s="2"/>
      <c r="J63" s="2"/>
    </row>
    <row r="64" spans="1:10" ht="12.75">
      <c r="A64" s="1"/>
      <c r="B64" s="1"/>
      <c r="C64" s="51"/>
      <c r="D64" s="51"/>
      <c r="E64" s="51"/>
      <c r="F64" s="2"/>
      <c r="G64" s="2"/>
      <c r="H64" s="2"/>
      <c r="J64" s="2"/>
    </row>
    <row r="65" spans="1:10" ht="12.75">
      <c r="A65" s="1"/>
      <c r="B65" s="1"/>
      <c r="C65" s="51"/>
      <c r="D65" s="51"/>
      <c r="E65" s="51"/>
      <c r="F65" s="2"/>
      <c r="G65" s="2"/>
      <c r="H65" s="2"/>
      <c r="J65" s="2"/>
    </row>
    <row r="66" spans="1:10" ht="12.75">
      <c r="A66" s="1"/>
      <c r="B66" s="1"/>
      <c r="C66" s="51"/>
      <c r="D66" s="51"/>
      <c r="E66" s="51"/>
      <c r="F66" s="2"/>
      <c r="G66" s="2"/>
      <c r="H66" s="2"/>
      <c r="J66" s="2"/>
    </row>
    <row r="67" spans="1:10" ht="12.75">
      <c r="A67" s="1"/>
      <c r="B67" s="1"/>
      <c r="C67" s="51"/>
      <c r="D67" s="51"/>
      <c r="E67" s="51"/>
      <c r="F67" s="2"/>
      <c r="G67" s="2"/>
      <c r="H67" s="2"/>
      <c r="J67" s="2"/>
    </row>
    <row r="68" spans="1:10" ht="12.75">
      <c r="A68" s="1"/>
      <c r="B68" s="1"/>
      <c r="C68" s="51"/>
      <c r="D68" s="51"/>
      <c r="E68" s="51"/>
      <c r="F68" s="2"/>
      <c r="G68" s="2"/>
      <c r="H68" s="2"/>
      <c r="I68" s="2"/>
      <c r="J68" s="2"/>
    </row>
    <row r="69" spans="1:10" ht="12.75">
      <c r="A69" s="1"/>
      <c r="B69" s="1"/>
      <c r="C69" s="51"/>
      <c r="D69" s="51"/>
      <c r="E69" s="51"/>
      <c r="F69" s="2"/>
      <c r="G69" s="2"/>
      <c r="H69" s="2"/>
      <c r="I69" s="2"/>
      <c r="J69" s="2"/>
    </row>
    <row r="70" spans="1:10" ht="12.75">
      <c r="A70" s="1"/>
      <c r="B70" s="1"/>
      <c r="C70" s="51"/>
      <c r="D70" s="51"/>
      <c r="E70" s="51"/>
      <c r="F70" s="2"/>
      <c r="G70" s="2"/>
      <c r="H70" s="2"/>
      <c r="I70" s="2"/>
      <c r="J70" s="2"/>
    </row>
    <row r="71" spans="1:10" ht="12.75">
      <c r="A71" s="1"/>
      <c r="B71" s="1"/>
      <c r="C71" s="51"/>
      <c r="D71" s="51"/>
      <c r="E71" s="51"/>
      <c r="F71" s="2"/>
      <c r="G71" s="2"/>
      <c r="H71" s="2"/>
      <c r="I71" s="2"/>
      <c r="J71" s="2"/>
    </row>
    <row r="72" spans="1:10" ht="12.75">
      <c r="A72" s="1"/>
      <c r="B72" s="1"/>
      <c r="C72" s="51"/>
      <c r="D72" s="51"/>
      <c r="E72" s="51"/>
      <c r="F72" s="2"/>
      <c r="G72" s="2"/>
      <c r="H72" s="2"/>
      <c r="I72" s="2"/>
      <c r="J72" s="2"/>
    </row>
    <row r="73" spans="1:10" ht="12.75">
      <c r="A73" s="1"/>
      <c r="B73" s="1"/>
      <c r="C73" s="51"/>
      <c r="D73" s="51"/>
      <c r="E73" s="51"/>
      <c r="F73" s="2"/>
      <c r="G73" s="2"/>
      <c r="H73" s="2"/>
      <c r="I73" s="2"/>
      <c r="J73" s="2"/>
    </row>
    <row r="74" spans="1:10" ht="12.75">
      <c r="A74" s="1"/>
      <c r="B74" s="1"/>
      <c r="C74" s="51"/>
      <c r="D74" s="51"/>
      <c r="E74" s="51"/>
      <c r="F74" s="2"/>
      <c r="G74" s="2"/>
      <c r="H74" s="2"/>
      <c r="I74" s="2"/>
      <c r="J74" s="2"/>
    </row>
    <row r="75" spans="1:10" ht="12.75">
      <c r="A75" s="1"/>
      <c r="B75" s="1"/>
      <c r="C75" s="51"/>
      <c r="D75" s="51"/>
      <c r="E75" s="51"/>
      <c r="F75" s="2"/>
      <c r="G75" s="2"/>
      <c r="H75" s="2"/>
      <c r="I75" s="2"/>
      <c r="J75" s="2"/>
    </row>
    <row r="76" spans="1:10" ht="12.75">
      <c r="A76" s="1"/>
      <c r="B76" s="1"/>
      <c r="C76" s="51"/>
      <c r="D76" s="51"/>
      <c r="E76" s="51"/>
      <c r="F76" s="2"/>
      <c r="G76" s="2"/>
      <c r="H76" s="2"/>
      <c r="I76" s="2"/>
      <c r="J76" s="2"/>
    </row>
    <row r="77" spans="1:10" ht="12.75">
      <c r="A77" s="1"/>
      <c r="B77" s="1"/>
      <c r="C77" s="51"/>
      <c r="D77" s="51"/>
      <c r="E77" s="51"/>
      <c r="F77" s="2"/>
      <c r="G77" s="2"/>
      <c r="H77" s="2"/>
      <c r="I77" s="2"/>
      <c r="J77" s="2"/>
    </row>
    <row r="78" spans="1:10" ht="12.75">
      <c r="A78" s="1"/>
      <c r="B78" s="1"/>
      <c r="C78" s="51"/>
      <c r="D78" s="51"/>
      <c r="E78" s="51"/>
      <c r="F78" s="2"/>
      <c r="G78" s="2"/>
      <c r="H78" s="2"/>
      <c r="I78" s="2"/>
      <c r="J78" s="2"/>
    </row>
    <row r="79" spans="1:10" ht="12.75">
      <c r="A79" s="1"/>
      <c r="B79" s="1"/>
      <c r="C79" s="51"/>
      <c r="D79" s="51"/>
      <c r="E79" s="51"/>
      <c r="F79" s="2"/>
      <c r="G79" s="2"/>
      <c r="H79" s="2"/>
      <c r="I79" s="2"/>
      <c r="J79" s="2"/>
    </row>
    <row r="80" spans="1:10" ht="12.75">
      <c r="A80" s="1"/>
      <c r="B80" s="1"/>
      <c r="C80" s="51"/>
      <c r="D80" s="51"/>
      <c r="E80" s="51"/>
      <c r="F80" s="2"/>
      <c r="G80" s="2"/>
      <c r="H80" s="2"/>
      <c r="I80" s="2"/>
      <c r="J80" s="2"/>
    </row>
    <row r="81" spans="1:10" ht="12.75">
      <c r="A81" s="1"/>
      <c r="B81" s="1"/>
      <c r="C81" s="51"/>
      <c r="D81" s="51"/>
      <c r="E81" s="51"/>
      <c r="F81" s="2"/>
      <c r="G81" s="2"/>
      <c r="H81" s="2"/>
      <c r="I81" s="2"/>
      <c r="J81" s="2"/>
    </row>
    <row r="82" spans="1:10" ht="12.75">
      <c r="A82" s="1"/>
      <c r="B82" s="1"/>
      <c r="C82" s="51"/>
      <c r="D82" s="51"/>
      <c r="E82" s="51"/>
      <c r="F82" s="2"/>
      <c r="G82" s="2"/>
      <c r="H82" s="2"/>
      <c r="I82" s="2"/>
      <c r="J82" s="2"/>
    </row>
    <row r="83" spans="1:10" ht="12.75">
      <c r="A83" s="1"/>
      <c r="B83" s="1"/>
      <c r="C83" s="51"/>
      <c r="D83" s="51"/>
      <c r="E83" s="51"/>
      <c r="F83" s="2"/>
      <c r="G83" s="2"/>
      <c r="H83" s="2"/>
      <c r="I83" s="2"/>
      <c r="J83" s="2"/>
    </row>
    <row r="84" spans="1:10" ht="12.75">
      <c r="A84" s="1"/>
      <c r="B84" s="1"/>
      <c r="C84" s="51"/>
      <c r="D84" s="51"/>
      <c r="E84" s="51"/>
      <c r="F84" s="2"/>
      <c r="G84" s="2"/>
      <c r="H84" s="2"/>
      <c r="I84" s="2"/>
      <c r="J84" s="2"/>
    </row>
    <row r="85" spans="1:10" ht="12.75">
      <c r="A85" s="1"/>
      <c r="B85" s="1"/>
      <c r="C85" s="51"/>
      <c r="D85" s="51"/>
      <c r="E85" s="51"/>
      <c r="F85" s="2"/>
      <c r="G85" s="2"/>
      <c r="H85" s="2"/>
      <c r="I85" s="2"/>
      <c r="J85" s="2"/>
    </row>
    <row r="86" spans="1:10" ht="12.75">
      <c r="A86" s="1"/>
      <c r="B86" s="1"/>
      <c r="C86" s="51"/>
      <c r="D86" s="51"/>
      <c r="E86" s="51"/>
      <c r="F86" s="2"/>
      <c r="G86" s="2"/>
      <c r="H86" s="2"/>
      <c r="I86" s="2"/>
      <c r="J86" s="2"/>
    </row>
    <row r="87" spans="1:10" ht="12.75">
      <c r="A87" s="1"/>
      <c r="B87" s="1"/>
      <c r="C87" s="51"/>
      <c r="D87" s="51"/>
      <c r="E87" s="51"/>
      <c r="F87" s="2"/>
      <c r="G87" s="2"/>
      <c r="H87" s="2"/>
      <c r="I87" s="2"/>
      <c r="J87" s="2"/>
    </row>
    <row r="88" spans="1:10" ht="12.75">
      <c r="A88" s="1"/>
      <c r="B88" s="1"/>
      <c r="C88" s="51"/>
      <c r="D88" s="51"/>
      <c r="E88" s="51"/>
      <c r="F88" s="2"/>
      <c r="G88" s="2"/>
      <c r="H88" s="2"/>
      <c r="I88" s="2"/>
      <c r="J88" s="2"/>
    </row>
    <row r="89" spans="1:10" ht="12.75">
      <c r="A89" s="1"/>
      <c r="B89" s="1"/>
      <c r="C89" s="51"/>
      <c r="D89" s="51"/>
      <c r="E89" s="51"/>
      <c r="F89" s="2"/>
      <c r="G89" s="2"/>
      <c r="H89" s="2"/>
      <c r="I89" s="2"/>
      <c r="J89" s="2"/>
    </row>
    <row r="90" spans="1:10" ht="12.75">
      <c r="A90" s="1"/>
      <c r="B90" s="1"/>
      <c r="C90" s="51"/>
      <c r="D90" s="51"/>
      <c r="E90" s="51"/>
      <c r="F90" s="2"/>
      <c r="G90" s="2"/>
      <c r="H90" s="2"/>
      <c r="I90" s="2"/>
      <c r="J90" s="2"/>
    </row>
    <row r="91" spans="1:10" ht="12.75">
      <c r="A91" s="1"/>
      <c r="B91" s="1"/>
      <c r="C91" s="51"/>
      <c r="D91" s="51"/>
      <c r="E91" s="51"/>
      <c r="F91" s="2"/>
      <c r="G91" s="2"/>
      <c r="H91" s="2"/>
      <c r="I91" s="2"/>
      <c r="J91" s="2"/>
    </row>
    <row r="92" spans="1:10" ht="12.75">
      <c r="A92" s="1"/>
      <c r="B92" s="1"/>
      <c r="C92" s="51"/>
      <c r="D92" s="51"/>
      <c r="E92" s="51"/>
      <c r="F92" s="2"/>
      <c r="G92" s="2"/>
      <c r="H92" s="2"/>
      <c r="I92" s="2"/>
      <c r="J92" s="2"/>
    </row>
    <row r="93" spans="1:10" ht="12.75">
      <c r="A93" s="1"/>
      <c r="B93" s="1"/>
      <c r="C93" s="51"/>
      <c r="D93" s="51"/>
      <c r="E93" s="51"/>
      <c r="F93" s="2"/>
      <c r="G93" s="2"/>
      <c r="H93" s="2"/>
      <c r="I93" s="2"/>
      <c r="J93" s="2"/>
    </row>
    <row r="94" spans="1:10" ht="12.75">
      <c r="A94" s="1"/>
      <c r="B94" s="1"/>
      <c r="C94" s="51"/>
      <c r="D94" s="51"/>
      <c r="E94" s="51"/>
      <c r="F94" s="2"/>
      <c r="G94" s="2"/>
      <c r="H94" s="2"/>
      <c r="I94" s="2"/>
      <c r="J94" s="2"/>
    </row>
    <row r="95" spans="1:10" ht="12.75">
      <c r="A95" s="1"/>
      <c r="B95" s="1"/>
      <c r="C95" s="51"/>
      <c r="D95" s="51"/>
      <c r="E95" s="51"/>
      <c r="F95" s="2"/>
      <c r="G95" s="2"/>
      <c r="H95" s="2"/>
      <c r="I95" s="2"/>
      <c r="J95" s="2"/>
    </row>
    <row r="96" spans="1:10" ht="12.75">
      <c r="A96" s="1"/>
      <c r="B96" s="1"/>
      <c r="C96" s="51"/>
      <c r="D96" s="51"/>
      <c r="E96" s="51"/>
      <c r="F96" s="2"/>
      <c r="G96" s="2"/>
      <c r="H96" s="2"/>
      <c r="I96" s="2"/>
      <c r="J96" s="2"/>
    </row>
    <row r="97" spans="1:10" ht="12.75">
      <c r="A97" s="1"/>
      <c r="B97" s="1"/>
      <c r="C97" s="51"/>
      <c r="D97" s="51"/>
      <c r="E97" s="51"/>
      <c r="F97" s="2"/>
      <c r="G97" s="2"/>
      <c r="H97" s="2"/>
      <c r="I97" s="2"/>
      <c r="J97" s="2"/>
    </row>
    <row r="98" spans="1:10" ht="12.75">
      <c r="A98" s="1"/>
      <c r="B98" s="1"/>
      <c r="C98" s="51"/>
      <c r="D98" s="51"/>
      <c r="E98" s="51"/>
      <c r="F98" s="2"/>
      <c r="G98" s="2"/>
      <c r="H98" s="2"/>
      <c r="I98" s="2"/>
      <c r="J98" s="2"/>
    </row>
    <row r="99" spans="1:10" ht="12.75">
      <c r="A99" s="1"/>
      <c r="B99" s="1"/>
      <c r="C99" s="51"/>
      <c r="D99" s="51"/>
      <c r="E99" s="51"/>
      <c r="F99" s="2"/>
      <c r="G99" s="2"/>
      <c r="H99" s="2"/>
      <c r="I99" s="2"/>
      <c r="J99" s="2"/>
    </row>
    <row r="100" spans="1:10" ht="12.75">
      <c r="A100" s="1"/>
      <c r="B100" s="1"/>
      <c r="C100" s="51"/>
      <c r="D100" s="51"/>
      <c r="E100" s="51"/>
      <c r="F100" s="2"/>
      <c r="G100" s="2"/>
      <c r="H100" s="2"/>
      <c r="I100" s="2"/>
      <c r="J100" s="2"/>
    </row>
    <row r="101" spans="1:10" ht="12.75">
      <c r="A101" s="1"/>
      <c r="B101" s="1"/>
      <c r="C101" s="51"/>
      <c r="D101" s="51"/>
      <c r="E101" s="51"/>
      <c r="F101" s="2"/>
      <c r="G101" s="2"/>
      <c r="H101" s="2"/>
      <c r="I101" s="2"/>
      <c r="J101" s="2"/>
    </row>
    <row r="102" spans="1:10" ht="12.75">
      <c r="A102" s="1"/>
      <c r="B102" s="1"/>
      <c r="C102" s="51"/>
      <c r="D102" s="51"/>
      <c r="E102" s="51"/>
      <c r="F102" s="2"/>
      <c r="G102" s="2"/>
      <c r="H102" s="2"/>
      <c r="I102" s="2"/>
      <c r="J102" s="2"/>
    </row>
    <row r="103" spans="1:10" ht="12.75">
      <c r="A103" s="1"/>
      <c r="B103" s="1"/>
      <c r="C103" s="51"/>
      <c r="D103" s="51"/>
      <c r="E103" s="51"/>
      <c r="F103" s="2"/>
      <c r="G103" s="2"/>
      <c r="H103" s="2"/>
      <c r="I103" s="2"/>
      <c r="J103" s="2"/>
    </row>
    <row r="104" spans="1:10" ht="12.75">
      <c r="A104" s="1"/>
      <c r="B104" s="1"/>
      <c r="C104" s="51"/>
      <c r="D104" s="51"/>
      <c r="E104" s="51"/>
      <c r="F104" s="2"/>
      <c r="G104" s="2"/>
      <c r="H104" s="2"/>
      <c r="I104" s="2"/>
      <c r="J104" s="2"/>
    </row>
    <row r="105" spans="1:10" ht="12.75">
      <c r="A105" s="1"/>
      <c r="B105" s="1"/>
      <c r="C105" s="51"/>
      <c r="D105" s="51"/>
      <c r="E105" s="51"/>
      <c r="F105" s="2"/>
      <c r="G105" s="2"/>
      <c r="H105" s="2"/>
      <c r="I105" s="2"/>
      <c r="J105" s="2"/>
    </row>
    <row r="106" spans="1:10" ht="12.75">
      <c r="A106" s="1"/>
      <c r="B106" s="1"/>
      <c r="C106" s="51"/>
      <c r="D106" s="51"/>
      <c r="E106" s="51"/>
      <c r="F106" s="2"/>
      <c r="G106" s="2"/>
      <c r="H106" s="2"/>
      <c r="I106" s="2"/>
      <c r="J106" s="2"/>
    </row>
    <row r="107" spans="1:10" ht="12.75">
      <c r="A107" s="1"/>
      <c r="B107" s="1"/>
      <c r="C107" s="51"/>
      <c r="D107" s="51"/>
      <c r="E107" s="51"/>
      <c r="F107" s="2"/>
      <c r="G107" s="2"/>
      <c r="H107" s="2"/>
      <c r="I107" s="2"/>
      <c r="J107" s="2"/>
    </row>
    <row r="108" spans="1:10" ht="12.75">
      <c r="A108" s="1"/>
      <c r="B108" s="1"/>
      <c r="C108" s="51"/>
      <c r="D108" s="51"/>
      <c r="E108" s="51"/>
      <c r="F108" s="2"/>
      <c r="G108" s="2"/>
      <c r="H108" s="2"/>
      <c r="I108" s="2"/>
      <c r="J108" s="2"/>
    </row>
    <row r="109" spans="1:10" ht="12.75">
      <c r="A109" s="1"/>
      <c r="B109" s="1"/>
      <c r="C109" s="51"/>
      <c r="D109" s="51"/>
      <c r="E109" s="51"/>
      <c r="F109" s="2"/>
      <c r="G109" s="2"/>
      <c r="H109" s="2"/>
      <c r="I109" s="2"/>
      <c r="J109" s="2"/>
    </row>
    <row r="110" spans="1:10" ht="12.75">
      <c r="A110" s="1"/>
      <c r="B110" s="1"/>
      <c r="C110" s="51"/>
      <c r="D110" s="51"/>
      <c r="E110" s="51"/>
      <c r="F110" s="2"/>
      <c r="G110" s="2"/>
      <c r="H110" s="2"/>
      <c r="I110" s="2"/>
      <c r="J110" s="2"/>
    </row>
    <row r="111" spans="1:10" ht="12.75">
      <c r="A111" s="1"/>
      <c r="B111" s="1"/>
      <c r="C111" s="51"/>
      <c r="D111" s="51"/>
      <c r="E111" s="51"/>
      <c r="F111" s="2"/>
      <c r="G111" s="2"/>
      <c r="H111" s="2"/>
      <c r="I111" s="2"/>
      <c r="J111" s="2"/>
    </row>
    <row r="112" spans="1:10" ht="12.75">
      <c r="A112" s="1"/>
      <c r="B112" s="1"/>
      <c r="C112" s="51"/>
      <c r="D112" s="51"/>
      <c r="E112" s="51"/>
      <c r="F112" s="2"/>
      <c r="G112" s="2"/>
      <c r="H112" s="2"/>
      <c r="I112" s="2"/>
      <c r="J112" s="2"/>
    </row>
    <row r="113" spans="1:10" ht="12.75">
      <c r="A113" s="1"/>
      <c r="B113" s="1"/>
      <c r="C113" s="51"/>
      <c r="D113" s="51"/>
      <c r="E113" s="51"/>
      <c r="F113" s="2"/>
      <c r="G113" s="2"/>
      <c r="H113" s="2"/>
      <c r="I113" s="2"/>
      <c r="J113" s="2"/>
    </row>
    <row r="114" spans="1:10" ht="12.75">
      <c r="A114" s="1"/>
      <c r="B114" s="1"/>
      <c r="C114" s="51"/>
      <c r="D114" s="51"/>
      <c r="E114" s="51"/>
      <c r="F114" s="2"/>
      <c r="G114" s="2"/>
      <c r="H114" s="2"/>
      <c r="I114" s="2"/>
      <c r="J114" s="2"/>
    </row>
    <row r="115" spans="1:10" ht="12.75">
      <c r="A115" s="1"/>
      <c r="B115" s="1"/>
      <c r="C115" s="51"/>
      <c r="D115" s="51"/>
      <c r="E115" s="51"/>
      <c r="F115" s="2"/>
      <c r="G115" s="2"/>
      <c r="H115" s="2"/>
      <c r="I115" s="2"/>
      <c r="J115" s="2"/>
    </row>
    <row r="116" spans="1:10" ht="12.75">
      <c r="A116" s="1"/>
      <c r="B116" s="1"/>
      <c r="C116" s="51"/>
      <c r="D116" s="51"/>
      <c r="E116" s="51"/>
      <c r="F116" s="2"/>
      <c r="G116" s="2"/>
      <c r="H116" s="2"/>
      <c r="I116" s="2"/>
      <c r="J116" s="2"/>
    </row>
    <row r="117" spans="1:10" ht="12.75">
      <c r="A117" s="1"/>
      <c r="B117" s="1"/>
      <c r="C117" s="51"/>
      <c r="D117" s="51"/>
      <c r="E117" s="51"/>
      <c r="F117" s="2"/>
      <c r="G117" s="2"/>
      <c r="H117" s="2"/>
      <c r="I117" s="2"/>
      <c r="J117" s="2"/>
    </row>
    <row r="118" spans="1:10" ht="12.75">
      <c r="A118" s="1"/>
      <c r="B118" s="1"/>
      <c r="C118" s="51"/>
      <c r="D118" s="51"/>
      <c r="E118" s="51"/>
      <c r="F118" s="2"/>
      <c r="G118" s="2"/>
      <c r="H118" s="2"/>
      <c r="I118" s="2"/>
      <c r="J118" s="2"/>
    </row>
    <row r="119" spans="1:10" ht="12.75">
      <c r="A119" s="1"/>
      <c r="B119" s="1"/>
      <c r="C119" s="51"/>
      <c r="D119" s="51"/>
      <c r="E119" s="51"/>
      <c r="F119" s="2"/>
      <c r="G119" s="2"/>
      <c r="H119" s="2"/>
      <c r="I119" s="2"/>
      <c r="J119" s="2"/>
    </row>
    <row r="120" spans="1:10" ht="12.75">
      <c r="A120" s="1"/>
      <c r="B120" s="1"/>
      <c r="C120" s="51"/>
      <c r="D120" s="51"/>
      <c r="E120" s="51"/>
      <c r="F120" s="2"/>
      <c r="G120" s="2"/>
      <c r="H120" s="2"/>
      <c r="I120" s="2"/>
      <c r="J120" s="2"/>
    </row>
    <row r="121" spans="1:10" ht="12.75">
      <c r="A121" s="1"/>
      <c r="B121" s="1"/>
      <c r="C121" s="51"/>
      <c r="D121" s="51"/>
      <c r="E121" s="51"/>
      <c r="F121" s="2"/>
      <c r="G121" s="2"/>
      <c r="H121" s="2"/>
      <c r="I121" s="2"/>
      <c r="J121" s="2"/>
    </row>
    <row r="122" spans="1:10" ht="12.75">
      <c r="A122" s="1"/>
      <c r="B122" s="1"/>
      <c r="C122" s="51"/>
      <c r="D122" s="51"/>
      <c r="E122" s="51"/>
      <c r="F122" s="2"/>
      <c r="G122" s="2"/>
      <c r="H122" s="2"/>
      <c r="I122" s="2"/>
      <c r="J122" s="2"/>
    </row>
    <row r="123" spans="1:10" ht="12.75">
      <c r="A123" s="1"/>
      <c r="B123" s="1"/>
      <c r="C123" s="51"/>
      <c r="D123" s="51"/>
      <c r="E123" s="51"/>
      <c r="F123" s="2"/>
      <c r="G123" s="2"/>
      <c r="H123" s="2"/>
      <c r="I123" s="2"/>
      <c r="J123" s="2"/>
    </row>
    <row r="124" spans="1:10" ht="12.75">
      <c r="A124" s="1"/>
      <c r="B124" s="1"/>
      <c r="C124" s="51"/>
      <c r="D124" s="51"/>
      <c r="E124" s="51"/>
      <c r="F124" s="2"/>
      <c r="G124" s="2"/>
      <c r="H124" s="2"/>
      <c r="I124" s="2"/>
      <c r="J124" s="2"/>
    </row>
    <row r="125" spans="1:10" ht="12.75">
      <c r="A125" s="1"/>
      <c r="B125" s="1"/>
      <c r="C125" s="51"/>
      <c r="D125" s="51"/>
      <c r="E125" s="51"/>
      <c r="F125" s="2"/>
      <c r="G125" s="2"/>
      <c r="H125" s="2"/>
      <c r="I125" s="2"/>
      <c r="J125" s="2"/>
    </row>
    <row r="126" spans="1:10" ht="12.75">
      <c r="A126" s="1"/>
      <c r="B126" s="1"/>
      <c r="C126" s="51"/>
      <c r="D126" s="51"/>
      <c r="E126" s="51"/>
      <c r="F126" s="2"/>
      <c r="G126" s="2"/>
      <c r="H126" s="2"/>
      <c r="I126" s="2"/>
      <c r="J126" s="2"/>
    </row>
    <row r="127" spans="1:10" ht="12.75">
      <c r="A127" s="1"/>
      <c r="B127" s="1"/>
      <c r="C127" s="51"/>
      <c r="D127" s="51"/>
      <c r="E127" s="51"/>
      <c r="F127" s="2"/>
      <c r="G127" s="2"/>
      <c r="H127" s="2"/>
      <c r="I127" s="2"/>
      <c r="J127" s="2"/>
    </row>
    <row r="128" spans="1:10" ht="12.75">
      <c r="A128" s="1"/>
      <c r="B128" s="1"/>
      <c r="C128" s="51"/>
      <c r="D128" s="51"/>
      <c r="E128" s="51"/>
      <c r="F128" s="2"/>
      <c r="G128" s="2"/>
      <c r="H128" s="2"/>
      <c r="I128" s="2"/>
      <c r="J128" s="2"/>
    </row>
    <row r="129" spans="1:10" ht="12.75">
      <c r="A129" s="1"/>
      <c r="B129" s="1"/>
      <c r="C129" s="51"/>
      <c r="D129" s="51"/>
      <c r="E129" s="51"/>
      <c r="F129" s="2"/>
      <c r="G129" s="2"/>
      <c r="H129" s="2"/>
      <c r="I129" s="2"/>
      <c r="J129" s="2"/>
    </row>
    <row r="130" spans="1:10" ht="12.75">
      <c r="A130" s="1"/>
      <c r="B130" s="1"/>
      <c r="C130" s="51"/>
      <c r="D130" s="51"/>
      <c r="E130" s="51"/>
      <c r="F130" s="2"/>
      <c r="G130" s="2"/>
      <c r="H130" s="2"/>
      <c r="I130" s="2"/>
      <c r="J130" s="2"/>
    </row>
    <row r="131" spans="1:10" ht="12.75">
      <c r="A131" s="1"/>
      <c r="B131" s="1"/>
      <c r="C131" s="51"/>
      <c r="D131" s="51"/>
      <c r="E131" s="51"/>
      <c r="F131" s="2"/>
      <c r="G131" s="2"/>
      <c r="H131" s="2"/>
      <c r="I131" s="2"/>
      <c r="J131" s="2"/>
    </row>
    <row r="132" spans="1:10" ht="12.75">
      <c r="A132" s="1"/>
      <c r="B132" s="1"/>
      <c r="C132" s="51"/>
      <c r="D132" s="51"/>
      <c r="E132" s="51"/>
      <c r="F132" s="2"/>
      <c r="G132" s="2"/>
      <c r="H132" s="2"/>
      <c r="I132" s="2"/>
      <c r="J132" s="2"/>
    </row>
    <row r="133" spans="1:10" ht="12.75">
      <c r="A133" s="1"/>
      <c r="B133" s="1"/>
      <c r="C133" s="51"/>
      <c r="D133" s="51"/>
      <c r="E133" s="51"/>
      <c r="F133" s="2"/>
      <c r="G133" s="2"/>
      <c r="H133" s="2"/>
      <c r="I133" s="2"/>
      <c r="J133" s="2"/>
    </row>
    <row r="134" spans="1:10" ht="12.75">
      <c r="A134" s="1"/>
      <c r="B134" s="1"/>
      <c r="C134" s="51"/>
      <c r="D134" s="51"/>
      <c r="E134" s="51"/>
      <c r="F134" s="2"/>
      <c r="G134" s="2"/>
      <c r="H134" s="2"/>
      <c r="I134" s="2"/>
      <c r="J134" s="2"/>
    </row>
    <row r="135" spans="1:10" ht="12.75">
      <c r="A135" s="1"/>
      <c r="B135" s="1"/>
      <c r="C135" s="51"/>
      <c r="D135" s="51"/>
      <c r="E135" s="51"/>
      <c r="F135" s="2"/>
      <c r="G135" s="2"/>
      <c r="H135" s="2"/>
      <c r="I135" s="2"/>
      <c r="J135" s="2"/>
    </row>
    <row r="136" spans="1:10" ht="12.75">
      <c r="A136" s="1"/>
      <c r="B136" s="1"/>
      <c r="C136" s="51"/>
      <c r="D136" s="51"/>
      <c r="E136" s="51"/>
      <c r="F136" s="2"/>
      <c r="G136" s="2"/>
      <c r="H136" s="2"/>
      <c r="I136" s="2"/>
      <c r="J136" s="2"/>
    </row>
    <row r="137" spans="1:10" ht="12.75">
      <c r="A137" s="1"/>
      <c r="B137" s="1"/>
      <c r="C137" s="51"/>
      <c r="D137" s="51"/>
      <c r="E137" s="51"/>
      <c r="F137" s="2"/>
      <c r="G137" s="2"/>
      <c r="H137" s="2"/>
      <c r="I137" s="2"/>
      <c r="J137" s="2"/>
    </row>
    <row r="138" spans="1:10" ht="12.75">
      <c r="A138" s="1"/>
      <c r="B138" s="1"/>
      <c r="C138" s="51"/>
      <c r="D138" s="51"/>
      <c r="E138" s="51"/>
      <c r="F138" s="2"/>
      <c r="G138" s="2"/>
      <c r="H138" s="2"/>
      <c r="I138" s="2"/>
      <c r="J138" s="2"/>
    </row>
    <row r="139" spans="1:10" ht="12.75">
      <c r="A139" s="1"/>
      <c r="B139" s="1"/>
      <c r="C139" s="51"/>
      <c r="D139" s="51"/>
      <c r="E139" s="51"/>
      <c r="F139" s="2"/>
      <c r="G139" s="2"/>
      <c r="H139" s="2"/>
      <c r="I139" s="2"/>
      <c r="J139" s="2"/>
    </row>
    <row r="140" spans="1:10" ht="12.75">
      <c r="A140" s="1"/>
      <c r="B140" s="1"/>
      <c r="C140" s="51"/>
      <c r="D140" s="51"/>
      <c r="E140" s="51"/>
      <c r="F140" s="2"/>
      <c r="G140" s="2"/>
      <c r="H140" s="2"/>
      <c r="I140" s="2"/>
      <c r="J140" s="2"/>
    </row>
    <row r="141" spans="1:10" ht="12.75">
      <c r="A141" s="1"/>
      <c r="B141" s="1"/>
      <c r="C141" s="51"/>
      <c r="D141" s="51"/>
      <c r="E141" s="51"/>
      <c r="F141" s="2"/>
      <c r="G141" s="2"/>
      <c r="H141" s="2"/>
      <c r="I141" s="2"/>
      <c r="J141" s="2"/>
    </row>
    <row r="142" spans="1:10" ht="12.75">
      <c r="A142" s="1"/>
      <c r="B142" s="1"/>
      <c r="C142" s="51"/>
      <c r="D142" s="51"/>
      <c r="E142" s="51"/>
      <c r="F142" s="2"/>
      <c r="G142" s="2"/>
      <c r="H142" s="2"/>
      <c r="I142" s="2"/>
      <c r="J142" s="2"/>
    </row>
    <row r="143" spans="1:10" ht="12.75">
      <c r="A143" s="1"/>
      <c r="B143" s="1"/>
      <c r="C143" s="51"/>
      <c r="D143" s="51"/>
      <c r="E143" s="51"/>
      <c r="F143" s="2"/>
      <c r="G143" s="2"/>
      <c r="H143" s="2"/>
      <c r="I143" s="2"/>
      <c r="J143" s="2"/>
    </row>
    <row r="144" spans="1:10" ht="12.75">
      <c r="A144" s="1"/>
      <c r="B144" s="1"/>
      <c r="C144" s="51"/>
      <c r="D144" s="51"/>
      <c r="E144" s="51"/>
      <c r="F144" s="2"/>
      <c r="G144" s="2"/>
      <c r="H144" s="2"/>
      <c r="I144" s="2"/>
      <c r="J144" s="2"/>
    </row>
    <row r="145" spans="1:10" ht="12.75">
      <c r="A145" s="1"/>
      <c r="B145" s="1"/>
      <c r="C145" s="51"/>
      <c r="D145" s="51"/>
      <c r="E145" s="51"/>
      <c r="F145" s="2"/>
      <c r="G145" s="2"/>
      <c r="H145" s="2"/>
      <c r="I145" s="2"/>
      <c r="J145" s="2"/>
    </row>
    <row r="146" spans="1:10" ht="12.75">
      <c r="A146" s="1"/>
      <c r="B146" s="1"/>
      <c r="C146" s="51"/>
      <c r="D146" s="51"/>
      <c r="E146" s="51"/>
      <c r="F146" s="2"/>
      <c r="G146" s="2"/>
      <c r="H146" s="2"/>
      <c r="I146" s="2"/>
      <c r="J146" s="2"/>
    </row>
    <row r="147" spans="1:10" ht="12.75">
      <c r="A147" s="1"/>
      <c r="B147" s="1"/>
      <c r="C147" s="51"/>
      <c r="D147" s="51"/>
      <c r="E147" s="51"/>
      <c r="F147" s="2"/>
      <c r="G147" s="2"/>
      <c r="H147" s="2"/>
      <c r="I147" s="2"/>
      <c r="J147" s="2"/>
    </row>
    <row r="148" spans="1:10" ht="12.75">
      <c r="A148" s="1"/>
      <c r="B148" s="1"/>
      <c r="C148" s="51"/>
      <c r="D148" s="51"/>
      <c r="E148" s="51"/>
      <c r="F148" s="2"/>
      <c r="G148" s="2"/>
      <c r="H148" s="2"/>
      <c r="I148" s="2"/>
      <c r="J148" s="2"/>
    </row>
    <row r="149" spans="1:10" ht="12.75">
      <c r="A149" s="1"/>
      <c r="B149" s="1"/>
      <c r="C149" s="51"/>
      <c r="D149" s="51"/>
      <c r="E149" s="51"/>
      <c r="F149" s="2"/>
      <c r="G149" s="2"/>
      <c r="H149" s="2"/>
      <c r="I149" s="2"/>
      <c r="J149" s="2"/>
    </row>
    <row r="150" spans="1:10" ht="12.75">
      <c r="A150" s="1"/>
      <c r="B150" s="1"/>
      <c r="C150" s="51"/>
      <c r="D150" s="51"/>
      <c r="E150" s="51"/>
      <c r="F150" s="2"/>
      <c r="G150" s="2"/>
      <c r="H150" s="2"/>
      <c r="I150" s="2"/>
      <c r="J150" s="2"/>
    </row>
    <row r="151" spans="1:10" ht="12.75">
      <c r="A151" s="1"/>
      <c r="B151" s="1"/>
      <c r="C151" s="51"/>
      <c r="D151" s="51"/>
      <c r="E151" s="51"/>
      <c r="F151" s="2"/>
      <c r="G151" s="2"/>
      <c r="H151" s="2"/>
      <c r="I151" s="2"/>
      <c r="J151" s="2"/>
    </row>
    <row r="152" spans="1:10" ht="12.75">
      <c r="A152" s="1"/>
      <c r="B152" s="1"/>
      <c r="C152" s="51"/>
      <c r="D152" s="51"/>
      <c r="E152" s="51"/>
      <c r="F152" s="2"/>
      <c r="G152" s="2"/>
      <c r="H152" s="2"/>
      <c r="I152" s="2"/>
      <c r="J152" s="2"/>
    </row>
    <row r="153" spans="1:10" ht="12.75">
      <c r="A153" s="1"/>
      <c r="B153" s="1"/>
      <c r="C153" s="51"/>
      <c r="D153" s="51"/>
      <c r="E153" s="51"/>
      <c r="F153" s="2"/>
      <c r="G153" s="2"/>
      <c r="H153" s="2"/>
      <c r="I153" s="2"/>
      <c r="J153" s="2"/>
    </row>
    <row r="154" spans="1:10" ht="12.75">
      <c r="A154" s="1"/>
      <c r="B154" s="1"/>
      <c r="C154" s="51"/>
      <c r="D154" s="51"/>
      <c r="E154" s="51"/>
      <c r="F154" s="2"/>
      <c r="G154" s="2"/>
      <c r="H154" s="2"/>
      <c r="I154" s="2"/>
      <c r="J154" s="2"/>
    </row>
    <row r="155" spans="1:10" ht="12.75">
      <c r="A155" s="1"/>
      <c r="B155" s="1"/>
      <c r="C155" s="51"/>
      <c r="D155" s="51"/>
      <c r="E155" s="51"/>
      <c r="F155" s="2"/>
      <c r="G155" s="2"/>
      <c r="H155" s="2"/>
      <c r="I155" s="2"/>
      <c r="J155" s="2"/>
    </row>
    <row r="156" spans="1:10" ht="12.75">
      <c r="A156" s="1"/>
      <c r="B156" s="1"/>
      <c r="C156" s="51"/>
      <c r="D156" s="51"/>
      <c r="E156" s="51"/>
      <c r="F156" s="2"/>
      <c r="G156" s="2"/>
      <c r="H156" s="2"/>
      <c r="I156" s="2"/>
      <c r="J156" s="2"/>
    </row>
    <row r="157" spans="1:10" ht="12.75">
      <c r="A157" s="1"/>
      <c r="B157" s="1"/>
      <c r="C157" s="51"/>
      <c r="D157" s="51"/>
      <c r="E157" s="51"/>
      <c r="F157" s="2"/>
      <c r="G157" s="2"/>
      <c r="H157" s="2"/>
      <c r="I157" s="2"/>
      <c r="J157" s="2"/>
    </row>
    <row r="158" spans="1:10" ht="12.75">
      <c r="A158" s="1"/>
      <c r="B158" s="1"/>
      <c r="C158" s="51"/>
      <c r="D158" s="51"/>
      <c r="E158" s="51"/>
      <c r="F158" s="2"/>
      <c r="G158" s="2"/>
      <c r="H158" s="2"/>
      <c r="I158" s="2"/>
      <c r="J158" s="2"/>
    </row>
    <row r="159" spans="1:10" ht="12.75">
      <c r="A159" s="1"/>
      <c r="B159" s="1"/>
      <c r="C159" s="51"/>
      <c r="D159" s="51"/>
      <c r="E159" s="51"/>
      <c r="F159" s="2"/>
      <c r="G159" s="2"/>
      <c r="H159" s="2"/>
      <c r="I159" s="2"/>
      <c r="J159" s="2"/>
    </row>
    <row r="160" spans="1:10" ht="12.75">
      <c r="A160" s="1"/>
      <c r="B160" s="1"/>
      <c r="C160" s="51"/>
      <c r="D160" s="51"/>
      <c r="E160" s="51"/>
      <c r="F160" s="2"/>
      <c r="G160" s="2"/>
      <c r="H160" s="2"/>
      <c r="I160" s="2"/>
      <c r="J160" s="2"/>
    </row>
    <row r="161" spans="1:10" ht="12.75">
      <c r="A161" s="1"/>
      <c r="B161" s="1"/>
      <c r="C161" s="51"/>
      <c r="D161" s="51"/>
      <c r="E161" s="51"/>
      <c r="F161" s="2"/>
      <c r="G161" s="2"/>
      <c r="H161" s="2"/>
      <c r="I161" s="2"/>
      <c r="J161" s="2"/>
    </row>
    <row r="162" spans="1:10" ht="12.75">
      <c r="A162" s="1"/>
      <c r="B162" s="1"/>
      <c r="C162" s="51"/>
      <c r="D162" s="51"/>
      <c r="E162" s="51"/>
      <c r="F162" s="2"/>
      <c r="G162" s="2"/>
      <c r="H162" s="2"/>
      <c r="I162" s="2"/>
      <c r="J162" s="2"/>
    </row>
    <row r="163" spans="1:10" ht="12.75">
      <c r="A163" s="1"/>
      <c r="B163" s="1"/>
      <c r="C163" s="51"/>
      <c r="D163" s="51"/>
      <c r="E163" s="51"/>
      <c r="F163" s="2"/>
      <c r="G163" s="2"/>
      <c r="H163" s="2"/>
      <c r="I163" s="2"/>
      <c r="J163" s="2"/>
    </row>
    <row r="164" spans="1:10" ht="12.75">
      <c r="A164" s="1"/>
      <c r="B164" s="1"/>
      <c r="C164" s="51"/>
      <c r="D164" s="51"/>
      <c r="E164" s="51"/>
      <c r="F164" s="2"/>
      <c r="G164" s="2"/>
      <c r="H164" s="2"/>
      <c r="I164" s="2"/>
      <c r="J164" s="2"/>
    </row>
    <row r="165" spans="1:10" ht="12.75">
      <c r="A165" s="1"/>
      <c r="B165" s="1"/>
      <c r="C165" s="51"/>
      <c r="D165" s="51"/>
      <c r="E165" s="51"/>
      <c r="F165" s="2"/>
      <c r="G165" s="2"/>
      <c r="H165" s="2"/>
      <c r="I165" s="2"/>
      <c r="J165" s="2"/>
    </row>
    <row r="166" spans="1:10" ht="12.75">
      <c r="A166" s="1"/>
      <c r="B166" s="1"/>
      <c r="C166" s="51"/>
      <c r="D166" s="51"/>
      <c r="E166" s="51"/>
      <c r="F166" s="2"/>
      <c r="G166" s="2"/>
      <c r="H166" s="2"/>
      <c r="I166" s="2"/>
      <c r="J166" s="2"/>
    </row>
    <row r="167" spans="1:10" ht="12.75">
      <c r="A167" s="1"/>
      <c r="B167" s="1"/>
      <c r="C167" s="51"/>
      <c r="D167" s="51"/>
      <c r="E167" s="51"/>
      <c r="F167" s="2"/>
      <c r="G167" s="2"/>
      <c r="H167" s="2"/>
      <c r="I167" s="2"/>
      <c r="J167" s="2"/>
    </row>
    <row r="168" spans="1:10" ht="12.75">
      <c r="A168" s="1"/>
      <c r="B168" s="1"/>
      <c r="C168" s="51"/>
      <c r="D168" s="51"/>
      <c r="E168" s="51"/>
      <c r="F168" s="2"/>
      <c r="G168" s="2"/>
      <c r="H168" s="2"/>
      <c r="I168" s="2"/>
      <c r="J168" s="2"/>
    </row>
    <row r="169" spans="1:10" ht="12.75">
      <c r="A169" s="1"/>
      <c r="B169" s="1"/>
      <c r="C169" s="51"/>
      <c r="D169" s="51"/>
      <c r="E169" s="51"/>
      <c r="F169" s="2"/>
      <c r="G169" s="2"/>
      <c r="H169" s="2"/>
      <c r="I169" s="2"/>
      <c r="J169" s="2"/>
    </row>
    <row r="170" spans="1:10" ht="12.75">
      <c r="A170" s="1"/>
      <c r="B170" s="1"/>
      <c r="C170" s="51"/>
      <c r="D170" s="51"/>
      <c r="E170" s="51"/>
      <c r="F170" s="2"/>
      <c r="G170" s="2"/>
      <c r="H170" s="2"/>
      <c r="I170" s="2"/>
      <c r="J170" s="2"/>
    </row>
    <row r="171" spans="1:10" ht="12.75">
      <c r="A171" s="1"/>
      <c r="B171" s="1"/>
      <c r="C171" s="51"/>
      <c r="D171" s="51"/>
      <c r="E171" s="51"/>
      <c r="F171" s="2"/>
      <c r="G171" s="2"/>
      <c r="H171" s="2"/>
      <c r="I171" s="2"/>
      <c r="J171" s="2"/>
    </row>
    <row r="172" spans="1:10" ht="12.75">
      <c r="A172" s="1"/>
      <c r="B172" s="1"/>
      <c r="C172" s="51"/>
      <c r="D172" s="51"/>
      <c r="E172" s="51"/>
      <c r="F172" s="2"/>
      <c r="G172" s="2"/>
      <c r="H172" s="2"/>
      <c r="I172" s="2"/>
      <c r="J172" s="2"/>
    </row>
    <row r="173" spans="1:10" ht="12.75">
      <c r="A173" s="1"/>
      <c r="B173" s="1"/>
      <c r="C173" s="51"/>
      <c r="D173" s="51"/>
      <c r="E173" s="51"/>
      <c r="F173" s="2"/>
      <c r="G173" s="2"/>
      <c r="H173" s="2"/>
      <c r="I173" s="2"/>
      <c r="J173" s="2"/>
    </row>
    <row r="174" spans="1:10" ht="12.75">
      <c r="A174" s="1"/>
      <c r="B174" s="1"/>
      <c r="C174" s="51"/>
      <c r="D174" s="51"/>
      <c r="E174" s="51"/>
      <c r="F174" s="2"/>
      <c r="G174" s="2"/>
      <c r="H174" s="2"/>
      <c r="I174" s="2"/>
      <c r="J174" s="2"/>
    </row>
    <row r="175" spans="1:10" ht="12.75">
      <c r="A175" s="1"/>
      <c r="B175" s="1"/>
      <c r="C175" s="51"/>
      <c r="D175" s="51"/>
      <c r="E175" s="51"/>
      <c r="F175" s="2"/>
      <c r="G175" s="2"/>
      <c r="H175" s="2"/>
      <c r="I175" s="2"/>
      <c r="J175" s="2"/>
    </row>
    <row r="176" spans="1:10" ht="12.75">
      <c r="A176" s="1"/>
      <c r="B176" s="1"/>
      <c r="C176" s="51"/>
      <c r="D176" s="51"/>
      <c r="E176" s="51"/>
      <c r="F176" s="2"/>
      <c r="G176" s="2"/>
      <c r="H176" s="2"/>
      <c r="I176" s="2"/>
      <c r="J176" s="2"/>
    </row>
    <row r="177" spans="1:10" ht="12.75">
      <c r="A177" s="1"/>
      <c r="B177" s="1"/>
      <c r="C177" s="51"/>
      <c r="D177" s="51"/>
      <c r="E177" s="51"/>
      <c r="F177" s="2"/>
      <c r="G177" s="2"/>
      <c r="H177" s="2"/>
      <c r="I177" s="2"/>
      <c r="J177" s="2"/>
    </row>
    <row r="178" spans="1:10" ht="12.75">
      <c r="A178" s="1"/>
      <c r="B178" s="1"/>
      <c r="C178" s="51"/>
      <c r="D178" s="51"/>
      <c r="E178" s="51"/>
      <c r="F178" s="2"/>
      <c r="G178" s="2"/>
      <c r="H178" s="2"/>
      <c r="I178" s="2"/>
      <c r="J178" s="2"/>
    </row>
    <row r="179" spans="1:10" ht="12.75">
      <c r="A179" s="1"/>
      <c r="B179" s="1"/>
      <c r="C179" s="51"/>
      <c r="D179" s="51"/>
      <c r="E179" s="51"/>
      <c r="F179" s="2"/>
      <c r="G179" s="2"/>
      <c r="H179" s="2"/>
      <c r="I179" s="2"/>
      <c r="J179" s="2"/>
    </row>
    <row r="180" spans="1:10" ht="12.75">
      <c r="A180" s="1"/>
      <c r="B180" s="1"/>
      <c r="C180" s="51"/>
      <c r="D180" s="51"/>
      <c r="E180" s="51"/>
      <c r="F180" s="2"/>
      <c r="G180" s="2"/>
      <c r="H180" s="2"/>
      <c r="I180" s="2"/>
      <c r="J180" s="2"/>
    </row>
    <row r="181" spans="1:10" ht="12.75">
      <c r="A181" s="1"/>
      <c r="B181" s="1"/>
      <c r="C181" s="51"/>
      <c r="D181" s="51"/>
      <c r="E181" s="51"/>
      <c r="F181" s="2"/>
      <c r="G181" s="2"/>
      <c r="H181" s="2"/>
      <c r="I181" s="2"/>
      <c r="J181" s="2"/>
    </row>
    <row r="182" spans="1:10" ht="12.75">
      <c r="A182" s="1"/>
      <c r="B182" s="1"/>
      <c r="C182" s="51"/>
      <c r="D182" s="51"/>
      <c r="E182" s="51"/>
      <c r="F182" s="2"/>
      <c r="G182" s="2"/>
      <c r="H182" s="2"/>
      <c r="I182" s="2"/>
      <c r="J182" s="2"/>
    </row>
    <row r="183" spans="1:10" ht="12.75">
      <c r="A183" s="1"/>
      <c r="B183" s="1"/>
      <c r="C183" s="51"/>
      <c r="D183" s="51"/>
      <c r="E183" s="51"/>
      <c r="F183" s="2"/>
      <c r="G183" s="2"/>
      <c r="H183" s="2"/>
      <c r="I183" s="2"/>
      <c r="J183" s="2"/>
    </row>
    <row r="184" spans="1:10" ht="12.75">
      <c r="A184" s="1"/>
      <c r="B184" s="1"/>
      <c r="C184" s="51"/>
      <c r="D184" s="51"/>
      <c r="E184" s="51"/>
      <c r="F184" s="2"/>
      <c r="G184" s="2"/>
      <c r="H184" s="2"/>
      <c r="I184" s="2"/>
      <c r="J184" s="2"/>
    </row>
    <row r="185" spans="1:10" ht="12.75">
      <c r="A185" s="1"/>
      <c r="B185" s="1"/>
      <c r="C185" s="51"/>
      <c r="D185" s="51"/>
      <c r="E185" s="51"/>
      <c r="F185" s="2"/>
      <c r="G185" s="2"/>
      <c r="H185" s="2"/>
      <c r="I185" s="2"/>
      <c r="J185" s="2"/>
    </row>
    <row r="186" spans="1:10" ht="12.75">
      <c r="A186" s="1"/>
      <c r="B186" s="1"/>
      <c r="C186" s="51"/>
      <c r="D186" s="51"/>
      <c r="E186" s="51"/>
      <c r="F186" s="2"/>
      <c r="G186" s="2"/>
      <c r="H186" s="2"/>
      <c r="I186" s="2"/>
      <c r="J186" s="2"/>
    </row>
    <row r="187" spans="1:10" ht="12.75">
      <c r="A187" s="1"/>
      <c r="B187" s="1"/>
      <c r="C187" s="51"/>
      <c r="D187" s="51"/>
      <c r="E187" s="51"/>
      <c r="F187" s="2"/>
      <c r="G187" s="2"/>
      <c r="H187" s="2"/>
      <c r="I187" s="2"/>
      <c r="J187" s="2"/>
    </row>
    <row r="188" spans="1:10" ht="12.75">
      <c r="A188" s="1"/>
      <c r="B188" s="1"/>
      <c r="C188" s="51"/>
      <c r="D188" s="51"/>
      <c r="E188" s="51"/>
      <c r="F188" s="2"/>
      <c r="G188" s="2"/>
      <c r="H188" s="2"/>
      <c r="I188" s="2"/>
      <c r="J188" s="2"/>
    </row>
    <row r="189" spans="1:10" ht="12.75">
      <c r="A189" s="1"/>
      <c r="B189" s="1"/>
      <c r="C189" s="51"/>
      <c r="D189" s="51"/>
      <c r="E189" s="51"/>
      <c r="F189" s="2"/>
      <c r="G189" s="2"/>
      <c r="H189" s="2"/>
      <c r="I189" s="2"/>
      <c r="J189" s="2"/>
    </row>
    <row r="190" spans="1:10" ht="12.75">
      <c r="A190" s="1"/>
      <c r="B190" s="1"/>
      <c r="C190" s="51"/>
      <c r="D190" s="51"/>
      <c r="E190" s="51"/>
      <c r="F190" s="2"/>
      <c r="G190" s="2"/>
      <c r="H190" s="2"/>
      <c r="I190" s="2"/>
      <c r="J190" s="2"/>
    </row>
    <row r="191" spans="1:10" ht="12.75">
      <c r="A191" s="1"/>
      <c r="B191" s="1"/>
      <c r="C191" s="51"/>
      <c r="D191" s="51"/>
      <c r="E191" s="51"/>
      <c r="F191" s="2"/>
      <c r="G191" s="2"/>
      <c r="H191" s="2"/>
      <c r="I191" s="2"/>
      <c r="J191" s="2"/>
    </row>
    <row r="192" spans="1:10" ht="12.75">
      <c r="A192" s="1"/>
      <c r="B192" s="1"/>
      <c r="C192" s="51"/>
      <c r="D192" s="51"/>
      <c r="E192" s="51"/>
      <c r="F192" s="2"/>
      <c r="G192" s="2"/>
      <c r="H192" s="2"/>
      <c r="I192" s="2"/>
      <c r="J192" s="2"/>
    </row>
    <row r="193" spans="1:10" ht="12.75">
      <c r="A193" s="1"/>
      <c r="B193" s="1"/>
      <c r="C193" s="51"/>
      <c r="D193" s="51"/>
      <c r="E193" s="51"/>
      <c r="F193" s="2"/>
      <c r="G193" s="2"/>
      <c r="H193" s="2"/>
      <c r="I193" s="2"/>
      <c r="J193" s="2"/>
    </row>
    <row r="194" spans="1:10" ht="12.75">
      <c r="A194" s="1"/>
      <c r="B194" s="1"/>
      <c r="C194" s="51"/>
      <c r="D194" s="51"/>
      <c r="E194" s="51"/>
      <c r="F194" s="2"/>
      <c r="G194" s="2"/>
      <c r="H194" s="2"/>
      <c r="I194" s="2"/>
      <c r="J194" s="2"/>
    </row>
    <row r="195" spans="1:10" ht="12.75">
      <c r="A195" s="1"/>
      <c r="B195" s="1"/>
      <c r="C195" s="51"/>
      <c r="D195" s="51"/>
      <c r="E195" s="51"/>
      <c r="F195" s="2"/>
      <c r="G195" s="2"/>
      <c r="H195" s="2"/>
      <c r="I195" s="2"/>
      <c r="J195" s="2"/>
    </row>
    <row r="196" spans="1:10" ht="12.75">
      <c r="A196" s="1"/>
      <c r="B196" s="1"/>
      <c r="C196" s="51"/>
      <c r="D196" s="51"/>
      <c r="E196" s="51"/>
      <c r="F196" s="2"/>
      <c r="G196" s="2"/>
      <c r="H196" s="2"/>
      <c r="I196" s="2"/>
      <c r="J196" s="2"/>
    </row>
    <row r="197" spans="1:10" ht="12.75">
      <c r="A197" s="1"/>
      <c r="B197" s="1"/>
      <c r="C197" s="51"/>
      <c r="D197" s="51"/>
      <c r="E197" s="51"/>
      <c r="F197" s="2"/>
      <c r="G197" s="2"/>
      <c r="H197" s="2"/>
      <c r="I197" s="2"/>
      <c r="J197" s="2"/>
    </row>
    <row r="198" spans="1:10" ht="12.75">
      <c r="A198" s="1"/>
      <c r="B198" s="1"/>
      <c r="C198" s="51"/>
      <c r="D198" s="51"/>
      <c r="E198" s="51"/>
      <c r="F198" s="2"/>
      <c r="G198" s="2"/>
      <c r="H198" s="2"/>
      <c r="I198" s="2"/>
      <c r="J198" s="2"/>
    </row>
    <row r="199" spans="1:10" ht="12.75">
      <c r="A199" s="1"/>
      <c r="B199" s="1"/>
      <c r="C199" s="51"/>
      <c r="D199" s="51"/>
      <c r="E199" s="51"/>
      <c r="F199" s="2"/>
      <c r="G199" s="2"/>
      <c r="H199" s="2"/>
      <c r="I199" s="2"/>
      <c r="J199" s="2"/>
    </row>
    <row r="200" spans="1:10" ht="12.75">
      <c r="A200" s="1"/>
      <c r="B200" s="1"/>
      <c r="C200" s="51"/>
      <c r="D200" s="51"/>
      <c r="E200" s="51"/>
      <c r="F200" s="2"/>
      <c r="G200" s="2"/>
      <c r="H200" s="2"/>
      <c r="I200" s="2"/>
      <c r="J200" s="2"/>
    </row>
    <row r="201" spans="1:10" ht="12.75">
      <c r="A201" s="1"/>
      <c r="B201" s="1"/>
      <c r="C201" s="51"/>
      <c r="D201" s="51"/>
      <c r="E201" s="51"/>
      <c r="F201" s="2"/>
      <c r="G201" s="2"/>
      <c r="H201" s="2"/>
      <c r="I201" s="2"/>
      <c r="J201" s="2"/>
    </row>
    <row r="202" spans="1:10" ht="12.75">
      <c r="A202" s="1"/>
      <c r="B202" s="1"/>
      <c r="C202" s="51"/>
      <c r="D202" s="51"/>
      <c r="E202" s="51"/>
      <c r="F202" s="2"/>
      <c r="G202" s="2"/>
      <c r="H202" s="2"/>
      <c r="I202" s="2"/>
      <c r="J202" s="2"/>
    </row>
    <row r="203" spans="1:10" ht="12.75">
      <c r="A203" s="1"/>
      <c r="B203" s="1"/>
      <c r="C203" s="51"/>
      <c r="D203" s="51"/>
      <c r="E203" s="51"/>
      <c r="F203" s="2"/>
      <c r="G203" s="2"/>
      <c r="H203" s="2"/>
      <c r="I203" s="2"/>
      <c r="J203" s="2"/>
    </row>
    <row r="204" spans="1:10" ht="12.75">
      <c r="A204" s="1"/>
      <c r="B204" s="1"/>
      <c r="C204" s="51"/>
      <c r="D204" s="51"/>
      <c r="E204" s="51"/>
      <c r="F204" s="2"/>
      <c r="G204" s="2"/>
      <c r="H204" s="2"/>
      <c r="I204" s="2"/>
      <c r="J204" s="2"/>
    </row>
    <row r="205" spans="1:10" ht="12.75">
      <c r="A205" s="1"/>
      <c r="B205" s="1"/>
      <c r="C205" s="51"/>
      <c r="D205" s="51"/>
      <c r="E205" s="51"/>
      <c r="F205" s="2"/>
      <c r="G205" s="2"/>
      <c r="H205" s="2"/>
      <c r="I205" s="2"/>
      <c r="J205" s="2"/>
    </row>
    <row r="206" spans="1:10" ht="12.75">
      <c r="A206" s="1"/>
      <c r="B206" s="1"/>
      <c r="C206" s="51"/>
      <c r="D206" s="51"/>
      <c r="E206" s="51"/>
      <c r="F206" s="2"/>
      <c r="G206" s="2"/>
      <c r="H206" s="2"/>
      <c r="I206" s="2"/>
      <c r="J206" s="2"/>
    </row>
    <row r="207" spans="1:10" ht="12.75">
      <c r="A207" s="1"/>
      <c r="B207" s="1"/>
      <c r="C207" s="51"/>
      <c r="D207" s="51"/>
      <c r="E207" s="51"/>
      <c r="F207" s="2"/>
      <c r="G207" s="2"/>
      <c r="H207" s="2"/>
      <c r="I207" s="2"/>
      <c r="J207" s="2"/>
    </row>
    <row r="208" spans="1:10" ht="12.75">
      <c r="A208" s="1"/>
      <c r="B208" s="1"/>
      <c r="C208" s="51"/>
      <c r="D208" s="51"/>
      <c r="E208" s="51"/>
      <c r="F208" s="2"/>
      <c r="G208" s="2"/>
      <c r="H208" s="2"/>
      <c r="I208" s="2"/>
      <c r="J208" s="2"/>
    </row>
    <row r="209" spans="1:10" ht="12.75">
      <c r="A209" s="1"/>
      <c r="B209" s="1"/>
      <c r="C209" s="51"/>
      <c r="D209" s="51"/>
      <c r="E209" s="51"/>
      <c r="F209" s="2"/>
      <c r="G209" s="2"/>
      <c r="H209" s="2"/>
      <c r="I209" s="2"/>
      <c r="J209" s="2"/>
    </row>
    <row r="210" spans="1:10" ht="12.75">
      <c r="A210" s="1"/>
      <c r="B210" s="1"/>
      <c r="C210" s="51"/>
      <c r="D210" s="51"/>
      <c r="E210" s="51"/>
      <c r="F210" s="2"/>
      <c r="G210" s="2"/>
      <c r="H210" s="2"/>
      <c r="I210" s="2"/>
      <c r="J210" s="2"/>
    </row>
    <row r="211" spans="1:10" ht="12.75">
      <c r="A211" s="1"/>
      <c r="B211" s="1"/>
      <c r="C211" s="51"/>
      <c r="D211" s="51"/>
      <c r="E211" s="51"/>
      <c r="F211" s="2"/>
      <c r="G211" s="2"/>
      <c r="H211" s="2"/>
      <c r="I211" s="2"/>
      <c r="J211" s="2"/>
    </row>
    <row r="212" spans="1:10" ht="12.75">
      <c r="A212" s="1"/>
      <c r="B212" s="1"/>
      <c r="C212" s="51"/>
      <c r="D212" s="51"/>
      <c r="E212" s="51"/>
      <c r="F212" s="2"/>
      <c r="G212" s="2"/>
      <c r="H212" s="2"/>
      <c r="I212" s="2"/>
      <c r="J212" s="2"/>
    </row>
    <row r="213" spans="1:10" ht="12.75">
      <c r="A213" s="1"/>
      <c r="B213" s="1"/>
      <c r="C213" s="51"/>
      <c r="D213" s="51"/>
      <c r="E213" s="51"/>
      <c r="F213" s="2"/>
      <c r="G213" s="2"/>
      <c r="H213" s="2"/>
      <c r="I213" s="2"/>
      <c r="J213" s="2"/>
    </row>
    <row r="214" spans="1:10" ht="12.75">
      <c r="A214" s="1"/>
      <c r="B214" s="1"/>
      <c r="C214" s="51"/>
      <c r="D214" s="51"/>
      <c r="E214" s="51"/>
      <c r="F214" s="2"/>
      <c r="G214" s="2"/>
      <c r="H214" s="2"/>
      <c r="I214" s="2"/>
      <c r="J214" s="2"/>
    </row>
    <row r="215" spans="1:10" ht="12.75">
      <c r="A215" s="1"/>
      <c r="B215" s="1"/>
      <c r="C215" s="51"/>
      <c r="D215" s="51"/>
      <c r="E215" s="51"/>
      <c r="F215" s="2"/>
      <c r="G215" s="2"/>
      <c r="H215" s="2"/>
      <c r="I215" s="2"/>
      <c r="J215" s="2"/>
    </row>
    <row r="216" spans="1:10" ht="12.75">
      <c r="A216" s="1"/>
      <c r="B216" s="1"/>
      <c r="C216" s="51"/>
      <c r="D216" s="51"/>
      <c r="E216" s="51"/>
      <c r="F216" s="2"/>
      <c r="G216" s="2"/>
      <c r="H216" s="2"/>
      <c r="I216" s="2"/>
      <c r="J216" s="2"/>
    </row>
    <row r="217" spans="1:10" ht="12.75">
      <c r="A217" s="1"/>
      <c r="B217" s="1"/>
      <c r="C217" s="51"/>
      <c r="D217" s="51"/>
      <c r="E217" s="51"/>
      <c r="F217" s="2"/>
      <c r="G217" s="2"/>
      <c r="H217" s="2"/>
      <c r="I217" s="2"/>
      <c r="J217" s="2"/>
    </row>
    <row r="218" spans="1:10" ht="12.75">
      <c r="A218" s="1"/>
      <c r="B218" s="1"/>
      <c r="C218" s="51"/>
      <c r="D218" s="51"/>
      <c r="E218" s="51"/>
      <c r="F218" s="2"/>
      <c r="G218" s="2"/>
      <c r="H218" s="2"/>
      <c r="I218" s="2"/>
      <c r="J218" s="2"/>
    </row>
    <row r="219" spans="1:10" ht="12.75">
      <c r="A219" s="1"/>
      <c r="B219" s="1"/>
      <c r="C219" s="51"/>
      <c r="D219" s="51"/>
      <c r="E219" s="51"/>
      <c r="F219" s="2"/>
      <c r="G219" s="2"/>
      <c r="H219" s="2"/>
      <c r="I219" s="2"/>
      <c r="J219" s="2"/>
    </row>
    <row r="220" spans="1:10" ht="12.75">
      <c r="A220" s="1"/>
      <c r="B220" s="1"/>
      <c r="C220" s="51"/>
      <c r="D220" s="51"/>
      <c r="E220" s="51"/>
      <c r="F220" s="2"/>
      <c r="G220" s="2"/>
      <c r="H220" s="2"/>
      <c r="I220" s="2"/>
      <c r="J220" s="2"/>
    </row>
    <row r="221" spans="1:10" ht="12.75">
      <c r="A221" s="1"/>
      <c r="B221" s="1"/>
      <c r="C221" s="51"/>
      <c r="D221" s="51"/>
      <c r="E221" s="51"/>
      <c r="F221" s="2"/>
      <c r="G221" s="2"/>
      <c r="H221" s="2"/>
      <c r="I221" s="2"/>
      <c r="J221" s="2"/>
    </row>
    <row r="222" spans="1:10" ht="12.75">
      <c r="A222" s="1"/>
      <c r="B222" s="1"/>
      <c r="C222" s="51"/>
      <c r="D222" s="51"/>
      <c r="E222" s="51"/>
      <c r="F222" s="2"/>
      <c r="G222" s="2"/>
      <c r="H222" s="2"/>
      <c r="I222" s="2"/>
      <c r="J222" s="2"/>
    </row>
    <row r="223" spans="1:10" ht="12.75">
      <c r="A223" s="1"/>
      <c r="B223" s="1"/>
      <c r="C223" s="51"/>
      <c r="D223" s="51"/>
      <c r="E223" s="51"/>
      <c r="F223" s="2"/>
      <c r="G223" s="2"/>
      <c r="H223" s="2"/>
      <c r="I223" s="2"/>
      <c r="J223" s="2"/>
    </row>
    <row r="224" spans="1:10" ht="12.75">
      <c r="A224" s="1"/>
      <c r="B224" s="1"/>
      <c r="C224" s="51"/>
      <c r="D224" s="51"/>
      <c r="E224" s="51"/>
      <c r="F224" s="2"/>
      <c r="G224" s="2"/>
      <c r="H224" s="2"/>
      <c r="I224" s="2"/>
      <c r="J224" s="2"/>
    </row>
    <row r="225" spans="1:10" ht="12.75">
      <c r="A225" s="1"/>
      <c r="B225" s="1"/>
      <c r="C225" s="51"/>
      <c r="D225" s="51"/>
      <c r="E225" s="51"/>
      <c r="F225" s="2"/>
      <c r="G225" s="2"/>
      <c r="H225" s="2"/>
      <c r="I225" s="2"/>
      <c r="J225" s="2"/>
    </row>
    <row r="226" spans="1:10" ht="12.75">
      <c r="A226" s="1"/>
      <c r="B226" s="1"/>
      <c r="C226" s="51"/>
      <c r="D226" s="51"/>
      <c r="E226" s="51"/>
      <c r="F226" s="2"/>
      <c r="G226" s="2"/>
      <c r="H226" s="2"/>
      <c r="I226" s="2"/>
      <c r="J226" s="2"/>
    </row>
    <row r="227" spans="1:10" ht="12.75">
      <c r="A227" s="1"/>
      <c r="B227" s="1"/>
      <c r="C227" s="51"/>
      <c r="D227" s="51"/>
      <c r="E227" s="51"/>
      <c r="F227" s="2"/>
      <c r="G227" s="2"/>
      <c r="H227" s="2"/>
      <c r="I227" s="2"/>
      <c r="J227" s="2"/>
    </row>
    <row r="228" spans="1:10" ht="12.75">
      <c r="A228" s="1"/>
      <c r="B228" s="1"/>
      <c r="C228" s="51"/>
      <c r="D228" s="51"/>
      <c r="E228" s="51"/>
      <c r="F228" s="2"/>
      <c r="G228" s="2"/>
      <c r="H228" s="2"/>
      <c r="I228" s="2"/>
      <c r="J228" s="2"/>
    </row>
    <row r="229" spans="1:10" ht="12.75">
      <c r="A229" s="1"/>
      <c r="B229" s="1"/>
      <c r="C229" s="51"/>
      <c r="D229" s="51"/>
      <c r="E229" s="51"/>
      <c r="F229" s="2"/>
      <c r="G229" s="2"/>
      <c r="H229" s="2"/>
      <c r="I229" s="2"/>
      <c r="J229" s="2"/>
    </row>
    <row r="230" spans="1:10" ht="12.75">
      <c r="A230" s="1"/>
      <c r="B230" s="1"/>
      <c r="C230" s="51"/>
      <c r="D230" s="51"/>
      <c r="E230" s="51"/>
      <c r="F230" s="2"/>
      <c r="G230" s="2"/>
      <c r="H230" s="2"/>
      <c r="I230" s="2"/>
      <c r="J230" s="2"/>
    </row>
    <row r="231" spans="1:10" ht="12.75">
      <c r="A231" s="1"/>
      <c r="B231" s="1"/>
      <c r="C231" s="51"/>
      <c r="D231" s="51"/>
      <c r="E231" s="51"/>
      <c r="F231" s="2"/>
      <c r="G231" s="2"/>
      <c r="H231" s="2"/>
      <c r="I231" s="2"/>
      <c r="J231" s="2"/>
    </row>
    <row r="232" spans="1:10" ht="12.75">
      <c r="A232" s="1"/>
      <c r="B232" s="1"/>
      <c r="C232" s="51"/>
      <c r="D232" s="51"/>
      <c r="E232" s="51"/>
      <c r="F232" s="2"/>
      <c r="G232" s="2"/>
      <c r="H232" s="2"/>
      <c r="I232" s="2"/>
      <c r="J232" s="2"/>
    </row>
    <row r="233" spans="1:10" ht="12.75">
      <c r="A233" s="1"/>
      <c r="B233" s="1"/>
      <c r="C233" s="51"/>
      <c r="D233" s="51"/>
      <c r="E233" s="51"/>
      <c r="F233" s="2"/>
      <c r="G233" s="2"/>
      <c r="H233" s="2"/>
      <c r="I233" s="2"/>
      <c r="J233" s="2"/>
    </row>
    <row r="234" spans="1:10" ht="12.75">
      <c r="A234" s="1"/>
      <c r="B234" s="1"/>
      <c r="C234" s="51"/>
      <c r="D234" s="51"/>
      <c r="E234" s="51"/>
      <c r="F234" s="2"/>
      <c r="G234" s="2"/>
      <c r="H234" s="2"/>
      <c r="I234" s="2"/>
      <c r="J234" s="2"/>
    </row>
    <row r="235" spans="1:10" ht="12.75">
      <c r="A235" s="1"/>
      <c r="B235" s="1"/>
      <c r="C235" s="51"/>
      <c r="D235" s="51"/>
      <c r="E235" s="51"/>
      <c r="F235" s="2"/>
      <c r="G235" s="2"/>
      <c r="H235" s="2"/>
      <c r="I235" s="2"/>
      <c r="J235" s="2"/>
    </row>
    <row r="236" spans="1:10" ht="12.75">
      <c r="A236" s="1"/>
      <c r="B236" s="1"/>
      <c r="C236" s="51"/>
      <c r="D236" s="51"/>
      <c r="E236" s="51"/>
      <c r="F236" s="2"/>
      <c r="G236" s="2"/>
      <c r="H236" s="2"/>
      <c r="I236" s="2"/>
      <c r="J236" s="2"/>
    </row>
    <row r="237" spans="1:10" ht="12.75">
      <c r="A237" s="1"/>
      <c r="B237" s="1"/>
      <c r="C237" s="51"/>
      <c r="D237" s="51"/>
      <c r="E237" s="51"/>
      <c r="F237" s="2"/>
      <c r="G237" s="2"/>
      <c r="H237" s="2"/>
      <c r="I237" s="2"/>
      <c r="J237" s="2"/>
    </row>
    <row r="238" spans="1:10" ht="12.75">
      <c r="A238" s="1"/>
      <c r="B238" s="1"/>
      <c r="C238" s="51"/>
      <c r="D238" s="51"/>
      <c r="E238" s="51"/>
      <c r="F238" s="2"/>
      <c r="G238" s="2"/>
      <c r="H238" s="2"/>
      <c r="I238" s="2"/>
      <c r="J238" s="2"/>
    </row>
    <row r="239" spans="1:10" ht="12.75">
      <c r="A239" s="1"/>
      <c r="B239" s="1"/>
      <c r="C239" s="51"/>
      <c r="D239" s="51"/>
      <c r="E239" s="51"/>
      <c r="F239" s="2"/>
      <c r="G239" s="2"/>
      <c r="H239" s="2"/>
      <c r="I239" s="2"/>
      <c r="J239" s="2"/>
    </row>
    <row r="240" spans="1:10" ht="12.75">
      <c r="A240" s="1"/>
      <c r="B240" s="1"/>
      <c r="C240" s="51"/>
      <c r="D240" s="51"/>
      <c r="E240" s="51"/>
      <c r="F240" s="2"/>
      <c r="G240" s="2"/>
      <c r="H240" s="2"/>
      <c r="I240" s="2"/>
      <c r="J240" s="2"/>
    </row>
    <row r="241" spans="1:10" ht="12.75">
      <c r="A241" s="1"/>
      <c r="B241" s="1"/>
      <c r="C241" s="51"/>
      <c r="D241" s="51"/>
      <c r="E241" s="51"/>
      <c r="F241" s="2"/>
      <c r="G241" s="2"/>
      <c r="H241" s="2"/>
      <c r="I241" s="2"/>
      <c r="J241" s="2"/>
    </row>
    <row r="242" spans="1:10" ht="12.75">
      <c r="A242" s="1"/>
      <c r="B242" s="1"/>
      <c r="C242" s="51"/>
      <c r="D242" s="51"/>
      <c r="E242" s="51"/>
      <c r="F242" s="2"/>
      <c r="G242" s="2"/>
      <c r="H242" s="2"/>
      <c r="I242" s="2"/>
      <c r="J242" s="2"/>
    </row>
    <row r="243" spans="1:10" ht="12.75">
      <c r="A243" s="1"/>
      <c r="B243" s="1"/>
      <c r="C243" s="51"/>
      <c r="D243" s="51"/>
      <c r="E243" s="51"/>
      <c r="F243" s="2"/>
      <c r="G243" s="2"/>
      <c r="H243" s="2"/>
      <c r="I243" s="2"/>
      <c r="J243" s="2"/>
    </row>
    <row r="244" spans="1:10" ht="12.75">
      <c r="A244" s="1"/>
      <c r="B244" s="1"/>
      <c r="C244" s="51"/>
      <c r="D244" s="51"/>
      <c r="E244" s="51"/>
      <c r="F244" s="2"/>
      <c r="G244" s="2"/>
      <c r="H244" s="2"/>
      <c r="I244" s="2"/>
      <c r="J244" s="2"/>
    </row>
    <row r="245" spans="1:10" ht="12.75">
      <c r="A245" s="1"/>
      <c r="B245" s="1"/>
      <c r="C245" s="51"/>
      <c r="D245" s="51"/>
      <c r="E245" s="51"/>
      <c r="F245" s="2"/>
      <c r="G245" s="2"/>
      <c r="H245" s="2"/>
      <c r="I245" s="2"/>
      <c r="J245" s="2"/>
    </row>
    <row r="246" spans="1:10" ht="12.75">
      <c r="A246" s="1"/>
      <c r="B246" s="1"/>
      <c r="C246" s="51"/>
      <c r="D246" s="51"/>
      <c r="E246" s="51"/>
      <c r="F246" s="2"/>
      <c r="G246" s="2"/>
      <c r="H246" s="2"/>
      <c r="I246" s="2"/>
      <c r="J246" s="2"/>
    </row>
    <row r="247" spans="1:10" ht="12.75">
      <c r="A247" s="1"/>
      <c r="B247" s="1"/>
      <c r="C247" s="51"/>
      <c r="D247" s="51"/>
      <c r="E247" s="51"/>
      <c r="F247" s="2"/>
      <c r="G247" s="2"/>
      <c r="H247" s="2"/>
      <c r="I247" s="2"/>
      <c r="J247" s="2"/>
    </row>
    <row r="248" spans="1:10" ht="12.75">
      <c r="A248" s="1"/>
      <c r="B248" s="1"/>
      <c r="C248" s="51"/>
      <c r="D248" s="51"/>
      <c r="E248" s="51"/>
      <c r="F248" s="2"/>
      <c r="G248" s="2"/>
      <c r="H248" s="2"/>
      <c r="I248" s="2"/>
      <c r="J248" s="2"/>
    </row>
    <row r="249" spans="1:10" ht="12.75">
      <c r="A249" s="1"/>
      <c r="B249" s="1"/>
      <c r="C249" s="51"/>
      <c r="D249" s="51"/>
      <c r="E249" s="51"/>
      <c r="F249" s="2"/>
      <c r="G249" s="2"/>
      <c r="H249" s="2"/>
      <c r="I249" s="2"/>
      <c r="J249" s="2"/>
    </row>
    <row r="250" spans="1:10" ht="12.75">
      <c r="A250" s="1"/>
      <c r="B250" s="1"/>
      <c r="C250" s="51"/>
      <c r="D250" s="51"/>
      <c r="E250" s="51"/>
      <c r="F250" s="2"/>
      <c r="G250" s="2"/>
      <c r="H250" s="2"/>
      <c r="I250" s="2"/>
      <c r="J250" s="2"/>
    </row>
    <row r="251" spans="1:10" ht="12.75">
      <c r="A251" s="1"/>
      <c r="B251" s="1"/>
      <c r="C251" s="51"/>
      <c r="D251" s="51"/>
      <c r="E251" s="51"/>
      <c r="F251" s="2"/>
      <c r="G251" s="2"/>
      <c r="H251" s="2"/>
      <c r="I251" s="2"/>
      <c r="J251" s="2"/>
    </row>
    <row r="252" spans="1:10" ht="12.75">
      <c r="A252" s="1"/>
      <c r="B252" s="1"/>
      <c r="C252" s="51"/>
      <c r="D252" s="51"/>
      <c r="E252" s="51"/>
      <c r="F252" s="2"/>
      <c r="G252" s="2"/>
      <c r="H252" s="2"/>
      <c r="I252" s="2"/>
      <c r="J252" s="2"/>
    </row>
    <row r="253" spans="1:10" ht="12.75">
      <c r="A253" s="1"/>
      <c r="B253" s="1"/>
      <c r="C253" s="51"/>
      <c r="D253" s="51"/>
      <c r="E253" s="51"/>
      <c r="F253" s="2"/>
      <c r="G253" s="2"/>
      <c r="H253" s="2"/>
      <c r="I253" s="2"/>
      <c r="J253" s="2"/>
    </row>
    <row r="254" spans="1:10" ht="12.75">
      <c r="A254" s="1"/>
      <c r="B254" s="1"/>
      <c r="C254" s="51"/>
      <c r="D254" s="51"/>
      <c r="E254" s="51"/>
      <c r="F254" s="2"/>
      <c r="G254" s="2"/>
      <c r="H254" s="2"/>
      <c r="I254" s="2"/>
      <c r="J254" s="2"/>
    </row>
    <row r="255" spans="1:10" ht="12.75">
      <c r="A255" s="1"/>
      <c r="B255" s="1"/>
      <c r="C255" s="51"/>
      <c r="D255" s="51"/>
      <c r="E255" s="51"/>
      <c r="F255" s="2"/>
      <c r="G255" s="2"/>
      <c r="H255" s="2"/>
      <c r="I255" s="2"/>
      <c r="J255" s="2"/>
    </row>
    <row r="256" spans="1:10" ht="12.75">
      <c r="A256" s="1"/>
      <c r="B256" s="1"/>
      <c r="C256" s="51"/>
      <c r="D256" s="51"/>
      <c r="E256" s="51"/>
      <c r="F256" s="2"/>
      <c r="G256" s="2"/>
      <c r="H256" s="2"/>
      <c r="I256" s="2"/>
      <c r="J256" s="2"/>
    </row>
    <row r="257" spans="1:10" ht="12.75">
      <c r="A257" s="1"/>
      <c r="B257" s="1"/>
      <c r="C257" s="51"/>
      <c r="D257" s="51"/>
      <c r="E257" s="51"/>
      <c r="F257" s="2"/>
      <c r="G257" s="2"/>
      <c r="H257" s="2"/>
      <c r="I257" s="2"/>
      <c r="J257" s="2"/>
    </row>
    <row r="258" spans="1:10" ht="12.75">
      <c r="A258" s="1"/>
      <c r="B258" s="1"/>
      <c r="C258" s="51"/>
      <c r="D258" s="51"/>
      <c r="E258" s="51"/>
      <c r="F258" s="2"/>
      <c r="G258" s="2"/>
      <c r="H258" s="2"/>
      <c r="I258" s="2"/>
      <c r="J258" s="2"/>
    </row>
    <row r="259" spans="1:10" ht="12.75">
      <c r="A259" s="1"/>
      <c r="B259" s="1"/>
      <c r="C259" s="51"/>
      <c r="D259" s="51"/>
      <c r="E259" s="51"/>
      <c r="F259" s="2"/>
      <c r="G259" s="2"/>
      <c r="H259" s="2"/>
      <c r="I259" s="2"/>
      <c r="J259" s="2"/>
    </row>
    <row r="260" spans="1:10" ht="12.75">
      <c r="A260" s="1"/>
      <c r="B260" s="1"/>
      <c r="C260" s="51"/>
      <c r="D260" s="51"/>
      <c r="E260" s="51"/>
      <c r="F260" s="2"/>
      <c r="G260" s="2"/>
      <c r="H260" s="2"/>
      <c r="I260" s="2"/>
      <c r="J260" s="2"/>
    </row>
    <row r="261" spans="1:10" ht="12.75">
      <c r="A261" s="1"/>
      <c r="B261" s="1"/>
      <c r="C261" s="51"/>
      <c r="D261" s="51"/>
      <c r="E261" s="51"/>
      <c r="F261" s="2"/>
      <c r="G261" s="2"/>
      <c r="H261" s="2"/>
      <c r="I261" s="2"/>
      <c r="J261" s="2"/>
    </row>
    <row r="262" spans="1:10" ht="12.75">
      <c r="A262" s="1"/>
      <c r="B262" s="1"/>
      <c r="C262" s="51"/>
      <c r="D262" s="51"/>
      <c r="E262" s="51"/>
      <c r="F262" s="2"/>
      <c r="G262" s="2"/>
      <c r="H262" s="2"/>
      <c r="I262" s="2"/>
      <c r="J262" s="2"/>
    </row>
    <row r="263" spans="1:10" ht="12.75">
      <c r="A263" s="1"/>
      <c r="B263" s="1"/>
      <c r="C263" s="51"/>
      <c r="D263" s="51"/>
      <c r="E263" s="51"/>
      <c r="F263" s="2"/>
      <c r="G263" s="2"/>
      <c r="H263" s="2"/>
      <c r="I263" s="2"/>
      <c r="J263" s="2"/>
    </row>
    <row r="264" spans="1:10" ht="12.75">
      <c r="A264" s="1"/>
      <c r="B264" s="1"/>
      <c r="C264" s="51"/>
      <c r="D264" s="51"/>
      <c r="E264" s="51"/>
      <c r="F264" s="2"/>
      <c r="G264" s="2"/>
      <c r="H264" s="2"/>
      <c r="I264" s="2"/>
      <c r="J264" s="2"/>
    </row>
    <row r="265" spans="1:10" ht="12.75">
      <c r="A265" s="1"/>
      <c r="B265" s="1"/>
      <c r="C265" s="51"/>
      <c r="D265" s="51"/>
      <c r="E265" s="51"/>
      <c r="F265" s="2"/>
      <c r="G265" s="2"/>
      <c r="H265" s="2"/>
      <c r="I265" s="2"/>
      <c r="J265" s="2"/>
    </row>
    <row r="266" spans="1:10" ht="12.75">
      <c r="A266" s="1"/>
      <c r="B266" s="1"/>
      <c r="C266" s="51"/>
      <c r="D266" s="51"/>
      <c r="E266" s="51"/>
      <c r="F266" s="2"/>
      <c r="G266" s="2"/>
      <c r="H266" s="2"/>
      <c r="I266" s="2"/>
      <c r="J266" s="2"/>
    </row>
    <row r="267" spans="1:10" ht="12.75">
      <c r="A267" s="1"/>
      <c r="B267" s="1"/>
      <c r="C267" s="51"/>
      <c r="D267" s="51"/>
      <c r="E267" s="51"/>
      <c r="F267" s="2"/>
      <c r="G267" s="2"/>
      <c r="H267" s="2"/>
      <c r="I267" s="2"/>
      <c r="J267" s="2"/>
    </row>
    <row r="268" spans="1:10" ht="12.75">
      <c r="A268" s="1"/>
      <c r="B268" s="1"/>
      <c r="C268" s="51"/>
      <c r="D268" s="51"/>
      <c r="E268" s="51"/>
      <c r="F268" s="2"/>
      <c r="G268" s="2"/>
      <c r="H268" s="2"/>
      <c r="I268" s="2"/>
      <c r="J268" s="2"/>
    </row>
    <row r="269" spans="1:10" ht="12.75">
      <c r="A269" s="1"/>
      <c r="B269" s="1"/>
      <c r="C269" s="51"/>
      <c r="D269" s="51"/>
      <c r="E269" s="51"/>
      <c r="F269" s="2"/>
      <c r="G269" s="2"/>
      <c r="H269" s="2"/>
      <c r="I269" s="2"/>
      <c r="J269" s="2"/>
    </row>
    <row r="270" spans="1:10" ht="12.75">
      <c r="A270" s="1"/>
      <c r="B270" s="1"/>
      <c r="C270" s="51"/>
      <c r="D270" s="51"/>
      <c r="E270" s="51"/>
      <c r="F270" s="2"/>
      <c r="G270" s="2"/>
      <c r="H270" s="2"/>
      <c r="I270" s="2"/>
      <c r="J270" s="2"/>
    </row>
    <row r="271" spans="1:10" ht="12.75">
      <c r="A271" s="1"/>
      <c r="B271" s="1"/>
      <c r="C271" s="51"/>
      <c r="D271" s="51"/>
      <c r="E271" s="51"/>
      <c r="F271" s="2"/>
      <c r="G271" s="2"/>
      <c r="H271" s="2"/>
      <c r="I271" s="2"/>
      <c r="J271" s="2"/>
    </row>
    <row r="272" spans="1:10" ht="12.75">
      <c r="A272" s="1"/>
      <c r="B272" s="1"/>
      <c r="C272" s="51"/>
      <c r="D272" s="51"/>
      <c r="E272" s="51"/>
      <c r="F272" s="2"/>
      <c r="G272" s="2"/>
      <c r="H272" s="2"/>
      <c r="I272" s="2"/>
      <c r="J272" s="2"/>
    </row>
    <row r="273" spans="1:10" ht="12.75">
      <c r="A273" s="1"/>
      <c r="B273" s="1"/>
      <c r="C273" s="51"/>
      <c r="D273" s="51"/>
      <c r="E273" s="51"/>
      <c r="F273" s="2"/>
      <c r="G273" s="2"/>
      <c r="H273" s="2"/>
      <c r="I273" s="2"/>
      <c r="J273" s="2"/>
    </row>
    <row r="274" spans="1:10" ht="12.75">
      <c r="A274" s="1"/>
      <c r="B274" s="1"/>
      <c r="C274" s="51"/>
      <c r="D274" s="51"/>
      <c r="E274" s="51"/>
      <c r="F274" s="2"/>
      <c r="G274" s="2"/>
      <c r="H274" s="2"/>
      <c r="I274" s="2"/>
      <c r="J274" s="2"/>
    </row>
  </sheetData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7"/>
  <sheetViews>
    <sheetView zoomScaleSheetLayoutView="100" workbookViewId="0" topLeftCell="A1">
      <selection activeCell="A5" sqref="A5"/>
    </sheetView>
  </sheetViews>
  <sheetFormatPr defaultColWidth="9.140625" defaultRowHeight="12.75"/>
  <cols>
    <col min="1" max="1" width="31.57421875" style="1" customWidth="1"/>
    <col min="2" max="2" width="9.421875" style="1" bestFit="1" customWidth="1"/>
    <col min="3" max="3" width="3.7109375" style="109" customWidth="1"/>
    <col min="4" max="4" width="10.28125" style="1" bestFit="1" customWidth="1"/>
    <col min="5" max="5" width="3.7109375" style="109" customWidth="1"/>
    <col min="6" max="6" width="13.421875" style="1" bestFit="1" customWidth="1"/>
    <col min="7" max="7" width="3.7109375" style="109" customWidth="1"/>
    <col min="8" max="8" width="9.421875" style="1" bestFit="1" customWidth="1"/>
    <col min="9" max="9" width="8.7109375" style="1" bestFit="1" customWidth="1"/>
    <col min="10" max="16384" width="9.140625" style="1" customWidth="1"/>
  </cols>
  <sheetData>
    <row r="2" ht="15.75">
      <c r="A2" s="300" t="s">
        <v>82</v>
      </c>
    </row>
    <row r="3" ht="15.75">
      <c r="A3" s="300" t="s">
        <v>83</v>
      </c>
    </row>
    <row r="4" ht="15.75">
      <c r="A4" s="300" t="s">
        <v>0</v>
      </c>
    </row>
    <row r="6" spans="1:4" ht="14.25">
      <c r="A6" s="301" t="s">
        <v>30</v>
      </c>
      <c r="B6" s="109"/>
      <c r="D6" s="109"/>
    </row>
    <row r="7" ht="14.25">
      <c r="A7" s="197" t="s">
        <v>261</v>
      </c>
    </row>
    <row r="9" spans="2:8" s="288" customFormat="1" ht="15">
      <c r="B9" s="322"/>
      <c r="C9" s="348"/>
      <c r="D9" s="322" t="s">
        <v>294</v>
      </c>
      <c r="E9" s="348"/>
      <c r="F9" s="322"/>
      <c r="G9" s="348"/>
      <c r="H9" s="322"/>
    </row>
    <row r="10" spans="2:8" s="288" customFormat="1" ht="15">
      <c r="B10" s="322" t="s">
        <v>292</v>
      </c>
      <c r="C10" s="348"/>
      <c r="D10" s="322" t="s">
        <v>293</v>
      </c>
      <c r="E10" s="348"/>
      <c r="F10" s="322" t="s">
        <v>296</v>
      </c>
      <c r="G10" s="348"/>
      <c r="H10" s="322"/>
    </row>
    <row r="11" spans="2:8" s="288" customFormat="1" ht="15">
      <c r="B11" s="322" t="s">
        <v>291</v>
      </c>
      <c r="C11" s="348"/>
      <c r="D11" s="322" t="s">
        <v>33</v>
      </c>
      <c r="E11" s="348"/>
      <c r="F11" s="322" t="s">
        <v>295</v>
      </c>
      <c r="G11" s="348"/>
      <c r="H11" s="322" t="s">
        <v>35</v>
      </c>
    </row>
    <row r="12" spans="1:8" s="288" customFormat="1" ht="15">
      <c r="A12" s="197"/>
      <c r="B12" s="322" t="s">
        <v>36</v>
      </c>
      <c r="C12" s="348"/>
      <c r="D12" s="322" t="s">
        <v>36</v>
      </c>
      <c r="E12" s="348"/>
      <c r="F12" s="322" t="s">
        <v>36</v>
      </c>
      <c r="G12" s="348"/>
      <c r="H12" s="322" t="s">
        <v>36</v>
      </c>
    </row>
    <row r="13" spans="3:8" s="288" customFormat="1" ht="15">
      <c r="C13" s="227"/>
      <c r="E13" s="227"/>
      <c r="G13" s="227"/>
      <c r="H13" s="196"/>
    </row>
    <row r="14" spans="1:9" s="288" customFormat="1" ht="15">
      <c r="A14" s="288" t="s">
        <v>226</v>
      </c>
      <c r="B14" s="196">
        <v>42935</v>
      </c>
      <c r="C14" s="347"/>
      <c r="D14" s="196">
        <v>-134</v>
      </c>
      <c r="E14" s="347"/>
      <c r="F14" s="196">
        <v>4676</v>
      </c>
      <c r="G14" s="347"/>
      <c r="H14" s="196">
        <f>SUM(B14:F14)</f>
        <v>47477</v>
      </c>
      <c r="I14" s="196">
        <f>42935+4676-134</f>
        <v>47477</v>
      </c>
    </row>
    <row r="15" spans="2:9" s="288" customFormat="1" ht="15">
      <c r="B15" s="347"/>
      <c r="C15" s="347"/>
      <c r="D15" s="347"/>
      <c r="E15" s="347"/>
      <c r="F15" s="347"/>
      <c r="G15" s="347"/>
      <c r="H15" s="347"/>
      <c r="I15" s="196"/>
    </row>
    <row r="16" spans="1:9" s="288" customFormat="1" ht="15">
      <c r="A16" s="288" t="s">
        <v>300</v>
      </c>
      <c r="B16" s="196">
        <v>0</v>
      </c>
      <c r="C16" s="347"/>
      <c r="D16" s="196">
        <v>0</v>
      </c>
      <c r="E16" s="347"/>
      <c r="F16" s="196">
        <f>2756.5-F17</f>
        <v>4302.5</v>
      </c>
      <c r="G16" s="347"/>
      <c r="H16" s="196">
        <f>SUM(B16:F16)</f>
        <v>4302.5</v>
      </c>
      <c r="I16" s="196">
        <v>1211</v>
      </c>
    </row>
    <row r="17" spans="1:9" s="288" customFormat="1" ht="15">
      <c r="A17" s="288" t="s">
        <v>289</v>
      </c>
      <c r="B17" s="196">
        <v>0</v>
      </c>
      <c r="C17" s="347"/>
      <c r="D17" s="196">
        <v>0</v>
      </c>
      <c r="E17" s="347"/>
      <c r="F17" s="196">
        <v>-1546</v>
      </c>
      <c r="G17" s="347"/>
      <c r="H17" s="196">
        <f>SUM(B17:F17)</f>
        <v>-1546</v>
      </c>
      <c r="I17" s="196">
        <v>1546</v>
      </c>
    </row>
    <row r="18" spans="1:9" s="288" customFormat="1" ht="15">
      <c r="A18" s="288" t="s">
        <v>290</v>
      </c>
      <c r="B18" s="196">
        <v>0</v>
      </c>
      <c r="C18" s="347"/>
      <c r="D18" s="196">
        <f>152+14</f>
        <v>166</v>
      </c>
      <c r="E18" s="347"/>
      <c r="F18" s="196">
        <v>0</v>
      </c>
      <c r="G18" s="347"/>
      <c r="H18" s="196">
        <f>SUM(B18:F18)</f>
        <v>166</v>
      </c>
      <c r="I18" s="196">
        <v>166</v>
      </c>
    </row>
    <row r="19" spans="1:9" s="288" customFormat="1" ht="15">
      <c r="A19" s="288" t="s">
        <v>299</v>
      </c>
      <c r="B19" s="196">
        <v>0</v>
      </c>
      <c r="C19" s="347"/>
      <c r="D19" s="196">
        <v>0</v>
      </c>
      <c r="E19" s="347"/>
      <c r="F19" s="196">
        <v>0</v>
      </c>
      <c r="G19" s="347"/>
      <c r="H19" s="196">
        <v>0</v>
      </c>
      <c r="I19" s="196"/>
    </row>
    <row r="20" spans="2:9" s="288" customFormat="1" ht="15">
      <c r="B20" s="196"/>
      <c r="C20" s="347"/>
      <c r="D20" s="196"/>
      <c r="E20" s="347"/>
      <c r="F20" s="196"/>
      <c r="G20" s="347"/>
      <c r="H20" s="196"/>
      <c r="I20" s="349">
        <f>SUM(I14:I18)</f>
        <v>50400</v>
      </c>
    </row>
    <row r="21" spans="1:10" s="288" customFormat="1" ht="15">
      <c r="A21" s="288" t="s">
        <v>258</v>
      </c>
      <c r="B21" s="324">
        <f>SUM(B14:B20)</f>
        <v>42935</v>
      </c>
      <c r="C21" s="347"/>
      <c r="D21" s="324">
        <f>SUM(D14:D20)</f>
        <v>32</v>
      </c>
      <c r="E21" s="347"/>
      <c r="F21" s="324">
        <f>SUM(F14:F20)</f>
        <v>7432.5</v>
      </c>
      <c r="G21" s="347"/>
      <c r="H21" s="324">
        <f>SUM(H14:H20)</f>
        <v>50399.5</v>
      </c>
      <c r="I21" s="195">
        <f>H21-'BS'!E35</f>
        <v>-0.5</v>
      </c>
      <c r="J21" s="297" t="s">
        <v>257</v>
      </c>
    </row>
    <row r="22" spans="3:7" s="288" customFormat="1" ht="15">
      <c r="C22" s="227"/>
      <c r="E22" s="227"/>
      <c r="G22" s="227"/>
    </row>
    <row r="23" spans="3:7" s="288" customFormat="1" ht="15">
      <c r="C23" s="227"/>
      <c r="E23" s="227"/>
      <c r="G23" s="227"/>
    </row>
    <row r="24" spans="1:7" s="288" customFormat="1" ht="15">
      <c r="A24" s="288" t="s">
        <v>298</v>
      </c>
      <c r="C24" s="227"/>
      <c r="E24" s="227"/>
      <c r="G24" s="227"/>
    </row>
    <row r="25" spans="1:7" s="288" customFormat="1" ht="15">
      <c r="A25" s="288" t="s">
        <v>297</v>
      </c>
      <c r="C25" s="227"/>
      <c r="E25" s="227"/>
      <c r="G25" s="227"/>
    </row>
    <row r="26" spans="3:7" s="288" customFormat="1" ht="15">
      <c r="C26" s="227"/>
      <c r="E26" s="227"/>
      <c r="G26" s="227"/>
    </row>
    <row r="27" spans="1:7" s="288" customFormat="1" ht="15">
      <c r="A27" s="301" t="s">
        <v>30</v>
      </c>
      <c r="B27" s="227"/>
      <c r="C27" s="227"/>
      <c r="D27" s="227"/>
      <c r="E27" s="227"/>
      <c r="G27" s="227"/>
    </row>
    <row r="28" spans="1:7" s="288" customFormat="1" ht="15">
      <c r="A28" s="197" t="s">
        <v>262</v>
      </c>
      <c r="C28" s="227"/>
      <c r="E28" s="227"/>
      <c r="G28" s="227"/>
    </row>
    <row r="29" spans="3:7" s="288" customFormat="1" ht="15">
      <c r="C29" s="227"/>
      <c r="E29" s="227"/>
      <c r="G29" s="227"/>
    </row>
    <row r="30" spans="2:8" s="288" customFormat="1" ht="15">
      <c r="B30" s="322"/>
      <c r="C30" s="348"/>
      <c r="D30" s="322" t="s">
        <v>294</v>
      </c>
      <c r="E30" s="348"/>
      <c r="F30" s="322"/>
      <c r="G30" s="348"/>
      <c r="H30" s="322"/>
    </row>
    <row r="31" spans="2:8" s="288" customFormat="1" ht="15">
      <c r="B31" s="322" t="s">
        <v>292</v>
      </c>
      <c r="C31" s="348"/>
      <c r="D31" s="322" t="s">
        <v>293</v>
      </c>
      <c r="E31" s="348"/>
      <c r="F31" s="322" t="s">
        <v>296</v>
      </c>
      <c r="G31" s="348"/>
      <c r="H31" s="322"/>
    </row>
    <row r="32" spans="2:8" s="288" customFormat="1" ht="15">
      <c r="B32" s="322" t="s">
        <v>291</v>
      </c>
      <c r="C32" s="348"/>
      <c r="D32" s="322" t="s">
        <v>33</v>
      </c>
      <c r="E32" s="348"/>
      <c r="F32" s="322" t="s">
        <v>295</v>
      </c>
      <c r="G32" s="348"/>
      <c r="H32" s="322" t="s">
        <v>35</v>
      </c>
    </row>
    <row r="33" spans="1:8" s="288" customFormat="1" ht="15">
      <c r="A33" s="197"/>
      <c r="B33" s="322" t="s">
        <v>36</v>
      </c>
      <c r="C33" s="348"/>
      <c r="D33" s="322" t="s">
        <v>36</v>
      </c>
      <c r="E33" s="348"/>
      <c r="F33" s="322" t="s">
        <v>36</v>
      </c>
      <c r="G33" s="348"/>
      <c r="H33" s="322" t="s">
        <v>36</v>
      </c>
    </row>
    <row r="34" spans="3:7" s="288" customFormat="1" ht="15">
      <c r="C34" s="227"/>
      <c r="E34" s="227"/>
      <c r="G34" s="227"/>
    </row>
    <row r="35" spans="1:10" s="288" customFormat="1" ht="15">
      <c r="A35" s="288" t="s">
        <v>233</v>
      </c>
      <c r="B35" s="196">
        <f>19082</f>
        <v>19082</v>
      </c>
      <c r="C35" s="347"/>
      <c r="D35" s="196">
        <v>-179</v>
      </c>
      <c r="E35" s="347"/>
      <c r="F35" s="196">
        <v>28087</v>
      </c>
      <c r="G35" s="347"/>
      <c r="H35" s="196">
        <f>SUM(B35:F35)</f>
        <v>46990</v>
      </c>
      <c r="I35" s="196">
        <f>19082-179+28087</f>
        <v>46990</v>
      </c>
      <c r="J35" s="297" t="s">
        <v>260</v>
      </c>
    </row>
    <row r="36" spans="2:9" s="288" customFormat="1" ht="15">
      <c r="B36" s="196"/>
      <c r="C36" s="347"/>
      <c r="D36" s="196"/>
      <c r="E36" s="347"/>
      <c r="F36" s="196"/>
      <c r="G36" s="347"/>
      <c r="H36" s="196"/>
      <c r="I36" s="196"/>
    </row>
    <row r="37" spans="1:9" s="288" customFormat="1" ht="15">
      <c r="A37" s="288" t="s">
        <v>300</v>
      </c>
      <c r="B37" s="347"/>
      <c r="C37" s="347"/>
      <c r="D37" s="347"/>
      <c r="E37" s="347"/>
      <c r="F37" s="347">
        <f>-21433-F38-F40</f>
        <v>4335</v>
      </c>
      <c r="G37" s="347"/>
      <c r="H37" s="196">
        <f>SUM(B37:F37)</f>
        <v>4335</v>
      </c>
      <c r="I37" s="196">
        <v>4335</v>
      </c>
    </row>
    <row r="38" spans="1:9" s="288" customFormat="1" ht="15">
      <c r="A38" s="288" t="s">
        <v>289</v>
      </c>
      <c r="B38" s="196"/>
      <c r="C38" s="347"/>
      <c r="D38" s="196"/>
      <c r="E38" s="347"/>
      <c r="F38" s="196">
        <v>-1915</v>
      </c>
      <c r="G38" s="347"/>
      <c r="H38" s="196">
        <f>SUM(B38:F38)</f>
        <v>-1915</v>
      </c>
      <c r="I38" s="196">
        <v>-1915</v>
      </c>
    </row>
    <row r="39" spans="1:9" s="288" customFormat="1" ht="15">
      <c r="A39" s="288" t="s">
        <v>290</v>
      </c>
      <c r="B39" s="196"/>
      <c r="C39" s="347"/>
      <c r="D39" s="196">
        <f>236</f>
        <v>236</v>
      </c>
      <c r="E39" s="347"/>
      <c r="F39" s="196"/>
      <c r="G39" s="347"/>
      <c r="H39" s="196">
        <f>SUM(B39:F39)</f>
        <v>236</v>
      </c>
      <c r="I39" s="196">
        <v>236</v>
      </c>
    </row>
    <row r="40" spans="1:9" s="288" customFormat="1" ht="15">
      <c r="A40" s="288" t="s">
        <v>299</v>
      </c>
      <c r="B40" s="196">
        <f>23853</f>
        <v>23853</v>
      </c>
      <c r="C40" s="347"/>
      <c r="D40" s="196"/>
      <c r="E40" s="347"/>
      <c r="F40" s="196">
        <f>-B40</f>
        <v>-23853</v>
      </c>
      <c r="G40" s="347"/>
      <c r="H40" s="196">
        <f>SUM(B40:F40)</f>
        <v>0</v>
      </c>
      <c r="I40" s="196">
        <v>0</v>
      </c>
    </row>
    <row r="41" spans="2:9" s="288" customFormat="1" ht="15">
      <c r="B41" s="196"/>
      <c r="C41" s="347"/>
      <c r="D41" s="196"/>
      <c r="E41" s="347"/>
      <c r="F41" s="196"/>
      <c r="G41" s="347"/>
      <c r="H41" s="196"/>
      <c r="I41" s="196">
        <f>SUM(I35:I40)</f>
        <v>49646</v>
      </c>
    </row>
    <row r="42" spans="1:9" s="288" customFormat="1" ht="15">
      <c r="A42" s="288" t="s">
        <v>259</v>
      </c>
      <c r="B42" s="324">
        <f>SUM(B35:B41)</f>
        <v>42935</v>
      </c>
      <c r="C42" s="347"/>
      <c r="D42" s="324">
        <f>SUM(D35:D41)</f>
        <v>57</v>
      </c>
      <c r="E42" s="347"/>
      <c r="F42" s="324">
        <f>SUM(F35:F41)</f>
        <v>6654</v>
      </c>
      <c r="G42" s="347"/>
      <c r="H42" s="324">
        <f>SUM(H35:H41)</f>
        <v>49646</v>
      </c>
      <c r="I42" s="196">
        <f>(42934500+4052664+57329+2601148)/1000</f>
        <v>49645.641</v>
      </c>
    </row>
    <row r="43" spans="3:7" s="288" customFormat="1" ht="15">
      <c r="C43" s="227"/>
      <c r="E43" s="227"/>
      <c r="G43" s="227"/>
    </row>
    <row r="44" spans="3:7" s="288" customFormat="1" ht="15">
      <c r="C44" s="227"/>
      <c r="E44" s="227"/>
      <c r="G44" s="227"/>
    </row>
    <row r="45" spans="3:7" s="288" customFormat="1" ht="15">
      <c r="C45" s="227"/>
      <c r="E45" s="227"/>
      <c r="G45" s="227"/>
    </row>
    <row r="46" spans="3:7" s="288" customFormat="1" ht="15">
      <c r="C46" s="227"/>
      <c r="E46" s="227"/>
      <c r="G46" s="227"/>
    </row>
    <row r="47" spans="3:7" s="288" customFormat="1" ht="15">
      <c r="C47" s="227"/>
      <c r="E47" s="227"/>
      <c r="G47" s="227"/>
    </row>
  </sheetData>
  <printOptions horizontalCentered="1"/>
  <pageMargins left="0.75" right="0" top="1" bottom="1" header="0.5" footer="0.5"/>
  <pageSetup fitToHeight="1" fitToWidth="1" horizontalDpi="600" verticalDpi="600" orientation="portrait" paperSize="9" r:id="rId1"/>
  <headerFooter alignWithMargins="0">
    <oddFooter>&amp;C&amp;"Times New Roman,Regular"3&amp;"Arial,Regular"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I44"/>
  <sheetViews>
    <sheetView workbookViewId="0" topLeftCell="A1">
      <selection activeCell="A1" sqref="A1:IV16384"/>
    </sheetView>
  </sheetViews>
  <sheetFormatPr defaultColWidth="9.140625" defaultRowHeight="12.75"/>
  <cols>
    <col min="1" max="1" width="30.00390625" style="1" customWidth="1"/>
    <col min="2" max="2" width="12.8515625" style="1" customWidth="1"/>
    <col min="3" max="3" width="16.00390625" style="1" hidden="1" customWidth="1"/>
    <col min="4" max="4" width="19.00390625" style="1" customWidth="1"/>
    <col min="5" max="5" width="16.421875" style="1" hidden="1" customWidth="1"/>
    <col min="6" max="6" width="18.7109375" style="1" customWidth="1"/>
    <col min="7" max="7" width="15.8515625" style="1" customWidth="1"/>
    <col min="8" max="16384" width="9.140625" style="1" customWidth="1"/>
  </cols>
  <sheetData>
    <row r="2" ht="15.75">
      <c r="A2" s="300" t="s">
        <v>82</v>
      </c>
    </row>
    <row r="3" ht="15.75">
      <c r="A3" s="300" t="s">
        <v>83</v>
      </c>
    </row>
    <row r="4" ht="15.75">
      <c r="A4" s="300" t="s">
        <v>0</v>
      </c>
    </row>
    <row r="6" spans="1:4" ht="14.25">
      <c r="A6" s="301" t="s">
        <v>30</v>
      </c>
      <c r="B6" s="109"/>
      <c r="C6" s="109"/>
      <c r="D6" s="109"/>
    </row>
    <row r="7" ht="14.25">
      <c r="A7" s="197" t="s">
        <v>261</v>
      </c>
    </row>
    <row r="9" spans="2:7" s="288" customFormat="1" ht="15">
      <c r="B9" s="322"/>
      <c r="C9" s="322"/>
      <c r="D9" s="322" t="s">
        <v>31</v>
      </c>
      <c r="E9" s="322"/>
      <c r="F9" s="322"/>
      <c r="G9" s="322"/>
    </row>
    <row r="10" spans="2:7" s="288" customFormat="1" ht="15">
      <c r="B10" s="322" t="s">
        <v>24</v>
      </c>
      <c r="C10" s="322" t="s">
        <v>32</v>
      </c>
      <c r="D10" s="322" t="s">
        <v>33</v>
      </c>
      <c r="E10" s="322" t="s">
        <v>34</v>
      </c>
      <c r="F10" s="322" t="s">
        <v>237</v>
      </c>
      <c r="G10" s="322" t="s">
        <v>35</v>
      </c>
    </row>
    <row r="11" spans="1:7" s="288" customFormat="1" ht="15">
      <c r="A11" s="197"/>
      <c r="B11" s="322" t="s">
        <v>36</v>
      </c>
      <c r="C11" s="322" t="s">
        <v>36</v>
      </c>
      <c r="D11" s="322" t="s">
        <v>36</v>
      </c>
      <c r="E11" s="322" t="s">
        <v>36</v>
      </c>
      <c r="F11" s="322" t="s">
        <v>36</v>
      </c>
      <c r="G11" s="322" t="s">
        <v>36</v>
      </c>
    </row>
    <row r="12" s="288" customFormat="1" ht="15">
      <c r="G12" s="196"/>
    </row>
    <row r="13" spans="1:7" s="288" customFormat="1" ht="15">
      <c r="A13" s="288" t="s">
        <v>226</v>
      </c>
      <c r="B13" s="196">
        <v>42935</v>
      </c>
      <c r="C13" s="196">
        <v>0</v>
      </c>
      <c r="D13" s="196">
        <v>-134</v>
      </c>
      <c r="E13" s="196">
        <v>0</v>
      </c>
      <c r="F13" s="196">
        <v>4677</v>
      </c>
      <c r="G13" s="196">
        <f>SUM(B13:F13)</f>
        <v>47478</v>
      </c>
    </row>
    <row r="14" spans="2:7" s="288" customFormat="1" ht="9" customHeight="1">
      <c r="B14" s="196"/>
      <c r="C14" s="196"/>
      <c r="D14" s="196"/>
      <c r="E14" s="196"/>
      <c r="F14" s="196"/>
      <c r="G14" s="196"/>
    </row>
    <row r="15" spans="1:7" s="288" customFormat="1" ht="15" hidden="1">
      <c r="A15" s="288" t="s">
        <v>79</v>
      </c>
      <c r="B15" s="323"/>
      <c r="C15" s="323"/>
      <c r="D15" s="323"/>
      <c r="E15" s="323"/>
      <c r="F15" s="323">
        <v>0</v>
      </c>
      <c r="G15" s="323">
        <f>SUM(B15:F15)</f>
        <v>0</v>
      </c>
    </row>
    <row r="16" spans="2:7" s="288" customFormat="1" ht="15">
      <c r="B16" s="323"/>
      <c r="C16" s="323"/>
      <c r="D16" s="323"/>
      <c r="E16" s="323"/>
      <c r="F16" s="323"/>
      <c r="G16" s="323"/>
    </row>
    <row r="17" spans="2:7" s="288" customFormat="1" ht="9" customHeight="1">
      <c r="B17" s="196"/>
      <c r="C17" s="196"/>
      <c r="D17" s="196"/>
      <c r="E17" s="196"/>
      <c r="F17" s="196"/>
      <c r="G17" s="196"/>
    </row>
    <row r="18" spans="1:7" s="288" customFormat="1" ht="15">
      <c r="A18" s="288" t="s">
        <v>227</v>
      </c>
      <c r="B18" s="196">
        <f aca="true" t="shared" si="0" ref="B18:G18">B13+B16</f>
        <v>42935</v>
      </c>
      <c r="C18" s="196">
        <f t="shared" si="0"/>
        <v>0</v>
      </c>
      <c r="D18" s="196">
        <f t="shared" si="0"/>
        <v>-134</v>
      </c>
      <c r="E18" s="196">
        <f t="shared" si="0"/>
        <v>0</v>
      </c>
      <c r="F18" s="196">
        <f t="shared" si="0"/>
        <v>4677</v>
      </c>
      <c r="G18" s="196">
        <f t="shared" si="0"/>
        <v>47478</v>
      </c>
    </row>
    <row r="19" spans="2:7" s="288" customFormat="1" ht="9" customHeight="1">
      <c r="B19" s="196"/>
      <c r="C19" s="196"/>
      <c r="D19" s="196"/>
      <c r="E19" s="196"/>
      <c r="F19" s="196"/>
      <c r="G19" s="196"/>
    </row>
    <row r="20" spans="1:7" s="288" customFormat="1" ht="15">
      <c r="A20" s="288" t="s">
        <v>40</v>
      </c>
      <c r="B20" s="196">
        <v>0</v>
      </c>
      <c r="C20" s="196">
        <f>+C22-C13</f>
        <v>0</v>
      </c>
      <c r="D20" s="196">
        <v>166</v>
      </c>
      <c r="E20" s="196"/>
      <c r="F20" s="196">
        <v>2756</v>
      </c>
      <c r="G20" s="196">
        <f>SUM(B20:F20)</f>
        <v>2922</v>
      </c>
    </row>
    <row r="21" spans="2:7" s="288" customFormat="1" ht="9" customHeight="1">
      <c r="B21" s="196"/>
      <c r="C21" s="196"/>
      <c r="D21" s="196"/>
      <c r="E21" s="196"/>
      <c r="F21" s="196"/>
      <c r="G21" s="196"/>
    </row>
    <row r="22" spans="1:9" s="288" customFormat="1" ht="15">
      <c r="A22" s="288" t="s">
        <v>258</v>
      </c>
      <c r="B22" s="324">
        <f>+B13+B20</f>
        <v>42935</v>
      </c>
      <c r="C22" s="324">
        <v>0</v>
      </c>
      <c r="D22" s="324">
        <f>SUM(D18:D21)</f>
        <v>32</v>
      </c>
      <c r="E22" s="324">
        <f>E18+E20</f>
        <v>0</v>
      </c>
      <c r="F22" s="324">
        <f>+F13+F16+F20</f>
        <v>7433</v>
      </c>
      <c r="G22" s="324">
        <f>SUM(B22:F22)</f>
        <v>50400</v>
      </c>
      <c r="H22" s="290">
        <f>G22-'BS'!E35</f>
        <v>0</v>
      </c>
      <c r="I22" s="297" t="s">
        <v>257</v>
      </c>
    </row>
    <row r="23" s="288" customFormat="1" ht="15"/>
    <row r="24" s="288" customFormat="1" ht="15"/>
    <row r="25" s="288" customFormat="1" ht="15">
      <c r="A25" s="288" t="s">
        <v>287</v>
      </c>
    </row>
    <row r="26" s="288" customFormat="1" ht="15">
      <c r="A26" s="288" t="s">
        <v>286</v>
      </c>
    </row>
    <row r="27" s="288" customFormat="1" ht="15"/>
    <row r="28" spans="1:4" s="288" customFormat="1" ht="15">
      <c r="A28" s="301" t="s">
        <v>30</v>
      </c>
      <c r="B28" s="227"/>
      <c r="C28" s="227"/>
      <c r="D28" s="227"/>
    </row>
    <row r="29" s="288" customFormat="1" ht="15">
      <c r="A29" s="197" t="s">
        <v>262</v>
      </c>
    </row>
    <row r="30" s="288" customFormat="1" ht="15"/>
    <row r="31" spans="2:7" s="288" customFormat="1" ht="15">
      <c r="B31" s="322"/>
      <c r="C31" s="322"/>
      <c r="D31" s="322" t="s">
        <v>31</v>
      </c>
      <c r="E31" s="322"/>
      <c r="F31" s="322"/>
      <c r="G31" s="322"/>
    </row>
    <row r="32" spans="2:7" s="288" customFormat="1" ht="15">
      <c r="B32" s="322" t="s">
        <v>24</v>
      </c>
      <c r="C32" s="322" t="s">
        <v>32</v>
      </c>
      <c r="D32" s="322" t="s">
        <v>33</v>
      </c>
      <c r="E32" s="322" t="s">
        <v>34</v>
      </c>
      <c r="F32" s="322" t="s">
        <v>237</v>
      </c>
      <c r="G32" s="322" t="s">
        <v>35</v>
      </c>
    </row>
    <row r="33" spans="1:7" s="288" customFormat="1" ht="15">
      <c r="A33" s="197"/>
      <c r="B33" s="322" t="s">
        <v>36</v>
      </c>
      <c r="C33" s="322" t="s">
        <v>36</v>
      </c>
      <c r="D33" s="322" t="s">
        <v>36</v>
      </c>
      <c r="E33" s="322" t="s">
        <v>36</v>
      </c>
      <c r="F33" s="322" t="s">
        <v>36</v>
      </c>
      <c r="G33" s="322" t="s">
        <v>36</v>
      </c>
    </row>
    <row r="34" s="288" customFormat="1" ht="15"/>
    <row r="35" spans="1:9" s="288" customFormat="1" ht="15">
      <c r="A35" s="288" t="s">
        <v>233</v>
      </c>
      <c r="B35" s="196">
        <f>19082</f>
        <v>19082</v>
      </c>
      <c r="C35" s="196">
        <v>0</v>
      </c>
      <c r="D35" s="196">
        <v>-179</v>
      </c>
      <c r="E35" s="196">
        <v>0</v>
      </c>
      <c r="F35" s="196">
        <v>28087</v>
      </c>
      <c r="G35" s="196">
        <f>SUM(B35:F35)</f>
        <v>46990</v>
      </c>
      <c r="I35" s="297" t="s">
        <v>260</v>
      </c>
    </row>
    <row r="36" spans="2:7" s="288" customFormat="1" ht="9" customHeight="1">
      <c r="B36" s="196"/>
      <c r="C36" s="196"/>
      <c r="D36" s="196"/>
      <c r="E36" s="196"/>
      <c r="F36" s="196"/>
      <c r="G36" s="196"/>
    </row>
    <row r="37" spans="1:7" s="288" customFormat="1" ht="15" hidden="1">
      <c r="A37" s="288" t="s">
        <v>79</v>
      </c>
      <c r="B37" s="323"/>
      <c r="C37" s="323"/>
      <c r="D37" s="323"/>
      <c r="E37" s="323"/>
      <c r="F37" s="323">
        <v>0</v>
      </c>
      <c r="G37" s="323">
        <f>SUM(B37:F37)</f>
        <v>0</v>
      </c>
    </row>
    <row r="38" spans="2:7" s="288" customFormat="1" ht="15">
      <c r="B38" s="323"/>
      <c r="C38" s="323"/>
      <c r="D38" s="323"/>
      <c r="E38" s="323"/>
      <c r="F38" s="323"/>
      <c r="G38" s="323"/>
    </row>
    <row r="39" spans="2:7" s="288" customFormat="1" ht="9" customHeight="1">
      <c r="B39" s="196"/>
      <c r="C39" s="196"/>
      <c r="D39" s="196"/>
      <c r="E39" s="196"/>
      <c r="F39" s="196"/>
      <c r="G39" s="196"/>
    </row>
    <row r="40" spans="1:7" s="288" customFormat="1" ht="15">
      <c r="A40" s="288" t="s">
        <v>227</v>
      </c>
      <c r="B40" s="196">
        <f aca="true" t="shared" si="1" ref="B40:G40">B35+B38</f>
        <v>19082</v>
      </c>
      <c r="C40" s="196">
        <f t="shared" si="1"/>
        <v>0</v>
      </c>
      <c r="D40" s="196">
        <f t="shared" si="1"/>
        <v>-179</v>
      </c>
      <c r="E40" s="196">
        <f t="shared" si="1"/>
        <v>0</v>
      </c>
      <c r="F40" s="196">
        <f t="shared" si="1"/>
        <v>28087</v>
      </c>
      <c r="G40" s="196">
        <f t="shared" si="1"/>
        <v>46990</v>
      </c>
    </row>
    <row r="41" spans="2:7" s="288" customFormat="1" ht="9" customHeight="1">
      <c r="B41" s="196"/>
      <c r="C41" s="196"/>
      <c r="D41" s="196"/>
      <c r="E41" s="196"/>
      <c r="F41" s="196"/>
      <c r="G41" s="196"/>
    </row>
    <row r="42" spans="1:7" s="288" customFormat="1" ht="15">
      <c r="A42" s="288" t="s">
        <v>40</v>
      </c>
      <c r="B42" s="196">
        <v>23853</v>
      </c>
      <c r="C42" s="196">
        <f>+C44-C35</f>
        <v>0</v>
      </c>
      <c r="D42" s="196">
        <v>236</v>
      </c>
      <c r="E42" s="196">
        <v>0</v>
      </c>
      <c r="F42" s="196">
        <f>-23853+2420</f>
        <v>-21433</v>
      </c>
      <c r="G42" s="196">
        <f>SUM(B42:F42)</f>
        <v>2656</v>
      </c>
    </row>
    <row r="43" spans="1:7" s="288" customFormat="1" ht="15">
      <c r="A43" s="288" t="s">
        <v>238</v>
      </c>
      <c r="B43" s="196"/>
      <c r="C43" s="196"/>
      <c r="D43" s="196"/>
      <c r="E43" s="196"/>
      <c r="F43" s="196"/>
      <c r="G43" s="196"/>
    </row>
    <row r="44" spans="1:7" s="288" customFormat="1" ht="15">
      <c r="A44" s="288" t="s">
        <v>259</v>
      </c>
      <c r="B44" s="324">
        <f>+B35+B42</f>
        <v>42935</v>
      </c>
      <c r="C44" s="324">
        <v>0</v>
      </c>
      <c r="D44" s="324">
        <f>SUM(D40:D43)</f>
        <v>57</v>
      </c>
      <c r="E44" s="324">
        <f>E40+E42</f>
        <v>0</v>
      </c>
      <c r="F44" s="324">
        <f>+F35+F38+F42</f>
        <v>6654</v>
      </c>
      <c r="G44" s="324">
        <f>SUM(B44:F44)</f>
        <v>49646</v>
      </c>
    </row>
    <row r="45" s="288" customFormat="1" ht="15"/>
    <row r="46" s="288" customFormat="1" ht="15"/>
    <row r="47" s="288" customFormat="1" ht="15"/>
    <row r="48" s="288" customFormat="1" ht="15"/>
    <row r="49" s="288" customFormat="1" ht="15"/>
  </sheetData>
  <printOptions/>
  <pageMargins left="0.75" right="0.75" top="1" bottom="1" header="0.5" footer="0.5"/>
  <pageSetup horizontalDpi="600" verticalDpi="600" orientation="portrait" scale="80" r:id="rId1"/>
  <headerFooter alignWithMargins="0">
    <oddFooter>&amp;C&amp;"Times New Roman,Regular"3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71"/>
  <sheetViews>
    <sheetView zoomScale="75" zoomScaleNormal="75" workbookViewId="0" topLeftCell="A66">
      <selection activeCell="B85" sqref="B85"/>
    </sheetView>
  </sheetViews>
  <sheetFormatPr defaultColWidth="9.140625" defaultRowHeight="12.75"/>
  <cols>
    <col min="1" max="1" width="42.28125" style="299" customWidth="1"/>
    <col min="2" max="2" width="9.140625" style="1" customWidth="1"/>
    <col min="3" max="3" width="15.28125" style="1" customWidth="1"/>
    <col min="4" max="4" width="12.7109375" style="179" customWidth="1"/>
    <col min="5" max="5" width="8.00390625" style="1" customWidth="1"/>
    <col min="6" max="6" width="13.00390625" style="1" customWidth="1"/>
    <col min="7" max="7" width="8.7109375" style="1" bestFit="1" customWidth="1"/>
    <col min="8" max="9" width="9.140625" style="184" customWidth="1"/>
    <col min="10" max="16384" width="9.140625" style="1" customWidth="1"/>
  </cols>
  <sheetData>
    <row r="1" spans="1:5" ht="12.75">
      <c r="A1" s="302"/>
      <c r="B1" s="303"/>
      <c r="C1" s="303"/>
      <c r="D1" s="304"/>
      <c r="E1" s="303"/>
    </row>
    <row r="2" spans="1:5" ht="15.75">
      <c r="A2" s="300" t="s">
        <v>82</v>
      </c>
      <c r="D2" s="304"/>
      <c r="E2" s="303"/>
    </row>
    <row r="3" spans="1:5" ht="15.75">
      <c r="A3" s="300" t="s">
        <v>83</v>
      </c>
      <c r="D3" s="304"/>
      <c r="E3" s="303"/>
    </row>
    <row r="4" spans="1:5" ht="15.75">
      <c r="A4" s="300" t="s">
        <v>0</v>
      </c>
      <c r="D4" s="304"/>
      <c r="E4" s="303"/>
    </row>
    <row r="5" spans="4:5" ht="12.75">
      <c r="D5" s="304"/>
      <c r="E5" s="303"/>
    </row>
    <row r="6" spans="1:9" s="288" customFormat="1" ht="15">
      <c r="A6" s="306" t="s">
        <v>76</v>
      </c>
      <c r="D6" s="307" t="s">
        <v>265</v>
      </c>
      <c r="F6" s="307" t="s">
        <v>264</v>
      </c>
      <c r="H6" s="297"/>
      <c r="I6" s="297"/>
    </row>
    <row r="7" spans="1:9" s="288" customFormat="1" ht="15">
      <c r="A7" s="306"/>
      <c r="D7" s="308" t="s">
        <v>254</v>
      </c>
      <c r="F7" s="308" t="s">
        <v>254</v>
      </c>
      <c r="H7" s="297"/>
      <c r="I7" s="297"/>
    </row>
    <row r="8" spans="1:9" s="288" customFormat="1" ht="15">
      <c r="A8" s="306"/>
      <c r="D8" s="307" t="s">
        <v>255</v>
      </c>
      <c r="F8" s="307" t="s">
        <v>256</v>
      </c>
      <c r="H8" s="297"/>
      <c r="I8" s="297"/>
    </row>
    <row r="9" spans="1:9" s="288" customFormat="1" ht="15">
      <c r="A9" s="195"/>
      <c r="D9" s="309" t="s">
        <v>36</v>
      </c>
      <c r="E9" s="310"/>
      <c r="F9" s="309" t="s">
        <v>36</v>
      </c>
      <c r="H9" s="297"/>
      <c r="I9" s="297"/>
    </row>
    <row r="10" spans="1:9" s="288" customFormat="1" ht="15">
      <c r="A10" s="311" t="s">
        <v>44</v>
      </c>
      <c r="B10" s="312"/>
      <c r="C10" s="312"/>
      <c r="D10" s="313"/>
      <c r="E10" s="312"/>
      <c r="F10" s="313"/>
      <c r="H10" s="297"/>
      <c r="I10" s="297"/>
    </row>
    <row r="11" spans="1:9" s="288" customFormat="1" ht="15">
      <c r="A11" s="314" t="s">
        <v>77</v>
      </c>
      <c r="B11" s="315"/>
      <c r="C11" s="315"/>
      <c r="D11" s="316">
        <v>6048</v>
      </c>
      <c r="F11" s="313">
        <v>6266</v>
      </c>
      <c r="H11" s="297"/>
      <c r="I11" s="297"/>
    </row>
    <row r="12" spans="1:9" s="288" customFormat="1" ht="15">
      <c r="A12" s="314"/>
      <c r="B12" s="315"/>
      <c r="C12" s="315"/>
      <c r="D12" s="313"/>
      <c r="F12" s="313"/>
      <c r="H12" s="297"/>
      <c r="I12" s="297"/>
    </row>
    <row r="13" spans="1:9" s="288" customFormat="1" ht="15">
      <c r="A13" s="314" t="s">
        <v>45</v>
      </c>
      <c r="B13" s="315"/>
      <c r="C13" s="315"/>
      <c r="D13" s="313"/>
      <c r="F13" s="313"/>
      <c r="H13" s="297"/>
      <c r="I13" s="297"/>
    </row>
    <row r="14" spans="1:9" s="288" customFormat="1" ht="15">
      <c r="A14" s="314" t="s">
        <v>46</v>
      </c>
      <c r="B14" s="315"/>
      <c r="C14" s="315"/>
      <c r="D14" s="313">
        <f>1520+793</f>
        <v>2313</v>
      </c>
      <c r="F14" s="313">
        <f>1349+965</f>
        <v>2314</v>
      </c>
      <c r="H14" s="297"/>
      <c r="I14" s="297"/>
    </row>
    <row r="15" spans="1:9" s="288" customFormat="1" ht="15">
      <c r="A15" s="314" t="s">
        <v>47</v>
      </c>
      <c r="B15" s="315"/>
      <c r="C15" s="315"/>
      <c r="D15" s="313">
        <v>-319</v>
      </c>
      <c r="F15" s="313">
        <v>-352</v>
      </c>
      <c r="H15" s="297"/>
      <c r="I15" s="297"/>
    </row>
    <row r="16" spans="1:9" s="288" customFormat="1" ht="15">
      <c r="A16" s="314" t="s">
        <v>48</v>
      </c>
      <c r="B16" s="315"/>
      <c r="C16" s="315"/>
      <c r="D16" s="313">
        <v>62</v>
      </c>
      <c r="F16" s="313">
        <v>54</v>
      </c>
      <c r="H16" s="297"/>
      <c r="I16" s="297"/>
    </row>
    <row r="17" spans="1:9" s="288" customFormat="1" ht="15" hidden="1">
      <c r="A17" s="314" t="s">
        <v>49</v>
      </c>
      <c r="B17" s="315"/>
      <c r="C17" s="315"/>
      <c r="D17" s="313">
        <v>0</v>
      </c>
      <c r="F17" s="313">
        <v>0</v>
      </c>
      <c r="H17" s="297"/>
      <c r="I17" s="297"/>
    </row>
    <row r="18" spans="1:9" s="288" customFormat="1" ht="15">
      <c r="A18" s="314" t="s">
        <v>50</v>
      </c>
      <c r="B18" s="315"/>
      <c r="C18" s="315"/>
      <c r="D18" s="317">
        <v>268</v>
      </c>
      <c r="F18" s="317">
        <v>143</v>
      </c>
      <c r="H18" s="297"/>
      <c r="I18" s="297"/>
    </row>
    <row r="19" spans="1:9" s="288" customFormat="1" ht="15">
      <c r="A19" s="314" t="s">
        <v>270</v>
      </c>
      <c r="B19" s="315"/>
      <c r="C19" s="315"/>
      <c r="D19" s="313">
        <v>22</v>
      </c>
      <c r="F19" s="313">
        <v>-11</v>
      </c>
      <c r="H19" s="297"/>
      <c r="I19" s="297"/>
    </row>
    <row r="20" spans="1:9" s="288" customFormat="1" ht="15" hidden="1">
      <c r="A20" s="314" t="s">
        <v>78</v>
      </c>
      <c r="B20" s="315"/>
      <c r="C20" s="315"/>
      <c r="D20" s="313">
        <v>0</v>
      </c>
      <c r="F20" s="313">
        <v>0</v>
      </c>
      <c r="H20" s="297"/>
      <c r="I20" s="297"/>
    </row>
    <row r="21" spans="1:9" s="288" customFormat="1" ht="15">
      <c r="A21" s="314"/>
      <c r="B21" s="315"/>
      <c r="C21" s="315"/>
      <c r="D21" s="313"/>
      <c r="F21" s="313"/>
      <c r="H21" s="297"/>
      <c r="I21" s="297"/>
    </row>
    <row r="22" spans="1:9" s="288" customFormat="1" ht="15">
      <c r="A22" s="314" t="s">
        <v>51</v>
      </c>
      <c r="B22" s="315"/>
      <c r="C22" s="315"/>
      <c r="D22" s="318">
        <f>SUM(D11:D20)</f>
        <v>8394</v>
      </c>
      <c r="E22" s="318"/>
      <c r="F22" s="318">
        <f>SUM(F11:F20)</f>
        <v>8414</v>
      </c>
      <c r="H22" s="297"/>
      <c r="I22" s="297"/>
    </row>
    <row r="23" spans="1:9" s="288" customFormat="1" ht="15">
      <c r="A23" s="314"/>
      <c r="B23" s="315"/>
      <c r="C23" s="315"/>
      <c r="D23" s="313"/>
      <c r="F23" s="313"/>
      <c r="H23" s="297"/>
      <c r="I23" s="297"/>
    </row>
    <row r="24" spans="1:9" s="288" customFormat="1" ht="15">
      <c r="A24" s="314" t="s">
        <v>52</v>
      </c>
      <c r="B24" s="315"/>
      <c r="C24" s="315"/>
      <c r="D24" s="316">
        <f>-(20636-17957)</f>
        <v>-2679</v>
      </c>
      <c r="F24" s="316">
        <f>-2330</f>
        <v>-2330</v>
      </c>
      <c r="H24" s="297" t="s">
        <v>235</v>
      </c>
      <c r="I24" s="297"/>
    </row>
    <row r="25" spans="1:9" s="288" customFormat="1" ht="15" hidden="1">
      <c r="A25" s="314" t="s">
        <v>53</v>
      </c>
      <c r="B25" s="315"/>
      <c r="C25" s="315"/>
      <c r="D25" s="316">
        <v>0</v>
      </c>
      <c r="F25" s="316">
        <v>0</v>
      </c>
      <c r="H25" s="297" t="s">
        <v>236</v>
      </c>
      <c r="I25" s="297"/>
    </row>
    <row r="26" spans="1:9" s="288" customFormat="1" ht="15">
      <c r="A26" s="314" t="s">
        <v>228</v>
      </c>
      <c r="B26" s="315"/>
      <c r="C26" s="315"/>
      <c r="D26" s="316">
        <f>(6429-5945)</f>
        <v>484</v>
      </c>
      <c r="F26" s="316">
        <v>1230</v>
      </c>
      <c r="H26" s="297" t="s">
        <v>234</v>
      </c>
      <c r="I26" s="297"/>
    </row>
    <row r="27" spans="1:9" s="288" customFormat="1" ht="15">
      <c r="A27" s="314" t="s">
        <v>229</v>
      </c>
      <c r="B27" s="315"/>
      <c r="C27" s="315"/>
      <c r="D27" s="316">
        <f>-(340-269)+(84-26)</f>
        <v>-13</v>
      </c>
      <c r="F27" s="316">
        <f>-((226+51)-53)+41</f>
        <v>-183</v>
      </c>
      <c r="H27" s="297" t="s">
        <v>263</v>
      </c>
      <c r="I27" s="297"/>
    </row>
    <row r="28" spans="1:9" s="288" customFormat="1" ht="15">
      <c r="A28" s="314"/>
      <c r="B28" s="315"/>
      <c r="C28" s="315"/>
      <c r="D28" s="313"/>
      <c r="F28" s="316"/>
      <c r="H28" s="297"/>
      <c r="I28" s="297"/>
    </row>
    <row r="29" spans="1:9" s="288" customFormat="1" ht="15">
      <c r="A29" s="314" t="s">
        <v>54</v>
      </c>
      <c r="B29" s="315"/>
      <c r="C29" s="313"/>
      <c r="D29" s="318">
        <f>SUM(D22:D27)</f>
        <v>6186</v>
      </c>
      <c r="E29" s="318"/>
      <c r="F29" s="318">
        <f>SUM(F22:F27)</f>
        <v>7131</v>
      </c>
      <c r="H29" s="297"/>
      <c r="I29" s="297"/>
    </row>
    <row r="30" spans="1:9" s="288" customFormat="1" ht="15">
      <c r="A30" s="314"/>
      <c r="B30" s="315"/>
      <c r="C30" s="336"/>
      <c r="D30" s="313"/>
      <c r="F30" s="313"/>
      <c r="H30" s="297"/>
      <c r="I30" s="297"/>
    </row>
    <row r="31" spans="1:9" s="288" customFormat="1" ht="15">
      <c r="A31" s="314" t="s">
        <v>55</v>
      </c>
      <c r="B31" s="315"/>
      <c r="C31" s="313"/>
      <c r="D31" s="313">
        <f>-D15</f>
        <v>319</v>
      </c>
      <c r="F31" s="313">
        <f>-F15</f>
        <v>352</v>
      </c>
      <c r="G31" s="313"/>
      <c r="H31" s="313"/>
      <c r="I31" s="297"/>
    </row>
    <row r="32" spans="1:9" s="288" customFormat="1" ht="15">
      <c r="A32" s="314" t="s">
        <v>266</v>
      </c>
      <c r="B32" s="315"/>
      <c r="C32" s="315"/>
      <c r="D32" s="313">
        <f>-2150-18</f>
        <v>-2168</v>
      </c>
      <c r="F32" s="313">
        <f>-1276-12</f>
        <v>-1288</v>
      </c>
      <c r="G32" s="196"/>
      <c r="H32" s="297"/>
      <c r="I32" s="297"/>
    </row>
    <row r="33" spans="1:9" s="288" customFormat="1" ht="15">
      <c r="A33" s="314" t="s">
        <v>267</v>
      </c>
      <c r="B33" s="315"/>
      <c r="C33" s="315"/>
      <c r="D33" s="313">
        <v>-3091</v>
      </c>
      <c r="F33" s="313">
        <v>-1374</v>
      </c>
      <c r="H33" s="297"/>
      <c r="I33" s="297"/>
    </row>
    <row r="34" spans="1:9" s="288" customFormat="1" ht="15">
      <c r="A34" s="314" t="s">
        <v>56</v>
      </c>
      <c r="B34" s="315"/>
      <c r="C34" s="315"/>
      <c r="D34" s="313">
        <f>-D16</f>
        <v>-62</v>
      </c>
      <c r="F34" s="313">
        <f>-F16</f>
        <v>-54</v>
      </c>
      <c r="H34" s="297"/>
      <c r="I34" s="297"/>
    </row>
    <row r="35" spans="1:9" s="288" customFormat="1" ht="15">
      <c r="A35" s="314"/>
      <c r="B35" s="315"/>
      <c r="C35" s="315"/>
      <c r="D35" s="313"/>
      <c r="F35" s="313"/>
      <c r="H35" s="297"/>
      <c r="I35" s="297"/>
    </row>
    <row r="36" spans="1:9" s="288" customFormat="1" ht="15">
      <c r="A36" s="314" t="s">
        <v>57</v>
      </c>
      <c r="B36" s="315"/>
      <c r="C36" s="315"/>
      <c r="D36" s="318">
        <f>SUM(D29:D35)</f>
        <v>1184</v>
      </c>
      <c r="F36" s="318">
        <f>SUM(F29:F35)</f>
        <v>4767</v>
      </c>
      <c r="H36" s="297"/>
      <c r="I36" s="297"/>
    </row>
    <row r="37" spans="1:9" s="288" customFormat="1" ht="15">
      <c r="A37" s="314"/>
      <c r="B37" s="315"/>
      <c r="C37" s="315"/>
      <c r="D37" s="313"/>
      <c r="F37" s="313"/>
      <c r="H37" s="297"/>
      <c r="I37" s="297"/>
    </row>
    <row r="38" spans="1:9" s="288" customFormat="1" ht="15">
      <c r="A38" s="311" t="s">
        <v>58</v>
      </c>
      <c r="B38" s="312"/>
      <c r="C38" s="315"/>
      <c r="D38" s="313"/>
      <c r="F38" s="313"/>
      <c r="H38" s="297"/>
      <c r="I38" s="297"/>
    </row>
    <row r="39" spans="1:9" s="288" customFormat="1" ht="15">
      <c r="A39" s="311"/>
      <c r="B39" s="312"/>
      <c r="C39" s="315"/>
      <c r="D39" s="313"/>
      <c r="F39" s="313"/>
      <c r="H39" s="297"/>
      <c r="I39" s="297"/>
    </row>
    <row r="40" spans="1:9" s="288" customFormat="1" ht="15">
      <c r="A40" s="314" t="s">
        <v>59</v>
      </c>
      <c r="B40" s="315"/>
      <c r="C40" s="315"/>
      <c r="D40" s="313">
        <v>-1993</v>
      </c>
      <c r="F40" s="313">
        <v>-2576</v>
      </c>
      <c r="H40" s="297"/>
      <c r="I40" s="297"/>
    </row>
    <row r="41" spans="1:9" s="288" customFormat="1" ht="15">
      <c r="A41" s="314" t="s">
        <v>60</v>
      </c>
      <c r="B41" s="315"/>
      <c r="C41" s="315"/>
      <c r="D41" s="313">
        <v>0</v>
      </c>
      <c r="F41" s="313">
        <v>0</v>
      </c>
      <c r="H41" s="297"/>
      <c r="I41" s="297"/>
    </row>
    <row r="42" spans="1:9" s="288" customFormat="1" ht="15">
      <c r="A42" s="314"/>
      <c r="B42" s="315"/>
      <c r="C42" s="315"/>
      <c r="D42" s="313"/>
      <c r="F42" s="313"/>
      <c r="H42" s="297"/>
      <c r="I42" s="297"/>
    </row>
    <row r="43" spans="1:9" s="288" customFormat="1" ht="15">
      <c r="A43" s="314" t="s">
        <v>61</v>
      </c>
      <c r="B43" s="315"/>
      <c r="C43" s="315"/>
      <c r="D43" s="318">
        <f>SUM(D40:D42)</f>
        <v>-1993</v>
      </c>
      <c r="F43" s="318">
        <f>SUM(F40:F42)</f>
        <v>-2576</v>
      </c>
      <c r="H43" s="297"/>
      <c r="I43" s="297"/>
    </row>
    <row r="44" spans="1:9" s="288" customFormat="1" ht="15">
      <c r="A44" s="314"/>
      <c r="B44" s="315"/>
      <c r="C44" s="315"/>
      <c r="D44" s="313"/>
      <c r="F44" s="313"/>
      <c r="H44" s="297"/>
      <c r="I44" s="297"/>
    </row>
    <row r="45" spans="1:9" s="288" customFormat="1" ht="15">
      <c r="A45" s="311" t="s">
        <v>62</v>
      </c>
      <c r="B45" s="312"/>
      <c r="C45" s="315"/>
      <c r="D45" s="313"/>
      <c r="F45" s="313"/>
      <c r="H45" s="297"/>
      <c r="I45" s="297"/>
    </row>
    <row r="46" spans="1:9" s="288" customFormat="1" ht="15">
      <c r="A46" s="311"/>
      <c r="B46" s="312"/>
      <c r="C46" s="315"/>
      <c r="D46" s="313"/>
      <c r="F46" s="313"/>
      <c r="H46" s="297"/>
      <c r="I46" s="297"/>
    </row>
    <row r="47" spans="1:9" s="288" customFormat="1" ht="15" hidden="1">
      <c r="A47" s="314" t="s">
        <v>63</v>
      </c>
      <c r="B47" s="315"/>
      <c r="C47" s="315"/>
      <c r="D47" s="313">
        <v>0</v>
      </c>
      <c r="F47" s="313">
        <v>0</v>
      </c>
      <c r="H47" s="297"/>
      <c r="I47" s="297"/>
    </row>
    <row r="48" spans="1:9" s="288" customFormat="1" ht="15" hidden="1">
      <c r="A48" s="314" t="s">
        <v>64</v>
      </c>
      <c r="B48" s="315"/>
      <c r="C48" s="315"/>
      <c r="D48" s="313">
        <v>0</v>
      </c>
      <c r="F48" s="313">
        <v>0</v>
      </c>
      <c r="H48" s="297"/>
      <c r="I48" s="297"/>
    </row>
    <row r="49" spans="1:9" s="288" customFormat="1" ht="15">
      <c r="A49" s="314" t="s">
        <v>65</v>
      </c>
      <c r="B49" s="315"/>
      <c r="C49" s="315"/>
      <c r="D49" s="313">
        <f>-(0.942*9)</f>
        <v>-8.478</v>
      </c>
      <c r="F49" s="313">
        <f>-(0.942*9)</f>
        <v>-8.478</v>
      </c>
      <c r="H49" s="297"/>
      <c r="I49" s="297"/>
    </row>
    <row r="50" spans="1:9" s="288" customFormat="1" ht="15" hidden="1">
      <c r="A50" s="314" t="s">
        <v>66</v>
      </c>
      <c r="B50" s="315"/>
      <c r="C50" s="315"/>
      <c r="D50" s="317">
        <v>0</v>
      </c>
      <c r="F50" s="317">
        <v>0</v>
      </c>
      <c r="H50" s="297"/>
      <c r="I50" s="297"/>
    </row>
    <row r="51" spans="1:9" s="288" customFormat="1" ht="15" hidden="1">
      <c r="A51" s="314" t="s">
        <v>67</v>
      </c>
      <c r="B51" s="315"/>
      <c r="C51" s="315"/>
      <c r="D51" s="313">
        <v>0</v>
      </c>
      <c r="F51" s="313">
        <v>0</v>
      </c>
      <c r="H51" s="297"/>
      <c r="I51" s="297"/>
    </row>
    <row r="52" spans="1:9" s="288" customFormat="1" ht="15">
      <c r="A52" s="314"/>
      <c r="B52" s="315"/>
      <c r="C52" s="315"/>
      <c r="D52" s="313"/>
      <c r="F52" s="313"/>
      <c r="H52" s="297"/>
      <c r="I52" s="297"/>
    </row>
    <row r="53" spans="1:9" s="288" customFormat="1" ht="15">
      <c r="A53" s="314" t="s">
        <v>68</v>
      </c>
      <c r="B53" s="315"/>
      <c r="C53" s="315"/>
      <c r="D53" s="318">
        <f>SUM(D47:D52)</f>
        <v>-8.478</v>
      </c>
      <c r="F53" s="318">
        <f>SUM(F47:F52)</f>
        <v>-8.478</v>
      </c>
      <c r="H53" s="297"/>
      <c r="I53" s="297"/>
    </row>
    <row r="54" spans="1:9" s="288" customFormat="1" ht="15">
      <c r="A54" s="314"/>
      <c r="B54" s="315"/>
      <c r="C54" s="315"/>
      <c r="D54" s="313"/>
      <c r="F54" s="313"/>
      <c r="H54" s="297"/>
      <c r="I54" s="297"/>
    </row>
    <row r="55" spans="1:9" s="288" customFormat="1" ht="15">
      <c r="A55" s="314" t="s">
        <v>69</v>
      </c>
      <c r="B55" s="315"/>
      <c r="C55" s="315"/>
      <c r="D55" s="290">
        <f>D36+D43+D53</f>
        <v>-817.478</v>
      </c>
      <c r="F55" s="290">
        <f>F36+F43+F53</f>
        <v>2182.522</v>
      </c>
      <c r="H55" s="313">
        <f>(357-3147)+(13832-11192)</f>
        <v>-150</v>
      </c>
      <c r="I55" s="316">
        <f>(1312-306)+(12169-13690)</f>
        <v>-515</v>
      </c>
    </row>
    <row r="56" spans="1:9" s="288" customFormat="1" ht="15">
      <c r="A56" s="314" t="s">
        <v>70</v>
      </c>
      <c r="B56" s="315"/>
      <c r="C56" s="315"/>
      <c r="D56" s="313">
        <f>3147+11192</f>
        <v>14339</v>
      </c>
      <c r="F56" s="313">
        <f>13690+306</f>
        <v>13996</v>
      </c>
      <c r="H56" s="297"/>
      <c r="I56" s="297"/>
    </row>
    <row r="57" spans="1:9" s="288" customFormat="1" ht="15">
      <c r="A57" s="314"/>
      <c r="B57" s="315"/>
      <c r="C57" s="315"/>
      <c r="D57" s="313"/>
      <c r="F57" s="313"/>
      <c r="H57" s="297"/>
      <c r="I57" s="297"/>
    </row>
    <row r="58" spans="1:9" s="288" customFormat="1" ht="15">
      <c r="A58" s="311" t="s">
        <v>71</v>
      </c>
      <c r="B58" s="312"/>
      <c r="C58" s="315"/>
      <c r="D58" s="319">
        <f>SUM(D55:D57)</f>
        <v>13521.522</v>
      </c>
      <c r="F58" s="319">
        <f>SUM(F55:F57)</f>
        <v>16178.522</v>
      </c>
      <c r="H58" s="297"/>
      <c r="I58" s="297"/>
    </row>
    <row r="59" spans="1:9" s="288" customFormat="1" ht="15">
      <c r="A59" s="314"/>
      <c r="B59" s="315"/>
      <c r="C59" s="315"/>
      <c r="D59" s="313"/>
      <c r="F59" s="313"/>
      <c r="H59" s="297"/>
      <c r="I59" s="297"/>
    </row>
    <row r="60" spans="1:9" s="288" customFormat="1" ht="15">
      <c r="A60" s="314"/>
      <c r="B60" s="315"/>
      <c r="C60" s="315"/>
      <c r="D60" s="313"/>
      <c r="F60" s="313"/>
      <c r="H60" s="297"/>
      <c r="I60" s="297"/>
    </row>
    <row r="61" spans="1:9" s="288" customFormat="1" ht="15">
      <c r="A61" s="314" t="s">
        <v>72</v>
      </c>
      <c r="B61" s="315"/>
      <c r="C61" s="315"/>
      <c r="D61" s="313">
        <v>357</v>
      </c>
      <c r="F61" s="313">
        <v>1312</v>
      </c>
      <c r="H61" s="297"/>
      <c r="I61" s="297"/>
    </row>
    <row r="62" spans="1:9" s="288" customFormat="1" ht="15">
      <c r="A62" s="314" t="s">
        <v>73</v>
      </c>
      <c r="B62" s="315"/>
      <c r="C62" s="315"/>
      <c r="D62" s="313">
        <v>13832</v>
      </c>
      <c r="F62" s="313">
        <v>12169</v>
      </c>
      <c r="H62" s="297"/>
      <c r="I62" s="297"/>
    </row>
    <row r="63" spans="1:9" s="288" customFormat="1" ht="15" hidden="1">
      <c r="A63" s="314" t="s">
        <v>74</v>
      </c>
      <c r="B63" s="315"/>
      <c r="C63" s="315"/>
      <c r="D63" s="313">
        <v>0</v>
      </c>
      <c r="F63" s="313">
        <v>0</v>
      </c>
      <c r="H63" s="297"/>
      <c r="I63" s="297"/>
    </row>
    <row r="64" spans="1:9" s="288" customFormat="1" ht="15">
      <c r="A64" s="311" t="s">
        <v>75</v>
      </c>
      <c r="B64" s="312"/>
      <c r="C64" s="315"/>
      <c r="D64" s="319">
        <f>SUM(D61:D63)</f>
        <v>14189</v>
      </c>
      <c r="F64" s="319">
        <f>SUM(F61:F63)</f>
        <v>13481</v>
      </c>
      <c r="H64" s="297"/>
      <c r="I64" s="297"/>
    </row>
    <row r="65" spans="1:9" s="288" customFormat="1" ht="15">
      <c r="A65" s="314"/>
      <c r="B65" s="315"/>
      <c r="C65" s="315"/>
      <c r="D65" s="320"/>
      <c r="F65" s="320"/>
      <c r="H65" s="297"/>
      <c r="I65" s="297"/>
    </row>
    <row r="66" spans="1:9" s="288" customFormat="1" ht="15">
      <c r="A66" s="314"/>
      <c r="B66" s="315"/>
      <c r="C66" s="315"/>
      <c r="D66" s="313">
        <f>'BS'!E18-CFLOWA!D64</f>
        <v>0</v>
      </c>
      <c r="E66" s="321"/>
      <c r="F66" s="313">
        <f>F58-F64</f>
        <v>2697.522000000001</v>
      </c>
      <c r="H66" s="297"/>
      <c r="I66" s="297"/>
    </row>
    <row r="67" spans="1:9" s="288" customFormat="1" ht="15">
      <c r="A67" s="195"/>
      <c r="D67" s="196"/>
      <c r="F67" s="196"/>
      <c r="H67" s="297"/>
      <c r="I67" s="297"/>
    </row>
    <row r="68" spans="1:9" s="288" customFormat="1" ht="15">
      <c r="A68" s="195"/>
      <c r="D68" s="196">
        <f>D64-D58</f>
        <v>667.4779999999992</v>
      </c>
      <c r="F68" s="196"/>
      <c r="H68" s="297"/>
      <c r="I68" s="297"/>
    </row>
    <row r="69" spans="1:9" s="288" customFormat="1" ht="15">
      <c r="A69" s="195"/>
      <c r="D69" s="196"/>
      <c r="F69" s="196"/>
      <c r="H69" s="297"/>
      <c r="I69" s="297"/>
    </row>
    <row r="70" spans="1:9" s="288" customFormat="1" ht="15">
      <c r="A70" s="195"/>
      <c r="D70" s="196"/>
      <c r="F70" s="196"/>
      <c r="H70" s="297"/>
      <c r="I70" s="297"/>
    </row>
    <row r="71" spans="1:9" s="288" customFormat="1" ht="15">
      <c r="A71" s="195"/>
      <c r="D71" s="196"/>
      <c r="H71" s="297"/>
      <c r="I71" s="29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3"/>
  <sheetViews>
    <sheetView workbookViewId="0" topLeftCell="A1">
      <selection activeCell="F7" sqref="F7"/>
    </sheetView>
  </sheetViews>
  <sheetFormatPr defaultColWidth="9.140625" defaultRowHeight="12.75"/>
  <cols>
    <col min="2" max="2" width="48.7109375" style="0" customWidth="1"/>
    <col min="3" max="3" width="17.8515625" style="0" customWidth="1"/>
    <col min="4" max="4" width="12.421875" style="0" customWidth="1"/>
    <col min="6" max="6" width="12.421875" style="0" customWidth="1"/>
  </cols>
  <sheetData>
    <row r="2" spans="2:6" ht="15.75">
      <c r="B2" s="300" t="s">
        <v>82</v>
      </c>
      <c r="C2" s="1"/>
      <c r="D2" s="304"/>
      <c r="E2" s="303"/>
      <c r="F2" s="1"/>
    </row>
    <row r="3" spans="2:6" ht="15.75">
      <c r="B3" s="300" t="s">
        <v>83</v>
      </c>
      <c r="C3" s="1"/>
      <c r="D3" s="304"/>
      <c r="E3" s="303"/>
      <c r="F3" s="1"/>
    </row>
    <row r="4" spans="2:6" ht="15.75">
      <c r="B4" s="300" t="s">
        <v>0</v>
      </c>
      <c r="C4" s="1"/>
      <c r="D4" s="304"/>
      <c r="E4" s="303"/>
      <c r="F4" s="1"/>
    </row>
    <row r="5" spans="2:6" ht="12.75">
      <c r="B5" s="299"/>
      <c r="C5" s="1"/>
      <c r="D5" s="304"/>
      <c r="E5" s="303"/>
      <c r="F5" s="1"/>
    </row>
    <row r="6" spans="2:6" ht="15">
      <c r="B6" s="306" t="s">
        <v>76</v>
      </c>
      <c r="C6" s="288"/>
      <c r="D6" s="307" t="s">
        <v>265</v>
      </c>
      <c r="E6" s="288"/>
      <c r="F6" s="307" t="s">
        <v>264</v>
      </c>
    </row>
    <row r="7" spans="1:6" ht="15">
      <c r="A7" s="306"/>
      <c r="B7" s="288"/>
      <c r="C7" s="288"/>
      <c r="D7" s="308" t="s">
        <v>301</v>
      </c>
      <c r="E7" s="288"/>
      <c r="F7" s="308" t="s">
        <v>301</v>
      </c>
    </row>
    <row r="8" spans="1:6" ht="15">
      <c r="A8" s="306"/>
      <c r="B8" s="288"/>
      <c r="C8" s="288"/>
      <c r="D8" s="307" t="s">
        <v>255</v>
      </c>
      <c r="E8" s="288"/>
      <c r="F8" s="307" t="s">
        <v>256</v>
      </c>
    </row>
    <row r="9" spans="1:6" ht="15">
      <c r="A9" s="195"/>
      <c r="B9" s="288"/>
      <c r="C9" s="288"/>
      <c r="D9" s="309" t="s">
        <v>36</v>
      </c>
      <c r="E9" s="310"/>
      <c r="F9" s="309" t="s">
        <v>36</v>
      </c>
    </row>
    <row r="11" spans="2:6" ht="14.25" customHeight="1">
      <c r="B11" s="340" t="s">
        <v>275</v>
      </c>
      <c r="C11" s="340"/>
      <c r="D11" s="179">
        <v>4656</v>
      </c>
      <c r="E11" s="1"/>
      <c r="F11" s="179">
        <v>3160</v>
      </c>
    </row>
    <row r="12" spans="2:6" ht="15.75">
      <c r="B12" s="340" t="s">
        <v>276</v>
      </c>
      <c r="C12" s="340"/>
      <c r="D12" s="179">
        <f>-2018+319</f>
        <v>-1699</v>
      </c>
      <c r="E12" s="1"/>
      <c r="F12" s="179">
        <f>-2637+352</f>
        <v>-2285</v>
      </c>
    </row>
    <row r="13" spans="2:6" ht="15.75">
      <c r="B13" s="340" t="s">
        <v>277</v>
      </c>
      <c r="C13" s="340"/>
      <c r="D13" s="344">
        <f>-3091-16</f>
        <v>-3107</v>
      </c>
      <c r="E13" s="1"/>
      <c r="F13" s="344">
        <f>-1374-16</f>
        <v>-1390</v>
      </c>
    </row>
    <row r="14" spans="2:6" ht="15.75">
      <c r="B14" s="340" t="s">
        <v>278</v>
      </c>
      <c r="C14" s="340"/>
      <c r="D14" s="179">
        <f>SUM(D11:D13)</f>
        <v>-150</v>
      </c>
      <c r="E14" s="1"/>
      <c r="F14" s="179">
        <f>SUM(F11:F13)</f>
        <v>-515</v>
      </c>
    </row>
    <row r="15" spans="2:6" ht="15.75">
      <c r="B15" s="340"/>
      <c r="C15" s="340"/>
      <c r="D15" s="1"/>
      <c r="E15" s="1"/>
      <c r="F15" s="1"/>
    </row>
    <row r="16" spans="2:6" ht="15.75">
      <c r="B16" s="340" t="s">
        <v>279</v>
      </c>
      <c r="C16" s="340"/>
      <c r="D16" s="344">
        <v>14339</v>
      </c>
      <c r="E16" s="1"/>
      <c r="F16" s="344">
        <v>13996</v>
      </c>
    </row>
    <row r="17" spans="2:6" ht="16.5" customHeight="1" thickBot="1">
      <c r="B17" s="340" t="s">
        <v>280</v>
      </c>
      <c r="C17" s="340"/>
      <c r="D17" s="346">
        <f>D16+D14</f>
        <v>14189</v>
      </c>
      <c r="E17" s="1"/>
      <c r="F17" s="346">
        <f>F16+F14</f>
        <v>13481</v>
      </c>
    </row>
    <row r="18" spans="3:6" ht="13.5" thickTop="1">
      <c r="C18" s="1"/>
      <c r="D18" s="1"/>
      <c r="E18" s="1"/>
      <c r="F18" s="1"/>
    </row>
    <row r="19" spans="3:6" ht="12.75">
      <c r="C19" s="1"/>
      <c r="D19" s="1"/>
      <c r="E19" s="1"/>
      <c r="F19" s="1"/>
    </row>
    <row r="20" spans="2:6" ht="15.75">
      <c r="B20" s="340" t="s">
        <v>281</v>
      </c>
      <c r="C20" s="1"/>
      <c r="D20" s="1"/>
      <c r="E20" s="1"/>
      <c r="F20" s="1"/>
    </row>
    <row r="21" spans="3:6" ht="15.75">
      <c r="C21" s="340"/>
      <c r="D21" s="1"/>
      <c r="E21" s="1"/>
      <c r="F21" s="1"/>
    </row>
    <row r="22" spans="2:6" ht="15.75">
      <c r="B22" s="341" t="s">
        <v>282</v>
      </c>
      <c r="C22" s="342"/>
      <c r="D22" s="179">
        <v>13832</v>
      </c>
      <c r="E22" s="1"/>
      <c r="F22" s="179">
        <v>1312</v>
      </c>
    </row>
    <row r="23" spans="2:6" ht="15.75">
      <c r="B23" s="341" t="s">
        <v>283</v>
      </c>
      <c r="C23" s="343"/>
      <c r="D23" s="179">
        <v>357</v>
      </c>
      <c r="E23" s="1"/>
      <c r="F23" s="179">
        <v>12169</v>
      </c>
    </row>
    <row r="24" spans="2:6" ht="15.75" hidden="1">
      <c r="B24" s="341" t="s">
        <v>284</v>
      </c>
      <c r="C24" s="343"/>
      <c r="D24" s="179">
        <v>0</v>
      </c>
      <c r="E24" s="1"/>
      <c r="F24" s="179">
        <v>0</v>
      </c>
    </row>
    <row r="25" spans="2:6" ht="16.5" thickBot="1">
      <c r="B25" s="341" t="s">
        <v>285</v>
      </c>
      <c r="C25" s="340"/>
      <c r="D25" s="345">
        <f>SUM(D22:D24)</f>
        <v>14189</v>
      </c>
      <c r="E25" s="1"/>
      <c r="F25" s="345">
        <f>SUM(F22:F24)</f>
        <v>13481</v>
      </c>
    </row>
    <row r="26" spans="3:6" ht="13.5" thickTop="1">
      <c r="C26" s="1"/>
      <c r="D26" s="1"/>
      <c r="E26" s="1"/>
      <c r="F26" s="1"/>
    </row>
    <row r="27" spans="3:6" ht="12.75">
      <c r="C27" s="1"/>
      <c r="D27" s="1"/>
      <c r="E27" s="1"/>
      <c r="F27" s="1"/>
    </row>
    <row r="28" spans="3:6" ht="12.75">
      <c r="C28" s="1"/>
      <c r="D28" s="1"/>
      <c r="E28" s="1"/>
      <c r="F28" s="1"/>
    </row>
    <row r="29" spans="3:6" ht="12.75">
      <c r="C29" s="1"/>
      <c r="D29" s="1"/>
      <c r="E29" s="1"/>
      <c r="F29" s="1"/>
    </row>
    <row r="30" spans="3:6" ht="12.75">
      <c r="C30" s="1"/>
      <c r="D30" s="1"/>
      <c r="E30" s="1"/>
      <c r="F30" s="1"/>
    </row>
    <row r="31" spans="3:6" ht="12.75">
      <c r="C31" s="1"/>
      <c r="D31" s="1"/>
      <c r="E31" s="1"/>
      <c r="F31" s="1"/>
    </row>
    <row r="32" spans="3:6" ht="12.75">
      <c r="C32" s="1"/>
      <c r="D32" s="1"/>
      <c r="E32" s="1"/>
      <c r="F32" s="1"/>
    </row>
    <row r="33" spans="3:6" ht="12.75">
      <c r="C33" s="1"/>
      <c r="D33" s="1"/>
      <c r="E33" s="1"/>
      <c r="F33" s="1"/>
    </row>
  </sheetData>
  <printOptions/>
  <pageMargins left="0.75" right="0.5" top="1" bottom="1" header="0.5" footer="0.5"/>
  <pageSetup fitToHeight="1" fitToWidth="1" horizontalDpi="600" verticalDpi="600" orientation="portrait" paperSize="9" scale="83" r:id="rId1"/>
  <headerFooter alignWithMargins="0">
    <oddFooter>&amp;C&amp;"Times New Roman,Regular"&amp;8 &amp;10 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71"/>
  <sheetViews>
    <sheetView zoomScale="75" zoomScaleNormal="75" workbookViewId="0" topLeftCell="A43">
      <selection activeCell="C62" sqref="C62"/>
    </sheetView>
  </sheetViews>
  <sheetFormatPr defaultColWidth="9.140625" defaultRowHeight="12.75"/>
  <cols>
    <col min="1" max="1" width="42.28125" style="299" customWidth="1"/>
    <col min="2" max="2" width="9.140625" style="1" customWidth="1"/>
    <col min="3" max="3" width="15.28125" style="1" customWidth="1"/>
    <col min="4" max="4" width="12.7109375" style="179" customWidth="1"/>
    <col min="5" max="5" width="8.7109375" style="1" bestFit="1" customWidth="1"/>
    <col min="6" max="6" width="13.00390625" style="1" customWidth="1"/>
    <col min="7" max="7" width="9.140625" style="1" customWidth="1"/>
    <col min="8" max="9" width="9.140625" style="184" customWidth="1"/>
    <col min="10" max="16384" width="9.140625" style="1" customWidth="1"/>
  </cols>
  <sheetData>
    <row r="1" spans="1:5" ht="12.75">
      <c r="A1" s="302"/>
      <c r="B1" s="303"/>
      <c r="C1" s="303"/>
      <c r="D1" s="304"/>
      <c r="E1" s="303"/>
    </row>
    <row r="2" spans="1:5" ht="15.75">
      <c r="A2" s="300" t="s">
        <v>82</v>
      </c>
      <c r="D2" s="304"/>
      <c r="E2" s="303"/>
    </row>
    <row r="3" spans="1:5" ht="15.75">
      <c r="A3" s="300" t="s">
        <v>83</v>
      </c>
      <c r="D3" s="304"/>
      <c r="E3" s="303"/>
    </row>
    <row r="4" spans="1:5" ht="15.75">
      <c r="A4" s="300" t="s">
        <v>0</v>
      </c>
      <c r="D4" s="304"/>
      <c r="E4" s="303"/>
    </row>
    <row r="5" spans="4:5" ht="12.75">
      <c r="D5" s="304"/>
      <c r="E5" s="303"/>
    </row>
    <row r="6" spans="1:9" s="288" customFormat="1" ht="15">
      <c r="A6" s="306" t="s">
        <v>76</v>
      </c>
      <c r="D6" s="307" t="s">
        <v>265</v>
      </c>
      <c r="F6" s="307" t="s">
        <v>264</v>
      </c>
      <c r="H6" s="297"/>
      <c r="I6" s="297"/>
    </row>
    <row r="7" spans="1:9" s="288" customFormat="1" ht="15">
      <c r="A7" s="306"/>
      <c r="D7" s="308" t="s">
        <v>254</v>
      </c>
      <c r="F7" s="308" t="s">
        <v>254</v>
      </c>
      <c r="H7" s="297"/>
      <c r="I7" s="297"/>
    </row>
    <row r="8" spans="1:9" s="288" customFormat="1" ht="15">
      <c r="A8" s="306"/>
      <c r="D8" s="307" t="s">
        <v>255</v>
      </c>
      <c r="F8" s="307" t="s">
        <v>256</v>
      </c>
      <c r="H8" s="297"/>
      <c r="I8" s="297"/>
    </row>
    <row r="9" spans="1:9" s="288" customFormat="1" ht="15">
      <c r="A9" s="195"/>
      <c r="D9" s="309" t="s">
        <v>36</v>
      </c>
      <c r="E9" s="310"/>
      <c r="F9" s="309" t="s">
        <v>36</v>
      </c>
      <c r="H9" s="297"/>
      <c r="I9" s="297"/>
    </row>
    <row r="10" spans="1:9" s="288" customFormat="1" ht="15">
      <c r="A10" s="311" t="s">
        <v>44</v>
      </c>
      <c r="B10" s="312"/>
      <c r="C10" s="312"/>
      <c r="D10" s="313"/>
      <c r="E10" s="312"/>
      <c r="F10" s="313"/>
      <c r="H10" s="297"/>
      <c r="I10" s="297"/>
    </row>
    <row r="11" spans="1:9" s="288" customFormat="1" ht="15">
      <c r="A11" s="314" t="s">
        <v>77</v>
      </c>
      <c r="B11" s="315"/>
      <c r="C11" s="315"/>
      <c r="D11" s="316">
        <v>6048</v>
      </c>
      <c r="F11" s="313">
        <v>6266</v>
      </c>
      <c r="H11" s="297"/>
      <c r="I11" s="297"/>
    </row>
    <row r="12" spans="1:9" s="288" customFormat="1" ht="15">
      <c r="A12" s="314"/>
      <c r="B12" s="315"/>
      <c r="C12" s="315"/>
      <c r="D12" s="316"/>
      <c r="F12" s="313"/>
      <c r="H12" s="297"/>
      <c r="I12" s="297"/>
    </row>
    <row r="13" spans="1:9" s="288" customFormat="1" ht="15">
      <c r="A13" s="314" t="s">
        <v>45</v>
      </c>
      <c r="B13" s="315"/>
      <c r="C13" s="315"/>
      <c r="D13" s="316"/>
      <c r="F13" s="313"/>
      <c r="H13" s="297"/>
      <c r="I13" s="297"/>
    </row>
    <row r="14" spans="1:9" s="288" customFormat="1" ht="15">
      <c r="A14" s="314" t="s">
        <v>46</v>
      </c>
      <c r="B14" s="315"/>
      <c r="C14" s="315"/>
      <c r="D14" s="316">
        <f>1520+793</f>
        <v>2313</v>
      </c>
      <c r="F14" s="313">
        <f>1349+965</f>
        <v>2314</v>
      </c>
      <c r="H14" s="297"/>
      <c r="I14" s="297"/>
    </row>
    <row r="15" spans="1:9" s="288" customFormat="1" ht="15">
      <c r="A15" s="314" t="s">
        <v>47</v>
      </c>
      <c r="B15" s="315"/>
      <c r="C15" s="315"/>
      <c r="D15" s="316">
        <v>-319</v>
      </c>
      <c r="F15" s="313">
        <v>-352</v>
      </c>
      <c r="H15" s="297"/>
      <c r="I15" s="297"/>
    </row>
    <row r="16" spans="1:9" s="288" customFormat="1" ht="15">
      <c r="A16" s="314" t="s">
        <v>48</v>
      </c>
      <c r="B16" s="315"/>
      <c r="C16" s="315"/>
      <c r="D16" s="316">
        <v>10</v>
      </c>
      <c r="F16" s="313">
        <v>8</v>
      </c>
      <c r="H16" s="297"/>
      <c r="I16" s="297"/>
    </row>
    <row r="17" spans="1:9" s="288" customFormat="1" ht="15" hidden="1">
      <c r="A17" s="314" t="s">
        <v>49</v>
      </c>
      <c r="B17" s="315"/>
      <c r="C17" s="315"/>
      <c r="D17" s="316">
        <v>0</v>
      </c>
      <c r="F17" s="313">
        <v>0</v>
      </c>
      <c r="H17" s="297"/>
      <c r="I17" s="297"/>
    </row>
    <row r="18" spans="1:9" s="288" customFormat="1" ht="15">
      <c r="A18" s="314" t="s">
        <v>273</v>
      </c>
      <c r="B18" s="315"/>
      <c r="C18" s="315"/>
      <c r="D18" s="338">
        <v>268</v>
      </c>
      <c r="F18" s="317">
        <v>143</v>
      </c>
      <c r="H18" s="297"/>
      <c r="I18" s="297"/>
    </row>
    <row r="19" spans="1:9" s="288" customFormat="1" ht="15">
      <c r="A19" s="314" t="s">
        <v>272</v>
      </c>
      <c r="B19" s="315"/>
      <c r="C19" s="315"/>
      <c r="D19" s="338">
        <v>-94</v>
      </c>
      <c r="F19" s="317"/>
      <c r="H19" s="297"/>
      <c r="I19" s="297"/>
    </row>
    <row r="20" spans="1:9" s="288" customFormat="1" ht="15">
      <c r="A20" s="314" t="s">
        <v>271</v>
      </c>
      <c r="B20" s="315"/>
      <c r="C20" s="315"/>
      <c r="D20" s="316">
        <v>22</v>
      </c>
      <c r="F20" s="313">
        <v>-11</v>
      </c>
      <c r="H20" s="297"/>
      <c r="I20" s="297"/>
    </row>
    <row r="21" spans="1:9" s="288" customFormat="1" ht="15" hidden="1">
      <c r="A21" s="314" t="s">
        <v>78</v>
      </c>
      <c r="B21" s="315"/>
      <c r="C21" s="315"/>
      <c r="D21" s="316">
        <v>0</v>
      </c>
      <c r="F21" s="313">
        <v>0</v>
      </c>
      <c r="H21" s="297"/>
      <c r="I21" s="297"/>
    </row>
    <row r="22" spans="1:9" s="288" customFormat="1" ht="15" hidden="1">
      <c r="A22" s="314" t="s">
        <v>269</v>
      </c>
      <c r="B22" s="315"/>
      <c r="C22" s="315"/>
      <c r="D22" s="316">
        <v>0</v>
      </c>
      <c r="F22" s="313">
        <v>0</v>
      </c>
      <c r="H22" s="297"/>
      <c r="I22" s="297"/>
    </row>
    <row r="23" spans="1:9" s="288" customFormat="1" ht="15">
      <c r="A23" s="314" t="s">
        <v>51</v>
      </c>
      <c r="B23" s="315"/>
      <c r="C23" s="315"/>
      <c r="D23" s="339">
        <f>SUM(D11:D22)</f>
        <v>8248</v>
      </c>
      <c r="F23" s="318">
        <f>SUM(F11:F22)</f>
        <v>8368</v>
      </c>
      <c r="H23" s="297"/>
      <c r="I23" s="297"/>
    </row>
    <row r="24" spans="1:9" s="288" customFormat="1" ht="15">
      <c r="A24" s="314"/>
      <c r="B24" s="315"/>
      <c r="C24" s="315"/>
      <c r="D24" s="316"/>
      <c r="F24" s="313"/>
      <c r="H24" s="297"/>
      <c r="I24" s="297"/>
    </row>
    <row r="25" spans="1:9" s="288" customFormat="1" ht="15">
      <c r="A25" s="314" t="s">
        <v>52</v>
      </c>
      <c r="B25" s="315"/>
      <c r="C25" s="315"/>
      <c r="D25" s="316">
        <f>-(20636-17957)</f>
        <v>-2679</v>
      </c>
      <c r="F25" s="316">
        <f>-2330</f>
        <v>-2330</v>
      </c>
      <c r="H25" s="297" t="s">
        <v>235</v>
      </c>
      <c r="I25" s="297"/>
    </row>
    <row r="26" spans="1:9" s="288" customFormat="1" ht="15" hidden="1">
      <c r="A26" s="314" t="s">
        <v>53</v>
      </c>
      <c r="B26" s="315"/>
      <c r="C26" s="315"/>
      <c r="D26" s="316">
        <v>0</v>
      </c>
      <c r="F26" s="316">
        <v>0</v>
      </c>
      <c r="H26" s="297" t="s">
        <v>236</v>
      </c>
      <c r="I26" s="297"/>
    </row>
    <row r="27" spans="1:9" s="288" customFormat="1" ht="15">
      <c r="A27" s="314" t="s">
        <v>274</v>
      </c>
      <c r="B27" s="315"/>
      <c r="C27" s="315"/>
      <c r="D27" s="316">
        <f>-(6429-5945)</f>
        <v>-484</v>
      </c>
      <c r="F27" s="316">
        <v>1230</v>
      </c>
      <c r="H27" s="297" t="s">
        <v>234</v>
      </c>
      <c r="I27" s="297"/>
    </row>
    <row r="28" spans="1:9" s="288" customFormat="1" ht="15">
      <c r="A28" s="314" t="s">
        <v>229</v>
      </c>
      <c r="B28" s="315"/>
      <c r="C28" s="315"/>
      <c r="D28" s="316">
        <f>-(340-269)+(84-26)</f>
        <v>-13</v>
      </c>
      <c r="F28" s="316">
        <f>-((226+51)-53)+41</f>
        <v>-183</v>
      </c>
      <c r="H28" s="297" t="s">
        <v>263</v>
      </c>
      <c r="I28" s="297"/>
    </row>
    <row r="29" spans="1:9" s="288" customFormat="1" ht="15">
      <c r="A29" s="314"/>
      <c r="B29" s="315"/>
      <c r="C29" s="315"/>
      <c r="D29" s="313"/>
      <c r="F29" s="316"/>
      <c r="H29" s="297"/>
      <c r="I29" s="297"/>
    </row>
    <row r="30" spans="1:9" s="288" customFormat="1" ht="15">
      <c r="A30" s="314" t="s">
        <v>54</v>
      </c>
      <c r="B30" s="315"/>
      <c r="C30" s="315"/>
      <c r="D30" s="318">
        <f>SUM(D23:D28)</f>
        <v>5072</v>
      </c>
      <c r="F30" s="318">
        <f>SUM(F23:F28)</f>
        <v>7085</v>
      </c>
      <c r="H30" s="297"/>
      <c r="I30" s="297"/>
    </row>
    <row r="31" spans="1:9" s="288" customFormat="1" ht="15">
      <c r="A31" s="314"/>
      <c r="B31" s="315"/>
      <c r="C31" s="315"/>
      <c r="D31" s="313"/>
      <c r="F31" s="313"/>
      <c r="H31" s="297"/>
      <c r="I31" s="297"/>
    </row>
    <row r="32" spans="1:9" s="288" customFormat="1" ht="15">
      <c r="A32" s="314" t="s">
        <v>266</v>
      </c>
      <c r="B32" s="315"/>
      <c r="C32" s="315"/>
      <c r="D32" s="313">
        <f>-2150-26</f>
        <v>-2176</v>
      </c>
      <c r="E32" s="313"/>
      <c r="F32" s="313">
        <f>-1276-12</f>
        <v>-1288</v>
      </c>
      <c r="G32" s="313"/>
      <c r="H32" s="297"/>
      <c r="I32" s="297"/>
    </row>
    <row r="33" spans="1:9" s="288" customFormat="1" ht="15">
      <c r="A33" s="314" t="s">
        <v>56</v>
      </c>
      <c r="B33" s="315"/>
      <c r="C33" s="315"/>
      <c r="D33" s="313">
        <f>-D16</f>
        <v>-10</v>
      </c>
      <c r="F33" s="313">
        <f>-F16</f>
        <v>-8</v>
      </c>
      <c r="H33" s="297"/>
      <c r="I33" s="297"/>
    </row>
    <row r="34" spans="1:9" s="288" customFormat="1" ht="15">
      <c r="A34" s="314"/>
      <c r="B34" s="315"/>
      <c r="C34" s="315"/>
      <c r="D34" s="313"/>
      <c r="F34" s="313"/>
      <c r="H34" s="297"/>
      <c r="I34" s="297"/>
    </row>
    <row r="35" spans="1:9" s="288" customFormat="1" ht="15">
      <c r="A35" s="314" t="s">
        <v>57</v>
      </c>
      <c r="B35" s="315"/>
      <c r="C35" s="315"/>
      <c r="D35" s="318">
        <f>SUM(D30:D34)</f>
        <v>2886</v>
      </c>
      <c r="F35" s="318">
        <f>SUM(F30:F34)</f>
        <v>5789</v>
      </c>
      <c r="H35" s="297"/>
      <c r="I35" s="297"/>
    </row>
    <row r="36" spans="1:9" s="288" customFormat="1" ht="15">
      <c r="A36" s="314"/>
      <c r="B36" s="315"/>
      <c r="C36" s="315"/>
      <c r="D36" s="313"/>
      <c r="F36" s="313"/>
      <c r="H36" s="297"/>
      <c r="I36" s="297"/>
    </row>
    <row r="37" spans="1:9" s="288" customFormat="1" ht="15">
      <c r="A37" s="311" t="s">
        <v>58</v>
      </c>
      <c r="B37" s="312"/>
      <c r="C37" s="315"/>
      <c r="D37" s="313"/>
      <c r="F37" s="313"/>
      <c r="H37" s="297"/>
      <c r="I37" s="297"/>
    </row>
    <row r="38" spans="1:9" s="288" customFormat="1" ht="15">
      <c r="A38" s="311"/>
      <c r="B38" s="312"/>
      <c r="C38" s="315"/>
      <c r="D38" s="313"/>
      <c r="F38" s="313"/>
      <c r="H38" s="297"/>
      <c r="I38" s="297"/>
    </row>
    <row r="39" spans="1:9" s="288" customFormat="1" ht="15">
      <c r="A39" s="314" t="s">
        <v>55</v>
      </c>
      <c r="B39" s="315"/>
      <c r="C39" s="315"/>
      <c r="D39" s="313">
        <f>-D15</f>
        <v>319</v>
      </c>
      <c r="F39" s="313">
        <f>-F15</f>
        <v>352</v>
      </c>
      <c r="H39" s="297"/>
      <c r="I39" s="297"/>
    </row>
    <row r="40" spans="1:9" s="288" customFormat="1" ht="15">
      <c r="A40" s="314" t="s">
        <v>59</v>
      </c>
      <c r="B40" s="315"/>
      <c r="C40" s="315"/>
      <c r="D40" s="337">
        <v>-1982</v>
      </c>
      <c r="F40" s="313">
        <f>-47-14-2576</f>
        <v>-2637</v>
      </c>
      <c r="H40" s="297"/>
      <c r="I40" s="297"/>
    </row>
    <row r="41" spans="1:9" s="288" customFormat="1" ht="15" hidden="1">
      <c r="A41" s="314" t="s">
        <v>60</v>
      </c>
      <c r="B41" s="315"/>
      <c r="C41" s="315"/>
      <c r="D41" s="313">
        <v>0</v>
      </c>
      <c r="F41" s="313">
        <v>0</v>
      </c>
      <c r="H41" s="297"/>
      <c r="I41" s="297"/>
    </row>
    <row r="42" spans="1:9" s="288" customFormat="1" ht="5.25" customHeight="1">
      <c r="A42" s="314"/>
      <c r="B42" s="315"/>
      <c r="C42" s="315"/>
      <c r="D42" s="313"/>
      <c r="F42" s="313"/>
      <c r="H42" s="297"/>
      <c r="I42" s="297"/>
    </row>
    <row r="43" spans="1:9" s="288" customFormat="1" ht="15">
      <c r="A43" s="314" t="s">
        <v>61</v>
      </c>
      <c r="B43" s="315"/>
      <c r="C43" s="315"/>
      <c r="D43" s="318">
        <f>SUM(D39:D41)</f>
        <v>-1663</v>
      </c>
      <c r="F43" s="318">
        <f>SUM(F39:F41)</f>
        <v>-2285</v>
      </c>
      <c r="H43" s="297"/>
      <c r="I43" s="297"/>
    </row>
    <row r="44" spans="1:9" s="288" customFormat="1" ht="15">
      <c r="A44" s="314"/>
      <c r="B44" s="315"/>
      <c r="C44" s="315"/>
      <c r="D44" s="313"/>
      <c r="F44" s="313"/>
      <c r="H44" s="297"/>
      <c r="I44" s="297"/>
    </row>
    <row r="45" spans="1:9" s="288" customFormat="1" ht="15">
      <c r="A45" s="311" t="s">
        <v>62</v>
      </c>
      <c r="B45" s="312"/>
      <c r="C45" s="315"/>
      <c r="D45" s="313"/>
      <c r="F45" s="313"/>
      <c r="H45" s="297"/>
      <c r="I45" s="297"/>
    </row>
    <row r="46" spans="1:9" s="288" customFormat="1" ht="15">
      <c r="A46" s="311"/>
      <c r="B46" s="312"/>
      <c r="C46" s="315"/>
      <c r="D46" s="313"/>
      <c r="F46" s="313"/>
      <c r="H46" s="297"/>
      <c r="I46" s="297"/>
    </row>
    <row r="47" spans="1:9" s="288" customFormat="1" ht="15" hidden="1">
      <c r="A47" s="314" t="s">
        <v>63</v>
      </c>
      <c r="B47" s="315"/>
      <c r="C47" s="315"/>
      <c r="D47" s="313">
        <v>0</v>
      </c>
      <c r="F47" s="313">
        <v>0</v>
      </c>
      <c r="H47" s="297"/>
      <c r="I47" s="297"/>
    </row>
    <row r="48" spans="1:9" s="288" customFormat="1" ht="15" hidden="1">
      <c r="A48" s="314" t="s">
        <v>64</v>
      </c>
      <c r="B48" s="315"/>
      <c r="C48" s="315"/>
      <c r="D48" s="313">
        <v>0</v>
      </c>
      <c r="F48" s="313">
        <v>0</v>
      </c>
      <c r="H48" s="297"/>
      <c r="I48" s="297"/>
    </row>
    <row r="49" spans="1:9" s="288" customFormat="1" ht="15">
      <c r="A49" s="314" t="s">
        <v>267</v>
      </c>
      <c r="B49" s="315"/>
      <c r="C49" s="315"/>
      <c r="D49" s="313">
        <v>-3091</v>
      </c>
      <c r="F49" s="313">
        <v>-1374</v>
      </c>
      <c r="H49" s="297"/>
      <c r="I49" s="297"/>
    </row>
    <row r="50" spans="1:9" s="288" customFormat="1" ht="15">
      <c r="A50" s="314" t="s">
        <v>268</v>
      </c>
      <c r="B50" s="315"/>
      <c r="C50" s="315"/>
      <c r="D50" s="313">
        <v>-16</v>
      </c>
      <c r="F50" s="313">
        <v>-16</v>
      </c>
      <c r="H50" s="297"/>
      <c r="I50" s="297"/>
    </row>
    <row r="51" spans="1:9" s="288" customFormat="1" ht="15" hidden="1">
      <c r="A51" s="314" t="s">
        <v>66</v>
      </c>
      <c r="B51" s="315"/>
      <c r="C51" s="315"/>
      <c r="D51" s="317">
        <v>0</v>
      </c>
      <c r="F51" s="317">
        <v>0</v>
      </c>
      <c r="H51" s="297"/>
      <c r="I51" s="297"/>
    </row>
    <row r="52" spans="1:9" s="288" customFormat="1" ht="15" hidden="1">
      <c r="A52" s="314" t="s">
        <v>67</v>
      </c>
      <c r="B52" s="315"/>
      <c r="C52" s="315"/>
      <c r="D52" s="313">
        <v>0</v>
      </c>
      <c r="F52" s="313">
        <v>0</v>
      </c>
      <c r="H52" s="297"/>
      <c r="I52" s="297"/>
    </row>
    <row r="53" spans="1:9" s="288" customFormat="1" ht="5.25" customHeight="1">
      <c r="A53" s="314"/>
      <c r="B53" s="315"/>
      <c r="C53" s="315"/>
      <c r="D53" s="313"/>
      <c r="F53" s="313"/>
      <c r="H53" s="297"/>
      <c r="I53" s="297"/>
    </row>
    <row r="54" spans="1:9" s="288" customFormat="1" ht="15">
      <c r="A54" s="314" t="s">
        <v>68</v>
      </c>
      <c r="B54" s="315"/>
      <c r="C54" s="315"/>
      <c r="D54" s="318">
        <f>SUM(D47:D53)</f>
        <v>-3107</v>
      </c>
      <c r="F54" s="318">
        <f>SUM(F47:F53)</f>
        <v>-1390</v>
      </c>
      <c r="H54" s="297"/>
      <c r="I54" s="297"/>
    </row>
    <row r="55" spans="1:9" s="288" customFormat="1" ht="15">
      <c r="A55" s="314"/>
      <c r="B55" s="315"/>
      <c r="C55" s="315"/>
      <c r="D55" s="313"/>
      <c r="F55" s="313"/>
      <c r="H55" s="297"/>
      <c r="I55" s="297"/>
    </row>
    <row r="56" spans="1:9" s="288" customFormat="1" ht="15">
      <c r="A56" s="314" t="s">
        <v>69</v>
      </c>
      <c r="B56" s="315"/>
      <c r="C56" s="315"/>
      <c r="D56" s="290">
        <f>D35+D43+D54</f>
        <v>-1884</v>
      </c>
      <c r="F56" s="290">
        <f>F35+F43+F54</f>
        <v>2114</v>
      </c>
      <c r="H56" s="313">
        <f>(357-3147)+(13832-11192)</f>
        <v>-150</v>
      </c>
      <c r="I56" s="316">
        <f>(1312-306)+(12169-13690)</f>
        <v>-515</v>
      </c>
    </row>
    <row r="57" spans="1:9" s="288" customFormat="1" ht="15">
      <c r="A57" s="314" t="s">
        <v>70</v>
      </c>
      <c r="B57" s="315"/>
      <c r="C57" s="315"/>
      <c r="D57" s="313">
        <f>3147+11192</f>
        <v>14339</v>
      </c>
      <c r="F57" s="313">
        <f>13690+306</f>
        <v>13996</v>
      </c>
      <c r="H57" s="297"/>
      <c r="I57" s="297"/>
    </row>
    <row r="58" spans="1:9" s="288" customFormat="1" ht="5.25" customHeight="1">
      <c r="A58" s="314"/>
      <c r="B58" s="315"/>
      <c r="C58" s="315"/>
      <c r="D58" s="313"/>
      <c r="F58" s="313"/>
      <c r="H58" s="297"/>
      <c r="I58" s="297"/>
    </row>
    <row r="59" spans="1:9" s="288" customFormat="1" ht="15">
      <c r="A59" s="311" t="s">
        <v>71</v>
      </c>
      <c r="B59" s="312"/>
      <c r="C59" s="315"/>
      <c r="D59" s="319">
        <f>SUM(D56:D58)</f>
        <v>12455</v>
      </c>
      <c r="F59" s="319">
        <f>SUM(F56:F58)</f>
        <v>16110</v>
      </c>
      <c r="H59" s="297"/>
      <c r="I59" s="297"/>
    </row>
    <row r="60" spans="1:9" s="288" customFormat="1" ht="15">
      <c r="A60" s="314"/>
      <c r="B60" s="315"/>
      <c r="C60" s="315"/>
      <c r="D60" s="313"/>
      <c r="F60" s="313"/>
      <c r="H60" s="297"/>
      <c r="I60" s="297"/>
    </row>
    <row r="61" spans="1:9" s="288" customFormat="1" ht="15">
      <c r="A61" s="314" t="s">
        <v>72</v>
      </c>
      <c r="B61" s="315"/>
      <c r="C61" s="315"/>
      <c r="D61" s="313">
        <v>357</v>
      </c>
      <c r="F61" s="313">
        <v>1312</v>
      </c>
      <c r="H61" s="297"/>
      <c r="I61" s="297"/>
    </row>
    <row r="62" spans="1:9" s="288" customFormat="1" ht="15">
      <c r="A62" s="314" t="s">
        <v>73</v>
      </c>
      <c r="B62" s="315"/>
      <c r="C62" s="315"/>
      <c r="D62" s="313">
        <v>13832</v>
      </c>
      <c r="F62" s="313">
        <v>12169</v>
      </c>
      <c r="H62" s="297"/>
      <c r="I62" s="297"/>
    </row>
    <row r="63" spans="1:9" s="288" customFormat="1" ht="15" hidden="1">
      <c r="A63" s="314" t="s">
        <v>74</v>
      </c>
      <c r="B63" s="315"/>
      <c r="C63" s="315"/>
      <c r="D63" s="313">
        <v>0</v>
      </c>
      <c r="F63" s="313">
        <v>0</v>
      </c>
      <c r="H63" s="297"/>
      <c r="I63" s="297"/>
    </row>
    <row r="64" spans="1:9" s="288" customFormat="1" ht="15">
      <c r="A64" s="311" t="s">
        <v>75</v>
      </c>
      <c r="B64" s="312"/>
      <c r="C64" s="315"/>
      <c r="D64" s="319">
        <f>SUM(D61:D63)</f>
        <v>14189</v>
      </c>
      <c r="F64" s="319">
        <f>SUM(F61:F63)</f>
        <v>13481</v>
      </c>
      <c r="H64" s="297"/>
      <c r="I64" s="297"/>
    </row>
    <row r="65" spans="1:9" s="288" customFormat="1" ht="15">
      <c r="A65" s="314"/>
      <c r="B65" s="315"/>
      <c r="C65" s="315"/>
      <c r="D65" s="320"/>
      <c r="F65" s="320"/>
      <c r="H65" s="297"/>
      <c r="I65" s="297"/>
    </row>
    <row r="66" spans="1:9" s="288" customFormat="1" ht="15">
      <c r="A66" s="314"/>
      <c r="B66" s="315"/>
      <c r="C66" s="315"/>
      <c r="D66" s="313">
        <f>D59-D64</f>
        <v>-1734</v>
      </c>
      <c r="E66" s="321"/>
      <c r="F66" s="313">
        <f>F59-F64</f>
        <v>2629</v>
      </c>
      <c r="H66" s="297"/>
      <c r="I66" s="297"/>
    </row>
    <row r="67" spans="1:9" s="288" customFormat="1" ht="15">
      <c r="A67" s="195"/>
      <c r="D67" s="196"/>
      <c r="F67" s="196"/>
      <c r="H67" s="297"/>
      <c r="I67" s="297"/>
    </row>
    <row r="68" spans="1:9" s="288" customFormat="1" ht="15">
      <c r="A68" s="195"/>
      <c r="D68" s="196"/>
      <c r="F68" s="196"/>
      <c r="H68" s="297"/>
      <c r="I68" s="297"/>
    </row>
    <row r="69" spans="1:9" s="288" customFormat="1" ht="15">
      <c r="A69" s="195"/>
      <c r="D69" s="196"/>
      <c r="F69" s="196"/>
      <c r="H69" s="297"/>
      <c r="I69" s="297"/>
    </row>
    <row r="70" spans="1:9" s="288" customFormat="1" ht="15">
      <c r="A70" s="195"/>
      <c r="D70" s="196"/>
      <c r="F70" s="196"/>
      <c r="H70" s="297"/>
      <c r="I70" s="297"/>
    </row>
    <row r="71" spans="1:9" s="288" customFormat="1" ht="15">
      <c r="A71" s="195"/>
      <c r="D71" s="196"/>
      <c r="H71" s="297"/>
      <c r="I71" s="297"/>
    </row>
  </sheetData>
  <printOptions/>
  <pageMargins left="0.75" right="0.75" top="1" bottom="1" header="0.5" footer="0.5"/>
  <pageSetup horizontalDpi="600" verticalDpi="600" orientation="portrait" scale="83" r:id="rId1"/>
  <headerFooter alignWithMargins="0">
    <oddFooter>&amp;C&amp;11 &amp;"Times New Roman,Regular"&amp;10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52"/>
  <sheetViews>
    <sheetView workbookViewId="0" topLeftCell="H108">
      <selection activeCell="J122" sqref="J122"/>
    </sheetView>
  </sheetViews>
  <sheetFormatPr defaultColWidth="9.140625" defaultRowHeight="12.75" outlineLevelRow="1"/>
  <cols>
    <col min="1" max="1" width="1.7109375" style="3" customWidth="1"/>
    <col min="2" max="2" width="2.7109375" style="3" customWidth="1"/>
    <col min="3" max="3" width="1.7109375" style="3" customWidth="1"/>
    <col min="4" max="4" width="40.7109375" style="3" customWidth="1"/>
    <col min="5" max="8" width="10.7109375" style="3" customWidth="1"/>
    <col min="9" max="9" width="11.57421875" style="3" customWidth="1"/>
    <col min="10" max="10" width="10.7109375" style="3" customWidth="1"/>
    <col min="11" max="11" width="15.421875" style="3" customWidth="1"/>
    <col min="12" max="12" width="11.28125" style="3" bestFit="1" customWidth="1"/>
    <col min="13" max="16384" width="9.140625" style="3" customWidth="1"/>
  </cols>
  <sheetData>
    <row r="1" spans="1:11" ht="12.75">
      <c r="A1" s="353" t="s">
        <v>82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</row>
    <row r="2" spans="1:11" ht="12.75">
      <c r="A2" s="353" t="s">
        <v>84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</row>
    <row r="3" spans="1:11" ht="12.75">
      <c r="A3" s="353" t="str">
        <f>'[5]PL-YTD'!A3</f>
        <v>FOR THE MONTH OF 31 OCTOBER 2002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</row>
    <row r="4" spans="1:4" ht="12.75">
      <c r="A4" s="4" t="s">
        <v>85</v>
      </c>
      <c r="B4" s="2"/>
      <c r="C4" s="2"/>
      <c r="D4" s="5"/>
    </row>
    <row r="5" spans="1:11" ht="12.75">
      <c r="A5" s="6"/>
      <c r="B5" s="7"/>
      <c r="C5" s="7"/>
      <c r="D5" s="7"/>
      <c r="E5" s="8" t="s">
        <v>86</v>
      </c>
      <c r="F5" s="9"/>
      <c r="G5" s="354" t="s">
        <v>86</v>
      </c>
      <c r="H5" s="355"/>
      <c r="I5" s="354" t="s">
        <v>86</v>
      </c>
      <c r="J5" s="355"/>
      <c r="K5" s="10" t="s">
        <v>86</v>
      </c>
    </row>
    <row r="6" spans="1:11" ht="12.75">
      <c r="A6" s="11" t="s">
        <v>87</v>
      </c>
      <c r="B6" s="12"/>
      <c r="C6" s="12"/>
      <c r="D6" s="12"/>
      <c r="E6" s="13" t="s">
        <v>2</v>
      </c>
      <c r="F6" s="14" t="s">
        <v>88</v>
      </c>
      <c r="G6" s="15" t="s">
        <v>2</v>
      </c>
      <c r="H6" s="14" t="s">
        <v>88</v>
      </c>
      <c r="I6" s="15" t="s">
        <v>2</v>
      </c>
      <c r="J6" s="14" t="s">
        <v>88</v>
      </c>
      <c r="K6" s="15" t="s">
        <v>89</v>
      </c>
    </row>
    <row r="7" spans="1:11" ht="12.75">
      <c r="A7" s="16"/>
      <c r="B7" s="17"/>
      <c r="C7" s="17"/>
      <c r="D7" s="17"/>
      <c r="E7" s="18" t="s">
        <v>2</v>
      </c>
      <c r="F7" s="9"/>
      <c r="G7" s="351" t="s">
        <v>90</v>
      </c>
      <c r="H7" s="352"/>
      <c r="I7" s="351" t="s">
        <v>91</v>
      </c>
      <c r="J7" s="352"/>
      <c r="K7" s="19" t="s">
        <v>90</v>
      </c>
    </row>
    <row r="8" spans="1:11" ht="4.5" customHeight="1">
      <c r="A8" s="20"/>
      <c r="B8" s="21"/>
      <c r="C8" s="21"/>
      <c r="D8" s="21"/>
      <c r="E8" s="22"/>
      <c r="F8" s="22"/>
      <c r="G8" s="22"/>
      <c r="H8" s="22"/>
      <c r="I8" s="22"/>
      <c r="J8" s="22"/>
      <c r="K8" s="22"/>
    </row>
    <row r="9" spans="1:11" ht="12.75">
      <c r="A9" s="23" t="s">
        <v>92</v>
      </c>
      <c r="B9" s="24"/>
      <c r="C9" s="24"/>
      <c r="D9" s="24"/>
      <c r="E9" s="25"/>
      <c r="F9" s="25"/>
      <c r="G9" s="25"/>
      <c r="H9" s="25"/>
      <c r="I9" s="25"/>
      <c r="J9" s="25"/>
      <c r="K9" s="25"/>
    </row>
    <row r="10" spans="1:11" ht="12.75">
      <c r="A10" s="23"/>
      <c r="B10" s="26"/>
      <c r="C10" s="27" t="s">
        <v>93</v>
      </c>
      <c r="E10" s="28">
        <f>'[5]PL-CM'!$R$10</f>
        <v>5594843</v>
      </c>
      <c r="F10" s="28">
        <f>'[5]PL-CM'!$S$10</f>
        <v>6263129.3361080075</v>
      </c>
      <c r="G10" s="28">
        <f>'[5]PL-YTD'!$R$10</f>
        <v>36904944</v>
      </c>
      <c r="H10" s="28">
        <f>'[5]PL-YTD'!$S$10</f>
        <v>40334552.924535565</v>
      </c>
      <c r="I10" s="28">
        <v>35248001</v>
      </c>
      <c r="J10" s="28">
        <v>38551835</v>
      </c>
      <c r="K10" s="28">
        <f>'[5]PL-YTD'!AB10</f>
        <v>32520465.635264434</v>
      </c>
    </row>
    <row r="11" spans="1:11" ht="12.75">
      <c r="A11" s="23"/>
      <c r="B11" s="26"/>
      <c r="C11" s="29" t="s">
        <v>94</v>
      </c>
      <c r="D11" s="30"/>
      <c r="E11" s="28">
        <f>+'[5]PL-CM'!R11</f>
        <v>216052</v>
      </c>
      <c r="F11" s="28">
        <f>+'[5]PL-CM'!S11</f>
        <v>293655.0279329609</v>
      </c>
      <c r="G11" s="28">
        <f>'[5]PL-YTD'!$R$11</f>
        <v>1408983</v>
      </c>
      <c r="H11" s="28">
        <f>'[5]PL-YTD'!$S$11</f>
        <v>1891138.3798882682</v>
      </c>
      <c r="I11" s="28">
        <v>371438</v>
      </c>
      <c r="J11" s="28">
        <v>0</v>
      </c>
      <c r="K11" s="28">
        <f>'[5]PL-YTD'!AB11</f>
        <v>-1891138.3798882682</v>
      </c>
    </row>
    <row r="12" spans="1:11" ht="12.75" outlineLevel="1">
      <c r="A12" s="23"/>
      <c r="B12" s="26"/>
      <c r="C12" s="29" t="s">
        <v>95</v>
      </c>
      <c r="D12" s="30"/>
      <c r="E12" s="28">
        <f>+'[5]PL-CM'!R12</f>
        <v>47169</v>
      </c>
      <c r="F12" s="28">
        <f>+'[5]PL-CM'!S12</f>
        <v>217667.44044692733</v>
      </c>
      <c r="G12" s="28">
        <f>'[5]PL-YTD'!$R$12</f>
        <v>274942</v>
      </c>
      <c r="H12" s="28">
        <f>'[5]PL-YTD'!$S$12</f>
        <v>1401778.3164782121</v>
      </c>
      <c r="I12" s="28">
        <v>376726</v>
      </c>
      <c r="J12" s="28">
        <v>451454</v>
      </c>
      <c r="K12" s="28">
        <f>'[5]PL-YTD'!AB12</f>
        <v>-1401778.3164782121</v>
      </c>
    </row>
    <row r="13" spans="1:14" ht="12.75" customHeight="1" outlineLevel="1">
      <c r="A13" s="23"/>
      <c r="B13" s="26"/>
      <c r="C13" s="29" t="s">
        <v>96</v>
      </c>
      <c r="D13" s="30"/>
      <c r="E13" s="28">
        <f>+'[5]PL-CM'!R13</f>
        <v>707338</v>
      </c>
      <c r="F13" s="28">
        <f>+'[5]PL-CM'!S13</f>
        <v>181564.24581005584</v>
      </c>
      <c r="G13" s="28">
        <f>'[5]PL-YTD'!$R$13</f>
        <v>204790</v>
      </c>
      <c r="H13" s="28">
        <f>'[5]PL-YTD'!$S$13</f>
        <v>0</v>
      </c>
      <c r="I13" s="28">
        <v>0</v>
      </c>
      <c r="J13" s="28">
        <v>0</v>
      </c>
      <c r="K13" s="28">
        <f>'[5]PL-YTD'!AB13</f>
        <v>0</v>
      </c>
      <c r="M13" s="31" t="s">
        <v>97</v>
      </c>
      <c r="N13" s="31"/>
    </row>
    <row r="14" spans="1:11" ht="12.75" outlineLevel="1">
      <c r="A14" s="23"/>
      <c r="B14" s="26"/>
      <c r="C14" s="29" t="s">
        <v>98</v>
      </c>
      <c r="D14" s="30"/>
      <c r="E14" s="28">
        <f>+'[5]PL-CM'!R14</f>
        <v>23692</v>
      </c>
      <c r="F14" s="28">
        <f>+'[5]PL-CM'!S14</f>
        <v>89800.17970204842</v>
      </c>
      <c r="G14" s="28">
        <f>'[5]PL-YTD'!$R$14</f>
        <v>352485</v>
      </c>
      <c r="H14" s="28">
        <f>'[5]PL-YTD'!$S$14</f>
        <v>578313.1572811918</v>
      </c>
      <c r="I14" s="28">
        <v>285711</v>
      </c>
      <c r="J14" s="28">
        <v>0</v>
      </c>
      <c r="K14" s="28">
        <f>'[5]PL-YTD'!AB14</f>
        <v>-578313.1572811918</v>
      </c>
    </row>
    <row r="15" spans="1:11" ht="12.75" outlineLevel="1">
      <c r="A15" s="23"/>
      <c r="B15" s="26"/>
      <c r="C15" s="29" t="s">
        <v>99</v>
      </c>
      <c r="D15" s="30"/>
      <c r="E15" s="28">
        <f>+'[5]PL-CM'!R15</f>
        <v>52591</v>
      </c>
      <c r="F15" s="28">
        <f>+'[5]PL-CM'!S15</f>
        <v>111731.84357541898</v>
      </c>
      <c r="G15" s="28">
        <f>'[5]PL-YTD'!$R$15</f>
        <v>355699</v>
      </c>
      <c r="H15" s="28">
        <f>'[5]PL-YTD'!$S$15</f>
        <v>719553.0726256983</v>
      </c>
      <c r="I15" s="28">
        <v>531099</v>
      </c>
      <c r="J15" s="28">
        <v>1753200</v>
      </c>
      <c r="K15" s="28">
        <f>'[5]PL-YTD'!AB15</f>
        <v>480446.92737430125</v>
      </c>
    </row>
    <row r="16" spans="1:11" s="36" customFormat="1" ht="12.75" hidden="1">
      <c r="A16" s="32"/>
      <c r="B16" s="33"/>
      <c r="C16" s="33" t="s">
        <v>100</v>
      </c>
      <c r="D16" s="34"/>
      <c r="E16" s="35">
        <f>+'[5]PL-CM'!R16</f>
        <v>-531817</v>
      </c>
      <c r="F16" s="35">
        <f>+'[5]PL-CM'!S16</f>
        <v>32588.45437616387</v>
      </c>
      <c r="G16" s="35">
        <f>'[5]PL-YTD'!$R$11</f>
        <v>1408983</v>
      </c>
      <c r="H16" s="35">
        <f>'[5]PL-YTD'!$S$11</f>
        <v>1891138.3798882682</v>
      </c>
      <c r="I16" s="35">
        <v>371438</v>
      </c>
      <c r="J16" s="35"/>
      <c r="K16" s="28">
        <f>'[5]PL-YTD'!AB16</f>
        <v>290130.35381750466</v>
      </c>
    </row>
    <row r="17" spans="1:11" s="36" customFormat="1" ht="12.75" hidden="1">
      <c r="A17" s="32"/>
      <c r="B17" s="33"/>
      <c r="C17" s="33" t="s">
        <v>101</v>
      </c>
      <c r="D17" s="34"/>
      <c r="E17" s="35">
        <f>+'[5]PL-CM'!R17</f>
        <v>-92976</v>
      </c>
      <c r="F17" s="35">
        <f>+'[5]PL-CM'!S17</f>
        <v>-102420.85661080072</v>
      </c>
      <c r="G17" s="35">
        <f>'[5]PL-YTD'!$R$11</f>
        <v>1408983</v>
      </c>
      <c r="H17" s="35">
        <f>'[5]PL-YTD'!$S$11</f>
        <v>1891138.3798882682</v>
      </c>
      <c r="I17" s="35">
        <f>I15-I16</f>
        <v>159661</v>
      </c>
      <c r="J17" s="35"/>
      <c r="K17" s="28">
        <f>'[5]PL-YTD'!AB17</f>
        <v>1359590.316573556</v>
      </c>
    </row>
    <row r="18" spans="1:11" ht="12" customHeight="1">
      <c r="A18" s="37"/>
      <c r="B18" s="27"/>
      <c r="C18" s="27" t="s">
        <v>102</v>
      </c>
      <c r="D18" s="30"/>
      <c r="E18" s="28">
        <f>+'[5]PL-CM'!R18</f>
        <v>11233</v>
      </c>
      <c r="F18" s="28">
        <f>+'[5]PL-CM'!S18</f>
        <v>7461.45251396648</v>
      </c>
      <c r="G18" s="28">
        <f>'[5]PL-YTD'!$R$18</f>
        <v>28714</v>
      </c>
      <c r="H18" s="28">
        <f>'[5]PL-YTD'!$S$18</f>
        <v>48051.75418994413</v>
      </c>
      <c r="I18" s="28">
        <v>11746</v>
      </c>
      <c r="J18" s="28">
        <v>35367</v>
      </c>
      <c r="K18" s="28">
        <f>'[5]PL-YTD'!AB18</f>
        <v>996538.1758100559</v>
      </c>
    </row>
    <row r="19" spans="1:11" ht="12.75">
      <c r="A19" s="37"/>
      <c r="B19" s="27"/>
      <c r="C19" s="27" t="s">
        <v>103</v>
      </c>
      <c r="D19" s="30"/>
      <c r="E19" s="28">
        <f>+'[5]PL-CM'!R19</f>
        <v>-29464</v>
      </c>
      <c r="F19" s="28">
        <f>+'[5]PL-CM'!S19</f>
        <v>0</v>
      </c>
      <c r="G19" s="28">
        <f>'[5]PL-YTD'!$R$19</f>
        <v>-59162</v>
      </c>
      <c r="H19" s="28">
        <f>'[5]PL-YTD'!$S$19</f>
        <v>0</v>
      </c>
      <c r="I19" s="28">
        <v>-25875</v>
      </c>
      <c r="J19" s="28">
        <v>0</v>
      </c>
      <c r="K19" s="28">
        <f>'[5]PL-YTD'!AB19</f>
        <v>-97406.17959999999</v>
      </c>
    </row>
    <row r="20" spans="1:11" ht="4.5" customHeight="1">
      <c r="A20" s="38"/>
      <c r="B20" s="24"/>
      <c r="C20" s="24"/>
      <c r="D20" s="24"/>
      <c r="E20" s="39"/>
      <c r="F20" s="39"/>
      <c r="G20" s="39"/>
      <c r="H20" s="39"/>
      <c r="I20" s="39"/>
      <c r="J20" s="39"/>
      <c r="K20" s="39"/>
    </row>
    <row r="21" spans="1:12" ht="12.75">
      <c r="A21" s="23" t="s">
        <v>104</v>
      </c>
      <c r="B21" s="26"/>
      <c r="C21" s="26"/>
      <c r="D21" s="27"/>
      <c r="E21" s="40">
        <f>+E10+E11+E12+E14+E15+E18+E19</f>
        <v>5916116</v>
      </c>
      <c r="F21" s="40">
        <f>+F10+F11+F12+F14+F15+F18+F19</f>
        <v>6983445.280279329</v>
      </c>
      <c r="G21" s="40">
        <f>+G10+G11+G12+G14+G15+G18+G19</f>
        <v>39266605</v>
      </c>
      <c r="H21" s="40">
        <f>+H10+H11+H12+H14+H15+H18+H19</f>
        <v>44973387.60499888</v>
      </c>
      <c r="I21" s="40">
        <f>SUM(I10:I19)-I15</f>
        <v>36798846</v>
      </c>
      <c r="J21" s="40">
        <f>SUM(J10:J19)</f>
        <v>40791856</v>
      </c>
      <c r="K21" s="40">
        <f>+K10+K11+K12+K14+K15+K18+K19</f>
        <v>30028814.705201123</v>
      </c>
      <c r="L21" s="41"/>
    </row>
    <row r="22" spans="1:11" ht="4.5" customHeight="1">
      <c r="A22" s="20"/>
      <c r="B22" s="21"/>
      <c r="C22" s="21"/>
      <c r="D22" s="24"/>
      <c r="E22" s="39"/>
      <c r="F22" s="39"/>
      <c r="G22" s="39"/>
      <c r="H22" s="39"/>
      <c r="I22" s="39"/>
      <c r="J22" s="39"/>
      <c r="K22" s="39"/>
    </row>
    <row r="23" spans="1:11" ht="12.75">
      <c r="A23" s="23" t="s">
        <v>105</v>
      </c>
      <c r="B23" s="26"/>
      <c r="C23" s="26"/>
      <c r="D23" s="27"/>
      <c r="E23" s="42"/>
      <c r="F23" s="42"/>
      <c r="G23" s="42"/>
      <c r="H23" s="42"/>
      <c r="I23" s="42"/>
      <c r="J23" s="42"/>
      <c r="K23" s="42"/>
    </row>
    <row r="24" spans="1:11" ht="12.75">
      <c r="A24" s="23"/>
      <c r="B24" s="26" t="s">
        <v>106</v>
      </c>
      <c r="C24" s="26"/>
      <c r="D24" s="27"/>
      <c r="E24" s="42"/>
      <c r="F24" s="42"/>
      <c r="G24" s="42"/>
      <c r="H24" s="42"/>
      <c r="I24" s="42"/>
      <c r="J24" s="42"/>
      <c r="K24" s="42"/>
    </row>
    <row r="25" spans="1:11" ht="12.75">
      <c r="A25" s="37" t="s">
        <v>85</v>
      </c>
      <c r="B25" s="43"/>
      <c r="C25" s="27" t="s">
        <v>107</v>
      </c>
      <c r="D25" s="27"/>
      <c r="E25" s="28">
        <f>'[5]PL-CM'!$R$25</f>
        <v>382357</v>
      </c>
      <c r="F25" s="28">
        <f>'[5]PL-CM'!$S$25</f>
        <v>396469.9708361825</v>
      </c>
      <c r="G25" s="28">
        <f>'[5]PL-YTD'!$R$25</f>
        <v>2619598</v>
      </c>
      <c r="H25" s="28">
        <f>'[5]PL-YTD'!$S$25</f>
        <v>2553266.6121850153</v>
      </c>
      <c r="I25" s="28">
        <v>1953519</v>
      </c>
      <c r="J25" s="28">
        <v>3197197</v>
      </c>
      <c r="K25" s="28">
        <f>'[5]PL-YTD'!AB25</f>
        <v>1704820.8745955853</v>
      </c>
    </row>
    <row r="26" spans="1:11" ht="12.75">
      <c r="A26" s="37" t="s">
        <v>85</v>
      </c>
      <c r="B26" s="43"/>
      <c r="C26" s="27" t="s">
        <v>108</v>
      </c>
      <c r="D26" s="27"/>
      <c r="E26" s="28">
        <f>'[5]PL-CM'!$R$26</f>
        <v>504763</v>
      </c>
      <c r="F26" s="28">
        <f>'[5]PL-CM'!$S$26</f>
        <v>1088928.2056769088</v>
      </c>
      <c r="G26" s="28">
        <f>'[5]PL-YTD'!$R$26</f>
        <v>5190874.23</v>
      </c>
      <c r="H26" s="28">
        <f>'[5]PL-YTD'!$S$26</f>
        <v>7012697.644559292</v>
      </c>
      <c r="I26" s="28">
        <v>5742521</v>
      </c>
      <c r="J26" s="28">
        <v>4270596</v>
      </c>
      <c r="K26" s="28">
        <f>'[5]PL-YTD'!AB26</f>
        <v>4790089.784410708</v>
      </c>
    </row>
    <row r="27" spans="1:11" ht="12.75">
      <c r="A27" s="37"/>
      <c r="B27" s="43"/>
      <c r="C27" s="44" t="s">
        <v>109</v>
      </c>
      <c r="D27" s="27"/>
      <c r="E27" s="28">
        <f>'[5]PL-CM'!$R$27</f>
        <v>416134</v>
      </c>
      <c r="F27" s="28">
        <f>'[5]PL-CM'!$S$27</f>
        <v>0</v>
      </c>
      <c r="G27" s="28">
        <f>'[5]PL-YTD'!$R$27</f>
        <v>950106</v>
      </c>
      <c r="H27" s="28">
        <f>'[5]PL-YTD'!$S$27</f>
        <v>0</v>
      </c>
      <c r="I27" s="28">
        <v>0</v>
      </c>
      <c r="J27" s="28">
        <v>0</v>
      </c>
      <c r="K27" s="28">
        <f>'[5]PL-YTD'!AB27</f>
        <v>0</v>
      </c>
    </row>
    <row r="28" spans="1:11" ht="12.75">
      <c r="A28" s="37"/>
      <c r="B28" s="43"/>
      <c r="C28" s="27" t="s">
        <v>110</v>
      </c>
      <c r="D28" s="27"/>
      <c r="E28" s="28">
        <f>+'[5]PL-CM'!R28</f>
        <v>181513</v>
      </c>
      <c r="F28" s="28">
        <f>'[5]PL-CM'!$S$28</f>
        <v>163659.07821229054</v>
      </c>
      <c r="G28" s="28">
        <f>'[5]PL-YTD'!$R$28</f>
        <v>982825</v>
      </c>
      <c r="H28" s="28">
        <f>'[5]PL-YTD'!$S$28</f>
        <v>1053964.463687151</v>
      </c>
      <c r="I28" s="28">
        <v>185676</v>
      </c>
      <c r="J28" s="28">
        <v>0</v>
      </c>
      <c r="K28" s="28">
        <f>'[5]PL-YTD'!AB28</f>
        <v>596035.5363128493</v>
      </c>
    </row>
    <row r="29" spans="1:11" ht="12.75">
      <c r="A29" s="37" t="s">
        <v>85</v>
      </c>
      <c r="B29" s="43"/>
      <c r="C29" s="27" t="s">
        <v>111</v>
      </c>
      <c r="D29" s="27"/>
      <c r="E29" s="28">
        <f>'[5]PL-CM'!$R$29</f>
        <v>60032</v>
      </c>
      <c r="F29" s="28">
        <f>'[5]PL-CM'!$S$29</f>
        <v>60021.30718808193</v>
      </c>
      <c r="G29" s="28">
        <f>'[5]PL-YTD'!$R$29</f>
        <v>273102</v>
      </c>
      <c r="H29" s="28">
        <f>'[5]PL-YTD'!$S$29</f>
        <v>386537.2182912476</v>
      </c>
      <c r="I29" s="28">
        <v>299559</v>
      </c>
      <c r="J29" s="28">
        <v>384069</v>
      </c>
      <c r="K29" s="28">
        <f>'[5]PL-YTD'!AB29</f>
        <v>258091.62090875232</v>
      </c>
    </row>
    <row r="30" spans="1:11" ht="12.75">
      <c r="A30" s="37"/>
      <c r="B30" s="43"/>
      <c r="C30" s="27" t="s">
        <v>112</v>
      </c>
      <c r="D30" s="27"/>
      <c r="E30" s="28">
        <f>SUM(E31:E32)</f>
        <v>155310</v>
      </c>
      <c r="F30" s="28">
        <f>SUM(F31:F32)</f>
        <v>202060.83104994323</v>
      </c>
      <c r="G30" s="28">
        <f>SUM(G31:G32)</f>
        <v>1074309</v>
      </c>
      <c r="H30" s="28">
        <f>SUM(H31:H32)</f>
        <v>1301271.7519616345</v>
      </c>
      <c r="I30" s="28">
        <v>1225994</v>
      </c>
      <c r="J30" s="28">
        <v>1257764</v>
      </c>
      <c r="K30" s="28">
        <f>'[5]PL-YTD'!AB31+'[5]PL-YTD'!AB32</f>
        <v>868861.5735147556</v>
      </c>
    </row>
    <row r="31" spans="1:11" s="45" customFormat="1" ht="12.75" hidden="1">
      <c r="A31" s="37" t="s">
        <v>85</v>
      </c>
      <c r="B31" s="43"/>
      <c r="C31" s="27" t="s">
        <v>113</v>
      </c>
      <c r="D31" s="27"/>
      <c r="E31" s="28">
        <f>'[5]PL-CM'!$R$31</f>
        <v>51134</v>
      </c>
      <c r="F31" s="28">
        <f>'[5]PL-CM'!$S$31</f>
        <v>1606.1452515828678</v>
      </c>
      <c r="G31" s="28">
        <f>'[5]PL-YTD'!$R$31</f>
        <v>342606</v>
      </c>
      <c r="H31" s="28">
        <f>'[5]PL-YTD'!$S$31</f>
        <v>10343.575420193669</v>
      </c>
      <c r="I31" s="28">
        <v>450546</v>
      </c>
      <c r="J31" s="28">
        <v>423047</v>
      </c>
      <c r="K31" s="28">
        <f>'[5]PL-YTD'!AB31</f>
        <v>792964.7934194063</v>
      </c>
    </row>
    <row r="32" spans="1:11" s="45" customFormat="1" ht="12.75" hidden="1">
      <c r="A32" s="37"/>
      <c r="B32" s="43"/>
      <c r="C32" s="27" t="s">
        <v>114</v>
      </c>
      <c r="D32" s="27"/>
      <c r="E32" s="28">
        <f>'[5]PL-CM'!$R$32</f>
        <v>104176</v>
      </c>
      <c r="F32" s="28">
        <f>'[5]PL-CM'!$S$32</f>
        <v>200454.68579836035</v>
      </c>
      <c r="G32" s="28">
        <f>'[5]PL-YTD'!$R$32</f>
        <v>731703</v>
      </c>
      <c r="H32" s="28">
        <f>'[5]PL-YTD'!$S$32</f>
        <v>1290928.176541441</v>
      </c>
      <c r="I32" s="28">
        <v>775448</v>
      </c>
      <c r="J32" s="28">
        <v>834717</v>
      </c>
      <c r="K32" s="28">
        <f>'[5]PL-YTD'!AB32</f>
        <v>75896.7800953493</v>
      </c>
    </row>
    <row r="33" spans="1:11" s="45" customFormat="1" ht="12.75">
      <c r="A33" s="37"/>
      <c r="B33" s="43"/>
      <c r="C33" s="27" t="s">
        <v>115</v>
      </c>
      <c r="D33" s="27"/>
      <c r="E33" s="28">
        <f>SUM(E34:E35)</f>
        <v>0</v>
      </c>
      <c r="F33" s="28">
        <f>SUM(F34:F35)</f>
        <v>0</v>
      </c>
      <c r="G33" s="28">
        <f>SUM(G34:G35)</f>
        <v>0</v>
      </c>
      <c r="H33" s="28">
        <f>SUM(H34:H35)</f>
        <v>0</v>
      </c>
      <c r="I33" s="28">
        <v>0</v>
      </c>
      <c r="J33" s="28">
        <v>0</v>
      </c>
      <c r="K33" s="28">
        <f>'[5]PL-YTD'!AB33</f>
        <v>0</v>
      </c>
    </row>
    <row r="34" spans="1:11" s="45" customFormat="1" ht="12.75" hidden="1">
      <c r="A34" s="37" t="s">
        <v>85</v>
      </c>
      <c r="B34" s="43"/>
      <c r="C34" s="27" t="s">
        <v>116</v>
      </c>
      <c r="D34" s="27"/>
      <c r="E34" s="28">
        <f>'[5]PL-CM'!$R$34</f>
        <v>0</v>
      </c>
      <c r="F34" s="28">
        <f>'[5]PL-CM'!$S$34</f>
        <v>0</v>
      </c>
      <c r="G34" s="28">
        <f>'[5]PL-YTD'!$R$34</f>
        <v>0</v>
      </c>
      <c r="H34" s="28">
        <f>'[5]PL-YTD'!$S$34</f>
        <v>0</v>
      </c>
      <c r="I34" s="28">
        <v>0</v>
      </c>
      <c r="J34" s="28"/>
      <c r="K34" s="28">
        <f>'[5]PL-YTD'!$AB$34</f>
        <v>0</v>
      </c>
    </row>
    <row r="35" spans="1:11" s="45" customFormat="1" ht="12.75" hidden="1">
      <c r="A35" s="37" t="s">
        <v>85</v>
      </c>
      <c r="B35" s="43"/>
      <c r="C35" s="27" t="s">
        <v>117</v>
      </c>
      <c r="D35" s="27"/>
      <c r="E35" s="28">
        <f>'[5]PL-CM'!$R$35</f>
        <v>0</v>
      </c>
      <c r="F35" s="28">
        <f>'[5]PL-CM'!$S$35</f>
        <v>0</v>
      </c>
      <c r="G35" s="28">
        <f>'[5]PL-YTD'!$R$35</f>
        <v>0</v>
      </c>
      <c r="H35" s="28">
        <f>'[5]PL-YTD'!$S$35</f>
        <v>0</v>
      </c>
      <c r="I35" s="28">
        <v>0</v>
      </c>
      <c r="J35" s="28"/>
      <c r="K35" s="28">
        <f>'[5]PL-YTD'!$AB$35</f>
        <v>0</v>
      </c>
    </row>
    <row r="36" spans="1:11" s="45" customFormat="1" ht="4.5" customHeight="1">
      <c r="A36" s="37"/>
      <c r="B36" s="43"/>
      <c r="C36" s="27"/>
      <c r="D36" s="27"/>
      <c r="E36" s="28"/>
      <c r="F36" s="28"/>
      <c r="G36" s="28"/>
      <c r="H36" s="28"/>
      <c r="I36" s="28"/>
      <c r="J36" s="28"/>
      <c r="K36" s="28"/>
    </row>
    <row r="37" spans="1:12" s="45" customFormat="1" ht="12.75">
      <c r="A37" s="37"/>
      <c r="B37" s="26" t="s">
        <v>118</v>
      </c>
      <c r="C37" s="26"/>
      <c r="D37" s="27"/>
      <c r="E37" s="40">
        <f>SUM(E25:E30)+E33</f>
        <v>1700109</v>
      </c>
      <c r="F37" s="40">
        <f>SUM(F25:F30)+F33</f>
        <v>1911139.392963407</v>
      </c>
      <c r="G37" s="40">
        <f>SUM(G25:G30)+G33</f>
        <v>11090814.23</v>
      </c>
      <c r="H37" s="40">
        <f>SUM(H25:H30)+H33</f>
        <v>12307737.69068434</v>
      </c>
      <c r="I37" s="40">
        <f>SUM(I25:I35)-I30</f>
        <v>9407269</v>
      </c>
      <c r="J37" s="40">
        <f>SUM(J25:J35)-J30</f>
        <v>9109626</v>
      </c>
      <c r="K37" s="40">
        <f>SUM(K25:K30)+K33</f>
        <v>8217899.38974265</v>
      </c>
      <c r="L37" s="46"/>
    </row>
    <row r="38" spans="1:11" s="45" customFormat="1" ht="4.5" customHeight="1">
      <c r="A38" s="37"/>
      <c r="B38" s="43"/>
      <c r="C38" s="27"/>
      <c r="D38" s="27"/>
      <c r="E38" s="28"/>
      <c r="F38" s="28"/>
      <c r="G38" s="28"/>
      <c r="H38" s="28"/>
      <c r="I38" s="28"/>
      <c r="J38" s="28"/>
      <c r="K38" s="28"/>
    </row>
    <row r="39" spans="1:11" s="45" customFormat="1" ht="12.75">
      <c r="A39" s="37"/>
      <c r="B39" s="26" t="s">
        <v>119</v>
      </c>
      <c r="C39" s="26"/>
      <c r="D39" s="27"/>
      <c r="E39" s="42"/>
      <c r="F39" s="42"/>
      <c r="G39" s="42"/>
      <c r="H39" s="42"/>
      <c r="I39" s="42"/>
      <c r="J39" s="42"/>
      <c r="K39" s="42"/>
    </row>
    <row r="40" spans="1:11" s="45" customFormat="1" ht="12.75">
      <c r="A40" s="37"/>
      <c r="B40" s="26"/>
      <c r="C40" s="29" t="s">
        <v>120</v>
      </c>
      <c r="D40" s="27"/>
      <c r="E40" s="42">
        <f>SUM(E41:E44)</f>
        <v>1542410</v>
      </c>
      <c r="F40" s="42">
        <f>SUM(F41:F44)</f>
        <v>1834181.891992551</v>
      </c>
      <c r="G40" s="42">
        <f>SUM(G41:G44)</f>
        <v>10748406</v>
      </c>
      <c r="H40" s="42">
        <f>SUM(H41:H44)</f>
        <v>11812131.384432029</v>
      </c>
      <c r="I40" s="42">
        <v>10623588</v>
      </c>
      <c r="J40" s="42">
        <v>10928474</v>
      </c>
      <c r="K40" s="42">
        <f>SUM(K41:K44)</f>
        <v>7886982.1355679715</v>
      </c>
    </row>
    <row r="41" spans="1:11" s="45" customFormat="1" ht="12.75" hidden="1">
      <c r="A41" s="37"/>
      <c r="B41" s="30"/>
      <c r="C41" s="27" t="s">
        <v>121</v>
      </c>
      <c r="D41" s="27"/>
      <c r="E41" s="28">
        <f>'[5]PL-CM'!$R$41</f>
        <v>1294423</v>
      </c>
      <c r="F41" s="28">
        <f>'[5]PL-CM'!$S$41</f>
        <v>1337116.1080074487</v>
      </c>
      <c r="G41" s="28">
        <f>'[5]PL-YTD'!$R$41</f>
        <v>8973815</v>
      </c>
      <c r="H41" s="28">
        <f>'[5]PL-YTD'!$S$41</f>
        <v>8611027.73556797</v>
      </c>
      <c r="I41" s="28">
        <v>8829704</v>
      </c>
      <c r="J41" s="28">
        <v>9314948</v>
      </c>
      <c r="K41" s="28">
        <f>'[5]PL-YTD'!$AB$41</f>
        <v>7684065.26443203</v>
      </c>
    </row>
    <row r="42" spans="1:11" s="45" customFormat="1" ht="12.75" hidden="1">
      <c r="A42" s="37"/>
      <c r="B42" s="30"/>
      <c r="C42" s="27" t="s">
        <v>122</v>
      </c>
      <c r="D42" s="27"/>
      <c r="E42" s="28">
        <f>'[5]PL-CM'!$R$42</f>
        <v>0</v>
      </c>
      <c r="F42" s="28">
        <f>'[5]PL-CM'!$S$42</f>
        <v>190331.09869646182</v>
      </c>
      <c r="G42" s="28">
        <f>'[5]PL-YTD'!$R$42</f>
        <v>0</v>
      </c>
      <c r="H42" s="28">
        <f>'[5]PL-YTD'!$S$42</f>
        <v>1225732.275605214</v>
      </c>
      <c r="I42" s="28">
        <v>0</v>
      </c>
      <c r="J42" s="28">
        <v>0</v>
      </c>
      <c r="K42" s="28">
        <f>'[5]PL-YTD'!$AB$42</f>
        <v>-1116042.275605214</v>
      </c>
    </row>
    <row r="43" spans="1:11" s="45" customFormat="1" ht="12.75" hidden="1">
      <c r="A43" s="37"/>
      <c r="B43" s="30"/>
      <c r="C43" s="27" t="s">
        <v>123</v>
      </c>
      <c r="D43" s="27"/>
      <c r="E43" s="28">
        <f>'[5]PL-CM'!$R$43</f>
        <v>92848</v>
      </c>
      <c r="F43" s="28">
        <f>'[5]PL-CM'!$S$43</f>
        <v>119550.74487895716</v>
      </c>
      <c r="G43" s="28">
        <f>'[5]PL-YTD'!$R$43</f>
        <v>687561</v>
      </c>
      <c r="H43" s="28">
        <f>'[5]PL-YTD'!$S$43</f>
        <v>769906.7970204841</v>
      </c>
      <c r="I43" s="28">
        <v>736557</v>
      </c>
      <c r="J43" s="28">
        <v>625989</v>
      </c>
      <c r="K43" s="28">
        <f>'[5]PL-YTD'!$AB$43</f>
        <v>514068.2029795159</v>
      </c>
    </row>
    <row r="44" spans="1:11" s="45" customFormat="1" ht="12.75" hidden="1">
      <c r="A44" s="37"/>
      <c r="B44" s="30"/>
      <c r="C44" s="27" t="s">
        <v>124</v>
      </c>
      <c r="D44" s="27"/>
      <c r="E44" s="28">
        <f>'[5]PL-CM'!$R$44</f>
        <v>155139</v>
      </c>
      <c r="F44" s="28">
        <f>'[5]PL-CM'!$S$44</f>
        <v>187183.9404096834</v>
      </c>
      <c r="G44" s="28">
        <f>'[5]PL-YTD'!$R$44</f>
        <v>1087030</v>
      </c>
      <c r="H44" s="28">
        <f>'[5]PL-YTD'!$S$44</f>
        <v>1205464.576238361</v>
      </c>
      <c r="I44" s="28">
        <v>1057327</v>
      </c>
      <c r="J44" s="28">
        <v>987536</v>
      </c>
      <c r="K44" s="28">
        <f>'[5]PL-YTD'!$AB$44</f>
        <v>804890.9437616391</v>
      </c>
    </row>
    <row r="45" spans="1:11" s="45" customFormat="1" ht="12.75">
      <c r="A45" s="37"/>
      <c r="B45" s="26"/>
      <c r="C45" s="27" t="s">
        <v>125</v>
      </c>
      <c r="D45" s="27"/>
      <c r="E45" s="28">
        <f>'[5]PL-CM'!$R$45</f>
        <v>338289</v>
      </c>
      <c r="F45" s="28">
        <f>'[5]PL-CM'!$S$45</f>
        <v>361120.0186219739</v>
      </c>
      <c r="G45" s="28">
        <f>'[5]PL-YTD'!$R$45</f>
        <v>2245857</v>
      </c>
      <c r="H45" s="28">
        <f>'[5]PL-YTD'!$S$45</f>
        <v>2325612.9199255123</v>
      </c>
      <c r="I45" s="28">
        <v>2101785</v>
      </c>
      <c r="J45" s="28">
        <v>2409740</v>
      </c>
      <c r="K45" s="28">
        <f>'[5]PL-YTD'!$AB$45</f>
        <v>1552816.0800744877</v>
      </c>
    </row>
    <row r="46" spans="1:11" s="45" customFormat="1" ht="12.75">
      <c r="A46" s="37"/>
      <c r="B46" s="26"/>
      <c r="C46" s="27" t="s">
        <v>126</v>
      </c>
      <c r="D46" s="27"/>
      <c r="E46" s="28">
        <f>'[5]PL-CM'!$R$46</f>
        <v>77670</v>
      </c>
      <c r="F46" s="28">
        <f>'[5]PL-CM'!$S$46</f>
        <v>137156.51769087522</v>
      </c>
      <c r="G46" s="28">
        <f>'[5]PL-YTD'!$R$46</f>
        <v>614787</v>
      </c>
      <c r="H46" s="28">
        <f>'[5]PL-YTD'!$S$46</f>
        <v>883287.9739292365</v>
      </c>
      <c r="I46" s="28">
        <v>733869</v>
      </c>
      <c r="J46" s="28">
        <v>989826</v>
      </c>
      <c r="K46" s="28">
        <f>'[5]PL-YTD'!$AB$46</f>
        <v>589773.0260707632</v>
      </c>
    </row>
    <row r="47" spans="1:11" s="45" customFormat="1" ht="12.75">
      <c r="A47" s="37"/>
      <c r="B47" s="26"/>
      <c r="C47" s="27" t="s">
        <v>127</v>
      </c>
      <c r="D47" s="27"/>
      <c r="E47" s="28">
        <f>'[5]PL-CM'!$R$47</f>
        <v>76512</v>
      </c>
      <c r="F47" s="28">
        <f>'[5]PL-CM'!$S$47</f>
        <v>87128.30540037244</v>
      </c>
      <c r="G47" s="28">
        <f>'[5]PL-YTD'!$R$47</f>
        <v>412713</v>
      </c>
      <c r="H47" s="28">
        <f>'[5]PL-YTD'!$S$47</f>
        <v>561106.2867783986</v>
      </c>
      <c r="I47" s="28">
        <v>433965</v>
      </c>
      <c r="J47" s="28">
        <v>183497</v>
      </c>
      <c r="K47" s="28">
        <f>'[5]PL-YTD'!$AB$47</f>
        <v>374651.7132216012</v>
      </c>
    </row>
    <row r="48" spans="1:11" s="45" customFormat="1" ht="12.75">
      <c r="A48" s="37"/>
      <c r="B48" s="26"/>
      <c r="C48" s="27" t="s">
        <v>128</v>
      </c>
      <c r="D48" s="27"/>
      <c r="E48" s="28">
        <f>'[5]PL-CM'!$R$48</f>
        <v>4752</v>
      </c>
      <c r="F48" s="28">
        <f>'[5]PL-CM'!$S$48</f>
        <v>9867.039106145252</v>
      </c>
      <c r="G48" s="28">
        <f>'[5]PL-YTD'!$R$48</f>
        <v>67769</v>
      </c>
      <c r="H48" s="28">
        <f>'[5]PL-YTD'!$S$48</f>
        <v>63543.73184357541</v>
      </c>
      <c r="I48" s="28">
        <v>68550</v>
      </c>
      <c r="J48" s="28">
        <v>37818</v>
      </c>
      <c r="K48" s="28">
        <f>'[5]PL-YTD'!$AB$48</f>
        <v>42428.2681564246</v>
      </c>
    </row>
    <row r="49" spans="1:11" s="45" customFormat="1" ht="12.75">
      <c r="A49" s="37"/>
      <c r="B49" s="26"/>
      <c r="C49" s="27" t="s">
        <v>129</v>
      </c>
      <c r="D49" s="27"/>
      <c r="E49" s="28">
        <f>'[5]PL-CM'!$R$49</f>
        <v>2286</v>
      </c>
      <c r="F49" s="28">
        <f>'[5]PL-CM'!$S$49</f>
        <v>7448.7895716946</v>
      </c>
      <c r="G49" s="28">
        <f>'[5]PL-YTD'!$R$49</f>
        <v>12476</v>
      </c>
      <c r="H49" s="28">
        <f>'[5]PL-YTD'!$S$49</f>
        <v>47970.20484171322</v>
      </c>
      <c r="I49" s="28">
        <v>57889</v>
      </c>
      <c r="J49" s="28">
        <v>4422</v>
      </c>
      <c r="K49" s="28">
        <f>'[5]PL-YTD'!$AB$49</f>
        <v>32029.795158286783</v>
      </c>
    </row>
    <row r="50" spans="1:11" s="45" customFormat="1" ht="4.5" customHeight="1">
      <c r="A50" s="37"/>
      <c r="B50" s="26"/>
      <c r="C50" s="26"/>
      <c r="D50" s="27"/>
      <c r="E50" s="42"/>
      <c r="F50" s="42"/>
      <c r="G50" s="42"/>
      <c r="H50" s="42"/>
      <c r="I50" s="42"/>
      <c r="J50" s="42"/>
      <c r="K50" s="42"/>
    </row>
    <row r="51" spans="1:11" s="45" customFormat="1" ht="12.75">
      <c r="A51" s="37"/>
      <c r="B51" s="26" t="s">
        <v>130</v>
      </c>
      <c r="C51" s="26"/>
      <c r="D51" s="27"/>
      <c r="E51" s="40">
        <f aca="true" t="shared" si="0" ref="E51:K51">SUM(E41:E49)</f>
        <v>2041919</v>
      </c>
      <c r="F51" s="40">
        <f t="shared" si="0"/>
        <v>2436902.562383612</v>
      </c>
      <c r="G51" s="40">
        <f t="shared" si="0"/>
        <v>14102008</v>
      </c>
      <c r="H51" s="40">
        <f t="shared" si="0"/>
        <v>15693652.501750464</v>
      </c>
      <c r="I51" s="40">
        <f>SUM(I41:I49)</f>
        <v>14019646</v>
      </c>
      <c r="J51" s="40">
        <f t="shared" si="0"/>
        <v>14553776</v>
      </c>
      <c r="K51" s="40">
        <f t="shared" si="0"/>
        <v>10478681.018249536</v>
      </c>
    </row>
    <row r="52" spans="1:11" s="45" customFormat="1" ht="4.5" customHeight="1">
      <c r="A52" s="37"/>
      <c r="B52" s="43"/>
      <c r="C52" s="27"/>
      <c r="D52" s="27"/>
      <c r="E52" s="28"/>
      <c r="F52" s="28"/>
      <c r="G52" s="28"/>
      <c r="H52" s="28"/>
      <c r="I52" s="28"/>
      <c r="J52" s="28"/>
      <c r="K52" s="28"/>
    </row>
    <row r="53" spans="1:11" ht="12.75">
      <c r="A53" s="23" t="s">
        <v>131</v>
      </c>
      <c r="B53" s="26"/>
      <c r="C53" s="26"/>
      <c r="D53" s="24"/>
      <c r="E53" s="40">
        <f>+E37+E51</f>
        <v>3742028</v>
      </c>
      <c r="F53" s="40">
        <f>+F37+F51</f>
        <v>4348041.955347019</v>
      </c>
      <c r="G53" s="40">
        <f>+G37+G51</f>
        <v>25192822.23</v>
      </c>
      <c r="H53" s="40">
        <f>+H37+H51</f>
        <v>28001390.192434803</v>
      </c>
      <c r="I53" s="40">
        <f>+I37+I51</f>
        <v>23426915</v>
      </c>
      <c r="J53" s="40">
        <f>+J37+J51+1</f>
        <v>23663403</v>
      </c>
      <c r="K53" s="40">
        <f>+K37+K51</f>
        <v>18696580.407992184</v>
      </c>
    </row>
    <row r="54" spans="1:11" ht="4.5" customHeight="1">
      <c r="A54" s="38"/>
      <c r="B54" s="24"/>
      <c r="C54" s="24"/>
      <c r="D54" s="24"/>
      <c r="E54" s="47"/>
      <c r="F54" s="47"/>
      <c r="G54" s="47"/>
      <c r="H54" s="47"/>
      <c r="I54" s="47"/>
      <c r="J54" s="47"/>
      <c r="K54" s="47"/>
    </row>
    <row r="55" spans="1:11" ht="12.75">
      <c r="A55" s="23" t="s">
        <v>132</v>
      </c>
      <c r="B55" s="26"/>
      <c r="C55" s="26"/>
      <c r="D55" s="27"/>
      <c r="E55" s="48">
        <f aca="true" t="shared" si="1" ref="E55:J55">E57/E21*100</f>
        <v>36.74856950066564</v>
      </c>
      <c r="F55" s="48">
        <f t="shared" si="1"/>
        <v>37.73786747315785</v>
      </c>
      <c r="G55" s="48">
        <f t="shared" si="1"/>
        <v>35.84160833359543</v>
      </c>
      <c r="H55" s="48">
        <f t="shared" si="1"/>
        <v>37.73786747315785</v>
      </c>
      <c r="I55" s="48">
        <f t="shared" si="1"/>
        <v>36.337908531153396</v>
      </c>
      <c r="J55" s="48">
        <f t="shared" si="1"/>
        <v>41.98988641262119</v>
      </c>
      <c r="K55" s="48">
        <f>K57/K21*100</f>
        <v>37.73786747315786</v>
      </c>
    </row>
    <row r="56" spans="1:11" ht="4.5" customHeight="1">
      <c r="A56" s="20"/>
      <c r="B56" s="21"/>
      <c r="C56" s="21"/>
      <c r="D56" s="24"/>
      <c r="E56" s="49"/>
      <c r="F56" s="49"/>
      <c r="G56" s="49"/>
      <c r="H56" s="49"/>
      <c r="I56" s="49"/>
      <c r="J56" s="49"/>
      <c r="K56" s="49"/>
    </row>
    <row r="57" spans="1:11" s="45" customFormat="1" ht="12.75">
      <c r="A57" s="23" t="s">
        <v>133</v>
      </c>
      <c r="B57" s="26"/>
      <c r="C57" s="26"/>
      <c r="D57" s="27"/>
      <c r="E57" s="28">
        <f>E21-E53</f>
        <v>2174088</v>
      </c>
      <c r="F57" s="28">
        <f>F21-F53</f>
        <v>2635403.32493231</v>
      </c>
      <c r="G57" s="28">
        <f>G21-G53</f>
        <v>14073782.77</v>
      </c>
      <c r="H57" s="28">
        <f>H21-H53</f>
        <v>16971997.412564076</v>
      </c>
      <c r="I57" s="28">
        <f>I21-I53</f>
        <v>13371931</v>
      </c>
      <c r="J57" s="28">
        <f>J21-J53+1</f>
        <v>17128454</v>
      </c>
      <c r="K57" s="28">
        <f>K21-K53</f>
        <v>11332234.297208939</v>
      </c>
    </row>
    <row r="58" spans="1:11" ht="4.5" customHeight="1">
      <c r="A58" s="38"/>
      <c r="B58" s="24"/>
      <c r="C58" s="24"/>
      <c r="D58" s="24"/>
      <c r="E58" s="39"/>
      <c r="F58" s="39"/>
      <c r="G58" s="39"/>
      <c r="H58" s="39"/>
      <c r="I58" s="39"/>
      <c r="J58" s="39"/>
      <c r="K58" s="39"/>
    </row>
    <row r="59" spans="1:11" s="45" customFormat="1" ht="12.75">
      <c r="A59" s="23" t="s">
        <v>134</v>
      </c>
      <c r="B59" s="26"/>
      <c r="C59" s="26"/>
      <c r="D59" s="27"/>
      <c r="E59" s="42"/>
      <c r="F59" s="42"/>
      <c r="G59" s="42"/>
      <c r="H59" s="42"/>
      <c r="I59" s="42"/>
      <c r="J59" s="42"/>
      <c r="K59" s="42"/>
    </row>
    <row r="60" spans="1:11" ht="12.75">
      <c r="A60" s="23" t="s">
        <v>85</v>
      </c>
      <c r="B60" s="26" t="s">
        <v>135</v>
      </c>
      <c r="C60" s="26"/>
      <c r="D60" s="27"/>
      <c r="E60" s="28"/>
      <c r="F60" s="28"/>
      <c r="G60" s="28"/>
      <c r="H60" s="28"/>
      <c r="I60" s="28"/>
      <c r="J60" s="28"/>
      <c r="K60" s="28"/>
    </row>
    <row r="61" spans="1:11" ht="12.75">
      <c r="A61" s="23"/>
      <c r="B61" s="26"/>
      <c r="C61" s="29" t="s">
        <v>120</v>
      </c>
      <c r="D61" s="27"/>
      <c r="E61" s="28">
        <f>SUM(E62:E65)</f>
        <v>83743</v>
      </c>
      <c r="F61" s="28">
        <f>SUM(F62:F65)</f>
        <v>131100.64059590315</v>
      </c>
      <c r="G61" s="28">
        <f>SUM(G62:G65)</f>
        <v>616150</v>
      </c>
      <c r="H61" s="28">
        <f>SUM(H62:H65)</f>
        <v>844288.1254376165</v>
      </c>
      <c r="I61" s="50">
        <v>644884</v>
      </c>
      <c r="J61" s="51">
        <v>841968</v>
      </c>
      <c r="K61" s="28">
        <f>SUM(K62:K65)</f>
        <v>563732.7545623838</v>
      </c>
    </row>
    <row r="62" spans="1:11" ht="12.75" hidden="1">
      <c r="A62" s="37"/>
      <c r="B62" s="30"/>
      <c r="C62" s="27" t="s">
        <v>121</v>
      </c>
      <c r="D62" s="27"/>
      <c r="E62" s="28">
        <f>'[5]PL-CM'!$R$62</f>
        <v>74764</v>
      </c>
      <c r="F62" s="28">
        <f>'[5]PL-CM'!$S$62</f>
        <v>101611.45251396648</v>
      </c>
      <c r="G62" s="28">
        <f>'[5]PL-YTD'!$R$62</f>
        <v>548858</v>
      </c>
      <c r="H62" s="28">
        <f>'[5]PL-YTD'!$S$62</f>
        <v>642304.2532588455</v>
      </c>
      <c r="I62" s="28">
        <v>575712</v>
      </c>
      <c r="J62" s="28">
        <v>759521</v>
      </c>
      <c r="K62" s="28">
        <f>'[5]PL-YTD'!$AB$62</f>
        <v>586275.7467411547</v>
      </c>
    </row>
    <row r="63" spans="1:11" ht="12.75" hidden="1">
      <c r="A63" s="37"/>
      <c r="B63" s="30"/>
      <c r="C63" s="27" t="s">
        <v>136</v>
      </c>
      <c r="D63" s="27"/>
      <c r="E63" s="28">
        <f>'[5]PL-CM'!$R$63</f>
        <v>0</v>
      </c>
      <c r="F63" s="28">
        <f>'[5]PL-CM'!$S$63</f>
        <v>15388.081936685288</v>
      </c>
      <c r="G63" s="28">
        <f>'[5]PL-YTD'!$R$63</f>
        <v>0</v>
      </c>
      <c r="H63" s="28">
        <f>'[5]PL-YTD'!$S$63</f>
        <v>111172.74860335195</v>
      </c>
      <c r="I63" s="28">
        <v>0</v>
      </c>
      <c r="J63" s="28">
        <v>0</v>
      </c>
      <c r="K63" s="28">
        <f>'[5]PL-YTD'!$AB$63</f>
        <v>-83177.74860335195</v>
      </c>
    </row>
    <row r="64" spans="1:11" ht="12.75" hidden="1">
      <c r="A64" s="37"/>
      <c r="B64" s="30"/>
      <c r="C64" s="27" t="s">
        <v>123</v>
      </c>
      <c r="D64" s="27"/>
      <c r="E64" s="28">
        <f>'[5]PL-CM'!$R$64</f>
        <v>0</v>
      </c>
      <c r="F64" s="28">
        <f>'[5]PL-CM'!$S$64</f>
        <v>0</v>
      </c>
      <c r="G64" s="28">
        <f>'[5]PL-YTD'!$R$64</f>
        <v>51</v>
      </c>
      <c r="H64" s="28">
        <f>'[5]PL-YTD'!$S$64</f>
        <v>0</v>
      </c>
      <c r="I64" s="28">
        <v>0</v>
      </c>
      <c r="J64" s="28">
        <v>79</v>
      </c>
      <c r="K64" s="28">
        <f>'[5]PL-YTD'!$AB$64</f>
        <v>0</v>
      </c>
    </row>
    <row r="65" spans="1:11" ht="12.75" hidden="1">
      <c r="A65" s="37"/>
      <c r="B65" s="30"/>
      <c r="C65" s="27" t="s">
        <v>124</v>
      </c>
      <c r="D65" s="27"/>
      <c r="E65" s="28">
        <f>'[5]PL-CM'!$R$65</f>
        <v>8979</v>
      </c>
      <c r="F65" s="28">
        <f>'[5]PL-CM'!$S$65</f>
        <v>14101.106145251397</v>
      </c>
      <c r="G65" s="28">
        <f>'[5]PL-YTD'!$R$65</f>
        <v>67241</v>
      </c>
      <c r="H65" s="28">
        <f>'[5]PL-YTD'!$S$65</f>
        <v>90811.123575419</v>
      </c>
      <c r="I65" s="28">
        <v>69172</v>
      </c>
      <c r="J65" s="28">
        <v>82369</v>
      </c>
      <c r="K65" s="28">
        <f>'[5]PL-YTD'!$AB$65</f>
        <v>60634.756424581006</v>
      </c>
    </row>
    <row r="66" spans="1:11" ht="12.75">
      <c r="A66" s="37"/>
      <c r="B66" s="30"/>
      <c r="C66" s="27" t="s">
        <v>137</v>
      </c>
      <c r="D66" s="27"/>
      <c r="E66" s="28">
        <f>'[5]PL-CM'!$R$66</f>
        <v>12889</v>
      </c>
      <c r="F66" s="28">
        <f>'[5]PL-CM'!$S$66</f>
        <v>16953.351955307262</v>
      </c>
      <c r="G66" s="28">
        <f>'[5]PL-YTD'!$R$66</f>
        <v>98971</v>
      </c>
      <c r="H66" s="28">
        <f>'[5]PL-YTD'!$S$66</f>
        <v>109179.58659217876</v>
      </c>
      <c r="I66" s="28">
        <v>92397</v>
      </c>
      <c r="J66" s="28">
        <v>114672</v>
      </c>
      <c r="K66" s="28">
        <f>'[5]PL-YTD'!$AB$66</f>
        <v>72899.41340782124</v>
      </c>
    </row>
    <row r="67" spans="1:11" ht="12.75">
      <c r="A67" s="37"/>
      <c r="B67" s="30"/>
      <c r="C67" s="27" t="s">
        <v>138</v>
      </c>
      <c r="D67" s="27"/>
      <c r="E67" s="28">
        <f>'[5]PL-CM'!$R$67</f>
        <v>592</v>
      </c>
      <c r="F67" s="28">
        <f>'[5]PL-CM'!$S$67</f>
        <v>1947.7653631284916</v>
      </c>
      <c r="G67" s="28">
        <f>'[5]PL-YTD'!$R$67</f>
        <v>9975</v>
      </c>
      <c r="H67" s="28">
        <f>'[5]PL-YTD'!$S$67</f>
        <v>12543.608938547486</v>
      </c>
      <c r="I67" s="28">
        <v>10918</v>
      </c>
      <c r="J67" s="28">
        <v>13122</v>
      </c>
      <c r="K67" s="28">
        <f>'[5]PL-YTD'!$AB$67</f>
        <v>8375.391061452514</v>
      </c>
    </row>
    <row r="68" spans="1:11" ht="12.75">
      <c r="A68" s="37"/>
      <c r="B68" s="30"/>
      <c r="C68" s="27" t="s">
        <v>139</v>
      </c>
      <c r="D68" s="27"/>
      <c r="E68" s="28">
        <f>'[5]PL-CM'!$R$68</f>
        <v>5000</v>
      </c>
      <c r="F68" s="28">
        <f>'[5]PL-CM'!$S$68</f>
        <v>7448.7895716945995</v>
      </c>
      <c r="G68" s="28">
        <f>'[5]PL-YTD'!$R$68</f>
        <v>35000</v>
      </c>
      <c r="H68" s="28">
        <f>'[5]PL-YTD'!$S$68</f>
        <v>47970.204841713225</v>
      </c>
      <c r="I68" s="28">
        <v>-11000</v>
      </c>
      <c r="J68" s="28">
        <v>87500</v>
      </c>
      <c r="K68" s="28">
        <f>'[5]PL-YTD'!$AB$68</f>
        <v>32029.79515828679</v>
      </c>
    </row>
    <row r="69" spans="1:11" ht="12.75">
      <c r="A69" s="37"/>
      <c r="B69" s="30"/>
      <c r="C69" s="27" t="s">
        <v>140</v>
      </c>
      <c r="D69" s="27"/>
      <c r="E69" s="28">
        <f>'[5]PL-CM'!$R$69</f>
        <v>7954</v>
      </c>
      <c r="F69" s="28">
        <f>'[5]PL-CM'!$S$69</f>
        <v>34916.20111731844</v>
      </c>
      <c r="G69" s="28">
        <f>'[5]PL-YTD'!$R$69</f>
        <v>86037</v>
      </c>
      <c r="H69" s="28">
        <f>'[5]PL-YTD'!$S$69</f>
        <v>224860.3351955307</v>
      </c>
      <c r="I69" s="28">
        <v>93215</v>
      </c>
      <c r="J69" s="28">
        <v>237094</v>
      </c>
      <c r="K69" s="28">
        <f>'[5]PL-YTD'!$AB$69</f>
        <v>150139.66480446924</v>
      </c>
    </row>
    <row r="70" spans="1:11" ht="4.5" customHeight="1">
      <c r="A70" s="38"/>
      <c r="B70" s="24"/>
      <c r="C70" s="24"/>
      <c r="D70" s="24"/>
      <c r="E70" s="39"/>
      <c r="F70" s="39"/>
      <c r="G70" s="39"/>
      <c r="H70" s="39"/>
      <c r="I70" s="39"/>
      <c r="J70" s="39"/>
      <c r="K70" s="39"/>
    </row>
    <row r="71" spans="1:11" ht="12.75">
      <c r="A71" s="52"/>
      <c r="B71" s="26" t="s">
        <v>141</v>
      </c>
      <c r="C71" s="26"/>
      <c r="D71" s="27"/>
      <c r="E71" s="40">
        <f aca="true" t="shared" si="2" ref="E71:K71">SUM(E62:E69)</f>
        <v>110178</v>
      </c>
      <c r="F71" s="40">
        <f t="shared" si="2"/>
        <v>192366.74860335194</v>
      </c>
      <c r="G71" s="40">
        <f t="shared" si="2"/>
        <v>846133</v>
      </c>
      <c r="H71" s="40">
        <f t="shared" si="2"/>
        <v>1238841.8610055866</v>
      </c>
      <c r="I71" s="40">
        <f t="shared" si="2"/>
        <v>830414</v>
      </c>
      <c r="J71" s="40">
        <f t="shared" si="2"/>
        <v>1294357</v>
      </c>
      <c r="K71" s="40">
        <f t="shared" si="2"/>
        <v>827177.0189944135</v>
      </c>
    </row>
    <row r="72" spans="1:11" ht="4.5" customHeight="1">
      <c r="A72" s="20"/>
      <c r="B72" s="21"/>
      <c r="C72" s="21"/>
      <c r="D72" s="24"/>
      <c r="E72" s="39"/>
      <c r="F72" s="39"/>
      <c r="G72" s="39"/>
      <c r="H72" s="39"/>
      <c r="I72" s="39"/>
      <c r="J72" s="39"/>
      <c r="K72" s="39"/>
    </row>
    <row r="73" spans="1:11" ht="12.75">
      <c r="A73" s="52"/>
      <c r="B73" s="26" t="s">
        <v>142</v>
      </c>
      <c r="C73" s="26"/>
      <c r="D73" s="27"/>
      <c r="E73" s="42"/>
      <c r="F73" s="42"/>
      <c r="G73" s="42"/>
      <c r="H73" s="42"/>
      <c r="I73" s="42"/>
      <c r="J73" s="42"/>
      <c r="K73" s="42"/>
    </row>
    <row r="74" spans="1:11" ht="12.75">
      <c r="A74" s="52"/>
      <c r="B74" s="26"/>
      <c r="C74" s="29" t="s">
        <v>120</v>
      </c>
      <c r="D74" s="27"/>
      <c r="E74" s="42">
        <f>SUM(E75:E79)</f>
        <v>492546</v>
      </c>
      <c r="F74" s="42">
        <f>SUM(F75:F79)</f>
        <v>559891.6294227188</v>
      </c>
      <c r="G74" s="42">
        <f>SUM(G75:G79)</f>
        <v>3528109</v>
      </c>
      <c r="H74" s="42">
        <f>SUM(H75:H79)</f>
        <v>3605702.093482309</v>
      </c>
      <c r="I74" s="42">
        <v>3394569</v>
      </c>
      <c r="J74" s="42">
        <v>3756890</v>
      </c>
      <c r="K74" s="42">
        <f>SUM(K75:K79)</f>
        <v>3002110.006517691</v>
      </c>
    </row>
    <row r="75" spans="1:11" ht="12.75" hidden="1">
      <c r="A75" s="52"/>
      <c r="B75" s="27"/>
      <c r="C75" s="27" t="s">
        <v>121</v>
      </c>
      <c r="D75" s="30"/>
      <c r="E75" s="28">
        <f>'[5]PL-CM'!$R$75</f>
        <v>381291</v>
      </c>
      <c r="F75" s="28">
        <f>'[5]PL-CM'!$S$75</f>
        <v>391025.69832402235</v>
      </c>
      <c r="G75" s="28">
        <f>'[5]PL-YTD'!$R$75</f>
        <v>2709407</v>
      </c>
      <c r="H75" s="28">
        <f>'[5]PL-YTD'!$S$75</f>
        <v>2518205.4972067038</v>
      </c>
      <c r="I75" s="28">
        <v>2609364</v>
      </c>
      <c r="J75" s="28">
        <v>2814316</v>
      </c>
      <c r="K75" s="28">
        <f>'[5]PL-YTD'!$AB$75</f>
        <v>2469168.5027932962</v>
      </c>
    </row>
    <row r="76" spans="1:11" ht="12.75" hidden="1">
      <c r="A76" s="52"/>
      <c r="B76" s="27"/>
      <c r="C76" s="27" t="s">
        <v>136</v>
      </c>
      <c r="D76" s="30"/>
      <c r="E76" s="28">
        <f>'[5]PL-CM'!$R$76</f>
        <v>0</v>
      </c>
      <c r="F76" s="28">
        <f>'[5]PL-CM'!$S$76</f>
        <v>0</v>
      </c>
      <c r="G76" s="28">
        <f>'[5]PL-YTD'!$R$76</f>
        <v>0</v>
      </c>
      <c r="H76" s="28">
        <f>'[5]PL-YTD'!$S$76</f>
        <v>0</v>
      </c>
      <c r="I76" s="28">
        <v>0</v>
      </c>
      <c r="J76" s="28">
        <v>0</v>
      </c>
      <c r="K76" s="28">
        <f>'[5]PL-YTD'!$AB$76</f>
        <v>16811</v>
      </c>
    </row>
    <row r="77" spans="1:11" ht="12.75" hidden="1">
      <c r="A77" s="52"/>
      <c r="B77" s="27"/>
      <c r="C77" s="27" t="s">
        <v>123</v>
      </c>
      <c r="D77" s="30"/>
      <c r="E77" s="28">
        <f>'[5]PL-CM'!$R$77</f>
        <v>12615</v>
      </c>
      <c r="F77" s="28">
        <f>'[5]PL-CM'!$S$77</f>
        <v>74913.3147113594</v>
      </c>
      <c r="G77" s="28">
        <f>'[5]PL-YTD'!$R$77</f>
        <v>94649</v>
      </c>
      <c r="H77" s="28">
        <f>'[5]PL-YTD'!$S$77</f>
        <v>482441.7467411545</v>
      </c>
      <c r="I77" s="28">
        <v>90113</v>
      </c>
      <c r="J77" s="28">
        <v>160953</v>
      </c>
      <c r="K77" s="28">
        <f>'[5]PL-YTD'!$AB$77</f>
        <v>-298185.6467411545</v>
      </c>
    </row>
    <row r="78" spans="1:11" ht="12.75" hidden="1">
      <c r="A78" s="52"/>
      <c r="B78" s="27"/>
      <c r="C78" s="27" t="s">
        <v>143</v>
      </c>
      <c r="D78" s="30"/>
      <c r="E78" s="28">
        <f>'[5]PL-CM'!$R$78</f>
        <v>54559</v>
      </c>
      <c r="F78" s="28">
        <f>'[5]PL-CM'!$S$78</f>
        <v>72092.09497206705</v>
      </c>
      <c r="G78" s="28">
        <f>'[5]PL-YTD'!$R$78</f>
        <v>404863</v>
      </c>
      <c r="H78" s="28">
        <f>'[5]PL-YTD'!$S$78</f>
        <v>464273.0916201117</v>
      </c>
      <c r="I78" s="28">
        <v>421913</v>
      </c>
      <c r="J78" s="28">
        <v>417898</v>
      </c>
      <c r="K78" s="28">
        <f>'[5]PL-YTD'!$AB$78</f>
        <v>344738.9083798883</v>
      </c>
    </row>
    <row r="79" spans="1:11" ht="12.75" hidden="1">
      <c r="A79" s="52"/>
      <c r="B79" s="27"/>
      <c r="C79" s="27" t="s">
        <v>144</v>
      </c>
      <c r="D79" s="30"/>
      <c r="E79" s="28">
        <f>'[5]PL-CM'!$R$79</f>
        <v>44081</v>
      </c>
      <c r="F79" s="28">
        <f>'[5]PL-CM'!$S$79</f>
        <v>21860.521415270017</v>
      </c>
      <c r="G79" s="28">
        <f>'[5]PL-YTD'!$R$79</f>
        <v>319190</v>
      </c>
      <c r="H79" s="28">
        <f>'[5]PL-YTD'!$S$79</f>
        <v>140781.7579143389</v>
      </c>
      <c r="I79" s="28">
        <v>273179</v>
      </c>
      <c r="J79" s="28">
        <v>363723</v>
      </c>
      <c r="K79" s="28">
        <f>'[5]PL-YTD'!$AB$79</f>
        <v>469577.2420856612</v>
      </c>
    </row>
    <row r="80" spans="1:11" ht="12.75">
      <c r="A80" s="52"/>
      <c r="B80" s="27"/>
      <c r="C80" s="27" t="s">
        <v>145</v>
      </c>
      <c r="D80" s="30"/>
      <c r="E80" s="28">
        <f>'[5]PL-CM'!$R$80</f>
        <v>354</v>
      </c>
      <c r="F80" s="28">
        <f>'[5]PL-CM'!$S$80</f>
        <v>59969.832402234635</v>
      </c>
      <c r="G80" s="28">
        <f>'[5]PL-YTD'!$R$80</f>
        <v>14618</v>
      </c>
      <c r="H80" s="28">
        <f>'[5]PL-YTD'!$S$80</f>
        <v>386205.7206703911</v>
      </c>
      <c r="I80" s="28">
        <v>20501</v>
      </c>
      <c r="J80" s="28">
        <v>28445</v>
      </c>
      <c r="K80" s="28">
        <f>'[5]PL-YTD'!$AB$80</f>
        <v>-336705.7206703911</v>
      </c>
    </row>
    <row r="81" spans="1:11" ht="12.75">
      <c r="A81" s="52"/>
      <c r="B81" s="27"/>
      <c r="C81" s="27" t="s">
        <v>146</v>
      </c>
      <c r="D81" s="30"/>
      <c r="E81" s="28">
        <f>'[5]PL-CM'!$R$81</f>
        <v>28166</v>
      </c>
      <c r="F81" s="28">
        <f>'[5]PL-CM'!$S$81</f>
        <v>27629.35754189944</v>
      </c>
      <c r="G81" s="28">
        <f>'[5]PL-YTD'!$R$81</f>
        <v>137101</v>
      </c>
      <c r="H81" s="28">
        <f>'[5]PL-YTD'!$S$81</f>
        <v>177933.0625698324</v>
      </c>
      <c r="I81" s="28">
        <v>300814</v>
      </c>
      <c r="J81" s="28">
        <v>243835</v>
      </c>
      <c r="K81" s="28">
        <f>'[5]PL-YTD'!$AB$81</f>
        <v>268806.2374301676</v>
      </c>
    </row>
    <row r="82" spans="1:11" ht="12.75">
      <c r="A82" s="52"/>
      <c r="B82" s="27"/>
      <c r="C82" s="27" t="s">
        <v>147</v>
      </c>
      <c r="D82" s="30"/>
      <c r="E82" s="28">
        <f>'[5]PL-CM'!$R$82</f>
        <v>28578</v>
      </c>
      <c r="F82" s="28">
        <f>'[5]PL-CM'!$S$82</f>
        <v>19558.659217877095</v>
      </c>
      <c r="G82" s="28">
        <f>'[5]PL-YTD'!$R$82</f>
        <v>147553</v>
      </c>
      <c r="H82" s="28">
        <f>'[5]PL-YTD'!$S$82</f>
        <v>125957.7653631285</v>
      </c>
      <c r="I82" s="28">
        <v>122765</v>
      </c>
      <c r="J82" s="28">
        <v>108700</v>
      </c>
      <c r="K82" s="28">
        <f>'[5]PL-YTD'!$AB$82</f>
        <v>106899.2346368715</v>
      </c>
    </row>
    <row r="83" spans="1:11" ht="12.75">
      <c r="A83" s="52"/>
      <c r="B83" s="27"/>
      <c r="C83" s="27" t="s">
        <v>148</v>
      </c>
      <c r="D83" s="30"/>
      <c r="E83" s="28">
        <f>'[5]PL-CM'!$R$83</f>
        <v>2511</v>
      </c>
      <c r="F83" s="28">
        <f>'[5]PL-CM'!$S$83</f>
        <v>19161.73184357542</v>
      </c>
      <c r="G83" s="28">
        <f>'[5]PL-YTD'!$R$83</f>
        <v>28174</v>
      </c>
      <c r="H83" s="28">
        <f>'[5]PL-YTD'!$S$83</f>
        <v>123401.55307262568</v>
      </c>
      <c r="I83" s="28">
        <v>28302</v>
      </c>
      <c r="J83" s="28">
        <v>17208</v>
      </c>
      <c r="K83" s="28">
        <f>'[5]PL-YTD'!$AB$83</f>
        <v>-60401.553072625684</v>
      </c>
    </row>
    <row r="84" spans="1:11" ht="12.75">
      <c r="A84" s="52"/>
      <c r="B84" s="27"/>
      <c r="C84" s="27" t="s">
        <v>149</v>
      </c>
      <c r="D84" s="30"/>
      <c r="E84" s="28">
        <f>'[5]PL-CM'!$R$84</f>
        <v>33031</v>
      </c>
      <c r="F84" s="28">
        <f>'[5]PL-CM'!$S$84</f>
        <v>41469.25884543762</v>
      </c>
      <c r="G84" s="28">
        <f>'[5]PL-YTD'!$R$84</f>
        <v>206090</v>
      </c>
      <c r="H84" s="28">
        <f>'[5]PL-YTD'!$S$84</f>
        <v>267062.0269646183</v>
      </c>
      <c r="I84" s="28">
        <v>261326</v>
      </c>
      <c r="J84" s="28">
        <v>275074</v>
      </c>
      <c r="K84" s="28">
        <f>'[5]PL-YTD'!$AB$84</f>
        <v>159357.81303538178</v>
      </c>
    </row>
    <row r="85" spans="1:11" ht="12.75">
      <c r="A85" s="52"/>
      <c r="B85" s="27"/>
      <c r="C85" s="27" t="s">
        <v>150</v>
      </c>
      <c r="D85" s="30"/>
      <c r="E85" s="28">
        <f>'[5]PL-CM'!$R$85</f>
        <v>148403</v>
      </c>
      <c r="F85" s="28">
        <f>'[5]PL-CM'!$S$85</f>
        <v>143559.59031657354</v>
      </c>
      <c r="G85" s="28">
        <f>'[5]PL-YTD'!$R$85</f>
        <v>978305</v>
      </c>
      <c r="H85" s="28">
        <f>'[5]PL-YTD'!$S$85</f>
        <v>924523.7616387337</v>
      </c>
      <c r="I85" s="28">
        <v>825982</v>
      </c>
      <c r="J85" s="28">
        <v>842519</v>
      </c>
      <c r="K85" s="28">
        <f>'[5]PL-YTD'!$AB$85</f>
        <v>630266.2383612663</v>
      </c>
    </row>
    <row r="86" spans="1:11" ht="12.75">
      <c r="A86" s="52"/>
      <c r="B86" s="27"/>
      <c r="C86" s="27" t="s">
        <v>151</v>
      </c>
      <c r="D86" s="30"/>
      <c r="E86" s="28">
        <f>'[5]PL-CM'!$R$86</f>
        <v>41511</v>
      </c>
      <c r="F86" s="28">
        <f>'[5]PL-CM'!$S$86</f>
        <v>3878.7709497206706</v>
      </c>
      <c r="G86" s="28">
        <f>'[5]PL-YTD'!$R$86</f>
        <v>291795</v>
      </c>
      <c r="H86" s="28">
        <f>'[5]PL-YTD'!$S$86</f>
        <v>24979.28491620112</v>
      </c>
      <c r="I86" s="28">
        <v>277007</v>
      </c>
      <c r="J86" s="28">
        <v>263654</v>
      </c>
      <c r="K86" s="28">
        <f>'[5]PL-YTD'!$AB$86</f>
        <v>460466.7150837988</v>
      </c>
    </row>
    <row r="87" spans="1:11" ht="12.75">
      <c r="A87" s="52"/>
      <c r="B87" s="27"/>
      <c r="C87" s="27" t="s">
        <v>152</v>
      </c>
      <c r="D87" s="30"/>
      <c r="E87" s="28">
        <f>'[5]PL-CM'!$R$87</f>
        <v>13354</v>
      </c>
      <c r="F87" s="28">
        <f>'[5]PL-CM'!$S$87</f>
        <v>57016.7597765363</v>
      </c>
      <c r="G87" s="28">
        <f>'[5]PL-YTD'!$R$87</f>
        <v>96788</v>
      </c>
      <c r="H87" s="28">
        <f>'[5]PL-YTD'!$S$87</f>
        <v>367187.9329608938</v>
      </c>
      <c r="I87" s="28">
        <v>84851</v>
      </c>
      <c r="J87" s="28">
        <v>85648</v>
      </c>
      <c r="K87" s="28">
        <f>'[5]PL-YTD'!$AB$87</f>
        <v>-199543.93296089378</v>
      </c>
    </row>
    <row r="88" spans="1:11" ht="12.75">
      <c r="A88" s="52"/>
      <c r="B88" s="27"/>
      <c r="C88" s="27" t="s">
        <v>153</v>
      </c>
      <c r="D88" s="30"/>
      <c r="E88" s="28">
        <f>'[5]PL-CM'!$R$88</f>
        <v>171666</v>
      </c>
      <c r="F88" s="28">
        <f>'[5]PL-CM'!$S$88</f>
        <v>192972.62569832403</v>
      </c>
      <c r="G88" s="28">
        <f>'[5]PL-YTD'!$R$88</f>
        <v>1182460</v>
      </c>
      <c r="H88" s="28">
        <f>'[5]PL-YTD'!$S$88</f>
        <v>1242743.7094972066</v>
      </c>
      <c r="I88" s="28">
        <v>1044049</v>
      </c>
      <c r="J88" s="28">
        <v>1632935</v>
      </c>
      <c r="K88" s="28">
        <f>'[5]PL-YTD'!$AB$88</f>
        <v>806710.2905027932</v>
      </c>
    </row>
    <row r="89" spans="1:11" ht="12.75">
      <c r="A89" s="52"/>
      <c r="B89" s="27"/>
      <c r="C89" s="27" t="s">
        <v>154</v>
      </c>
      <c r="D89" s="30"/>
      <c r="E89" s="28">
        <f>'[5]PL-CM'!$R$89</f>
        <v>123476</v>
      </c>
      <c r="F89" s="28">
        <f>'[5]PL-CM'!$S$89</f>
        <v>136015.42521638735</v>
      </c>
      <c r="G89" s="28">
        <f>'[5]PL-YTD'!$R$89</f>
        <v>865200</v>
      </c>
      <c r="H89" s="28">
        <f>'[5]PL-YTD'!$S$89</f>
        <v>875939.3383935344</v>
      </c>
      <c r="I89" s="28">
        <v>816921</v>
      </c>
      <c r="J89" s="28">
        <v>813268</v>
      </c>
      <c r="K89" s="28">
        <f>'[5]PL-YTD'!$AB$89</f>
        <v>628038.3284304655</v>
      </c>
    </row>
    <row r="90" spans="1:11" ht="12.75">
      <c r="A90" s="52"/>
      <c r="B90" s="27"/>
      <c r="C90" s="27" t="s">
        <v>155</v>
      </c>
      <c r="D90" s="30"/>
      <c r="E90" s="28">
        <f>'[5]PL-CM'!$R$90</f>
        <v>15753</v>
      </c>
      <c r="F90" s="28">
        <f>'[5]PL-CM'!$S$90</f>
        <v>12463.035381750466</v>
      </c>
      <c r="G90" s="28">
        <f>'[5]PL-YTD'!$R$90</f>
        <v>108939</v>
      </c>
      <c r="H90" s="28">
        <f>'[5]PL-YTD'!$S$90</f>
        <v>80261.94785847301</v>
      </c>
      <c r="I90" s="28">
        <v>78142</v>
      </c>
      <c r="J90" s="28">
        <v>71303</v>
      </c>
      <c r="K90" s="28">
        <f>'[5]PL-YTD'!$AB$90</f>
        <v>60205.05214152699</v>
      </c>
    </row>
    <row r="91" spans="1:11" ht="12.75">
      <c r="A91" s="52"/>
      <c r="B91" s="27"/>
      <c r="C91" s="27" t="s">
        <v>156</v>
      </c>
      <c r="D91" s="30"/>
      <c r="E91" s="28">
        <f>'[5]PL-CM'!$R$91</f>
        <v>47589</v>
      </c>
      <c r="F91" s="28">
        <f>'[5]PL-CM'!$S$91</f>
        <v>43104.00372439479</v>
      </c>
      <c r="G91" s="28">
        <f>'[5]PL-YTD'!$R$91</f>
        <v>324688.32</v>
      </c>
      <c r="H91" s="28">
        <f>'[5]PL-YTD'!$S$91</f>
        <v>277589.78398510243</v>
      </c>
      <c r="I91" s="28">
        <v>276484</v>
      </c>
      <c r="J91" s="28">
        <v>280929</v>
      </c>
      <c r="K91" s="28">
        <f>'[5]PL-YTD'!$AB$91</f>
        <v>197194.21601489763</v>
      </c>
    </row>
    <row r="92" spans="1:11" ht="12.75">
      <c r="A92" s="52"/>
      <c r="B92" s="27"/>
      <c r="C92" s="27" t="s">
        <v>157</v>
      </c>
      <c r="D92" s="30"/>
      <c r="E92" s="28">
        <f>'[5]PL-CM'!$R$92</f>
        <v>6407</v>
      </c>
      <c r="F92" s="28">
        <f>'[5]PL-CM'!$S$92</f>
        <v>6965.36312849162</v>
      </c>
      <c r="G92" s="28">
        <f>'[5]PL-YTD'!$R$92</f>
        <v>49452</v>
      </c>
      <c r="H92" s="28">
        <f>'[5]PL-YTD'!$S$92</f>
        <v>44856.93854748603</v>
      </c>
      <c r="I92" s="28">
        <v>41535</v>
      </c>
      <c r="J92" s="28">
        <v>45664</v>
      </c>
      <c r="K92" s="28">
        <f>'[5]PL-YTD'!$AB$92</f>
        <v>18318.061452513975</v>
      </c>
    </row>
    <row r="93" spans="1:11" ht="12.75">
      <c r="A93" s="52"/>
      <c r="B93" s="27"/>
      <c r="C93" s="27" t="s">
        <v>158</v>
      </c>
      <c r="D93" s="43"/>
      <c r="E93" s="28">
        <f>'[5]PL-CM'!$R$93</f>
        <v>0</v>
      </c>
      <c r="F93" s="28">
        <f>'[5]PL-CM'!$S$93</f>
        <v>0</v>
      </c>
      <c r="G93" s="28">
        <f>'[5]PL-YTD'!$R$93</f>
        <v>0</v>
      </c>
      <c r="H93" s="28">
        <f>'[5]PL-YTD'!$S$93</f>
        <v>0</v>
      </c>
      <c r="I93" s="28">
        <v>0</v>
      </c>
      <c r="J93" s="28">
        <v>0</v>
      </c>
      <c r="K93" s="28">
        <f>'[5]PL-YTD'!$AB$93</f>
        <v>0</v>
      </c>
    </row>
    <row r="94" spans="1:11" ht="12.75">
      <c r="A94" s="52"/>
      <c r="B94" s="27"/>
      <c r="C94" s="27" t="s">
        <v>159</v>
      </c>
      <c r="D94" s="43"/>
      <c r="E94" s="28">
        <f>'[5]PL-CM'!$R$94</f>
        <v>16276</v>
      </c>
      <c r="F94" s="28">
        <f>'[5]PL-CM'!$S$94</f>
        <v>14709.77653631285</v>
      </c>
      <c r="G94" s="28">
        <f>'[5]PL-YTD'!$R$94</f>
        <v>131415</v>
      </c>
      <c r="H94" s="28">
        <f>'[5]PL-YTD'!$S$94</f>
        <v>94730.96089385475</v>
      </c>
      <c r="I94" s="28">
        <v>77574</v>
      </c>
      <c r="J94" s="28">
        <v>273694</v>
      </c>
      <c r="K94" s="28">
        <f>'[5]PL-YTD'!$AB$94</f>
        <v>239688.0391061452</v>
      </c>
    </row>
    <row r="95" spans="1:11" ht="12.75">
      <c r="A95" s="52"/>
      <c r="B95" s="27"/>
      <c r="C95" s="27" t="s">
        <v>160</v>
      </c>
      <c r="D95" s="43"/>
      <c r="E95" s="28">
        <f>'[5]PL-CM'!$R$95</f>
        <v>703</v>
      </c>
      <c r="F95" s="28">
        <f>'[5]PL-CM'!$S$95</f>
        <v>21083.426443202978</v>
      </c>
      <c r="G95" s="28">
        <f>'[5]PL-YTD'!$R$95</f>
        <v>21939</v>
      </c>
      <c r="H95" s="28">
        <f>'[5]PL-YTD'!$S$95</f>
        <v>135777.26629422719</v>
      </c>
      <c r="I95" s="28">
        <v>-11437</v>
      </c>
      <c r="J95" s="28">
        <v>-43750</v>
      </c>
      <c r="K95" s="28">
        <f>'[5]PL-YTD'!$AB$95</f>
        <v>-135777.26629422719</v>
      </c>
    </row>
    <row r="96" spans="1:11" ht="12.75">
      <c r="A96" s="52"/>
      <c r="B96" s="27"/>
      <c r="C96" s="29" t="s">
        <v>161</v>
      </c>
      <c r="D96" s="53"/>
      <c r="E96" s="28">
        <f>'[5]PL-CM'!$R$96</f>
        <v>10950</v>
      </c>
      <c r="F96" s="28">
        <f>'[5]PL-CM'!$S$96</f>
        <v>8.100558659217876</v>
      </c>
      <c r="G96" s="28">
        <f>'[5]PL-YTD'!$R$96</f>
        <v>59519</v>
      </c>
      <c r="H96" s="28">
        <f>'[5]PL-YTD'!$S$96</f>
        <v>52.167597765363126</v>
      </c>
      <c r="I96" s="28">
        <v>13970</v>
      </c>
      <c r="J96" s="28">
        <v>30722</v>
      </c>
      <c r="K96" s="28">
        <f>'[5]PL-YTD'!$AB$96</f>
        <v>32932.832402234635</v>
      </c>
    </row>
    <row r="97" spans="1:11" ht="12.75">
      <c r="A97" s="52"/>
      <c r="B97" s="27"/>
      <c r="C97" s="27" t="s">
        <v>162</v>
      </c>
      <c r="D97" s="43"/>
      <c r="E97" s="28">
        <f>'[5]PL-CM'!$R$97</f>
        <v>-6502</v>
      </c>
      <c r="F97" s="28">
        <f>'[5]PL-CM'!$S$97</f>
        <v>3063.1284916201116</v>
      </c>
      <c r="G97" s="28">
        <f>'[5]PL-YTD'!$R$97</f>
        <v>-70518</v>
      </c>
      <c r="H97" s="28">
        <f>'[5]PL-YTD'!$S$97</f>
        <v>19726.54748603352</v>
      </c>
      <c r="I97" s="28">
        <v>29348</v>
      </c>
      <c r="J97" s="28">
        <v>0</v>
      </c>
      <c r="K97" s="28">
        <f>'[5]PL-YTD'!$AB$97</f>
        <v>-19726.54748603352</v>
      </c>
    </row>
    <row r="98" spans="1:11" ht="12.75">
      <c r="A98" s="52"/>
      <c r="B98" s="27"/>
      <c r="C98" s="27" t="s">
        <v>163</v>
      </c>
      <c r="D98" s="43"/>
      <c r="E98" s="28">
        <f>'[5]PL-CM'!$R$98</f>
        <v>0</v>
      </c>
      <c r="F98" s="28">
        <f>'[5]PL-CM'!$S$98</f>
        <v>4655.493482309124</v>
      </c>
      <c r="G98" s="28">
        <f>'[5]PL-YTD'!$R$98</f>
        <v>0</v>
      </c>
      <c r="H98" s="28">
        <f>'[5]PL-YTD'!$S$98</f>
        <v>29981.378026070764</v>
      </c>
      <c r="I98" s="28">
        <v>0</v>
      </c>
      <c r="J98" s="28">
        <v>0</v>
      </c>
      <c r="K98" s="28">
        <f>'[5]PL-YTD'!$AB$98</f>
        <v>20018.621973929243</v>
      </c>
    </row>
    <row r="99" spans="1:11" ht="4.5" customHeight="1">
      <c r="A99" s="38"/>
      <c r="B99" s="24"/>
      <c r="C99" s="24"/>
      <c r="D99" s="24"/>
      <c r="E99" s="39"/>
      <c r="F99" s="39"/>
      <c r="G99" s="39"/>
      <c r="H99" s="39"/>
      <c r="I99" s="39"/>
      <c r="J99" s="39"/>
      <c r="K99" s="39"/>
    </row>
    <row r="100" spans="1:11" ht="12.75">
      <c r="A100" s="52"/>
      <c r="B100" s="26" t="s">
        <v>164</v>
      </c>
      <c r="C100" s="26"/>
      <c r="D100" s="27"/>
      <c r="E100" s="40">
        <f aca="true" t="shared" si="3" ref="E100:K100">SUM(E75:E98)</f>
        <v>1174772</v>
      </c>
      <c r="F100" s="40">
        <f t="shared" si="3"/>
        <v>1367175.968978026</v>
      </c>
      <c r="G100" s="40">
        <f t="shared" si="3"/>
        <v>8101627.32</v>
      </c>
      <c r="H100" s="40">
        <f t="shared" si="3"/>
        <v>8804613.240218487</v>
      </c>
      <c r="I100" s="40">
        <f t="shared" si="3"/>
        <v>7682703</v>
      </c>
      <c r="J100" s="40">
        <f t="shared" si="3"/>
        <v>8726738</v>
      </c>
      <c r="K100" s="40">
        <f t="shared" si="3"/>
        <v>5878856.666605512</v>
      </c>
    </row>
    <row r="101" spans="1:11" ht="4.5" customHeight="1">
      <c r="A101" s="38"/>
      <c r="B101" s="24"/>
      <c r="C101" s="24"/>
      <c r="D101" s="24"/>
      <c r="E101" s="39"/>
      <c r="F101" s="39"/>
      <c r="G101" s="39"/>
      <c r="H101" s="39"/>
      <c r="I101" s="39"/>
      <c r="J101" s="39"/>
      <c r="K101" s="39"/>
    </row>
    <row r="102" spans="1:11" ht="12.75">
      <c r="A102" s="23" t="s">
        <v>165</v>
      </c>
      <c r="B102" s="26"/>
      <c r="C102" s="26"/>
      <c r="D102" s="27"/>
      <c r="E102" s="28">
        <f>E100+E71</f>
        <v>1284950</v>
      </c>
      <c r="F102" s="28">
        <f>F100+F71</f>
        <v>1559542.7175813778</v>
      </c>
      <c r="G102" s="28">
        <f>G100+G71</f>
        <v>8947760.32</v>
      </c>
      <c r="H102" s="28">
        <f>H100+H71</f>
        <v>10043455.101224072</v>
      </c>
      <c r="I102" s="28">
        <f>I100+I71</f>
        <v>8513117</v>
      </c>
      <c r="J102" s="28">
        <f>J100+J71+1</f>
        <v>10021096</v>
      </c>
      <c r="K102" s="28">
        <f>K100+K71</f>
        <v>6706033.685599925</v>
      </c>
    </row>
    <row r="103" spans="1:11" ht="4.5" customHeight="1">
      <c r="A103" s="38"/>
      <c r="B103" s="24"/>
      <c r="C103" s="24"/>
      <c r="D103" s="24"/>
      <c r="E103" s="39"/>
      <c r="F103" s="39"/>
      <c r="G103" s="39"/>
      <c r="H103" s="39"/>
      <c r="I103" s="39"/>
      <c r="J103" s="39"/>
      <c r="K103" s="39"/>
    </row>
    <row r="104" spans="1:11" ht="12.75">
      <c r="A104" s="23" t="s">
        <v>166</v>
      </c>
      <c r="B104" s="24"/>
      <c r="C104" s="24"/>
      <c r="D104" s="24"/>
      <c r="E104" s="39">
        <f>+E37+E51+E71+E100</f>
        <v>5026978</v>
      </c>
      <c r="F104" s="39">
        <f>+F37+F51+F71+F100</f>
        <v>5907584.672928398</v>
      </c>
      <c r="G104" s="39">
        <f>+G37+G51+G71+G100</f>
        <v>34140582.55</v>
      </c>
      <c r="H104" s="39">
        <f>+H37+H51+H71+H100</f>
        <v>38044845.293658875</v>
      </c>
      <c r="I104" s="39">
        <f>+I37+I51+I71+I100</f>
        <v>31940032</v>
      </c>
      <c r="J104" s="39">
        <f>+J37+J51+J71+J100+1</f>
        <v>33684498</v>
      </c>
      <c r="K104" s="39">
        <f>+K37+K51+K71+K100</f>
        <v>25402614.093592107</v>
      </c>
    </row>
    <row r="105" spans="1:11" ht="4.5" customHeight="1">
      <c r="A105" s="38"/>
      <c r="B105" s="24"/>
      <c r="C105" s="24"/>
      <c r="D105" s="24"/>
      <c r="E105" s="39"/>
      <c r="F105" s="39"/>
      <c r="G105" s="39"/>
      <c r="H105" s="39"/>
      <c r="I105" s="39"/>
      <c r="J105" s="39"/>
      <c r="K105" s="39"/>
    </row>
    <row r="106" spans="1:11" ht="12.75">
      <c r="A106" s="23" t="s">
        <v>167</v>
      </c>
      <c r="B106" s="26"/>
      <c r="C106" s="26"/>
      <c r="D106" s="27"/>
      <c r="E106" s="28">
        <f aca="true" t="shared" si="4" ref="E106:K106">E21-E104</f>
        <v>889138</v>
      </c>
      <c r="F106" s="28">
        <f t="shared" si="4"/>
        <v>1075860.6073509315</v>
      </c>
      <c r="G106" s="28">
        <f t="shared" si="4"/>
        <v>5126022.450000003</v>
      </c>
      <c r="H106" s="28">
        <f t="shared" si="4"/>
        <v>6928542.311340004</v>
      </c>
      <c r="I106" s="28">
        <f>I21-I104</f>
        <v>4858814</v>
      </c>
      <c r="J106" s="28">
        <f>J21-J104+1</f>
        <v>7107359</v>
      </c>
      <c r="K106" s="28">
        <f t="shared" si="4"/>
        <v>4626200.611609016</v>
      </c>
    </row>
    <row r="107" spans="1:11" ht="12.75">
      <c r="A107" s="54"/>
      <c r="B107" s="27"/>
      <c r="C107" s="27" t="s">
        <v>168</v>
      </c>
      <c r="D107" s="27"/>
      <c r="E107" s="28">
        <f>'[5]PL-CM'!$R$107</f>
        <v>36756</v>
      </c>
      <c r="F107" s="28">
        <f>'[5]PL-CM'!$S$107</f>
        <v>33532.8677839851</v>
      </c>
      <c r="G107" s="28">
        <f>'[5]PL-YTD'!$R$107</f>
        <v>246377</v>
      </c>
      <c r="H107" s="28">
        <f>'[5]PL-YTD'!$S$107</f>
        <v>215951.66852886407</v>
      </c>
      <c r="I107" s="28">
        <v>279259</v>
      </c>
      <c r="J107" s="28">
        <v>257358</v>
      </c>
      <c r="K107" s="28">
        <f>'[5]PL-YTD'!$AB$107</f>
        <v>144190.85661080075</v>
      </c>
    </row>
    <row r="108" spans="1:11" ht="4.5" customHeight="1">
      <c r="A108" s="38"/>
      <c r="B108" s="24"/>
      <c r="C108" s="24"/>
      <c r="D108" s="24"/>
      <c r="E108" s="39"/>
      <c r="F108" s="39"/>
      <c r="G108" s="39"/>
      <c r="H108" s="39"/>
      <c r="I108" s="39"/>
      <c r="J108" s="39"/>
      <c r="K108" s="39"/>
    </row>
    <row r="109" spans="1:11" ht="13.5" thickBot="1">
      <c r="A109" s="23" t="s">
        <v>169</v>
      </c>
      <c r="B109" s="26"/>
      <c r="C109" s="26"/>
      <c r="D109" s="27"/>
      <c r="E109" s="55">
        <f aca="true" t="shared" si="5" ref="E109:J109">E106+E107</f>
        <v>925894</v>
      </c>
      <c r="F109" s="55">
        <f t="shared" si="5"/>
        <v>1109393.4751349166</v>
      </c>
      <c r="G109" s="55">
        <f t="shared" si="5"/>
        <v>5372399.450000003</v>
      </c>
      <c r="H109" s="56">
        <f t="shared" si="5"/>
        <v>7144493.979868868</v>
      </c>
      <c r="I109" s="56">
        <f t="shared" si="5"/>
        <v>5138073</v>
      </c>
      <c r="J109" s="56">
        <f t="shared" si="5"/>
        <v>7364717</v>
      </c>
      <c r="K109" s="56">
        <f>K106+K107</f>
        <v>4770391.468219817</v>
      </c>
    </row>
    <row r="110" spans="1:11" ht="4.5" customHeight="1" thickTop="1">
      <c r="A110" s="52"/>
      <c r="B110" s="30"/>
      <c r="C110" s="30"/>
      <c r="D110" s="30"/>
      <c r="E110" s="57"/>
      <c r="F110" s="57"/>
      <c r="G110" s="57"/>
      <c r="H110" s="57"/>
      <c r="I110" s="57"/>
      <c r="J110" s="57"/>
      <c r="K110" s="57"/>
    </row>
    <row r="111" spans="1:11" ht="12.75">
      <c r="A111" s="52"/>
      <c r="C111" s="27" t="s">
        <v>11</v>
      </c>
      <c r="E111" s="28">
        <f>'[5]PL-CM'!$R$111</f>
        <v>211121</v>
      </c>
      <c r="F111" s="28">
        <f>'[5]PL-CM'!$S$111</f>
        <v>0</v>
      </c>
      <c r="G111" s="28">
        <f>'[5]PL-YTD'!$R$111</f>
        <v>1333294</v>
      </c>
      <c r="H111" s="28">
        <f>'[5]PL-YTD'!$S$111</f>
        <v>0</v>
      </c>
      <c r="I111" s="58">
        <v>1722155</v>
      </c>
      <c r="J111" s="28">
        <v>2047266</v>
      </c>
      <c r="K111" s="28">
        <f>'[5]PL-YTD'!$AB$111</f>
        <v>0</v>
      </c>
    </row>
    <row r="112" spans="1:11" ht="4.5" customHeight="1">
      <c r="A112" s="52"/>
      <c r="E112" s="59"/>
      <c r="F112" s="60"/>
      <c r="G112" s="60"/>
      <c r="H112" s="60"/>
      <c r="I112" s="60"/>
      <c r="J112" s="60"/>
      <c r="K112" s="60"/>
    </row>
    <row r="113" spans="1:11" ht="13.5" thickBot="1">
      <c r="A113" s="23" t="s">
        <v>170</v>
      </c>
      <c r="E113" s="55">
        <f aca="true" t="shared" si="6" ref="E113:J113">E109-E111</f>
        <v>714773</v>
      </c>
      <c r="F113" s="55">
        <f t="shared" si="6"/>
        <v>1109393.4751349166</v>
      </c>
      <c r="G113" s="55">
        <f t="shared" si="6"/>
        <v>4039105.450000003</v>
      </c>
      <c r="H113" s="56">
        <f t="shared" si="6"/>
        <v>7144493.979868868</v>
      </c>
      <c r="I113" s="55">
        <f t="shared" si="6"/>
        <v>3415918</v>
      </c>
      <c r="J113" s="56">
        <f t="shared" si="6"/>
        <v>5317451</v>
      </c>
      <c r="K113" s="56">
        <f>K109-K111</f>
        <v>4770391.468219817</v>
      </c>
    </row>
    <row r="114" spans="1:11" ht="4.5" customHeight="1" thickTop="1">
      <c r="A114" s="23"/>
      <c r="E114" s="61"/>
      <c r="F114" s="61"/>
      <c r="G114" s="61"/>
      <c r="H114" s="61"/>
      <c r="I114" s="62"/>
      <c r="J114" s="63"/>
      <c r="K114" s="61"/>
    </row>
    <row r="115" spans="1:11" ht="12.75">
      <c r="A115" s="52"/>
      <c r="C115" s="27" t="s">
        <v>171</v>
      </c>
      <c r="E115" s="28">
        <f>'[5]PL-CM'!$R$115</f>
        <v>0</v>
      </c>
      <c r="F115" s="28">
        <f>'[5]PL-CM'!$S$115</f>
        <v>0</v>
      </c>
      <c r="G115" s="28">
        <f>'[5]PL-YTD'!$R$115</f>
        <v>0</v>
      </c>
      <c r="H115" s="28">
        <f>'[5]PL-YTD'!$S$115</f>
        <v>0</v>
      </c>
      <c r="I115" s="64">
        <v>1914879</v>
      </c>
      <c r="J115" s="65">
        <v>0</v>
      </c>
      <c r="K115" s="28">
        <f>'[5]PL-YTD'!$AB$115</f>
        <v>0</v>
      </c>
    </row>
    <row r="116" spans="1:11" ht="4.5" customHeight="1">
      <c r="A116" s="52"/>
      <c r="E116" s="59"/>
      <c r="F116" s="60"/>
      <c r="G116" s="60"/>
      <c r="H116" s="60"/>
      <c r="I116" s="66"/>
      <c r="J116" s="67"/>
      <c r="K116" s="60"/>
    </row>
    <row r="117" spans="1:11" ht="13.5" thickBot="1">
      <c r="A117" s="68" t="s">
        <v>172</v>
      </c>
      <c r="E117" s="55">
        <f aca="true" t="shared" si="7" ref="E117:J117">E113-E115</f>
        <v>714773</v>
      </c>
      <c r="F117" s="55">
        <f t="shared" si="7"/>
        <v>1109393.4751349166</v>
      </c>
      <c r="G117" s="55">
        <f t="shared" si="7"/>
        <v>4039105.450000003</v>
      </c>
      <c r="H117" s="56">
        <f t="shared" si="7"/>
        <v>7144493.979868868</v>
      </c>
      <c r="I117" s="56">
        <f t="shared" si="7"/>
        <v>1501039</v>
      </c>
      <c r="J117" s="56">
        <f t="shared" si="7"/>
        <v>5317451</v>
      </c>
      <c r="K117" s="56">
        <f>K113-K115</f>
        <v>4770391.468219817</v>
      </c>
    </row>
    <row r="118" spans="1:11" ht="4.5" customHeight="1" thickTop="1">
      <c r="A118" s="69"/>
      <c r="B118" s="17"/>
      <c r="C118" s="17"/>
      <c r="D118" s="17"/>
      <c r="E118" s="17"/>
      <c r="F118" s="17"/>
      <c r="G118" s="17"/>
      <c r="H118" s="70"/>
      <c r="I118" s="70"/>
      <c r="J118" s="71"/>
      <c r="K118" s="72"/>
    </row>
    <row r="119" spans="9:12" ht="12.75">
      <c r="I119" s="350" t="s">
        <v>173</v>
      </c>
      <c r="J119" s="350"/>
      <c r="K119" s="41"/>
      <c r="L119" s="41"/>
    </row>
    <row r="120" spans="5:11" ht="12.75">
      <c r="E120" s="41">
        <f>E117-'[5]PL-CM'!R117</f>
        <v>0</v>
      </c>
      <c r="F120" s="41">
        <f>F117-'[5]PL-CM'!S117</f>
        <v>0</v>
      </c>
      <c r="G120" s="41">
        <f>G117-'[5]PL-YTD'!R117</f>
        <v>0</v>
      </c>
      <c r="H120" s="41">
        <f>H117-'[5]PL-YTD'!S117</f>
        <v>0</v>
      </c>
      <c r="I120" s="41"/>
      <c r="J120" s="41"/>
      <c r="K120" s="41"/>
    </row>
    <row r="152" ht="12.75">
      <c r="I152" s="3" t="s">
        <v>85</v>
      </c>
    </row>
  </sheetData>
  <mergeCells count="8">
    <mergeCell ref="I119:J119"/>
    <mergeCell ref="G7:H7"/>
    <mergeCell ref="I7:J7"/>
    <mergeCell ref="A1:K1"/>
    <mergeCell ref="A2:K2"/>
    <mergeCell ref="A3:K3"/>
    <mergeCell ref="G5:H5"/>
    <mergeCell ref="I5:J5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2"/>
  <sheetViews>
    <sheetView workbookViewId="0" topLeftCell="H108">
      <selection activeCell="K123" sqref="K123"/>
    </sheetView>
  </sheetViews>
  <sheetFormatPr defaultColWidth="9.140625" defaultRowHeight="12.75" outlineLevelRow="1"/>
  <cols>
    <col min="1" max="1" width="1.7109375" style="3" customWidth="1"/>
    <col min="2" max="2" width="2.7109375" style="3" customWidth="1"/>
    <col min="3" max="3" width="1.7109375" style="3" customWidth="1"/>
    <col min="4" max="4" width="40.7109375" style="3" customWidth="1"/>
    <col min="5" max="8" width="10.7109375" style="3" customWidth="1"/>
    <col min="9" max="9" width="11.57421875" style="3" customWidth="1"/>
    <col min="10" max="10" width="10.7109375" style="3" customWidth="1"/>
    <col min="11" max="11" width="15.421875" style="3" customWidth="1"/>
    <col min="12" max="12" width="11.28125" style="3" bestFit="1" customWidth="1"/>
    <col min="13" max="16384" width="9.140625" style="3" customWidth="1"/>
  </cols>
  <sheetData>
    <row r="1" spans="1:11" ht="12.75">
      <c r="A1" s="353" t="s">
        <v>82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</row>
    <row r="2" spans="1:11" ht="12.75">
      <c r="A2" s="353" t="s">
        <v>84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</row>
    <row r="3" spans="1:11" ht="12.75">
      <c r="A3" s="353" t="str">
        <f>'[6]PL-YTD'!A3</f>
        <v>FOR THE MONTH OF 30 NOVEMBER 2002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</row>
    <row r="4" spans="1:4" ht="12.75">
      <c r="A4" s="4" t="s">
        <v>85</v>
      </c>
      <c r="B4" s="2"/>
      <c r="C4" s="2"/>
      <c r="D4" s="5"/>
    </row>
    <row r="5" spans="1:11" ht="12.75">
      <c r="A5" s="6"/>
      <c r="B5" s="7"/>
      <c r="C5" s="7"/>
      <c r="D5" s="7"/>
      <c r="E5" s="8" t="s">
        <v>86</v>
      </c>
      <c r="F5" s="9"/>
      <c r="G5" s="354" t="s">
        <v>86</v>
      </c>
      <c r="H5" s="355"/>
      <c r="I5" s="354" t="s">
        <v>86</v>
      </c>
      <c r="J5" s="355"/>
      <c r="K5" s="10" t="s">
        <v>86</v>
      </c>
    </row>
    <row r="6" spans="1:11" ht="12.75">
      <c r="A6" s="11" t="s">
        <v>87</v>
      </c>
      <c r="B6" s="12"/>
      <c r="C6" s="12"/>
      <c r="D6" s="12"/>
      <c r="E6" s="13" t="s">
        <v>2</v>
      </c>
      <c r="F6" s="14" t="s">
        <v>88</v>
      </c>
      <c r="G6" s="15" t="s">
        <v>2</v>
      </c>
      <c r="H6" s="14" t="s">
        <v>88</v>
      </c>
      <c r="I6" s="15" t="s">
        <v>2</v>
      </c>
      <c r="J6" s="14" t="s">
        <v>88</v>
      </c>
      <c r="K6" s="15" t="s">
        <v>89</v>
      </c>
    </row>
    <row r="7" spans="1:11" ht="12.75">
      <c r="A7" s="16"/>
      <c r="B7" s="17"/>
      <c r="C7" s="17"/>
      <c r="D7" s="17"/>
      <c r="E7" s="18" t="s">
        <v>2</v>
      </c>
      <c r="F7" s="9"/>
      <c r="G7" s="351" t="s">
        <v>90</v>
      </c>
      <c r="H7" s="352"/>
      <c r="I7" s="351" t="s">
        <v>91</v>
      </c>
      <c r="J7" s="352"/>
      <c r="K7" s="19" t="s">
        <v>90</v>
      </c>
    </row>
    <row r="8" spans="1:11" ht="4.5" customHeight="1">
      <c r="A8" s="20"/>
      <c r="B8" s="21"/>
      <c r="C8" s="21"/>
      <c r="D8" s="21"/>
      <c r="E8" s="22"/>
      <c r="F8" s="22"/>
      <c r="G8" s="22"/>
      <c r="H8" s="22"/>
      <c r="I8" s="22"/>
      <c r="J8" s="22"/>
      <c r="K8" s="22"/>
    </row>
    <row r="9" spans="1:11" ht="12.75">
      <c r="A9" s="23" t="s">
        <v>92</v>
      </c>
      <c r="B9" s="24"/>
      <c r="C9" s="24"/>
      <c r="D9" s="24"/>
      <c r="E9" s="25"/>
      <c r="F9" s="25"/>
      <c r="G9" s="25"/>
      <c r="H9" s="25"/>
      <c r="I9" s="25"/>
      <c r="J9" s="25"/>
      <c r="K9" s="25"/>
    </row>
    <row r="10" spans="1:11" ht="12.75">
      <c r="A10" s="23"/>
      <c r="B10" s="26"/>
      <c r="C10" s="27" t="s">
        <v>93</v>
      </c>
      <c r="E10" s="28">
        <f>'[6]PL-CM'!$R$10</f>
        <v>5092129</v>
      </c>
      <c r="F10" s="28">
        <f>'[6]PL-CM'!$S$10</f>
        <v>5511553.815775047</v>
      </c>
      <c r="G10" s="28">
        <f>'[6]PL-YTD'!$R$10</f>
        <v>41999271</v>
      </c>
      <c r="H10" s="28">
        <f>'[6]PL-YTD'!$S$10</f>
        <v>45846106.74031062</v>
      </c>
      <c r="I10" s="28">
        <v>40171652</v>
      </c>
      <c r="J10" s="28">
        <v>44303900</v>
      </c>
      <c r="K10" s="28">
        <f>'[6]PL-YTD'!AB10</f>
        <v>27008911.819489382</v>
      </c>
    </row>
    <row r="11" spans="1:11" ht="12.75">
      <c r="A11" s="23"/>
      <c r="B11" s="26"/>
      <c r="C11" s="29" t="s">
        <v>94</v>
      </c>
      <c r="D11" s="30"/>
      <c r="E11" s="28">
        <f>+'[6]PL-CM'!R11</f>
        <v>198417</v>
      </c>
      <c r="F11" s="28">
        <f>+'[6]PL-CM'!S11</f>
        <v>258416.4245810056</v>
      </c>
      <c r="G11" s="28">
        <f>'[6]PL-YTD'!$R$11</f>
        <v>1605056</v>
      </c>
      <c r="H11" s="28">
        <f>'[6]PL-YTD'!$S$11</f>
        <v>2149554.804469274</v>
      </c>
      <c r="I11" s="28">
        <v>512165</v>
      </c>
      <c r="J11" s="28">
        <v>0</v>
      </c>
      <c r="K11" s="28">
        <f>'[6]PL-YTD'!AB11</f>
        <v>-2149554.804469274</v>
      </c>
    </row>
    <row r="12" spans="1:11" ht="12.75" outlineLevel="1">
      <c r="A12" s="23"/>
      <c r="B12" s="26"/>
      <c r="C12" s="29" t="s">
        <v>95</v>
      </c>
      <c r="D12" s="30"/>
      <c r="E12" s="28">
        <f>+'[6]PL-CM'!R12</f>
        <v>52005</v>
      </c>
      <c r="F12" s="28">
        <f>+'[6]PL-CM'!S12</f>
        <v>191547.34759329606</v>
      </c>
      <c r="G12" s="28">
        <f>'[6]PL-YTD'!$R$12</f>
        <v>326947</v>
      </c>
      <c r="H12" s="28">
        <f>'[6]PL-YTD'!$S$12</f>
        <v>1593325.6640715082</v>
      </c>
      <c r="I12" s="28">
        <v>452712</v>
      </c>
      <c r="J12" s="28">
        <v>518824</v>
      </c>
      <c r="K12" s="28">
        <f>'[6]PL-YTD'!AB12</f>
        <v>-1593325.6640715082</v>
      </c>
    </row>
    <row r="13" spans="1:14" ht="12.75" customHeight="1" hidden="1" outlineLevel="1">
      <c r="A13" s="23"/>
      <c r="B13" s="26"/>
      <c r="C13" s="29" t="s">
        <v>96</v>
      </c>
      <c r="D13" s="30"/>
      <c r="E13" s="28">
        <f>+'[6]PL-CM'!R13</f>
        <v>859479</v>
      </c>
      <c r="F13" s="28">
        <f>+'[6]PL-CM'!S13</f>
        <v>159776.53631284917</v>
      </c>
      <c r="G13" s="28">
        <f>'[6]PL-YTD'!$R$13</f>
        <v>251577</v>
      </c>
      <c r="H13" s="28">
        <f>'[6]PL-YTD'!$S$13</f>
        <v>0</v>
      </c>
      <c r="I13" s="28">
        <v>-28020</v>
      </c>
      <c r="J13" s="28">
        <v>-24271</v>
      </c>
      <c r="K13" s="28">
        <f>'[6]PL-YTD'!AB13</f>
        <v>0</v>
      </c>
      <c r="M13" s="31" t="s">
        <v>97</v>
      </c>
      <c r="N13" s="31"/>
    </row>
    <row r="14" spans="1:11" ht="12.75" outlineLevel="1">
      <c r="A14" s="23"/>
      <c r="B14" s="26"/>
      <c r="C14" s="29" t="s">
        <v>98</v>
      </c>
      <c r="D14" s="30"/>
      <c r="E14" s="28">
        <f>+'[6]PL-CM'!R14</f>
        <v>27832</v>
      </c>
      <c r="F14" s="28">
        <f>+'[6]PL-CM'!S14</f>
        <v>79024.1581378026</v>
      </c>
      <c r="G14" s="28">
        <f>'[6]PL-YTD'!$R$14</f>
        <v>380317</v>
      </c>
      <c r="H14" s="28">
        <f>'[6]PL-YTD'!$S$14</f>
        <v>657337.3154189944</v>
      </c>
      <c r="I14" s="28">
        <v>323309</v>
      </c>
      <c r="J14" s="28">
        <v>0</v>
      </c>
      <c r="K14" s="28">
        <f>'[6]PL-YTD'!AB14</f>
        <v>-657337.3154189944</v>
      </c>
    </row>
    <row r="15" spans="1:11" ht="12.75" outlineLevel="1">
      <c r="A15" s="23"/>
      <c r="B15" s="26"/>
      <c r="C15" s="29" t="s">
        <v>99</v>
      </c>
      <c r="D15" s="30"/>
      <c r="E15" s="28">
        <f>+'[6]PL-CM'!R15</f>
        <v>38759</v>
      </c>
      <c r="F15" s="28">
        <f>+'[6]PL-CM'!S15</f>
        <v>98324.02234636871</v>
      </c>
      <c r="G15" s="28">
        <f>'[6]PL-YTD'!$R$15</f>
        <v>394458</v>
      </c>
      <c r="H15" s="28">
        <f>'[6]PL-YTD'!$S$15</f>
        <v>817877.094972067</v>
      </c>
      <c r="I15" s="28">
        <v>615545</v>
      </c>
      <c r="J15" s="28">
        <v>2013000</v>
      </c>
      <c r="K15" s="28">
        <f>'[6]PL-YTD'!AB15</f>
        <v>382122.9050279325</v>
      </c>
    </row>
    <row r="16" spans="1:11" s="36" customFormat="1" ht="12.75" hidden="1">
      <c r="A16" s="32"/>
      <c r="B16" s="33"/>
      <c r="C16" s="33" t="s">
        <v>100</v>
      </c>
      <c r="D16" s="34"/>
      <c r="E16" s="35">
        <f>+'[6]PL-CM'!R16</f>
        <v>-689889</v>
      </c>
      <c r="F16" s="35">
        <f>+'[6]PL-CM'!S16</f>
        <v>28677.83985102421</v>
      </c>
      <c r="G16" s="35">
        <f>'[6]PL-YTD'!$R$11</f>
        <v>1605056</v>
      </c>
      <c r="H16" s="35">
        <f>'[6]PL-YTD'!$S$11</f>
        <v>2149554.804469274</v>
      </c>
      <c r="I16" s="35">
        <v>512165</v>
      </c>
      <c r="J16" s="35"/>
      <c r="K16" s="28">
        <f>'[6]PL-YTD'!AB16</f>
        <v>261452.51396648044</v>
      </c>
    </row>
    <row r="17" spans="1:11" s="36" customFormat="1" ht="12.75" hidden="1">
      <c r="A17" s="32"/>
      <c r="B17" s="33"/>
      <c r="C17" s="33" t="s">
        <v>101</v>
      </c>
      <c r="D17" s="34"/>
      <c r="E17" s="35">
        <f>+'[6]PL-CM'!R17</f>
        <v>-90399</v>
      </c>
      <c r="F17" s="35">
        <f>+'[6]PL-CM'!S17</f>
        <v>-90130.35381750466</v>
      </c>
      <c r="G17" s="35">
        <f>'[6]PL-YTD'!$R$11</f>
        <v>1605056</v>
      </c>
      <c r="H17" s="35">
        <f>'[6]PL-YTD'!$S$11</f>
        <v>2149554.804469274</v>
      </c>
      <c r="I17" s="35">
        <v>512165</v>
      </c>
      <c r="J17" s="35"/>
      <c r="K17" s="28">
        <f>'[6]PL-YTD'!AB17</f>
        <v>1449720.6703910609</v>
      </c>
    </row>
    <row r="18" spans="1:11" ht="12" customHeight="1">
      <c r="A18" s="37"/>
      <c r="B18" s="27"/>
      <c r="C18" s="27" t="s">
        <v>102</v>
      </c>
      <c r="D18" s="30"/>
      <c r="E18" s="28">
        <f>+'[6]PL-CM'!R18</f>
        <v>2804</v>
      </c>
      <c r="F18" s="28">
        <f>+'[6]PL-CM'!S18</f>
        <v>6566.078212290503</v>
      </c>
      <c r="G18" s="28">
        <f>'[6]PL-YTD'!$R$18</f>
        <v>30640</v>
      </c>
      <c r="H18" s="28">
        <f>'[6]PL-YTD'!$S$18</f>
        <v>54617.83240223463</v>
      </c>
      <c r="I18" s="28">
        <v>13424</v>
      </c>
      <c r="J18" s="28">
        <v>40645</v>
      </c>
      <c r="K18" s="28">
        <f>'[6]PL-YTD'!AB18</f>
        <v>989972.0975977654</v>
      </c>
    </row>
    <row r="19" spans="1:11" ht="12.75">
      <c r="A19" s="37"/>
      <c r="B19" s="27"/>
      <c r="C19" s="27" t="s">
        <v>103</v>
      </c>
      <c r="D19" s="30"/>
      <c r="E19" s="28">
        <f>+'[6]PL-CM'!R19</f>
        <v>-37143</v>
      </c>
      <c r="F19" s="28">
        <f>+'[6]PL-CM'!S19</f>
        <v>0</v>
      </c>
      <c r="G19" s="28">
        <f>'[6]PL-YTD'!$R$19</f>
        <v>-96305</v>
      </c>
      <c r="H19" s="28">
        <f>'[6]PL-YTD'!$S$19</f>
        <v>0</v>
      </c>
      <c r="I19" s="28">
        <v>-30374</v>
      </c>
      <c r="J19" s="28">
        <v>0</v>
      </c>
      <c r="K19" s="28">
        <f>'[6]PL-YTD'!AB19</f>
        <v>-97406.17959999999</v>
      </c>
    </row>
    <row r="20" spans="1:11" ht="4.5" customHeight="1">
      <c r="A20" s="38"/>
      <c r="B20" s="24"/>
      <c r="C20" s="24"/>
      <c r="D20" s="24"/>
      <c r="E20" s="39"/>
      <c r="F20" s="39"/>
      <c r="G20" s="39"/>
      <c r="H20" s="39"/>
      <c r="I20" s="39"/>
      <c r="J20" s="39"/>
      <c r="K20" s="39"/>
    </row>
    <row r="21" spans="1:12" ht="12.75">
      <c r="A21" s="23" t="s">
        <v>104</v>
      </c>
      <c r="B21" s="26"/>
      <c r="C21" s="26"/>
      <c r="D21" s="27"/>
      <c r="E21" s="40">
        <f>+E10+E11+E12+E14+E15+E18+E19</f>
        <v>5374803</v>
      </c>
      <c r="F21" s="40">
        <f>+F10+F11+F12+F14+F15+F18+F19</f>
        <v>6145431.846645811</v>
      </c>
      <c r="G21" s="40">
        <f>+G10+G11+G12+G14+G15+G18+G19</f>
        <v>44640384</v>
      </c>
      <c r="H21" s="40">
        <f>+H10+H11+H12+H14+H15+H18+H19</f>
        <v>51118819.4516447</v>
      </c>
      <c r="I21" s="40">
        <f>SUM(I10:I19)-I16-I17-I13</f>
        <v>42058433</v>
      </c>
      <c r="J21" s="40">
        <f>SUM(J10:J19)-J13</f>
        <v>46876369</v>
      </c>
      <c r="K21" s="40">
        <f>+K10+K11+K12+K14+K15+K18+K19</f>
        <v>23883382.858555306</v>
      </c>
      <c r="L21" s="41"/>
    </row>
    <row r="22" spans="1:11" ht="4.5" customHeight="1">
      <c r="A22" s="20"/>
      <c r="B22" s="21"/>
      <c r="C22" s="21"/>
      <c r="D22" s="24"/>
      <c r="E22" s="39"/>
      <c r="F22" s="39"/>
      <c r="G22" s="39"/>
      <c r="H22" s="39"/>
      <c r="I22" s="39"/>
      <c r="J22" s="39"/>
      <c r="K22" s="39"/>
    </row>
    <row r="23" spans="1:11" ht="12.75">
      <c r="A23" s="23" t="s">
        <v>105</v>
      </c>
      <c r="B23" s="26"/>
      <c r="C23" s="26"/>
      <c r="D23" s="27"/>
      <c r="E23" s="42"/>
      <c r="F23" s="42"/>
      <c r="G23" s="42"/>
      <c r="H23" s="42"/>
      <c r="I23" s="42"/>
      <c r="J23" s="42"/>
      <c r="K23" s="42"/>
    </row>
    <row r="24" spans="1:11" ht="12.75">
      <c r="A24" s="23"/>
      <c r="B24" s="26" t="s">
        <v>106</v>
      </c>
      <c r="C24" s="26"/>
      <c r="D24" s="27"/>
      <c r="E24" s="42"/>
      <c r="F24" s="42"/>
      <c r="G24" s="42"/>
      <c r="H24" s="42"/>
      <c r="I24" s="42"/>
      <c r="J24" s="42"/>
      <c r="K24" s="42"/>
    </row>
    <row r="25" spans="1:11" ht="12.75">
      <c r="A25" s="37" t="s">
        <v>85</v>
      </c>
      <c r="B25" s="43"/>
      <c r="C25" s="27" t="s">
        <v>107</v>
      </c>
      <c r="D25" s="27"/>
      <c r="E25" s="28">
        <f>'[6]PL-CM'!$R$25</f>
        <v>364930</v>
      </c>
      <c r="F25" s="28">
        <f>'[6]PL-CM'!$S$25</f>
        <v>348893.5743358406</v>
      </c>
      <c r="G25" s="28">
        <f>'[6]PL-YTD'!$R$25</f>
        <v>2981245</v>
      </c>
      <c r="H25" s="28">
        <f>'[6]PL-YTD'!$S$25</f>
        <v>2902160.186520856</v>
      </c>
      <c r="I25" s="28">
        <v>2232749</v>
      </c>
      <c r="J25" s="28">
        <v>3674258</v>
      </c>
      <c r="K25" s="28">
        <f>'[6]PL-YTD'!AB25</f>
        <v>1355927.3002597447</v>
      </c>
    </row>
    <row r="26" spans="1:11" ht="12.75">
      <c r="A26" s="37" t="s">
        <v>85</v>
      </c>
      <c r="B26" s="43"/>
      <c r="C26" s="27" t="s">
        <v>108</v>
      </c>
      <c r="D26" s="27"/>
      <c r="E26" s="28">
        <f>'[6]PL-CM'!$R$26</f>
        <v>277439</v>
      </c>
      <c r="F26" s="28">
        <f>'[6]PL-CM'!$S$26</f>
        <v>958256.8209956797</v>
      </c>
      <c r="G26" s="28">
        <f>'[6]PL-YTD'!$R$26</f>
        <v>5472549.23</v>
      </c>
      <c r="H26" s="28">
        <f>'[6]PL-YTD'!$S$26</f>
        <v>7970954.465554972</v>
      </c>
      <c r="I26" s="28">
        <v>6537955</v>
      </c>
      <c r="J26" s="28">
        <v>4907675</v>
      </c>
      <c r="K26" s="28">
        <f>'[6]PL-YTD'!AB26</f>
        <v>3831832.9634150276</v>
      </c>
    </row>
    <row r="27" spans="1:11" ht="12.75">
      <c r="A27" s="37"/>
      <c r="B27" s="43"/>
      <c r="C27" s="44" t="s">
        <v>109</v>
      </c>
      <c r="D27" s="27"/>
      <c r="E27" s="28">
        <f>'[6]PL-CM'!$R$27</f>
        <v>532890</v>
      </c>
      <c r="F27" s="28">
        <f>'[6]PL-CM'!$S$27</f>
        <v>0</v>
      </c>
      <c r="G27" s="28">
        <f>'[6]PL-YTD'!$R$27</f>
        <v>1482996</v>
      </c>
      <c r="H27" s="28">
        <f>'[6]PL-YTD'!$S$27</f>
        <v>0</v>
      </c>
      <c r="I27" s="28">
        <v>0</v>
      </c>
      <c r="J27" s="28">
        <v>0</v>
      </c>
      <c r="K27" s="28">
        <f>'[6]PL-YTD'!AB27</f>
        <v>0</v>
      </c>
    </row>
    <row r="28" spans="1:11" ht="12.75">
      <c r="A28" s="37"/>
      <c r="B28" s="43"/>
      <c r="C28" s="27" t="s">
        <v>110</v>
      </c>
      <c r="D28" s="27"/>
      <c r="E28" s="28">
        <f>+'[6]PL-CM'!R28</f>
        <v>137857</v>
      </c>
      <c r="F28" s="28">
        <f>'[6]PL-CM'!$S$28</f>
        <v>144019.98882681565</v>
      </c>
      <c r="G28" s="28">
        <f>'[6]PL-YTD'!$R$28</f>
        <v>1122480</v>
      </c>
      <c r="H28" s="28">
        <f>'[6]PL-YTD'!$S$28</f>
        <v>1197984.4525139665</v>
      </c>
      <c r="I28" s="28">
        <v>247969</v>
      </c>
      <c r="J28" s="28">
        <v>0</v>
      </c>
      <c r="K28" s="28">
        <f>'[6]PL-YTD'!AB28</f>
        <v>452015.54748603376</v>
      </c>
    </row>
    <row r="29" spans="1:11" ht="12.75">
      <c r="A29" s="37" t="s">
        <v>85</v>
      </c>
      <c r="B29" s="43"/>
      <c r="C29" s="27" t="s">
        <v>111</v>
      </c>
      <c r="D29" s="27"/>
      <c r="E29" s="28">
        <f>'[6]PL-CM'!$R$29</f>
        <v>78385</v>
      </c>
      <c r="F29" s="28">
        <f>'[6]PL-CM'!$S$29</f>
        <v>52818.750325512105</v>
      </c>
      <c r="G29" s="28">
        <f>'[6]PL-YTD'!$R$29</f>
        <v>351386</v>
      </c>
      <c r="H29" s="28">
        <f>'[6]PL-YTD'!$S$29</f>
        <v>439355.9686167597</v>
      </c>
      <c r="I29" s="28">
        <v>330025</v>
      </c>
      <c r="J29" s="28">
        <v>441383</v>
      </c>
      <c r="K29" s="28">
        <f>'[6]PL-YTD'!AB29</f>
        <v>205272.87058324023</v>
      </c>
    </row>
    <row r="30" spans="1:11" ht="12.75">
      <c r="A30" s="37"/>
      <c r="B30" s="43"/>
      <c r="C30" s="27" t="s">
        <v>112</v>
      </c>
      <c r="D30" s="27"/>
      <c r="E30" s="28">
        <f aca="true" t="shared" si="0" ref="E30:J30">SUM(E31:E32)</f>
        <v>145696</v>
      </c>
      <c r="F30" s="28">
        <f t="shared" si="0"/>
        <v>177813.53132395007</v>
      </c>
      <c r="G30" s="28">
        <f t="shared" si="0"/>
        <v>1220764</v>
      </c>
      <c r="H30" s="28">
        <f t="shared" si="0"/>
        <v>1479085.2832855843</v>
      </c>
      <c r="I30" s="28">
        <f t="shared" si="0"/>
        <v>1370745</v>
      </c>
      <c r="J30" s="28">
        <f t="shared" si="0"/>
        <v>1445459</v>
      </c>
      <c r="K30" s="28">
        <f>'[6]PL-YTD'!AB31+'[6]PL-YTD'!AB32</f>
        <v>691048.0421908058</v>
      </c>
    </row>
    <row r="31" spans="1:11" s="45" customFormat="1" ht="12.75" hidden="1">
      <c r="A31" s="37" t="s">
        <v>85</v>
      </c>
      <c r="B31" s="43"/>
      <c r="C31" s="27" t="s">
        <v>113</v>
      </c>
      <c r="D31" s="27"/>
      <c r="E31" s="28">
        <f>'[6]PL-CM'!$R$31</f>
        <v>42622</v>
      </c>
      <c r="F31" s="28">
        <f>'[6]PL-CM'!$S$31</f>
        <v>1413.4078213929236</v>
      </c>
      <c r="G31" s="28">
        <f>'[6]PL-YTD'!$R$31</f>
        <v>385228</v>
      </c>
      <c r="H31" s="28">
        <f>'[6]PL-YTD'!$S$31</f>
        <v>11756.983241586593</v>
      </c>
      <c r="I31" s="28">
        <v>508386</v>
      </c>
      <c r="J31" s="28">
        <v>486178</v>
      </c>
      <c r="K31" s="28">
        <f>'[6]PL-YTD'!AB31</f>
        <v>791551.3855980134</v>
      </c>
    </row>
    <row r="32" spans="1:11" s="45" customFormat="1" ht="12.75" hidden="1">
      <c r="A32" s="37"/>
      <c r="B32" s="43"/>
      <c r="C32" s="27" t="s">
        <v>114</v>
      </c>
      <c r="D32" s="27"/>
      <c r="E32" s="28">
        <f>'[6]PL-CM'!$R$32</f>
        <v>103074</v>
      </c>
      <c r="F32" s="28">
        <f>'[6]PL-CM'!$S$32</f>
        <v>176400.12350255714</v>
      </c>
      <c r="G32" s="28">
        <f>'[6]PL-YTD'!$R$32</f>
        <v>835536</v>
      </c>
      <c r="H32" s="28">
        <f>'[6]PL-YTD'!$S$32</f>
        <v>1467328.3000439978</v>
      </c>
      <c r="I32" s="28">
        <v>862359</v>
      </c>
      <c r="J32" s="28">
        <v>959281</v>
      </c>
      <c r="K32" s="28">
        <f>'[6]PL-YTD'!AB32</f>
        <v>-100503.34340720763</v>
      </c>
    </row>
    <row r="33" spans="1:11" s="45" customFormat="1" ht="12.75">
      <c r="A33" s="37"/>
      <c r="B33" s="43"/>
      <c r="C33" s="27" t="s">
        <v>115</v>
      </c>
      <c r="D33" s="27"/>
      <c r="E33" s="28">
        <f>SUM(E34:E35)</f>
        <v>0</v>
      </c>
      <c r="F33" s="28">
        <f>SUM(F34:F35)</f>
        <v>0</v>
      </c>
      <c r="G33" s="28">
        <f>SUM(G34:G35)</f>
        <v>0</v>
      </c>
      <c r="H33" s="28">
        <f>SUM(H34:H35)</f>
        <v>0</v>
      </c>
      <c r="I33" s="28">
        <v>0</v>
      </c>
      <c r="J33" s="28">
        <v>0</v>
      </c>
      <c r="K33" s="28">
        <f>'[6]PL-YTD'!AB33</f>
        <v>0</v>
      </c>
    </row>
    <row r="34" spans="1:11" s="45" customFormat="1" ht="12.75" hidden="1">
      <c r="A34" s="37" t="s">
        <v>85</v>
      </c>
      <c r="B34" s="43"/>
      <c r="C34" s="27" t="s">
        <v>116</v>
      </c>
      <c r="D34" s="27"/>
      <c r="E34" s="28">
        <f>'[6]PL-CM'!$R$34</f>
        <v>0</v>
      </c>
      <c r="F34" s="28">
        <f>'[6]PL-CM'!$S$34</f>
        <v>0</v>
      </c>
      <c r="G34" s="28">
        <f>'[6]PL-YTD'!$R$34</f>
        <v>0</v>
      </c>
      <c r="H34" s="28">
        <f>'[6]PL-YTD'!$S$34</f>
        <v>0</v>
      </c>
      <c r="I34" s="28">
        <v>0</v>
      </c>
      <c r="J34" s="28"/>
      <c r="K34" s="28">
        <f>'[6]PL-YTD'!$AB$34</f>
        <v>0</v>
      </c>
    </row>
    <row r="35" spans="1:11" s="45" customFormat="1" ht="12.75" hidden="1">
      <c r="A35" s="37" t="s">
        <v>85</v>
      </c>
      <c r="B35" s="43"/>
      <c r="C35" s="27" t="s">
        <v>117</v>
      </c>
      <c r="D35" s="27"/>
      <c r="E35" s="28">
        <f>'[6]PL-CM'!$R$35</f>
        <v>0</v>
      </c>
      <c r="F35" s="28">
        <f>'[6]PL-CM'!$S$35</f>
        <v>0</v>
      </c>
      <c r="G35" s="28">
        <f>'[6]PL-YTD'!$R$35</f>
        <v>0</v>
      </c>
      <c r="H35" s="28">
        <f>'[6]PL-YTD'!$S$35</f>
        <v>0</v>
      </c>
      <c r="I35" s="28">
        <v>0</v>
      </c>
      <c r="J35" s="28"/>
      <c r="K35" s="28">
        <f>'[6]PL-YTD'!$AB$35</f>
        <v>0</v>
      </c>
    </row>
    <row r="36" spans="1:11" s="45" customFormat="1" ht="4.5" customHeight="1">
      <c r="A36" s="37"/>
      <c r="B36" s="43"/>
      <c r="C36" s="27"/>
      <c r="D36" s="27"/>
      <c r="E36" s="28"/>
      <c r="F36" s="28"/>
      <c r="G36" s="28"/>
      <c r="H36" s="28"/>
      <c r="I36" s="28"/>
      <c r="J36" s="28"/>
      <c r="K36" s="28"/>
    </row>
    <row r="37" spans="1:12" s="45" customFormat="1" ht="12.75">
      <c r="A37" s="37"/>
      <c r="B37" s="26" t="s">
        <v>118</v>
      </c>
      <c r="C37" s="26"/>
      <c r="D37" s="27"/>
      <c r="E37" s="40">
        <f>SUM(E25:E30)+E33</f>
        <v>1537197</v>
      </c>
      <c r="F37" s="40">
        <f>SUM(F25:F30)+F33</f>
        <v>1681802.6658077983</v>
      </c>
      <c r="G37" s="40">
        <f>SUM(G25:G30)+G33</f>
        <v>12631420.23</v>
      </c>
      <c r="H37" s="40">
        <f>SUM(H25:H30)+H33</f>
        <v>13989540.356492138</v>
      </c>
      <c r="I37" s="40">
        <f>SUM(I25:I35)-I30</f>
        <v>10719443</v>
      </c>
      <c r="J37" s="40">
        <f>SUM(J25:J35)-J30</f>
        <v>10468775</v>
      </c>
      <c r="K37" s="40">
        <f>SUM(K25:K30)+K33</f>
        <v>6536096.7239348525</v>
      </c>
      <c r="L37" s="46"/>
    </row>
    <row r="38" spans="1:11" s="45" customFormat="1" ht="4.5" customHeight="1">
      <c r="A38" s="37"/>
      <c r="B38" s="43"/>
      <c r="C38" s="27"/>
      <c r="D38" s="27"/>
      <c r="E38" s="28"/>
      <c r="F38" s="28"/>
      <c r="G38" s="28"/>
      <c r="H38" s="28"/>
      <c r="I38" s="28"/>
      <c r="J38" s="28"/>
      <c r="K38" s="28"/>
    </row>
    <row r="39" spans="1:11" s="45" customFormat="1" ht="12.75">
      <c r="A39" s="37"/>
      <c r="B39" s="26" t="s">
        <v>119</v>
      </c>
      <c r="C39" s="26"/>
      <c r="D39" s="27"/>
      <c r="E39" s="42"/>
      <c r="F39" s="42"/>
      <c r="G39" s="42"/>
      <c r="H39" s="42"/>
      <c r="I39" s="42"/>
      <c r="J39" s="42"/>
      <c r="K39" s="42"/>
    </row>
    <row r="40" spans="1:11" s="45" customFormat="1" ht="12.75">
      <c r="A40" s="37"/>
      <c r="B40" s="26"/>
      <c r="C40" s="29" t="s">
        <v>120</v>
      </c>
      <c r="D40" s="27"/>
      <c r="E40" s="42">
        <f>SUM(E41:E44)</f>
        <v>1559985</v>
      </c>
      <c r="F40" s="42">
        <f>SUM(F41:F44)</f>
        <v>1614080.064953445</v>
      </c>
      <c r="G40" s="42">
        <f>SUM(G41:G44)</f>
        <v>12314801</v>
      </c>
      <c r="H40" s="42">
        <f>SUM(H41:H44)</f>
        <v>13426211.449385474</v>
      </c>
      <c r="I40" s="42">
        <v>10623588</v>
      </c>
      <c r="J40" s="42">
        <v>10928474</v>
      </c>
      <c r="K40" s="42">
        <f>SUM(K41:K44)</f>
        <v>6272902.070614527</v>
      </c>
    </row>
    <row r="41" spans="1:11" s="45" customFormat="1" ht="12.75" hidden="1">
      <c r="A41" s="37"/>
      <c r="B41" s="30"/>
      <c r="C41" s="27" t="s">
        <v>121</v>
      </c>
      <c r="D41" s="27"/>
      <c r="E41" s="28">
        <f>'[6]PL-CM'!$R$41</f>
        <v>1305907</v>
      </c>
      <c r="F41" s="28">
        <f>'[6]PL-CM'!$S$41</f>
        <v>1176662.175046555</v>
      </c>
      <c r="G41" s="28">
        <f>'[6]PL-YTD'!$R$41</f>
        <v>10285578</v>
      </c>
      <c r="H41" s="28">
        <f>'[6]PL-YTD'!$S$41</f>
        <v>9787689.910614524</v>
      </c>
      <c r="I41" s="28">
        <v>10061953</v>
      </c>
      <c r="J41" s="28">
        <v>10645655</v>
      </c>
      <c r="K41" s="28">
        <f>'[6]PL-YTD'!$AB$41</f>
        <v>6507403.089385476</v>
      </c>
    </row>
    <row r="42" spans="1:11" s="45" customFormat="1" ht="12.75" hidden="1">
      <c r="A42" s="37"/>
      <c r="B42" s="30"/>
      <c r="C42" s="27" t="s">
        <v>122</v>
      </c>
      <c r="D42" s="27"/>
      <c r="E42" s="28">
        <f>'[6]PL-CM'!$R$42</f>
        <v>0</v>
      </c>
      <c r="F42" s="28">
        <f>'[6]PL-CM'!$S$42</f>
        <v>167491.3668528864</v>
      </c>
      <c r="G42" s="28">
        <f>'[6]PL-YTD'!$R$42</f>
        <v>0</v>
      </c>
      <c r="H42" s="28">
        <f>'[6]PL-YTD'!$S$42</f>
        <v>1393223.6424581003</v>
      </c>
      <c r="I42" s="28">
        <v>0</v>
      </c>
      <c r="J42" s="28">
        <v>0</v>
      </c>
      <c r="K42" s="28">
        <f>'[6]PL-YTD'!$AB$42</f>
        <v>-1283533.6424581003</v>
      </c>
    </row>
    <row r="43" spans="1:11" s="45" customFormat="1" ht="12.75" hidden="1">
      <c r="A43" s="37"/>
      <c r="B43" s="30"/>
      <c r="C43" s="27" t="s">
        <v>123</v>
      </c>
      <c r="D43" s="27"/>
      <c r="E43" s="28">
        <f>'[6]PL-CM'!$R$43</f>
        <v>96907</v>
      </c>
      <c r="F43" s="28">
        <f>'[6]PL-CM'!$S$43</f>
        <v>105204.65549348229</v>
      </c>
      <c r="G43" s="28">
        <f>'[6]PL-YTD'!$R$43</f>
        <v>784375</v>
      </c>
      <c r="H43" s="28">
        <f>'[6]PL-YTD'!$S$43</f>
        <v>875111.4525139665</v>
      </c>
      <c r="I43" s="28">
        <v>841661</v>
      </c>
      <c r="J43" s="28">
        <v>715813</v>
      </c>
      <c r="K43" s="28">
        <f>'[6]PL-YTD'!$AB$43</f>
        <v>408863.5474860335</v>
      </c>
    </row>
    <row r="44" spans="1:11" s="45" customFormat="1" ht="12.75" hidden="1">
      <c r="A44" s="37"/>
      <c r="B44" s="30"/>
      <c r="C44" s="27" t="s">
        <v>124</v>
      </c>
      <c r="D44" s="27"/>
      <c r="E44" s="28">
        <f>'[6]PL-CM'!$R$44</f>
        <v>157171</v>
      </c>
      <c r="F44" s="28">
        <f>'[6]PL-CM'!$S$44</f>
        <v>164721.86756052138</v>
      </c>
      <c r="G44" s="28">
        <f>'[6]PL-YTD'!$R$44</f>
        <v>1244848</v>
      </c>
      <c r="H44" s="28">
        <f>'[6]PL-YTD'!$S$44</f>
        <v>1370186.4437988824</v>
      </c>
      <c r="I44" s="28">
        <v>1205244</v>
      </c>
      <c r="J44" s="28">
        <v>1128613</v>
      </c>
      <c r="K44" s="28">
        <f>'[6]PL-YTD'!$AB$44</f>
        <v>640169.0762011176</v>
      </c>
    </row>
    <row r="45" spans="1:11" s="45" customFormat="1" ht="12.75">
      <c r="A45" s="37"/>
      <c r="B45" s="26"/>
      <c r="C45" s="27" t="s">
        <v>125</v>
      </c>
      <c r="D45" s="27"/>
      <c r="E45" s="28">
        <f>'[6]PL-CM'!$R$45</f>
        <v>335256</v>
      </c>
      <c r="F45" s="28">
        <f>'[6]PL-CM'!$S$45</f>
        <v>317785.6163873371</v>
      </c>
      <c r="G45" s="28">
        <f>'[6]PL-YTD'!$R$45</f>
        <v>2581711</v>
      </c>
      <c r="H45" s="28">
        <f>'[6]PL-YTD'!$S$45</f>
        <v>2643398.5363128497</v>
      </c>
      <c r="I45" s="28">
        <v>2372777</v>
      </c>
      <c r="J45" s="28">
        <v>2754276</v>
      </c>
      <c r="K45" s="28">
        <f>'[6]PL-YTD'!$AB$45</f>
        <v>1235030.4636871503</v>
      </c>
    </row>
    <row r="46" spans="1:11" s="45" customFormat="1" ht="12.75">
      <c r="A46" s="37"/>
      <c r="B46" s="26"/>
      <c r="C46" s="27" t="s">
        <v>126</v>
      </c>
      <c r="D46" s="27"/>
      <c r="E46" s="28">
        <f>'[6]PL-CM'!$R$46</f>
        <v>80262</v>
      </c>
      <c r="F46" s="28">
        <f>'[6]PL-CM'!$S$46</f>
        <v>120697.7355679702</v>
      </c>
      <c r="G46" s="28">
        <f>'[6]PL-YTD'!$R$46</f>
        <v>695049</v>
      </c>
      <c r="H46" s="28">
        <f>'[6]PL-YTD'!$S$46</f>
        <v>1003985.7094972067</v>
      </c>
      <c r="I46" s="28">
        <v>850949</v>
      </c>
      <c r="J46" s="28">
        <v>1131230</v>
      </c>
      <c r="K46" s="28">
        <f>'[6]PL-YTD'!$AB$46</f>
        <v>469075.29050279304</v>
      </c>
    </row>
    <row r="47" spans="1:11" s="45" customFormat="1" ht="12.75">
      <c r="A47" s="37"/>
      <c r="B47" s="26"/>
      <c r="C47" s="27" t="s">
        <v>127</v>
      </c>
      <c r="D47" s="27"/>
      <c r="E47" s="28">
        <f>'[6]PL-CM'!$R$47</f>
        <v>63575</v>
      </c>
      <c r="F47" s="28">
        <f>'[6]PL-CM'!$S$47</f>
        <v>76672.90875232774</v>
      </c>
      <c r="G47" s="28">
        <f>'[6]PL-YTD'!$R$47</f>
        <v>476262</v>
      </c>
      <c r="H47" s="28">
        <f>'[6]PL-YTD'!$S$47</f>
        <v>637779.1955307262</v>
      </c>
      <c r="I47" s="28">
        <v>492297</v>
      </c>
      <c r="J47" s="28">
        <v>209711</v>
      </c>
      <c r="K47" s="28">
        <f>'[6]PL-YTD'!$AB$47</f>
        <v>297978.80446927354</v>
      </c>
    </row>
    <row r="48" spans="1:11" s="45" customFormat="1" ht="12.75">
      <c r="A48" s="37"/>
      <c r="B48" s="26"/>
      <c r="C48" s="27" t="s">
        <v>128</v>
      </c>
      <c r="D48" s="27"/>
      <c r="E48" s="28">
        <f>'[6]PL-CM'!$R$48</f>
        <v>6398</v>
      </c>
      <c r="F48" s="28">
        <f>'[6]PL-CM'!$S$48</f>
        <v>8682.994413407821</v>
      </c>
      <c r="G48" s="28">
        <f>'[6]PL-YTD'!$R$48</f>
        <v>74167</v>
      </c>
      <c r="H48" s="28">
        <f>'[6]PL-YTD'!$S$48</f>
        <v>72226.72625698324</v>
      </c>
      <c r="I48" s="28">
        <v>74597</v>
      </c>
      <c r="J48" s="28">
        <v>43220</v>
      </c>
      <c r="K48" s="28">
        <f>'[6]PL-YTD'!$AB$48</f>
        <v>33745.273743016776</v>
      </c>
    </row>
    <row r="49" spans="1:11" s="45" customFormat="1" ht="12.75">
      <c r="A49" s="37"/>
      <c r="B49" s="26"/>
      <c r="C49" s="27" t="s">
        <v>129</v>
      </c>
      <c r="D49" s="27"/>
      <c r="E49" s="28">
        <f>'[6]PL-CM'!$R$49</f>
        <v>2272</v>
      </c>
      <c r="F49" s="28">
        <f>'[6]PL-CM'!$S$49</f>
        <v>6554.934823091247</v>
      </c>
      <c r="G49" s="28">
        <f>'[6]PL-YTD'!$R$49</f>
        <v>14318</v>
      </c>
      <c r="H49" s="28">
        <f>'[6]PL-YTD'!$S$49</f>
        <v>54525.13966480446</v>
      </c>
      <c r="I49" s="28">
        <v>60945</v>
      </c>
      <c r="J49" s="28">
        <v>5054</v>
      </c>
      <c r="K49" s="28">
        <f>'[6]PL-YTD'!$AB$49</f>
        <v>25474.86033519554</v>
      </c>
    </row>
    <row r="50" spans="1:11" s="45" customFormat="1" ht="4.5" customHeight="1">
      <c r="A50" s="37"/>
      <c r="B50" s="26"/>
      <c r="C50" s="26"/>
      <c r="D50" s="27"/>
      <c r="E50" s="42"/>
      <c r="F50" s="42"/>
      <c r="G50" s="42"/>
      <c r="H50" s="42"/>
      <c r="I50" s="42"/>
      <c r="J50" s="42"/>
      <c r="K50" s="42"/>
    </row>
    <row r="51" spans="1:11" s="45" customFormat="1" ht="12.75">
      <c r="A51" s="37"/>
      <c r="B51" s="26" t="s">
        <v>130</v>
      </c>
      <c r="C51" s="26"/>
      <c r="D51" s="27"/>
      <c r="E51" s="40">
        <f aca="true" t="shared" si="1" ref="E51:K51">SUM(E41:E49)</f>
        <v>2047748</v>
      </c>
      <c r="F51" s="40">
        <f t="shared" si="1"/>
        <v>2144474.254897579</v>
      </c>
      <c r="G51" s="40">
        <f t="shared" si="1"/>
        <v>16156308</v>
      </c>
      <c r="H51" s="40">
        <f t="shared" si="1"/>
        <v>17838126.75664804</v>
      </c>
      <c r="I51" s="40">
        <f>SUM(I41:I49)</f>
        <v>15960423</v>
      </c>
      <c r="J51" s="40">
        <f t="shared" si="1"/>
        <v>16633572</v>
      </c>
      <c r="K51" s="40">
        <f t="shared" si="1"/>
        <v>8334206.763351956</v>
      </c>
    </row>
    <row r="52" spans="1:11" s="45" customFormat="1" ht="4.5" customHeight="1">
      <c r="A52" s="37"/>
      <c r="B52" s="43"/>
      <c r="C52" s="27"/>
      <c r="D52" s="27"/>
      <c r="E52" s="28"/>
      <c r="F52" s="28"/>
      <c r="G52" s="28"/>
      <c r="H52" s="28"/>
      <c r="I52" s="28"/>
      <c r="J52" s="28"/>
      <c r="K52" s="28"/>
    </row>
    <row r="53" spans="1:11" ht="12.75">
      <c r="A53" s="23" t="s">
        <v>131</v>
      </c>
      <c r="B53" s="26"/>
      <c r="C53" s="26"/>
      <c r="D53" s="24"/>
      <c r="E53" s="40">
        <f>+E37+E51</f>
        <v>3584945</v>
      </c>
      <c r="F53" s="40">
        <f>+F37+F51</f>
        <v>3826276.920705377</v>
      </c>
      <c r="G53" s="40">
        <f>+G37+G51</f>
        <v>28787728.23</v>
      </c>
      <c r="H53" s="40">
        <f>+H37+H51</f>
        <v>31827667.11314018</v>
      </c>
      <c r="I53" s="40">
        <f>+I37+I51</f>
        <v>26679866</v>
      </c>
      <c r="J53" s="40">
        <f>+J37+J51+1</f>
        <v>27102348</v>
      </c>
      <c r="K53" s="40">
        <f>+K37+K51</f>
        <v>14870303.48728681</v>
      </c>
    </row>
    <row r="54" spans="1:11" ht="4.5" customHeight="1">
      <c r="A54" s="38"/>
      <c r="B54" s="24"/>
      <c r="C54" s="24"/>
      <c r="D54" s="24"/>
      <c r="E54" s="47"/>
      <c r="F54" s="47"/>
      <c r="G54" s="47"/>
      <c r="H54" s="47"/>
      <c r="I54" s="47"/>
      <c r="J54" s="47"/>
      <c r="K54" s="47"/>
    </row>
    <row r="55" spans="1:11" ht="12.75">
      <c r="A55" s="23" t="s">
        <v>132</v>
      </c>
      <c r="B55" s="26"/>
      <c r="C55" s="26"/>
      <c r="D55" s="27"/>
      <c r="E55" s="48">
        <f aca="true" t="shared" si="2" ref="E55:J55">E57/E21*100</f>
        <v>33.30090423779253</v>
      </c>
      <c r="F55" s="48">
        <f t="shared" si="2"/>
        <v>37.737867473157856</v>
      </c>
      <c r="G55" s="48">
        <f t="shared" si="2"/>
        <v>35.511916228139974</v>
      </c>
      <c r="H55" s="48">
        <f t="shared" si="2"/>
        <v>37.73786747315786</v>
      </c>
      <c r="I55" s="48">
        <f t="shared" si="2"/>
        <v>36.56476455031028</v>
      </c>
      <c r="J55" s="48">
        <f t="shared" si="2"/>
        <v>42.183348287918804</v>
      </c>
      <c r="K55" s="48">
        <f>K57/K21*100</f>
        <v>37.737867473157834</v>
      </c>
    </row>
    <row r="56" spans="1:11" ht="4.5" customHeight="1">
      <c r="A56" s="20"/>
      <c r="B56" s="21"/>
      <c r="C56" s="21"/>
      <c r="D56" s="24"/>
      <c r="E56" s="49"/>
      <c r="F56" s="49"/>
      <c r="G56" s="49"/>
      <c r="H56" s="49"/>
      <c r="I56" s="49"/>
      <c r="J56" s="49"/>
      <c r="K56" s="49"/>
    </row>
    <row r="57" spans="1:11" s="45" customFormat="1" ht="12.75">
      <c r="A57" s="23" t="s">
        <v>133</v>
      </c>
      <c r="B57" s="26"/>
      <c r="C57" s="26"/>
      <c r="D57" s="27"/>
      <c r="E57" s="28">
        <f>E21-E53</f>
        <v>1789858</v>
      </c>
      <c r="F57" s="28">
        <f>F21-F53</f>
        <v>2319154.9259404335</v>
      </c>
      <c r="G57" s="28">
        <f>G21-G53</f>
        <v>15852655.77</v>
      </c>
      <c r="H57" s="28">
        <f>H21-H53</f>
        <v>19291152.338504516</v>
      </c>
      <c r="I57" s="28">
        <f>I21-I53</f>
        <v>15378567</v>
      </c>
      <c r="J57" s="28">
        <f>J21-J53+1</f>
        <v>19774022</v>
      </c>
      <c r="K57" s="28">
        <f>K21-K53</f>
        <v>9013079.371268496</v>
      </c>
    </row>
    <row r="58" spans="1:11" ht="4.5" customHeight="1">
      <c r="A58" s="38"/>
      <c r="B58" s="24"/>
      <c r="C58" s="24"/>
      <c r="D58" s="24"/>
      <c r="E58" s="39"/>
      <c r="F58" s="39"/>
      <c r="G58" s="39"/>
      <c r="H58" s="39"/>
      <c r="I58" s="39"/>
      <c r="J58" s="39"/>
      <c r="K58" s="39"/>
    </row>
    <row r="59" spans="1:11" s="45" customFormat="1" ht="12.75">
      <c r="A59" s="23" t="s">
        <v>134</v>
      </c>
      <c r="B59" s="26"/>
      <c r="C59" s="26"/>
      <c r="D59" s="27"/>
      <c r="E59" s="42"/>
      <c r="F59" s="42"/>
      <c r="G59" s="42"/>
      <c r="H59" s="42"/>
      <c r="I59" s="42"/>
      <c r="J59" s="42"/>
      <c r="K59" s="42"/>
    </row>
    <row r="60" spans="1:11" ht="12.75">
      <c r="A60" s="23" t="s">
        <v>85</v>
      </c>
      <c r="B60" s="26" t="s">
        <v>135</v>
      </c>
      <c r="C60" s="26"/>
      <c r="D60" s="27"/>
      <c r="E60" s="28"/>
      <c r="F60" s="28"/>
      <c r="G60" s="28"/>
      <c r="H60" s="28"/>
      <c r="I60" s="28"/>
      <c r="J60" s="28"/>
      <c r="K60" s="28"/>
    </row>
    <row r="61" spans="1:11" ht="12.75">
      <c r="A61" s="23"/>
      <c r="B61" s="26"/>
      <c r="C61" s="29" t="s">
        <v>120</v>
      </c>
      <c r="D61" s="27"/>
      <c r="E61" s="28">
        <f aca="true" t="shared" si="3" ref="E61:K61">SUM(E62:E65)</f>
        <v>92624</v>
      </c>
      <c r="F61" s="28">
        <f t="shared" si="3"/>
        <v>115368.5637243948</v>
      </c>
      <c r="G61" s="28">
        <f t="shared" si="3"/>
        <v>702443</v>
      </c>
      <c r="H61" s="28">
        <f t="shared" si="3"/>
        <v>959656.6891620113</v>
      </c>
      <c r="I61" s="50">
        <f t="shared" si="3"/>
        <v>739855</v>
      </c>
      <c r="J61" s="50">
        <f t="shared" si="3"/>
        <v>962250</v>
      </c>
      <c r="K61" s="28">
        <f t="shared" si="3"/>
        <v>448364.190837989</v>
      </c>
    </row>
    <row r="62" spans="1:11" ht="12.75" hidden="1">
      <c r="A62" s="37"/>
      <c r="B62" s="30"/>
      <c r="C62" s="27" t="s">
        <v>121</v>
      </c>
      <c r="D62" s="27"/>
      <c r="E62" s="28">
        <f>'[6]PL-CM'!$R$62</f>
        <v>82720</v>
      </c>
      <c r="F62" s="28">
        <f>'[6]PL-CM'!$S$62</f>
        <v>89418.07821229051</v>
      </c>
      <c r="G62" s="28">
        <f>'[6]PL-YTD'!$R$62</f>
        <v>626023</v>
      </c>
      <c r="H62" s="28">
        <f>'[6]PL-YTD'!$S$62</f>
        <v>730072.5363128493</v>
      </c>
      <c r="I62" s="28">
        <v>660275</v>
      </c>
      <c r="J62" s="28">
        <v>868024</v>
      </c>
      <c r="K62" s="28">
        <f>'[6]PL-YTD'!$AB$62</f>
        <v>498507.463687151</v>
      </c>
    </row>
    <row r="63" spans="1:11" ht="12.75" hidden="1">
      <c r="A63" s="37"/>
      <c r="B63" s="30"/>
      <c r="C63" s="27" t="s">
        <v>136</v>
      </c>
      <c r="D63" s="27"/>
      <c r="E63" s="28">
        <f>'[6]PL-CM'!$R$63</f>
        <v>0</v>
      </c>
      <c r="F63" s="28">
        <f>'[6]PL-CM'!$S$63</f>
        <v>13541.512104283054</v>
      </c>
      <c r="G63" s="28">
        <f>'[6]PL-YTD'!$R$63</f>
        <v>0</v>
      </c>
      <c r="H63" s="28">
        <f>'[6]PL-YTD'!$S$63</f>
        <v>126364.0558659218</v>
      </c>
      <c r="I63" s="28">
        <v>0</v>
      </c>
      <c r="J63" s="28">
        <v>0</v>
      </c>
      <c r="K63" s="28">
        <f>'[6]PL-YTD'!$AB$63</f>
        <v>-98369.0558659218</v>
      </c>
    </row>
    <row r="64" spans="1:11" ht="12.75" hidden="1">
      <c r="A64" s="37"/>
      <c r="B64" s="30"/>
      <c r="C64" s="27" t="s">
        <v>123</v>
      </c>
      <c r="D64" s="27"/>
      <c r="E64" s="28">
        <f>'[6]PL-CM'!$R$64</f>
        <v>0</v>
      </c>
      <c r="F64" s="28">
        <f>'[6]PL-CM'!$S$64</f>
        <v>0</v>
      </c>
      <c r="G64" s="28">
        <f>'[6]PL-YTD'!$R$64</f>
        <v>51</v>
      </c>
      <c r="H64" s="28">
        <f>'[6]PL-YTD'!$S$64</f>
        <v>0</v>
      </c>
      <c r="I64" s="28">
        <v>0</v>
      </c>
      <c r="J64" s="28">
        <v>90</v>
      </c>
      <c r="K64" s="28">
        <f>'[6]PL-YTD'!$AB$64</f>
        <v>0</v>
      </c>
    </row>
    <row r="65" spans="1:11" ht="12.75" hidden="1">
      <c r="A65" s="37"/>
      <c r="B65" s="30"/>
      <c r="C65" s="27" t="s">
        <v>124</v>
      </c>
      <c r="D65" s="27"/>
      <c r="E65" s="28">
        <f>'[6]PL-CM'!$R$65</f>
        <v>9904</v>
      </c>
      <c r="F65" s="28">
        <f>'[6]PL-CM'!$S$65</f>
        <v>12408.973407821228</v>
      </c>
      <c r="G65" s="28">
        <f>'[6]PL-YTD'!$R$65</f>
        <v>76369</v>
      </c>
      <c r="H65" s="28">
        <f>'[6]PL-YTD'!$S$65</f>
        <v>103220.09698324022</v>
      </c>
      <c r="I65" s="28">
        <v>79580</v>
      </c>
      <c r="J65" s="28">
        <v>94136</v>
      </c>
      <c r="K65" s="28">
        <f>'[6]PL-YTD'!$AB$65</f>
        <v>48225.783016759786</v>
      </c>
    </row>
    <row r="66" spans="1:11" ht="12.75">
      <c r="A66" s="37"/>
      <c r="B66" s="30"/>
      <c r="C66" s="27" t="s">
        <v>137</v>
      </c>
      <c r="D66" s="27"/>
      <c r="E66" s="28">
        <f>'[6]PL-CM'!$R$66</f>
        <v>15618</v>
      </c>
      <c r="F66" s="28">
        <f>'[6]PL-CM'!$S$66</f>
        <v>14918.949720670389</v>
      </c>
      <c r="G66" s="28">
        <f>'[6]PL-YTD'!$R$66</f>
        <v>114589</v>
      </c>
      <c r="H66" s="28">
        <f>'[6]PL-YTD'!$S$66</f>
        <v>124098.53631284914</v>
      </c>
      <c r="I66" s="28">
        <v>106670</v>
      </c>
      <c r="J66" s="28">
        <v>131081</v>
      </c>
      <c r="K66" s="28">
        <f>'[6]PL-YTD'!$AB$66</f>
        <v>57980.463687150856</v>
      </c>
    </row>
    <row r="67" spans="1:11" ht="12.75">
      <c r="A67" s="37"/>
      <c r="B67" s="30"/>
      <c r="C67" s="27" t="s">
        <v>138</v>
      </c>
      <c r="D67" s="27"/>
      <c r="E67" s="28">
        <f>'[6]PL-CM'!$R$67</f>
        <v>4081</v>
      </c>
      <c r="F67" s="28">
        <f>'[6]PL-CM'!$S$67</f>
        <v>1714.0335195530724</v>
      </c>
      <c r="G67" s="28">
        <f>'[6]PL-YTD'!$R$67</f>
        <v>14056</v>
      </c>
      <c r="H67" s="28">
        <f>'[6]PL-YTD'!$S$67</f>
        <v>14257.642458100558</v>
      </c>
      <c r="I67" s="28">
        <v>10918</v>
      </c>
      <c r="J67" s="28">
        <v>14996</v>
      </c>
      <c r="K67" s="28">
        <f>'[6]PL-YTD'!$AB$67</f>
        <v>6661.357541899442</v>
      </c>
    </row>
    <row r="68" spans="1:11" ht="12.75">
      <c r="A68" s="37"/>
      <c r="B68" s="30"/>
      <c r="C68" s="27" t="s">
        <v>139</v>
      </c>
      <c r="D68" s="27"/>
      <c r="E68" s="28">
        <f>'[6]PL-CM'!$R$68</f>
        <v>5000</v>
      </c>
      <c r="F68" s="28">
        <f>'[6]PL-CM'!$S$68</f>
        <v>6554.934823091247</v>
      </c>
      <c r="G68" s="28">
        <f>'[6]PL-YTD'!$R$68</f>
        <v>40000</v>
      </c>
      <c r="H68" s="28">
        <f>'[6]PL-YTD'!$S$68</f>
        <v>54525.139664804476</v>
      </c>
      <c r="I68" s="28">
        <v>-6000</v>
      </c>
      <c r="J68" s="28">
        <v>100000</v>
      </c>
      <c r="K68" s="28">
        <f>'[6]PL-YTD'!$AB$68</f>
        <v>25474.86033519554</v>
      </c>
    </row>
    <row r="69" spans="1:11" ht="12.75">
      <c r="A69" s="37"/>
      <c r="B69" s="30"/>
      <c r="C69" s="27" t="s">
        <v>140</v>
      </c>
      <c r="D69" s="27"/>
      <c r="E69" s="28">
        <f>'[6]PL-CM'!$R$69</f>
        <v>15947</v>
      </c>
      <c r="F69" s="28">
        <f>'[6]PL-CM'!$S$69</f>
        <v>30726.256983240222</v>
      </c>
      <c r="G69" s="28">
        <f>'[6]PL-YTD'!$R$69</f>
        <v>102204</v>
      </c>
      <c r="H69" s="28">
        <f>'[6]PL-YTD'!$S$69</f>
        <v>255586.59217877095</v>
      </c>
      <c r="I69" s="28">
        <v>127358</v>
      </c>
      <c r="J69" s="28">
        <v>270964</v>
      </c>
      <c r="K69" s="28">
        <f>'[6]PL-YTD'!$AB$69</f>
        <v>119413.40782122899</v>
      </c>
    </row>
    <row r="70" spans="1:11" ht="4.5" customHeight="1">
      <c r="A70" s="38"/>
      <c r="B70" s="24"/>
      <c r="C70" s="24"/>
      <c r="D70" s="24"/>
      <c r="E70" s="39"/>
      <c r="F70" s="39"/>
      <c r="G70" s="39"/>
      <c r="H70" s="39"/>
      <c r="I70" s="39"/>
      <c r="J70" s="39"/>
      <c r="K70" s="39"/>
    </row>
    <row r="71" spans="1:11" ht="12.75">
      <c r="A71" s="52"/>
      <c r="B71" s="26" t="s">
        <v>141</v>
      </c>
      <c r="C71" s="26"/>
      <c r="D71" s="27"/>
      <c r="E71" s="40">
        <f aca="true" t="shared" si="4" ref="E71:K71">SUM(E62:E69)</f>
        <v>133270</v>
      </c>
      <c r="F71" s="40">
        <f t="shared" si="4"/>
        <v>169282.73877094974</v>
      </c>
      <c r="G71" s="40">
        <f t="shared" si="4"/>
        <v>973292</v>
      </c>
      <c r="H71" s="40">
        <f t="shared" si="4"/>
        <v>1408124.5997765367</v>
      </c>
      <c r="I71" s="40">
        <f t="shared" si="4"/>
        <v>978801</v>
      </c>
      <c r="J71" s="40">
        <f t="shared" si="4"/>
        <v>1479291</v>
      </c>
      <c r="K71" s="40">
        <f t="shared" si="4"/>
        <v>657894.2802234638</v>
      </c>
    </row>
    <row r="72" spans="1:11" ht="4.5" customHeight="1">
      <c r="A72" s="20"/>
      <c r="B72" s="21"/>
      <c r="C72" s="21"/>
      <c r="D72" s="24"/>
      <c r="E72" s="39"/>
      <c r="F72" s="39"/>
      <c r="G72" s="39"/>
      <c r="H72" s="39"/>
      <c r="I72" s="39"/>
      <c r="J72" s="39"/>
      <c r="K72" s="39"/>
    </row>
    <row r="73" spans="1:11" ht="12.75">
      <c r="A73" s="52"/>
      <c r="B73" s="26" t="s">
        <v>142</v>
      </c>
      <c r="C73" s="26"/>
      <c r="D73" s="27"/>
      <c r="E73" s="42"/>
      <c r="F73" s="42"/>
      <c r="G73" s="42"/>
      <c r="H73" s="42"/>
      <c r="I73" s="42"/>
      <c r="J73" s="42"/>
      <c r="K73" s="42"/>
    </row>
    <row r="74" spans="1:11" ht="12.75">
      <c r="A74" s="52"/>
      <c r="B74" s="26"/>
      <c r="C74" s="29" t="s">
        <v>120</v>
      </c>
      <c r="D74" s="27"/>
      <c r="E74" s="42">
        <f aca="true" t="shared" si="5" ref="E74:K74">SUM(E75:E79)</f>
        <v>508583</v>
      </c>
      <c r="F74" s="42">
        <f t="shared" si="5"/>
        <v>492704.6338919925</v>
      </c>
      <c r="G74" s="42">
        <f t="shared" si="5"/>
        <v>4036321</v>
      </c>
      <c r="H74" s="42">
        <f t="shared" si="5"/>
        <v>4098406.7273743013</v>
      </c>
      <c r="I74" s="42">
        <f t="shared" si="5"/>
        <v>3853134</v>
      </c>
      <c r="J74" s="42">
        <f t="shared" si="5"/>
        <v>4293625</v>
      </c>
      <c r="K74" s="42">
        <f t="shared" si="5"/>
        <v>2509405.372625699</v>
      </c>
    </row>
    <row r="75" spans="1:11" ht="12.75" hidden="1">
      <c r="A75" s="52"/>
      <c r="B75" s="27"/>
      <c r="C75" s="27" t="s">
        <v>121</v>
      </c>
      <c r="D75" s="30"/>
      <c r="E75" s="28">
        <f>'[6]PL-CM'!$R$75</f>
        <v>384194</v>
      </c>
      <c r="F75" s="28">
        <f>'[6]PL-CM'!$S$75</f>
        <v>344102.6145251396</v>
      </c>
      <c r="G75" s="28">
        <f>'[6]PL-YTD'!$R$75</f>
        <v>3093689</v>
      </c>
      <c r="H75" s="28">
        <f>'[6]PL-YTD'!$S$75</f>
        <v>2862308.1117318436</v>
      </c>
      <c r="I75" s="28">
        <v>2966829</v>
      </c>
      <c r="J75" s="28">
        <v>3216361</v>
      </c>
      <c r="K75" s="28">
        <f>'[6]PL-YTD'!$AB$75</f>
        <v>2125065.8882681564</v>
      </c>
    </row>
    <row r="76" spans="1:11" ht="12.75" hidden="1">
      <c r="A76" s="52"/>
      <c r="B76" s="27"/>
      <c r="C76" s="27" t="s">
        <v>136</v>
      </c>
      <c r="D76" s="30"/>
      <c r="E76" s="28">
        <f>'[6]PL-CM'!$R$76</f>
        <v>0</v>
      </c>
      <c r="F76" s="28">
        <f>'[6]PL-CM'!$S$76</f>
        <v>0</v>
      </c>
      <c r="G76" s="28">
        <f>'[6]PL-YTD'!$R$76</f>
        <v>0</v>
      </c>
      <c r="H76" s="28">
        <f>'[6]PL-YTD'!$S$76</f>
        <v>0</v>
      </c>
      <c r="I76" s="28">
        <v>0</v>
      </c>
      <c r="J76" s="28">
        <v>0</v>
      </c>
      <c r="K76" s="28">
        <f>'[6]PL-YTD'!$AB$76</f>
        <v>16811</v>
      </c>
    </row>
    <row r="77" spans="1:11" ht="12.75" hidden="1">
      <c r="A77" s="52"/>
      <c r="B77" s="27"/>
      <c r="C77" s="27" t="s">
        <v>123</v>
      </c>
      <c r="D77" s="30"/>
      <c r="E77" s="28">
        <f>'[6]PL-CM'!$R$77</f>
        <v>11260</v>
      </c>
      <c r="F77" s="28">
        <f>'[6]PL-CM'!$S$77</f>
        <v>65923.71694599628</v>
      </c>
      <c r="G77" s="28">
        <f>'[6]PL-YTD'!$R$77</f>
        <v>105909</v>
      </c>
      <c r="H77" s="28">
        <f>'[6]PL-YTD'!$S$77</f>
        <v>548365.4636871507</v>
      </c>
      <c r="I77" s="28">
        <v>99500</v>
      </c>
      <c r="J77" s="28">
        <v>183982</v>
      </c>
      <c r="K77" s="28">
        <f>'[6]PL-YTD'!$AB$77</f>
        <v>-364109.3636871507</v>
      </c>
    </row>
    <row r="78" spans="1:11" ht="12.75" hidden="1">
      <c r="A78" s="52"/>
      <c r="B78" s="27"/>
      <c r="C78" s="27" t="s">
        <v>143</v>
      </c>
      <c r="D78" s="30"/>
      <c r="E78" s="28">
        <f>'[6]PL-CM'!$R$78</f>
        <v>69565</v>
      </c>
      <c r="F78" s="28">
        <f>'[6]PL-CM'!$S$78</f>
        <v>63441.04357541899</v>
      </c>
      <c r="G78" s="28">
        <f>'[6]PL-YTD'!$R$78</f>
        <v>474432</v>
      </c>
      <c r="H78" s="28">
        <f>'[6]PL-YTD'!$S$78</f>
        <v>527714.1351955307</v>
      </c>
      <c r="I78" s="28">
        <v>474484</v>
      </c>
      <c r="J78" s="28">
        <v>477598</v>
      </c>
      <c r="K78" s="28">
        <f>'[6]PL-YTD'!$AB$78</f>
        <v>281297.8648044693</v>
      </c>
    </row>
    <row r="79" spans="1:11" ht="12.75" hidden="1">
      <c r="A79" s="52"/>
      <c r="B79" s="27"/>
      <c r="C79" s="27" t="s">
        <v>144</v>
      </c>
      <c r="D79" s="30"/>
      <c r="E79" s="28">
        <f>'[6]PL-CM'!$R$79</f>
        <v>43564</v>
      </c>
      <c r="F79" s="28">
        <f>'[6]PL-CM'!$S$79</f>
        <v>19237.258845437616</v>
      </c>
      <c r="G79" s="28">
        <f>'[6]PL-YTD'!$R$79</f>
        <v>362291</v>
      </c>
      <c r="H79" s="28">
        <f>'[6]PL-YTD'!$S$79</f>
        <v>160019.01675977654</v>
      </c>
      <c r="I79" s="28">
        <v>312321</v>
      </c>
      <c r="J79" s="28">
        <v>415684</v>
      </c>
      <c r="K79" s="28">
        <f>'[6]PL-YTD'!$AB$79</f>
        <v>450339.9832402236</v>
      </c>
    </row>
    <row r="80" spans="1:11" ht="12.75">
      <c r="A80" s="52"/>
      <c r="B80" s="27"/>
      <c r="C80" s="27" t="s">
        <v>145</v>
      </c>
      <c r="D80" s="30"/>
      <c r="E80" s="28">
        <f>'[6]PL-CM'!$R$80</f>
        <v>552</v>
      </c>
      <c r="F80" s="28">
        <f>'[6]PL-CM'!$S$80</f>
        <v>52773.45251396648</v>
      </c>
      <c r="G80" s="28">
        <f>'[6]PL-YTD'!$R$80</f>
        <v>15158</v>
      </c>
      <c r="H80" s="28">
        <f>'[6]PL-YTD'!$S$80</f>
        <v>438979.1731843576</v>
      </c>
      <c r="I80" s="28">
        <v>23434</v>
      </c>
      <c r="J80" s="28">
        <v>32509</v>
      </c>
      <c r="K80" s="28">
        <f>'[6]PL-YTD'!$AB$80</f>
        <v>-389479.1731843576</v>
      </c>
    </row>
    <row r="81" spans="1:11" ht="12.75">
      <c r="A81" s="52"/>
      <c r="B81" s="27"/>
      <c r="C81" s="27" t="s">
        <v>146</v>
      </c>
      <c r="D81" s="30"/>
      <c r="E81" s="28">
        <f>'[6]PL-CM'!$R$81</f>
        <v>14558</v>
      </c>
      <c r="F81" s="28">
        <f>'[6]PL-CM'!$S$81</f>
        <v>24313.83463687151</v>
      </c>
      <c r="G81" s="28">
        <f>'[6]PL-YTD'!$R$81</f>
        <v>153071</v>
      </c>
      <c r="H81" s="28">
        <f>'[6]PL-YTD'!$S$81</f>
        <v>202246.8972067039</v>
      </c>
      <c r="I81" s="28">
        <v>312969</v>
      </c>
      <c r="J81" s="28">
        <v>278669</v>
      </c>
      <c r="K81" s="28">
        <f>'[6]PL-YTD'!$AB$81</f>
        <v>244492.4027932961</v>
      </c>
    </row>
    <row r="82" spans="1:11" ht="12.75">
      <c r="A82" s="52"/>
      <c r="B82" s="27"/>
      <c r="C82" s="27" t="s">
        <v>147</v>
      </c>
      <c r="D82" s="30"/>
      <c r="E82" s="28">
        <f>'[6]PL-CM'!$R$82</f>
        <v>25655</v>
      </c>
      <c r="F82" s="28">
        <f>'[6]PL-CM'!$S$82</f>
        <v>17211.620111731845</v>
      </c>
      <c r="G82" s="28">
        <f>'[6]PL-YTD'!$R$82</f>
        <v>173286</v>
      </c>
      <c r="H82" s="28">
        <f>'[6]PL-YTD'!$S$82</f>
        <v>143169.38547486035</v>
      </c>
      <c r="I82" s="28">
        <v>140999</v>
      </c>
      <c r="J82" s="28">
        <v>124378</v>
      </c>
      <c r="K82" s="28">
        <f>'[6]PL-YTD'!$AB$82</f>
        <v>89687.61452513965</v>
      </c>
    </row>
    <row r="83" spans="1:11" ht="12.75">
      <c r="A83" s="52"/>
      <c r="B83" s="27"/>
      <c r="C83" s="27" t="s">
        <v>148</v>
      </c>
      <c r="D83" s="30"/>
      <c r="E83" s="28">
        <f>'[6]PL-CM'!$R$83</f>
        <v>2500</v>
      </c>
      <c r="F83" s="28">
        <f>'[6]PL-CM'!$S$83</f>
        <v>16862.324022346365</v>
      </c>
      <c r="G83" s="28">
        <f>'[6]PL-YTD'!$R$83</f>
        <v>30674</v>
      </c>
      <c r="H83" s="28">
        <f>'[6]PL-YTD'!$S$83</f>
        <v>140263.87709497203</v>
      </c>
      <c r="I83" s="28">
        <v>30802</v>
      </c>
      <c r="J83" s="28">
        <v>19667</v>
      </c>
      <c r="K83" s="28">
        <f>'[6]PL-YTD'!$AB$83</f>
        <v>-77263.87709497203</v>
      </c>
    </row>
    <row r="84" spans="1:11" ht="12.75">
      <c r="A84" s="52"/>
      <c r="B84" s="27"/>
      <c r="C84" s="27" t="s">
        <v>242</v>
      </c>
      <c r="D84" s="30"/>
      <c r="E84" s="28">
        <f>'[6]PL-CM'!$R$84</f>
        <v>29889</v>
      </c>
      <c r="F84" s="28">
        <f>'[6]PL-CM'!$S$84</f>
        <v>36492.9477839851</v>
      </c>
      <c r="G84" s="28">
        <f>'[6]PL-YTD'!$R$84</f>
        <v>242522</v>
      </c>
      <c r="H84" s="28">
        <f>'[6]PL-YTD'!$S$84</f>
        <v>303554.9747486034</v>
      </c>
      <c r="I84" s="28">
        <v>325742</v>
      </c>
      <c r="J84" s="28">
        <v>314371</v>
      </c>
      <c r="K84" s="28">
        <f>'[6]PL-YTD'!$AB$84</f>
        <v>122864.86525139667</v>
      </c>
    </row>
    <row r="85" spans="1:11" ht="12.75">
      <c r="A85" s="52"/>
      <c r="B85" s="27"/>
      <c r="C85" s="27" t="s">
        <v>150</v>
      </c>
      <c r="D85" s="30"/>
      <c r="E85" s="28">
        <f>'[6]PL-CM'!$R$85</f>
        <v>140132</v>
      </c>
      <c r="F85" s="28">
        <f>'[6]PL-CM'!$S$85</f>
        <v>126332.43947858473</v>
      </c>
      <c r="G85" s="28">
        <f>'[6]PL-YTD'!$R$85</f>
        <v>1119337</v>
      </c>
      <c r="H85" s="28">
        <f>'[6]PL-YTD'!$S$85</f>
        <v>1050856.2011173184</v>
      </c>
      <c r="I85" s="28">
        <v>935181</v>
      </c>
      <c r="J85" s="28">
        <v>963125</v>
      </c>
      <c r="K85" s="28">
        <f>'[6]PL-YTD'!$AB$85</f>
        <v>503933.79888268164</v>
      </c>
    </row>
    <row r="86" spans="1:11" ht="12.75">
      <c r="A86" s="52"/>
      <c r="B86" s="27"/>
      <c r="C86" s="27" t="s">
        <v>151</v>
      </c>
      <c r="D86" s="30"/>
      <c r="E86" s="28">
        <f>'[6]PL-CM'!$R$86</f>
        <v>40387</v>
      </c>
      <c r="F86" s="28">
        <f>'[6]PL-CM'!$S$86</f>
        <v>3413.3184357541895</v>
      </c>
      <c r="G86" s="28">
        <f>'[6]PL-YTD'!$R$86</f>
        <v>332199</v>
      </c>
      <c r="H86" s="28">
        <f>'[6]PL-YTD'!$S$86</f>
        <v>28392.60335195531</v>
      </c>
      <c r="I86" s="28">
        <v>316275</v>
      </c>
      <c r="J86" s="28">
        <v>301391</v>
      </c>
      <c r="K86" s="28">
        <f>'[6]PL-YTD'!$AB$86</f>
        <v>457053.39664804464</v>
      </c>
    </row>
    <row r="87" spans="1:11" ht="12.75">
      <c r="A87" s="52"/>
      <c r="B87" s="27"/>
      <c r="C87" s="27" t="s">
        <v>152</v>
      </c>
      <c r="D87" s="30"/>
      <c r="E87" s="28">
        <f>'[6]PL-CM'!$R$87</f>
        <v>12541</v>
      </c>
      <c r="F87" s="28">
        <f>'[6]PL-CM'!$S$87</f>
        <v>50174.74860335195</v>
      </c>
      <c r="G87" s="28">
        <f>'[6]PL-YTD'!$R$87</f>
        <v>109329</v>
      </c>
      <c r="H87" s="28">
        <f>'[6]PL-YTD'!$S$87</f>
        <v>417362.6815642458</v>
      </c>
      <c r="I87" s="28">
        <v>95736</v>
      </c>
      <c r="J87" s="28">
        <v>97882</v>
      </c>
      <c r="K87" s="28">
        <f>'[6]PL-YTD'!$AB$87</f>
        <v>-249718.68156424578</v>
      </c>
    </row>
    <row r="88" spans="1:11" ht="12.75">
      <c r="A88" s="52"/>
      <c r="B88" s="27"/>
      <c r="C88" s="27" t="s">
        <v>153</v>
      </c>
      <c r="D88" s="30"/>
      <c r="E88" s="28">
        <f>'[6]PL-CM'!$R$88</f>
        <v>168831</v>
      </c>
      <c r="F88" s="28">
        <f>'[6]PL-CM'!$S$88</f>
        <v>169815.9106145251</v>
      </c>
      <c r="G88" s="28">
        <f>'[6]PL-YTD'!$R$88</f>
        <v>1351313</v>
      </c>
      <c r="H88" s="28">
        <f>'[6]PL-YTD'!$S$88</f>
        <v>1412559.6201117316</v>
      </c>
      <c r="I88" s="28">
        <v>1196990</v>
      </c>
      <c r="J88" s="28">
        <v>1890740</v>
      </c>
      <c r="K88" s="28">
        <f>'[6]PL-YTD'!$AB$88</f>
        <v>636894.3798882682</v>
      </c>
    </row>
    <row r="89" spans="1:11" ht="12.75">
      <c r="A89" s="52"/>
      <c r="B89" s="27"/>
      <c r="C89" s="27" t="s">
        <v>154</v>
      </c>
      <c r="D89" s="30"/>
      <c r="E89" s="28">
        <f>'[6]PL-CM'!$R$89</f>
        <v>124973</v>
      </c>
      <c r="F89" s="28">
        <f>'[6]PL-CM'!$S$89</f>
        <v>119693.57419042086</v>
      </c>
      <c r="G89" s="28">
        <f>'[6]PL-YTD'!$R$89</f>
        <v>990278</v>
      </c>
      <c r="H89" s="28">
        <f>'[6]PL-YTD'!$S$89</f>
        <v>995632.9125839552</v>
      </c>
      <c r="I89" s="28">
        <v>940884</v>
      </c>
      <c r="J89" s="28">
        <v>929449</v>
      </c>
      <c r="K89" s="28">
        <f>'[6]PL-YTD'!$AB$89</f>
        <v>508344.75424004474</v>
      </c>
    </row>
    <row r="90" spans="1:11" ht="12.75">
      <c r="A90" s="52"/>
      <c r="B90" s="27"/>
      <c r="C90" s="27" t="s">
        <v>155</v>
      </c>
      <c r="D90" s="30"/>
      <c r="E90" s="28">
        <f>'[6]PL-CM'!$R$90</f>
        <v>15756</v>
      </c>
      <c r="F90" s="28">
        <f>'[6]PL-CM'!$S$90</f>
        <v>10967.47113594041</v>
      </c>
      <c r="G90" s="28">
        <f>'[6]PL-YTD'!$R$90</f>
        <v>124716</v>
      </c>
      <c r="H90" s="28">
        <f>'[6]PL-YTD'!$S$90</f>
        <v>91229.41899441341</v>
      </c>
      <c r="I90" s="28">
        <v>89191</v>
      </c>
      <c r="J90" s="28">
        <v>81489</v>
      </c>
      <c r="K90" s="28">
        <f>'[6]PL-YTD'!$AB$90</f>
        <v>49237.58100558659</v>
      </c>
    </row>
    <row r="91" spans="1:11" ht="12.75">
      <c r="A91" s="52"/>
      <c r="B91" s="27"/>
      <c r="C91" s="27" t="s">
        <v>156</v>
      </c>
      <c r="D91" s="30"/>
      <c r="E91" s="28">
        <f>'[6]PL-CM'!$R$91</f>
        <v>40427</v>
      </c>
      <c r="F91" s="28">
        <f>'[6]PL-CM'!$S$91</f>
        <v>37931.52327746741</v>
      </c>
      <c r="G91" s="28">
        <f>'[6]PL-YTD'!$R$91</f>
        <v>365322.32</v>
      </c>
      <c r="H91" s="28">
        <f>'[6]PL-YTD'!$S$91</f>
        <v>315521.30726256984</v>
      </c>
      <c r="I91" s="28">
        <v>317801</v>
      </c>
      <c r="J91" s="28">
        <v>321107</v>
      </c>
      <c r="K91" s="28">
        <f>'[6]PL-YTD'!$AB$91</f>
        <v>159262.69273743022</v>
      </c>
    </row>
    <row r="92" spans="1:11" ht="12.75">
      <c r="A92" s="52"/>
      <c r="B92" s="27"/>
      <c r="C92" s="27" t="s">
        <v>157</v>
      </c>
      <c r="D92" s="30"/>
      <c r="E92" s="28">
        <f>'[6]PL-CM'!$R$92</f>
        <v>6206</v>
      </c>
      <c r="F92" s="28">
        <f>'[6]PL-CM'!$S$92</f>
        <v>6129.519553072625</v>
      </c>
      <c r="G92" s="28">
        <f>'[6]PL-YTD'!$R$92</f>
        <v>55658</v>
      </c>
      <c r="H92" s="28">
        <f>'[6]PL-YTD'!$S$92</f>
        <v>50986.45810055866</v>
      </c>
      <c r="I92" s="28">
        <v>47654</v>
      </c>
      <c r="J92" s="28">
        <v>52187</v>
      </c>
      <c r="K92" s="28">
        <f>'[6]PL-YTD'!$AB$92</f>
        <v>12188.541899441349</v>
      </c>
    </row>
    <row r="93" spans="1:11" ht="12.75">
      <c r="A93" s="52"/>
      <c r="B93" s="27"/>
      <c r="C93" s="27" t="s">
        <v>158</v>
      </c>
      <c r="D93" s="43"/>
      <c r="E93" s="28">
        <f>'[6]PL-CM'!$R$93</f>
        <v>0</v>
      </c>
      <c r="F93" s="28">
        <f>'[6]PL-CM'!$S$93</f>
        <v>0</v>
      </c>
      <c r="G93" s="28">
        <f>'[6]PL-YTD'!$R$93</f>
        <v>0</v>
      </c>
      <c r="H93" s="28">
        <f>'[6]PL-YTD'!$S$93</f>
        <v>0</v>
      </c>
      <c r="I93" s="28">
        <v>0</v>
      </c>
      <c r="J93" s="28">
        <v>0</v>
      </c>
      <c r="K93" s="28">
        <f>'[6]PL-YTD'!$AB$93</f>
        <v>0</v>
      </c>
    </row>
    <row r="94" spans="1:11" ht="12.75">
      <c r="A94" s="52"/>
      <c r="B94" s="27"/>
      <c r="C94" s="27" t="s">
        <v>159</v>
      </c>
      <c r="D94" s="43"/>
      <c r="E94" s="28">
        <f>'[6]PL-CM'!$R$94</f>
        <v>40981</v>
      </c>
      <c r="F94" s="28">
        <f>'[6]PL-CM'!$S$94</f>
        <v>12944.603351955306</v>
      </c>
      <c r="G94" s="28">
        <f>'[6]PL-YTD'!$R$94</f>
        <v>172281</v>
      </c>
      <c r="H94" s="28">
        <f>'[6]PL-YTD'!$S$94</f>
        <v>107675.56424581005</v>
      </c>
      <c r="I94" s="28">
        <v>100702</v>
      </c>
      <c r="J94" s="28">
        <v>313528</v>
      </c>
      <c r="K94" s="28">
        <f>'[6]PL-YTD'!$AB$94</f>
        <v>226743.4357541899</v>
      </c>
    </row>
    <row r="95" spans="1:11" ht="12.75">
      <c r="A95" s="52"/>
      <c r="B95" s="27"/>
      <c r="C95" s="27" t="s">
        <v>160</v>
      </c>
      <c r="D95" s="43"/>
      <c r="E95" s="28">
        <f>'[6]PL-CM'!$R$95</f>
        <v>0</v>
      </c>
      <c r="F95" s="28">
        <f>'[6]PL-CM'!$S$95</f>
        <v>18553.41527001862</v>
      </c>
      <c r="G95" s="28">
        <f>'[6]PL-YTD'!$R$95</f>
        <v>21939</v>
      </c>
      <c r="H95" s="28">
        <f>'[6]PL-YTD'!$S$95</f>
        <v>154330.6815642458</v>
      </c>
      <c r="I95" s="28">
        <v>-11437</v>
      </c>
      <c r="J95" s="28">
        <v>-50000</v>
      </c>
      <c r="K95" s="28">
        <f>'[6]PL-YTD'!$AB$95</f>
        <v>-154330.6815642458</v>
      </c>
    </row>
    <row r="96" spans="1:11" ht="12.75">
      <c r="A96" s="52"/>
      <c r="B96" s="27"/>
      <c r="C96" s="29" t="s">
        <v>161</v>
      </c>
      <c r="D96" s="53"/>
      <c r="E96" s="28">
        <f>'[6]PL-CM'!$R$96</f>
        <v>9607</v>
      </c>
      <c r="F96" s="28">
        <f>'[6]PL-CM'!$S$96</f>
        <v>7.128491620111731</v>
      </c>
      <c r="G96" s="28">
        <f>'[6]PL-YTD'!$R$96</f>
        <v>67196</v>
      </c>
      <c r="H96" s="28">
        <f>'[6]PL-YTD'!$S$96</f>
        <v>59.29608938547486</v>
      </c>
      <c r="I96" s="28">
        <v>16409</v>
      </c>
      <c r="J96" s="28">
        <v>35111</v>
      </c>
      <c r="K96" s="28">
        <f>'[6]PL-YTD'!$AB$96</f>
        <v>32925.703910614524</v>
      </c>
    </row>
    <row r="97" spans="1:11" ht="12.75">
      <c r="A97" s="52"/>
      <c r="B97" s="27"/>
      <c r="C97" s="27" t="s">
        <v>162</v>
      </c>
      <c r="D97" s="43"/>
      <c r="E97" s="28">
        <f>'[6]PL-CM'!$R$97</f>
        <v>-3202</v>
      </c>
      <c r="F97" s="28">
        <f>'[6]PL-CM'!$S$97</f>
        <v>2695.5530726256984</v>
      </c>
      <c r="G97" s="28">
        <f>'[6]PL-YTD'!$R$97</f>
        <v>-93923</v>
      </c>
      <c r="H97" s="28">
        <f>'[6]PL-YTD'!$S$97</f>
        <v>22422.10055865922</v>
      </c>
      <c r="I97" s="28">
        <v>39141</v>
      </c>
      <c r="J97" s="28">
        <v>0</v>
      </c>
      <c r="K97" s="28">
        <f>'[6]PL-YTD'!$AB$97</f>
        <v>-22422.10055865922</v>
      </c>
    </row>
    <row r="98" spans="1:11" ht="12.75">
      <c r="A98" s="52"/>
      <c r="B98" s="27"/>
      <c r="C98" s="27" t="s">
        <v>163</v>
      </c>
      <c r="D98" s="43"/>
      <c r="E98" s="28">
        <f>'[6]PL-CM'!$R$98</f>
        <v>0</v>
      </c>
      <c r="F98" s="28">
        <f>'[6]PL-CM'!$S$98</f>
        <v>4096.83426443203</v>
      </c>
      <c r="G98" s="28">
        <f>'[6]PL-YTD'!$R$98</f>
        <v>0</v>
      </c>
      <c r="H98" s="28">
        <f>'[6]PL-YTD'!$S$98</f>
        <v>34078.21229050279</v>
      </c>
      <c r="I98" s="28">
        <v>0</v>
      </c>
      <c r="J98" s="28">
        <v>0</v>
      </c>
      <c r="K98" s="28">
        <f>'[6]PL-YTD'!$AB$98</f>
        <v>15921.787709497214</v>
      </c>
    </row>
    <row r="99" spans="1:11" ht="4.5" customHeight="1">
      <c r="A99" s="38"/>
      <c r="B99" s="24"/>
      <c r="C99" s="24"/>
      <c r="D99" s="24"/>
      <c r="E99" s="39"/>
      <c r="F99" s="39"/>
      <c r="G99" s="39"/>
      <c r="H99" s="39"/>
      <c r="I99" s="39"/>
      <c r="J99" s="39"/>
      <c r="K99" s="39"/>
    </row>
    <row r="100" spans="1:11" ht="12.75">
      <c r="A100" s="52"/>
      <c r="B100" s="26" t="s">
        <v>164</v>
      </c>
      <c r="C100" s="26"/>
      <c r="D100" s="27"/>
      <c r="E100" s="40">
        <f aca="true" t="shared" si="6" ref="E100:K100">SUM(E75:E98)</f>
        <v>1178376</v>
      </c>
      <c r="F100" s="40">
        <f t="shared" si="6"/>
        <v>1203114.8527006626</v>
      </c>
      <c r="G100" s="40">
        <f t="shared" si="6"/>
        <v>9266677.32</v>
      </c>
      <c r="H100" s="40">
        <f t="shared" si="6"/>
        <v>10007728.09291915</v>
      </c>
      <c r="I100" s="40">
        <f t="shared" si="6"/>
        <v>8771607</v>
      </c>
      <c r="J100" s="40">
        <f t="shared" si="6"/>
        <v>9999228</v>
      </c>
      <c r="K100" s="40">
        <f t="shared" si="6"/>
        <v>4675741.813904851</v>
      </c>
    </row>
    <row r="101" spans="1:11" ht="4.5" customHeight="1">
      <c r="A101" s="38"/>
      <c r="B101" s="24"/>
      <c r="C101" s="24"/>
      <c r="D101" s="24"/>
      <c r="E101" s="39"/>
      <c r="F101" s="39"/>
      <c r="G101" s="39"/>
      <c r="H101" s="39"/>
      <c r="I101" s="39"/>
      <c r="J101" s="39"/>
      <c r="K101" s="39"/>
    </row>
    <row r="102" spans="1:11" ht="12.75">
      <c r="A102" s="23" t="s">
        <v>165</v>
      </c>
      <c r="B102" s="26"/>
      <c r="C102" s="26"/>
      <c r="D102" s="27"/>
      <c r="E102" s="28">
        <f aca="true" t="shared" si="7" ref="E102:K102">E100+E71</f>
        <v>1311646</v>
      </c>
      <c r="F102" s="28">
        <f t="shared" si="7"/>
        <v>1372397.5914716122</v>
      </c>
      <c r="G102" s="28">
        <f t="shared" si="7"/>
        <v>10239969.32</v>
      </c>
      <c r="H102" s="28">
        <f t="shared" si="7"/>
        <v>11415852.692695687</v>
      </c>
      <c r="I102" s="28">
        <f t="shared" si="7"/>
        <v>9750408</v>
      </c>
      <c r="J102" s="28">
        <f t="shared" si="7"/>
        <v>11478519</v>
      </c>
      <c r="K102" s="28">
        <f t="shared" si="7"/>
        <v>5333636.094128314</v>
      </c>
    </row>
    <row r="103" spans="1:11" ht="4.5" customHeight="1">
      <c r="A103" s="38"/>
      <c r="B103" s="24"/>
      <c r="C103" s="24"/>
      <c r="D103" s="24"/>
      <c r="E103" s="39"/>
      <c r="F103" s="39"/>
      <c r="G103" s="39"/>
      <c r="H103" s="39"/>
      <c r="I103" s="39"/>
      <c r="J103" s="39"/>
      <c r="K103" s="39"/>
    </row>
    <row r="104" spans="1:11" ht="12.75">
      <c r="A104" s="23" t="s">
        <v>166</v>
      </c>
      <c r="B104" s="24"/>
      <c r="C104" s="24"/>
      <c r="D104" s="24"/>
      <c r="E104" s="39">
        <f>+E37+E51+E71+E100</f>
        <v>4896591</v>
      </c>
      <c r="F104" s="39">
        <f>+F37+F51+F71+F100</f>
        <v>5198674.51217699</v>
      </c>
      <c r="G104" s="39">
        <f>+G37+G51+G71+G100</f>
        <v>39027697.55</v>
      </c>
      <c r="H104" s="39">
        <f>+H37+H51+H71+H100</f>
        <v>43243519.805835865</v>
      </c>
      <c r="I104" s="39">
        <f>+I37+I51+I71+I100</f>
        <v>36430274</v>
      </c>
      <c r="J104" s="39">
        <f>+J37+J51+J71+J100-1</f>
        <v>38580865</v>
      </c>
      <c r="K104" s="39">
        <f>+K37+K51+K71+K100</f>
        <v>20203939.581415124</v>
      </c>
    </row>
    <row r="105" spans="1:11" ht="4.5" customHeight="1">
      <c r="A105" s="38"/>
      <c r="B105" s="24"/>
      <c r="C105" s="24"/>
      <c r="D105" s="24"/>
      <c r="E105" s="39"/>
      <c r="F105" s="39"/>
      <c r="G105" s="39"/>
      <c r="H105" s="39"/>
      <c r="I105" s="39"/>
      <c r="J105" s="39"/>
      <c r="K105" s="39"/>
    </row>
    <row r="106" spans="1:11" ht="12.75">
      <c r="A106" s="23" t="s">
        <v>167</v>
      </c>
      <c r="B106" s="26"/>
      <c r="C106" s="26"/>
      <c r="D106" s="27"/>
      <c r="E106" s="28">
        <f aca="true" t="shared" si="8" ref="E106:K106">E21-E104</f>
        <v>478212</v>
      </c>
      <c r="F106" s="28">
        <f t="shared" si="8"/>
        <v>946757.3344688211</v>
      </c>
      <c r="G106" s="28">
        <f t="shared" si="8"/>
        <v>5612686.450000003</v>
      </c>
      <c r="H106" s="28">
        <f t="shared" si="8"/>
        <v>7875299.645808831</v>
      </c>
      <c r="I106" s="28">
        <f>I21-I104</f>
        <v>5628159</v>
      </c>
      <c r="J106" s="28">
        <f>J21-J104</f>
        <v>8295504</v>
      </c>
      <c r="K106" s="28">
        <f t="shared" si="8"/>
        <v>3679443.2771401815</v>
      </c>
    </row>
    <row r="107" spans="1:11" ht="12.75">
      <c r="A107" s="54"/>
      <c r="B107" s="27"/>
      <c r="C107" s="27" t="s">
        <v>168</v>
      </c>
      <c r="D107" s="27"/>
      <c r="E107" s="28">
        <f>'[6]PL-CM'!$R$107</f>
        <v>37175</v>
      </c>
      <c r="F107" s="28">
        <f>'[6]PL-CM'!$S$107</f>
        <v>29508.92364990689</v>
      </c>
      <c r="G107" s="28">
        <f>'[6]PL-YTD'!$R$107</f>
        <v>283552</v>
      </c>
      <c r="H107" s="28">
        <f>'[6]PL-YTD'!$S$107</f>
        <v>245460.59217877098</v>
      </c>
      <c r="I107" s="28">
        <v>317397</v>
      </c>
      <c r="J107" s="28">
        <v>310620</v>
      </c>
      <c r="K107" s="28">
        <f>'[6]PL-YTD'!$AB$107</f>
        <v>114681.93296089384</v>
      </c>
    </row>
    <row r="108" spans="1:11" ht="4.5" customHeight="1">
      <c r="A108" s="38"/>
      <c r="B108" s="24"/>
      <c r="C108" s="24"/>
      <c r="D108" s="24"/>
      <c r="E108" s="39"/>
      <c r="F108" s="39"/>
      <c r="G108" s="39"/>
      <c r="H108" s="39"/>
      <c r="I108" s="39"/>
      <c r="J108" s="39"/>
      <c r="K108" s="39"/>
    </row>
    <row r="109" spans="1:11" ht="13.5" thickBot="1">
      <c r="A109" s="23" t="s">
        <v>169</v>
      </c>
      <c r="B109" s="26"/>
      <c r="C109" s="26"/>
      <c r="D109" s="27"/>
      <c r="E109" s="55">
        <f aca="true" t="shared" si="9" ref="E109:J109">E106+E107</f>
        <v>515387</v>
      </c>
      <c r="F109" s="55">
        <f t="shared" si="9"/>
        <v>976266.258118728</v>
      </c>
      <c r="G109" s="55">
        <f t="shared" si="9"/>
        <v>5896238.450000003</v>
      </c>
      <c r="H109" s="56">
        <f t="shared" si="9"/>
        <v>8120760.237987602</v>
      </c>
      <c r="I109" s="56">
        <f t="shared" si="9"/>
        <v>5945556</v>
      </c>
      <c r="J109" s="56">
        <f t="shared" si="9"/>
        <v>8606124</v>
      </c>
      <c r="K109" s="56">
        <f>K106+K107</f>
        <v>3794125.2101010755</v>
      </c>
    </row>
    <row r="110" spans="1:11" ht="4.5" customHeight="1" thickTop="1">
      <c r="A110" s="52"/>
      <c r="B110" s="30"/>
      <c r="C110" s="30"/>
      <c r="D110" s="30"/>
      <c r="E110" s="57"/>
      <c r="F110" s="57"/>
      <c r="G110" s="57"/>
      <c r="H110" s="57"/>
      <c r="I110" s="57"/>
      <c r="J110" s="57"/>
      <c r="K110" s="57"/>
    </row>
    <row r="111" spans="1:11" ht="12.75">
      <c r="A111" s="52"/>
      <c r="C111" s="27" t="s">
        <v>11</v>
      </c>
      <c r="E111" s="28">
        <f>'[6]PL-CM'!$R$111</f>
        <v>138252</v>
      </c>
      <c r="F111" s="28">
        <f>'[6]PL-CM'!$S$111</f>
        <v>0</v>
      </c>
      <c r="G111" s="28">
        <f>'[6]PL-YTD'!$R$111</f>
        <v>1471546</v>
      </c>
      <c r="H111" s="28">
        <f>'[6]PL-YTD'!$S$111</f>
        <v>0</v>
      </c>
      <c r="I111" s="58">
        <v>1961245</v>
      </c>
      <c r="J111" s="28">
        <v>2339732</v>
      </c>
      <c r="K111" s="28">
        <f>'[6]PL-YTD'!$AB$111</f>
        <v>0</v>
      </c>
    </row>
    <row r="112" spans="1:11" ht="4.5" customHeight="1">
      <c r="A112" s="52"/>
      <c r="E112" s="59"/>
      <c r="F112" s="60"/>
      <c r="G112" s="60"/>
      <c r="H112" s="60"/>
      <c r="I112" s="60"/>
      <c r="J112" s="60"/>
      <c r="K112" s="60"/>
    </row>
    <row r="113" spans="1:11" ht="13.5" thickBot="1">
      <c r="A113" s="23" t="s">
        <v>170</v>
      </c>
      <c r="E113" s="55">
        <f aca="true" t="shared" si="10" ref="E113:J113">E109-E111</f>
        <v>377135</v>
      </c>
      <c r="F113" s="55">
        <f t="shared" si="10"/>
        <v>976266.258118728</v>
      </c>
      <c r="G113" s="55">
        <f t="shared" si="10"/>
        <v>4424692.450000003</v>
      </c>
      <c r="H113" s="56">
        <f t="shared" si="10"/>
        <v>8120760.237987602</v>
      </c>
      <c r="I113" s="55">
        <f t="shared" si="10"/>
        <v>3984311</v>
      </c>
      <c r="J113" s="56">
        <f t="shared" si="10"/>
        <v>6266392</v>
      </c>
      <c r="K113" s="56">
        <f>K109-K111</f>
        <v>3794125.2101010755</v>
      </c>
    </row>
    <row r="114" spans="1:11" ht="4.5" customHeight="1" thickTop="1">
      <c r="A114" s="23"/>
      <c r="E114" s="61"/>
      <c r="F114" s="61"/>
      <c r="G114" s="61"/>
      <c r="H114" s="61"/>
      <c r="I114" s="62"/>
      <c r="J114" s="63"/>
      <c r="K114" s="61"/>
    </row>
    <row r="115" spans="1:11" ht="12.75">
      <c r="A115" s="52"/>
      <c r="C115" s="27" t="s">
        <v>171</v>
      </c>
      <c r="E115" s="28">
        <f>'[6]PL-CM'!$R$115</f>
        <v>0</v>
      </c>
      <c r="F115" s="28">
        <f>'[6]PL-CM'!$S$115</f>
        <v>0</v>
      </c>
      <c r="G115" s="28">
        <f>'[6]PL-YTD'!$R$115</f>
        <v>1545642</v>
      </c>
      <c r="H115" s="28">
        <f>'[6]PL-YTD'!$S$115</f>
        <v>0</v>
      </c>
      <c r="I115" s="64">
        <v>1914879</v>
      </c>
      <c r="J115" s="65">
        <v>0</v>
      </c>
      <c r="K115" s="28">
        <f>'[6]PL-YTD'!$AB$115</f>
        <v>0</v>
      </c>
    </row>
    <row r="116" spans="1:11" ht="4.5" customHeight="1">
      <c r="A116" s="52"/>
      <c r="E116" s="59"/>
      <c r="F116" s="60"/>
      <c r="G116" s="60"/>
      <c r="H116" s="60"/>
      <c r="I116" s="66"/>
      <c r="J116" s="67"/>
      <c r="K116" s="60"/>
    </row>
    <row r="117" spans="1:11" ht="13.5" thickBot="1">
      <c r="A117" s="68" t="s">
        <v>172</v>
      </c>
      <c r="E117" s="55">
        <f aca="true" t="shared" si="11" ref="E117:J117">E113-E115</f>
        <v>377135</v>
      </c>
      <c r="F117" s="55">
        <f t="shared" si="11"/>
        <v>976266.258118728</v>
      </c>
      <c r="G117" s="55">
        <f t="shared" si="11"/>
        <v>2879050.450000003</v>
      </c>
      <c r="H117" s="56">
        <f t="shared" si="11"/>
        <v>8120760.237987602</v>
      </c>
      <c r="I117" s="56">
        <f t="shared" si="11"/>
        <v>2069432</v>
      </c>
      <c r="J117" s="56">
        <f t="shared" si="11"/>
        <v>6266392</v>
      </c>
      <c r="K117" s="56">
        <f>K113-K115</f>
        <v>3794125.2101010755</v>
      </c>
    </row>
    <row r="118" spans="1:11" ht="4.5" customHeight="1" thickTop="1">
      <c r="A118" s="69"/>
      <c r="B118" s="17"/>
      <c r="C118" s="17"/>
      <c r="D118" s="17"/>
      <c r="E118" s="17"/>
      <c r="F118" s="17"/>
      <c r="G118" s="17"/>
      <c r="H118" s="70"/>
      <c r="I118" s="70"/>
      <c r="J118" s="71"/>
      <c r="K118" s="72"/>
    </row>
    <row r="119" spans="9:12" ht="12.75">
      <c r="I119" s="350" t="s">
        <v>173</v>
      </c>
      <c r="J119" s="350"/>
      <c r="K119" s="41"/>
      <c r="L119" s="41"/>
    </row>
    <row r="120" spans="5:11" ht="12.75">
      <c r="E120" s="41">
        <f>E117-'[6]PL-CM'!R117</f>
        <v>0</v>
      </c>
      <c r="F120" s="41">
        <f>F117-'[6]PL-CM'!S117</f>
        <v>0</v>
      </c>
      <c r="G120" s="41">
        <f>G117-'[6]PL-YTD'!R117</f>
        <v>0</v>
      </c>
      <c r="H120" s="41">
        <f>H117-'[6]PL-YTD'!S117</f>
        <v>0</v>
      </c>
      <c r="I120" s="41"/>
      <c r="J120" s="41"/>
      <c r="K120" s="41"/>
    </row>
    <row r="152" ht="12.75">
      <c r="I152" s="3" t="s">
        <v>85</v>
      </c>
    </row>
  </sheetData>
  <mergeCells count="8">
    <mergeCell ref="G7:H7"/>
    <mergeCell ref="I7:J7"/>
    <mergeCell ref="I119:J119"/>
    <mergeCell ref="A1:K1"/>
    <mergeCell ref="A2:K2"/>
    <mergeCell ref="A3:K3"/>
    <mergeCell ref="G5:H5"/>
    <mergeCell ref="I5:J5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3"/>
  <sheetViews>
    <sheetView workbookViewId="0" topLeftCell="H109">
      <selection activeCell="J124" sqref="J124"/>
    </sheetView>
  </sheetViews>
  <sheetFormatPr defaultColWidth="9.140625" defaultRowHeight="12.75" outlineLevelRow="1"/>
  <cols>
    <col min="1" max="1" width="1.7109375" style="3" customWidth="1"/>
    <col min="2" max="2" width="2.7109375" style="3" customWidth="1"/>
    <col min="3" max="3" width="1.7109375" style="3" customWidth="1"/>
    <col min="4" max="4" width="40.7109375" style="3" customWidth="1"/>
    <col min="5" max="8" width="10.7109375" style="3" customWidth="1"/>
    <col min="9" max="9" width="11.57421875" style="3" customWidth="1"/>
    <col min="10" max="10" width="10.7109375" style="3" customWidth="1"/>
    <col min="11" max="11" width="15.421875" style="3" customWidth="1"/>
    <col min="12" max="12" width="11.28125" style="3" bestFit="1" customWidth="1"/>
    <col min="13" max="16384" width="9.140625" style="3" customWidth="1"/>
  </cols>
  <sheetData>
    <row r="1" spans="1:11" ht="12.75">
      <c r="A1" s="353" t="s">
        <v>82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</row>
    <row r="2" spans="1:11" ht="12.75">
      <c r="A2" s="353" t="s">
        <v>84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</row>
    <row r="3" spans="1:11" ht="12.75">
      <c r="A3" s="353" t="str">
        <f>'[7]PL-YTD'!A3</f>
        <v>FOR THE MONTH OF 31 DECEMBER 2002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</row>
    <row r="4" spans="1:4" ht="12.75">
      <c r="A4" s="4" t="s">
        <v>85</v>
      </c>
      <c r="B4" s="2"/>
      <c r="C4" s="2"/>
      <c r="D4" s="5"/>
    </row>
    <row r="5" spans="1:11" ht="12.75">
      <c r="A5" s="6"/>
      <c r="B5" s="7"/>
      <c r="C5" s="7"/>
      <c r="D5" s="7"/>
      <c r="E5" s="8" t="s">
        <v>86</v>
      </c>
      <c r="F5" s="9"/>
      <c r="G5" s="354" t="s">
        <v>86</v>
      </c>
      <c r="H5" s="355"/>
      <c r="I5" s="354" t="s">
        <v>86</v>
      </c>
      <c r="J5" s="355"/>
      <c r="K5" s="10" t="s">
        <v>86</v>
      </c>
    </row>
    <row r="6" spans="1:11" ht="12.75">
      <c r="A6" s="11" t="s">
        <v>87</v>
      </c>
      <c r="B6" s="12"/>
      <c r="C6" s="12"/>
      <c r="D6" s="12"/>
      <c r="E6" s="13" t="s">
        <v>2</v>
      </c>
      <c r="F6" s="14" t="s">
        <v>88</v>
      </c>
      <c r="G6" s="15" t="s">
        <v>2</v>
      </c>
      <c r="H6" s="14" t="s">
        <v>88</v>
      </c>
      <c r="I6" s="15" t="s">
        <v>2</v>
      </c>
      <c r="J6" s="14" t="s">
        <v>88</v>
      </c>
      <c r="K6" s="15" t="s">
        <v>89</v>
      </c>
    </row>
    <row r="7" spans="1:11" ht="12.75">
      <c r="A7" s="16"/>
      <c r="B7" s="17"/>
      <c r="C7" s="17"/>
      <c r="D7" s="17"/>
      <c r="E7" s="18" t="s">
        <v>2</v>
      </c>
      <c r="F7" s="9"/>
      <c r="G7" s="351" t="s">
        <v>90</v>
      </c>
      <c r="H7" s="352"/>
      <c r="I7" s="351" t="s">
        <v>91</v>
      </c>
      <c r="J7" s="352"/>
      <c r="K7" s="19" t="s">
        <v>90</v>
      </c>
    </row>
    <row r="8" spans="1:11" ht="4.5" customHeight="1">
      <c r="A8" s="20"/>
      <c r="B8" s="21"/>
      <c r="C8" s="21"/>
      <c r="D8" s="21"/>
      <c r="E8" s="22"/>
      <c r="F8" s="22"/>
      <c r="G8" s="22"/>
      <c r="H8" s="22"/>
      <c r="I8" s="22"/>
      <c r="J8" s="22"/>
      <c r="K8" s="22"/>
    </row>
    <row r="9" spans="1:11" ht="12.75">
      <c r="A9" s="23" t="s">
        <v>92</v>
      </c>
      <c r="B9" s="24"/>
      <c r="C9" s="24"/>
      <c r="D9" s="24"/>
      <c r="E9" s="25"/>
      <c r="F9" s="25"/>
      <c r="G9" s="25"/>
      <c r="H9" s="25"/>
      <c r="I9" s="25"/>
      <c r="J9" s="25"/>
      <c r="K9" s="25"/>
    </row>
    <row r="10" spans="1:11" ht="12.75">
      <c r="A10" s="23"/>
      <c r="B10" s="26"/>
      <c r="C10" s="27" t="s">
        <v>93</v>
      </c>
      <c r="E10" s="28">
        <f>'[7]PL-CM'!$R$10</f>
        <v>4874404</v>
      </c>
      <c r="F10" s="28">
        <f>'[7]PL-CM'!$S$10</f>
        <v>4885240.8821642455</v>
      </c>
      <c r="G10" s="28">
        <f>'[7]PL-YTD'!$R$10</f>
        <v>46642879</v>
      </c>
      <c r="H10" s="28">
        <f>'[7]PL-YTD'!$S$10</f>
        <v>50731347.62247485</v>
      </c>
      <c r="I10" s="28">
        <v>44697297</v>
      </c>
      <c r="J10" s="28">
        <v>49858356</v>
      </c>
      <c r="K10" s="28">
        <f>'[7]PL-YTD'!AB10</f>
        <v>22123670.93732515</v>
      </c>
    </row>
    <row r="11" spans="1:11" ht="12.75">
      <c r="A11" s="23"/>
      <c r="B11" s="26"/>
      <c r="C11" s="29" t="s">
        <v>94</v>
      </c>
      <c r="D11" s="30"/>
      <c r="E11" s="28">
        <f>+'[7]PL-CM'!R11</f>
        <v>182912</v>
      </c>
      <c r="F11" s="28">
        <f>+'[7]PL-CM'!S11</f>
        <v>229050.9217877095</v>
      </c>
      <c r="G11" s="28">
        <f>'[7]PL-YTD'!$R$11</f>
        <v>1771719</v>
      </c>
      <c r="H11" s="28">
        <f>'[7]PL-YTD'!$S$11</f>
        <v>2378605.7262569834</v>
      </c>
      <c r="I11" s="28">
        <v>641146</v>
      </c>
      <c r="J11" s="28">
        <v>0</v>
      </c>
      <c r="K11" s="28">
        <f>'[7]PL-YTD'!AB11</f>
        <v>-2378605.7262569834</v>
      </c>
    </row>
    <row r="12" spans="1:11" ht="12.75" outlineLevel="1">
      <c r="A12" s="23"/>
      <c r="B12" s="26"/>
      <c r="C12" s="29" t="s">
        <v>95</v>
      </c>
      <c r="D12" s="30"/>
      <c r="E12" s="28">
        <f>+'[7]PL-CM'!R12</f>
        <v>38307</v>
      </c>
      <c r="F12" s="28">
        <f>+'[7]PL-CM'!S12</f>
        <v>169780.60354860334</v>
      </c>
      <c r="G12" s="28">
        <f>'[7]PL-YTD'!$R$12</f>
        <v>365254</v>
      </c>
      <c r="H12" s="28">
        <f>'[7]PL-YTD'!$S$12</f>
        <v>1763106.2676201116</v>
      </c>
      <c r="I12" s="28">
        <v>539342</v>
      </c>
      <c r="J12" s="28">
        <v>583871</v>
      </c>
      <c r="K12" s="28">
        <f>'[7]PL-YTD'!AB12</f>
        <v>-1763106.2676201116</v>
      </c>
    </row>
    <row r="13" spans="1:14" ht="12.75" customHeight="1" hidden="1" outlineLevel="1">
      <c r="A13" s="23"/>
      <c r="B13" s="26"/>
      <c r="C13" s="29" t="s">
        <v>96</v>
      </c>
      <c r="D13" s="30"/>
      <c r="E13" s="28">
        <f>+'[7]PL-CM'!R13</f>
        <v>739868</v>
      </c>
      <c r="F13" s="28">
        <f>+'[7]PL-CM'!S13</f>
        <v>141620.1117318436</v>
      </c>
      <c r="G13" s="28">
        <f>'[7]PL-YTD'!$R$13</f>
        <v>157226</v>
      </c>
      <c r="H13" s="28">
        <f>'[7]PL-YTD'!$S$13</f>
        <v>0</v>
      </c>
      <c r="I13" s="28">
        <v>-31724</v>
      </c>
      <c r="J13" s="28">
        <v>-27314</v>
      </c>
      <c r="K13" s="28">
        <f>'[7]PL-YTD'!AB13</f>
        <v>0</v>
      </c>
      <c r="M13" s="31" t="s">
        <v>97</v>
      </c>
      <c r="N13" s="31"/>
    </row>
    <row r="14" spans="1:11" ht="12.75" outlineLevel="1">
      <c r="A14" s="23"/>
      <c r="B14" s="26"/>
      <c r="C14" s="29" t="s">
        <v>98</v>
      </c>
      <c r="D14" s="30"/>
      <c r="E14" s="28">
        <f>+'[7]PL-CM'!R14</f>
        <v>31416</v>
      </c>
      <c r="F14" s="28">
        <f>+'[7]PL-CM'!S14</f>
        <v>70044.14016759777</v>
      </c>
      <c r="G14" s="28">
        <f>'[7]PL-YTD'!$R$14</f>
        <v>411733</v>
      </c>
      <c r="H14" s="28">
        <f>'[7]PL-YTD'!$S$14</f>
        <v>727381.4555865922</v>
      </c>
      <c r="I14" s="28">
        <v>388163</v>
      </c>
      <c r="J14" s="28">
        <v>0</v>
      </c>
      <c r="K14" s="28">
        <f>'[7]PL-YTD'!AB14</f>
        <v>-727381.4555865922</v>
      </c>
    </row>
    <row r="15" spans="1:11" ht="12.75" outlineLevel="1">
      <c r="A15" s="23"/>
      <c r="B15" s="26"/>
      <c r="C15" s="29" t="s">
        <v>99</v>
      </c>
      <c r="D15" s="30"/>
      <c r="E15" s="28">
        <f>+'[7]PL-CM'!R15</f>
        <v>45353</v>
      </c>
      <c r="F15" s="28">
        <f>+'[7]PL-CM'!S15</f>
        <v>87150.83798882682</v>
      </c>
      <c r="G15" s="28">
        <f>'[7]PL-YTD'!$R$15</f>
        <v>439811</v>
      </c>
      <c r="H15" s="28">
        <f>'[7]PL-YTD'!$S$15</f>
        <v>905027.9329608938</v>
      </c>
      <c r="I15" s="28">
        <v>689187</v>
      </c>
      <c r="J15" s="28">
        <v>2263800</v>
      </c>
      <c r="K15" s="28">
        <f>'[7]PL-YTD'!AB15</f>
        <v>294972.0670391057</v>
      </c>
    </row>
    <row r="16" spans="1:11" s="36" customFormat="1" ht="12.75" hidden="1">
      <c r="A16" s="32"/>
      <c r="B16" s="33"/>
      <c r="C16" s="33" t="s">
        <v>100</v>
      </c>
      <c r="D16" s="34"/>
      <c r="E16" s="35">
        <f>+'[7]PL-CM'!R16</f>
        <v>-570331</v>
      </c>
      <c r="F16" s="35">
        <f>+'[7]PL-CM'!S16</f>
        <v>25418.99441340782</v>
      </c>
      <c r="G16" s="35">
        <f>'[7]PL-YTD'!$R$11</f>
        <v>1771719</v>
      </c>
      <c r="H16" s="35">
        <f>'[7]PL-YTD'!$S$11</f>
        <v>2378605.7262569834</v>
      </c>
      <c r="I16" s="35">
        <v>641146</v>
      </c>
      <c r="J16" s="35"/>
      <c r="K16" s="28">
        <f>'[7]PL-YTD'!AB16</f>
        <v>236033.51955307263</v>
      </c>
    </row>
    <row r="17" spans="1:11" s="36" customFormat="1" ht="12.75" hidden="1">
      <c r="A17" s="32"/>
      <c r="B17" s="33"/>
      <c r="C17" s="33" t="s">
        <v>101</v>
      </c>
      <c r="D17" s="34"/>
      <c r="E17" s="35">
        <f>+'[7]PL-CM'!R17</f>
        <v>-90275</v>
      </c>
      <c r="F17" s="35">
        <f>+'[7]PL-CM'!S17</f>
        <v>-79888.26815642459</v>
      </c>
      <c r="G17" s="35">
        <f>'[7]PL-YTD'!$R$11</f>
        <v>1771719</v>
      </c>
      <c r="H17" s="35">
        <f>'[7]PL-YTD'!$S$11</f>
        <v>2378605.7262569834</v>
      </c>
      <c r="I17" s="35">
        <v>641146</v>
      </c>
      <c r="J17" s="35"/>
      <c r="K17" s="28">
        <f>'[7]PL-YTD'!AB17</f>
        <v>1529608.9385474853</v>
      </c>
    </row>
    <row r="18" spans="1:11" ht="12" customHeight="1">
      <c r="A18" s="37"/>
      <c r="B18" s="27"/>
      <c r="C18" s="27" t="s">
        <v>102</v>
      </c>
      <c r="D18" s="30"/>
      <c r="E18" s="28">
        <f>+'[7]PL-CM'!R18</f>
        <v>1926</v>
      </c>
      <c r="F18" s="28">
        <f>+'[7]PL-CM'!S18</f>
        <v>5819.932960893855</v>
      </c>
      <c r="G18" s="28">
        <f>'[7]PL-YTD'!$R$18</f>
        <v>31096</v>
      </c>
      <c r="H18" s="28">
        <f>'[7]PL-YTD'!$S$18</f>
        <v>60437.765363128485</v>
      </c>
      <c r="I18" s="28">
        <v>15102</v>
      </c>
      <c r="J18" s="28">
        <v>45741</v>
      </c>
      <c r="K18" s="28">
        <f>'[7]PL-YTD'!AB18</f>
        <v>984152.1646368715</v>
      </c>
    </row>
    <row r="19" spans="1:11" ht="12.75">
      <c r="A19" s="37"/>
      <c r="B19" s="27"/>
      <c r="C19" s="27" t="s">
        <v>103</v>
      </c>
      <c r="D19" s="30"/>
      <c r="E19" s="28">
        <f>+'[7]PL-CM'!R19</f>
        <v>-29940</v>
      </c>
      <c r="F19" s="28">
        <f>+'[7]PL-CM'!S19</f>
        <v>0</v>
      </c>
      <c r="G19" s="28">
        <f>'[7]PL-YTD'!$R$19</f>
        <v>-126245</v>
      </c>
      <c r="H19" s="28">
        <f>'[7]PL-YTD'!$S$19</f>
        <v>0</v>
      </c>
      <c r="I19" s="28">
        <v>-34068</v>
      </c>
      <c r="J19" s="28">
        <v>0</v>
      </c>
      <c r="K19" s="28">
        <f>'[7]PL-YTD'!AB19</f>
        <v>-97406.17959999999</v>
      </c>
    </row>
    <row r="20" spans="1:11" ht="4.5" customHeight="1">
      <c r="A20" s="38"/>
      <c r="B20" s="24"/>
      <c r="C20" s="24"/>
      <c r="D20" s="24"/>
      <c r="E20" s="39"/>
      <c r="F20" s="39"/>
      <c r="G20" s="39"/>
      <c r="H20" s="39"/>
      <c r="I20" s="39"/>
      <c r="J20" s="39"/>
      <c r="K20" s="39"/>
    </row>
    <row r="21" spans="1:12" ht="12.75">
      <c r="A21" s="23" t="s">
        <v>104</v>
      </c>
      <c r="B21" s="26"/>
      <c r="C21" s="26"/>
      <c r="D21" s="27"/>
      <c r="E21" s="40">
        <f>+E10+E11+E12+E14+E15+E18+E19</f>
        <v>5144378</v>
      </c>
      <c r="F21" s="40">
        <f>+F10+F11+F12+F14+F15+F18+F19</f>
        <v>5447087.318617877</v>
      </c>
      <c r="G21" s="40">
        <f>+G10+G11+G12+G14+G15+G18+G19</f>
        <v>49536247</v>
      </c>
      <c r="H21" s="40">
        <f>+H10+H11+H12+H14+H15+H18+H19</f>
        <v>56565906.77026255</v>
      </c>
      <c r="I21" s="40">
        <f>SUM(I10:I19)-I16-I17-I13</f>
        <v>46936169</v>
      </c>
      <c r="J21" s="40">
        <f>SUM(J10:J19)-J13</f>
        <v>52751768</v>
      </c>
      <c r="K21" s="40">
        <f>+K10+K11+K12+K14+K15+K18+K19</f>
        <v>18436295.53993744</v>
      </c>
      <c r="L21" s="41"/>
    </row>
    <row r="22" spans="1:11" ht="4.5" customHeight="1">
      <c r="A22" s="20"/>
      <c r="B22" s="21"/>
      <c r="C22" s="21"/>
      <c r="D22" s="24"/>
      <c r="E22" s="39"/>
      <c r="F22" s="39"/>
      <c r="G22" s="39"/>
      <c r="H22" s="39"/>
      <c r="I22" s="39"/>
      <c r="J22" s="39"/>
      <c r="K22" s="39"/>
    </row>
    <row r="23" spans="1:11" ht="12.75">
      <c r="A23" s="23" t="s">
        <v>105</v>
      </c>
      <c r="B23" s="26"/>
      <c r="C23" s="26"/>
      <c r="D23" s="27"/>
      <c r="E23" s="42"/>
      <c r="F23" s="42"/>
      <c r="G23" s="42"/>
      <c r="H23" s="42"/>
      <c r="I23" s="42"/>
      <c r="J23" s="42"/>
      <c r="K23" s="42"/>
    </row>
    <row r="24" spans="1:11" ht="12.75">
      <c r="A24" s="23"/>
      <c r="B24" s="26" t="s">
        <v>106</v>
      </c>
      <c r="C24" s="26"/>
      <c r="D24" s="27"/>
      <c r="E24" s="42"/>
      <c r="F24" s="42"/>
      <c r="G24" s="42"/>
      <c r="H24" s="42"/>
      <c r="I24" s="42"/>
      <c r="J24" s="42"/>
      <c r="K24" s="42"/>
    </row>
    <row r="25" spans="1:11" ht="12.75">
      <c r="A25" s="37" t="s">
        <v>85</v>
      </c>
      <c r="B25" s="43"/>
      <c r="C25" s="27" t="s">
        <v>107</v>
      </c>
      <c r="D25" s="27"/>
      <c r="E25" s="28">
        <f>'[7]PL-CM'!$R$25</f>
        <v>481949</v>
      </c>
      <c r="F25" s="28">
        <f>'[7]PL-CM'!$S$25</f>
        <v>309246.5772522224</v>
      </c>
      <c r="G25" s="28">
        <f>'[7]PL-YTD'!$R$25</f>
        <v>3399094</v>
      </c>
      <c r="H25" s="28">
        <f>'[7]PL-YTD'!$S$25</f>
        <v>3211406.7637730786</v>
      </c>
      <c r="I25" s="28">
        <v>2513663</v>
      </c>
      <c r="J25" s="28">
        <v>4134909</v>
      </c>
      <c r="K25" s="28">
        <f>'[7]PL-YTD'!AB25</f>
        <v>1046680.723007522</v>
      </c>
    </row>
    <row r="26" spans="1:11" ht="12.75">
      <c r="A26" s="37" t="s">
        <v>85</v>
      </c>
      <c r="B26" s="43"/>
      <c r="C26" s="27" t="s">
        <v>108</v>
      </c>
      <c r="D26" s="27"/>
      <c r="E26" s="28">
        <f>'[7]PL-CM'!$R$26</f>
        <v>213166</v>
      </c>
      <c r="F26" s="28">
        <f>'[7]PL-CM'!$S$26</f>
        <v>849364.0004279889</v>
      </c>
      <c r="G26" s="28">
        <f>'[7]PL-YTD'!$R$26</f>
        <v>5666028.23</v>
      </c>
      <c r="H26" s="28">
        <f>'[7]PL-YTD'!$S$26</f>
        <v>8820318.465982962</v>
      </c>
      <c r="I26" s="28">
        <v>7475694</v>
      </c>
      <c r="J26" s="28">
        <v>5522831</v>
      </c>
      <c r="K26" s="28">
        <f>'[7]PL-YTD'!AB26</f>
        <v>2982468.9629870374</v>
      </c>
    </row>
    <row r="27" spans="1:11" ht="12.75">
      <c r="A27" s="37"/>
      <c r="B27" s="43"/>
      <c r="C27" s="44" t="s">
        <v>109</v>
      </c>
      <c r="D27" s="27"/>
      <c r="E27" s="28">
        <f>'[7]PL-CM'!$R$27</f>
        <v>515629</v>
      </c>
      <c r="F27" s="28">
        <f>'[7]PL-CM'!$S$27</f>
        <v>0</v>
      </c>
      <c r="G27" s="28">
        <f>'[7]PL-YTD'!$R$27</f>
        <v>1998625</v>
      </c>
      <c r="H27" s="28">
        <f>'[7]PL-YTD'!$S$27</f>
        <v>0</v>
      </c>
      <c r="I27" s="28">
        <v>0</v>
      </c>
      <c r="J27" s="28">
        <v>0</v>
      </c>
      <c r="K27" s="28">
        <f>'[7]PL-YTD'!AB27</f>
        <v>0</v>
      </c>
    </row>
    <row r="28" spans="1:11" ht="12.75">
      <c r="A28" s="37"/>
      <c r="B28" s="43"/>
      <c r="C28" s="27" t="s">
        <v>110</v>
      </c>
      <c r="D28" s="27"/>
      <c r="E28" s="28">
        <f>+'[7]PL-CM'!R28</f>
        <v>126494</v>
      </c>
      <c r="F28" s="28">
        <f>'[7]PL-CM'!$S$28</f>
        <v>127654.08100558662</v>
      </c>
      <c r="G28" s="28">
        <f>'[7]PL-YTD'!$R$28</f>
        <v>1234716</v>
      </c>
      <c r="H28" s="28">
        <f>'[7]PL-YTD'!$S$28</f>
        <v>1325638.5335195533</v>
      </c>
      <c r="I28" s="28">
        <v>340333</v>
      </c>
      <c r="J28" s="28">
        <v>0</v>
      </c>
      <c r="K28" s="28">
        <f>'[7]PL-YTD'!AB28</f>
        <v>324361.466480447</v>
      </c>
    </row>
    <row r="29" spans="1:11" ht="12.75">
      <c r="A29" s="37"/>
      <c r="B29" s="43"/>
      <c r="C29" s="27" t="s">
        <v>243</v>
      </c>
      <c r="D29" s="27"/>
      <c r="E29" s="28">
        <f>'[7]PL-CM'!R29</f>
        <v>70578</v>
      </c>
      <c r="F29" s="28">
        <v>0</v>
      </c>
      <c r="G29" s="28">
        <f>'[7]PL-YTD'!$R$29</f>
        <v>70578</v>
      </c>
      <c r="H29" s="28">
        <f>'[7]PL-YTD'!$S$29</f>
        <v>0</v>
      </c>
      <c r="I29" s="28">
        <v>0</v>
      </c>
      <c r="J29" s="28">
        <v>0</v>
      </c>
      <c r="K29" s="28">
        <v>0</v>
      </c>
    </row>
    <row r="30" spans="1:11" ht="12.75">
      <c r="A30" s="37" t="s">
        <v>85</v>
      </c>
      <c r="B30" s="43"/>
      <c r="C30" s="27" t="s">
        <v>111</v>
      </c>
      <c r="D30" s="27"/>
      <c r="E30" s="28">
        <f>'[7]PL-CM'!$R$30</f>
        <v>13981</v>
      </c>
      <c r="F30" s="28">
        <f>'[7]PL-CM'!$S$30</f>
        <v>46816.61960670391</v>
      </c>
      <c r="G30" s="28">
        <f>'[7]PL-YTD'!$R$30</f>
        <v>365367</v>
      </c>
      <c r="H30" s="28">
        <f>'[7]PL-YTD'!$S$30</f>
        <v>486172.5882234636</v>
      </c>
      <c r="I30" s="28">
        <v>332707</v>
      </c>
      <c r="J30" s="28">
        <v>496720</v>
      </c>
      <c r="K30" s="28">
        <f>'[7]PL-YTD'!AB30</f>
        <v>158456.2509765363</v>
      </c>
    </row>
    <row r="31" spans="1:11" ht="12.75">
      <c r="A31" s="37"/>
      <c r="B31" s="43"/>
      <c r="C31" s="27" t="s">
        <v>112</v>
      </c>
      <c r="D31" s="27"/>
      <c r="E31" s="28">
        <f aca="true" t="shared" si="0" ref="E31:J31">SUM(E32:E33)</f>
        <v>122304</v>
      </c>
      <c r="F31" s="28">
        <f t="shared" si="0"/>
        <v>157607.44821895572</v>
      </c>
      <c r="G31" s="28">
        <f t="shared" si="0"/>
        <v>1341223</v>
      </c>
      <c r="H31" s="28">
        <f t="shared" si="0"/>
        <v>1636692.7315045397</v>
      </c>
      <c r="I31" s="28">
        <f t="shared" si="0"/>
        <v>1520903</v>
      </c>
      <c r="J31" s="28">
        <f t="shared" si="0"/>
        <v>1626680</v>
      </c>
      <c r="K31" s="28">
        <f>'[7]PL-YTD'!AB32+'[7]PL-YTD'!AB33</f>
        <v>533440.5939718504</v>
      </c>
    </row>
    <row r="32" spans="1:11" s="45" customFormat="1" ht="12.75" hidden="1">
      <c r="A32" s="37" t="s">
        <v>85</v>
      </c>
      <c r="B32" s="43"/>
      <c r="C32" s="27" t="s">
        <v>113</v>
      </c>
      <c r="D32" s="27"/>
      <c r="E32" s="28">
        <f>'[7]PL-CM'!$R$32</f>
        <v>34694</v>
      </c>
      <c r="F32" s="28">
        <f>'[7]PL-CM'!$S$32</f>
        <v>1252.793296234637</v>
      </c>
      <c r="G32" s="28">
        <f>'[7]PL-YTD'!$R$32</f>
        <v>419922</v>
      </c>
      <c r="H32" s="28">
        <f>'[7]PL-YTD'!$S$32</f>
        <v>13009.77653782123</v>
      </c>
      <c r="I32" s="28">
        <v>549219</v>
      </c>
      <c r="J32" s="28">
        <v>547131</v>
      </c>
      <c r="K32" s="28">
        <f>'[7]PL-YTD'!AB32</f>
        <v>790298.5923017787</v>
      </c>
    </row>
    <row r="33" spans="1:11" s="45" customFormat="1" ht="12.75" hidden="1">
      <c r="A33" s="37"/>
      <c r="B33" s="43"/>
      <c r="C33" s="27" t="s">
        <v>114</v>
      </c>
      <c r="D33" s="27"/>
      <c r="E33" s="28">
        <f>'[7]PL-CM'!$R$33</f>
        <v>87610</v>
      </c>
      <c r="F33" s="28">
        <f>'[7]PL-CM'!$S$33</f>
        <v>156354.6549227211</v>
      </c>
      <c r="G33" s="28">
        <f>'[7]PL-YTD'!$R$33</f>
        <v>921301</v>
      </c>
      <c r="H33" s="28">
        <f>'[7]PL-YTD'!$S$33</f>
        <v>1623682.9549667186</v>
      </c>
      <c r="I33" s="28">
        <v>971684</v>
      </c>
      <c r="J33" s="28">
        <v>1079549</v>
      </c>
      <c r="K33" s="28">
        <f>'[7]PL-YTD'!AB33</f>
        <v>-256857.99832992838</v>
      </c>
    </row>
    <row r="34" spans="1:11" s="45" customFormat="1" ht="12.75">
      <c r="A34" s="37"/>
      <c r="B34" s="43"/>
      <c r="C34" s="27" t="s">
        <v>115</v>
      </c>
      <c r="D34" s="27"/>
      <c r="E34" s="28">
        <f>SUM(E35:E36)</f>
        <v>0</v>
      </c>
      <c r="F34" s="28">
        <f>SUM(F35:F36)</f>
        <v>0</v>
      </c>
      <c r="G34" s="28">
        <f>SUM(G35:G36)</f>
        <v>0</v>
      </c>
      <c r="H34" s="28">
        <f>SUM(H35:H36)</f>
        <v>0</v>
      </c>
      <c r="I34" s="28">
        <v>0</v>
      </c>
      <c r="J34" s="28">
        <v>0</v>
      </c>
      <c r="K34" s="28">
        <f>'[7]PL-YTD'!AB34</f>
        <v>0</v>
      </c>
    </row>
    <row r="35" spans="1:11" s="45" customFormat="1" ht="12.75" hidden="1">
      <c r="A35" s="37" t="s">
        <v>85</v>
      </c>
      <c r="B35" s="43"/>
      <c r="C35" s="27" t="s">
        <v>116</v>
      </c>
      <c r="D35" s="27"/>
      <c r="E35" s="28">
        <f>'[7]PL-CM'!$R$35</f>
        <v>0</v>
      </c>
      <c r="F35" s="28">
        <f>'[7]PL-CM'!$S$35</f>
        <v>0</v>
      </c>
      <c r="G35" s="28">
        <f>'[7]PL-YTD'!$R$35</f>
        <v>0</v>
      </c>
      <c r="H35" s="28">
        <f>'[7]PL-YTD'!$S$35</f>
        <v>0</v>
      </c>
      <c r="I35" s="28">
        <v>0</v>
      </c>
      <c r="J35" s="28">
        <v>0</v>
      </c>
      <c r="K35" s="28">
        <f>'[7]PL-YTD'!$AB$35</f>
        <v>0</v>
      </c>
    </row>
    <row r="36" spans="1:11" s="45" customFormat="1" ht="12.75" hidden="1">
      <c r="A36" s="37" t="s">
        <v>85</v>
      </c>
      <c r="B36" s="43"/>
      <c r="C36" s="27" t="s">
        <v>117</v>
      </c>
      <c r="D36" s="27"/>
      <c r="E36" s="28">
        <f>'[7]PL-CM'!$R$36</f>
        <v>0</v>
      </c>
      <c r="F36" s="28">
        <f>'[7]PL-CM'!$S$36</f>
        <v>0</v>
      </c>
      <c r="G36" s="28">
        <f>'[7]PL-YTD'!$R$36</f>
        <v>0</v>
      </c>
      <c r="H36" s="28">
        <f>'[7]PL-YTD'!$S$36</f>
        <v>0</v>
      </c>
      <c r="I36" s="28">
        <v>0</v>
      </c>
      <c r="J36" s="28">
        <v>0</v>
      </c>
      <c r="K36" s="28">
        <f>'[7]PL-YTD'!$AB$36</f>
        <v>0</v>
      </c>
    </row>
    <row r="37" spans="1:11" s="45" customFormat="1" ht="4.5" customHeight="1">
      <c r="A37" s="37"/>
      <c r="B37" s="43"/>
      <c r="C37" s="27"/>
      <c r="D37" s="27"/>
      <c r="E37" s="28"/>
      <c r="F37" s="28"/>
      <c r="G37" s="28"/>
      <c r="H37" s="28"/>
      <c r="I37" s="28"/>
      <c r="J37" s="28"/>
      <c r="K37" s="28"/>
    </row>
    <row r="38" spans="1:12" s="45" customFormat="1" ht="12.75">
      <c r="A38" s="37"/>
      <c r="B38" s="26" t="s">
        <v>118</v>
      </c>
      <c r="C38" s="26"/>
      <c r="D38" s="27"/>
      <c r="E38" s="40">
        <f>SUM(E25:E31)+E34</f>
        <v>1544101</v>
      </c>
      <c r="F38" s="40">
        <f>SUM(F25:F31)+F34</f>
        <v>1490688.7265114575</v>
      </c>
      <c r="G38" s="40">
        <f>SUM(G25:G31)+G34</f>
        <v>14075631.23</v>
      </c>
      <c r="H38" s="40">
        <f>SUM(H25:H31)+H34</f>
        <v>15480229.083003595</v>
      </c>
      <c r="I38" s="40">
        <f>SUM(I25:I36)-I31</f>
        <v>12183300</v>
      </c>
      <c r="J38" s="40">
        <f>SUM(J25:J36)-J31</f>
        <v>11781140</v>
      </c>
      <c r="K38" s="40">
        <f>SUM(K25:K31)+K34</f>
        <v>5045407.997423394</v>
      </c>
      <c r="L38" s="46"/>
    </row>
    <row r="39" spans="1:11" s="45" customFormat="1" ht="4.5" customHeight="1">
      <c r="A39" s="37"/>
      <c r="B39" s="43"/>
      <c r="C39" s="27"/>
      <c r="D39" s="27"/>
      <c r="E39" s="28"/>
      <c r="F39" s="28"/>
      <c r="G39" s="28"/>
      <c r="H39" s="28"/>
      <c r="I39" s="28"/>
      <c r="J39" s="28"/>
      <c r="K39" s="28"/>
    </row>
    <row r="40" spans="1:11" s="45" customFormat="1" ht="12.75">
      <c r="A40" s="37"/>
      <c r="B40" s="26" t="s">
        <v>119</v>
      </c>
      <c r="C40" s="26"/>
      <c r="D40" s="27"/>
      <c r="E40" s="42"/>
      <c r="F40" s="42"/>
      <c r="G40" s="42"/>
      <c r="H40" s="42"/>
      <c r="I40" s="42"/>
      <c r="J40" s="42"/>
      <c r="K40" s="42"/>
    </row>
    <row r="41" spans="1:11" s="45" customFormat="1" ht="12.75">
      <c r="A41" s="37"/>
      <c r="B41" s="26"/>
      <c r="C41" s="29" t="s">
        <v>120</v>
      </c>
      <c r="D41" s="27"/>
      <c r="E41" s="42">
        <f aca="true" t="shared" si="1" ref="E41:K41">SUM(E42:E45)</f>
        <v>1574106</v>
      </c>
      <c r="F41" s="42">
        <f t="shared" si="1"/>
        <v>1430661.8757541901</v>
      </c>
      <c r="G41" s="42">
        <f t="shared" si="1"/>
        <v>13807494</v>
      </c>
      <c r="H41" s="42">
        <f t="shared" si="1"/>
        <v>14856873.325139664</v>
      </c>
      <c r="I41" s="42">
        <f t="shared" si="1"/>
        <v>13604727</v>
      </c>
      <c r="J41" s="42">
        <f t="shared" si="1"/>
        <v>14051368</v>
      </c>
      <c r="K41" s="42">
        <f t="shared" si="1"/>
        <v>4842240.194860335</v>
      </c>
    </row>
    <row r="42" spans="1:11" s="45" customFormat="1" ht="12.75" hidden="1">
      <c r="A42" s="37"/>
      <c r="B42" s="30"/>
      <c r="C42" s="27" t="s">
        <v>121</v>
      </c>
      <c r="D42" s="27"/>
      <c r="E42" s="28">
        <f>'[7]PL-CM'!$R$42</f>
        <v>1306979</v>
      </c>
      <c r="F42" s="28">
        <f>'[7]PL-CM'!$S$42</f>
        <v>1042950.5642458103</v>
      </c>
      <c r="G42" s="28">
        <f>'[7]PL-YTD'!$R$42</f>
        <v>11527474</v>
      </c>
      <c r="H42" s="28">
        <f>'[7]PL-YTD'!$S$42</f>
        <v>10830640.474860335</v>
      </c>
      <c r="I42" s="28">
        <v>11310447</v>
      </c>
      <c r="J42" s="28">
        <v>11976362</v>
      </c>
      <c r="K42" s="28">
        <f>'[7]PL-YTD'!$AB$42</f>
        <v>5464452.525139665</v>
      </c>
    </row>
    <row r="43" spans="1:11" s="45" customFormat="1" ht="12.75" hidden="1">
      <c r="A43" s="37"/>
      <c r="B43" s="30"/>
      <c r="C43" s="27" t="s">
        <v>122</v>
      </c>
      <c r="D43" s="27"/>
      <c r="E43" s="28">
        <f>'[7]PL-CM'!$R$43</f>
        <v>0</v>
      </c>
      <c r="F43" s="28">
        <f>'[7]PL-CM'!$S$43</f>
        <v>148458.25698324025</v>
      </c>
      <c r="G43" s="28">
        <f>'[7]PL-YTD'!$R$43</f>
        <v>0</v>
      </c>
      <c r="H43" s="28">
        <f>'[7]PL-YTD'!$S$43</f>
        <v>1541681.8994413405</v>
      </c>
      <c r="I43" s="28">
        <v>0</v>
      </c>
      <c r="J43" s="28">
        <v>0</v>
      </c>
      <c r="K43" s="28">
        <f>'[7]PL-YTD'!$AB$43</f>
        <v>-1431991.8994413405</v>
      </c>
    </row>
    <row r="44" spans="1:11" s="45" customFormat="1" ht="12.75" hidden="1">
      <c r="A44" s="37"/>
      <c r="B44" s="30"/>
      <c r="C44" s="27" t="s">
        <v>123</v>
      </c>
      <c r="D44" s="27"/>
      <c r="E44" s="28">
        <f>'[7]PL-CM'!$R$44</f>
        <v>110551</v>
      </c>
      <c r="F44" s="28">
        <f>'[7]PL-CM'!$S$44</f>
        <v>93249.5810055866</v>
      </c>
      <c r="G44" s="28">
        <f>'[7]PL-YTD'!$R$44</f>
        <v>888221</v>
      </c>
      <c r="H44" s="28">
        <f>'[7]PL-YTD'!$S$44</f>
        <v>968361.033519553</v>
      </c>
      <c r="I44" s="28">
        <v>939656</v>
      </c>
      <c r="J44" s="28">
        <v>805316</v>
      </c>
      <c r="K44" s="28">
        <f>'[7]PL-YTD'!$AB$44</f>
        <v>315613.966480447</v>
      </c>
    </row>
    <row r="45" spans="1:11" s="45" customFormat="1" ht="12.75" hidden="1">
      <c r="A45" s="37"/>
      <c r="B45" s="30"/>
      <c r="C45" s="27" t="s">
        <v>124</v>
      </c>
      <c r="D45" s="27"/>
      <c r="E45" s="28">
        <f>'[7]PL-CM'!$R$45</f>
        <v>156576</v>
      </c>
      <c r="F45" s="28">
        <f>'[7]PL-CM'!$S$45</f>
        <v>146003.47351955308</v>
      </c>
      <c r="G45" s="28">
        <f>'[7]PL-YTD'!$R$45</f>
        <v>1391799</v>
      </c>
      <c r="H45" s="28">
        <f>'[7]PL-YTD'!$S$45</f>
        <v>1516189.9173184356</v>
      </c>
      <c r="I45" s="28">
        <v>1354624</v>
      </c>
      <c r="J45" s="28">
        <v>1269690</v>
      </c>
      <c r="K45" s="28">
        <f>'[7]PL-YTD'!$AB$45</f>
        <v>494165.6026815644</v>
      </c>
    </row>
    <row r="46" spans="1:11" s="45" customFormat="1" ht="12.75">
      <c r="A46" s="37"/>
      <c r="B46" s="26"/>
      <c r="C46" s="27" t="s">
        <v>125</v>
      </c>
      <c r="D46" s="27"/>
      <c r="E46" s="28">
        <f>'[7]PL-CM'!$R$46</f>
        <v>315133</v>
      </c>
      <c r="F46" s="28">
        <f>'[7]PL-CM'!$S$46</f>
        <v>281673.6145251397</v>
      </c>
      <c r="G46" s="28">
        <f>'[7]PL-YTD'!$R$46</f>
        <v>2885145</v>
      </c>
      <c r="H46" s="28">
        <f>'[7]PL-YTD'!$S$46</f>
        <v>2925072.150837989</v>
      </c>
      <c r="I46" s="28">
        <v>2645722</v>
      </c>
      <c r="J46" s="28">
        <v>3098580</v>
      </c>
      <c r="K46" s="28">
        <f>'[7]PL-YTD'!$AB$46</f>
        <v>953356.8491620109</v>
      </c>
    </row>
    <row r="47" spans="1:11" s="45" customFormat="1" ht="12.75">
      <c r="A47" s="37"/>
      <c r="B47" s="26"/>
      <c r="C47" s="27" t="s">
        <v>126</v>
      </c>
      <c r="D47" s="27"/>
      <c r="E47" s="28">
        <f>'[7]PL-CM'!$R$47</f>
        <v>98057</v>
      </c>
      <c r="F47" s="28">
        <f>'[7]PL-CM'!$S$47</f>
        <v>106982.08379888268</v>
      </c>
      <c r="G47" s="28">
        <f>'[7]PL-YTD'!$R$47</f>
        <v>793106</v>
      </c>
      <c r="H47" s="28">
        <f>'[7]PL-YTD'!$S$47</f>
        <v>1110967.7932960894</v>
      </c>
      <c r="I47" s="28">
        <v>965242</v>
      </c>
      <c r="J47" s="28">
        <v>1272633</v>
      </c>
      <c r="K47" s="28">
        <f>'[7]PL-YTD'!$AB$47</f>
        <v>362093.2067039104</v>
      </c>
    </row>
    <row r="48" spans="1:11" s="45" customFormat="1" ht="12.75">
      <c r="A48" s="37"/>
      <c r="B48" s="26"/>
      <c r="C48" s="27" t="s">
        <v>127</v>
      </c>
      <c r="D48" s="27"/>
      <c r="E48" s="28">
        <f>'[7]PL-CM'!$R$48</f>
        <v>58385</v>
      </c>
      <c r="F48" s="28">
        <f>'[7]PL-CM'!$S$48</f>
        <v>67960.07821229051</v>
      </c>
      <c r="G48" s="28">
        <f>'[7]PL-YTD'!$R$48</f>
        <v>534647</v>
      </c>
      <c r="H48" s="28">
        <f>'[7]PL-YTD'!$S$48</f>
        <v>705739.2737430166</v>
      </c>
      <c r="I48" s="28">
        <v>535647</v>
      </c>
      <c r="J48" s="28">
        <v>235925</v>
      </c>
      <c r="K48" s="28">
        <f>'[7]PL-YTD'!$AB$48</f>
        <v>230018.72625698312</v>
      </c>
    </row>
    <row r="49" spans="1:11" s="45" customFormat="1" ht="12.75">
      <c r="A49" s="37"/>
      <c r="B49" s="26"/>
      <c r="C49" s="27" t="s">
        <v>128</v>
      </c>
      <c r="D49" s="27"/>
      <c r="E49" s="28">
        <f>'[7]PL-CM'!$R$49</f>
        <v>3301</v>
      </c>
      <c r="F49" s="28">
        <f>'[7]PL-CM'!$S$49</f>
        <v>7696.290502793297</v>
      </c>
      <c r="G49" s="28">
        <f>'[7]PL-YTD'!$R$49</f>
        <v>77468</v>
      </c>
      <c r="H49" s="28">
        <f>'[7]PL-YTD'!$S$49</f>
        <v>79923.01675977654</v>
      </c>
      <c r="I49" s="28">
        <v>81045</v>
      </c>
      <c r="J49" s="28">
        <v>48714</v>
      </c>
      <c r="K49" s="28">
        <f>'[7]PL-YTD'!$AB$49</f>
        <v>26048.983240223475</v>
      </c>
    </row>
    <row r="50" spans="1:11" s="45" customFormat="1" ht="12.75">
      <c r="A50" s="37"/>
      <c r="B50" s="26"/>
      <c r="C50" s="27" t="s">
        <v>129</v>
      </c>
      <c r="D50" s="27"/>
      <c r="E50" s="28">
        <f>'[7]PL-CM'!$R$50</f>
        <v>785</v>
      </c>
      <c r="F50" s="28">
        <f>'[7]PL-CM'!$S$50</f>
        <v>5810.055865921789</v>
      </c>
      <c r="G50" s="28">
        <f>'[7]PL-YTD'!$R$50</f>
        <v>15103</v>
      </c>
      <c r="H50" s="28">
        <f>'[7]PL-YTD'!$S$50</f>
        <v>60335.195530726254</v>
      </c>
      <c r="I50" s="28">
        <v>62584</v>
      </c>
      <c r="J50" s="28">
        <v>6150</v>
      </c>
      <c r="K50" s="28">
        <f>'[7]PL-YTD'!$AB$50</f>
        <v>19664.804469273746</v>
      </c>
    </row>
    <row r="51" spans="1:11" s="45" customFormat="1" ht="4.5" customHeight="1">
      <c r="A51" s="37"/>
      <c r="B51" s="26"/>
      <c r="C51" s="26"/>
      <c r="D51" s="27"/>
      <c r="E51" s="42"/>
      <c r="F51" s="42"/>
      <c r="G51" s="42"/>
      <c r="H51" s="42"/>
      <c r="I51" s="42"/>
      <c r="J51" s="42"/>
      <c r="K51" s="42"/>
    </row>
    <row r="52" spans="1:11" s="45" customFormat="1" ht="12.75">
      <c r="A52" s="37"/>
      <c r="B52" s="26" t="s">
        <v>130</v>
      </c>
      <c r="C52" s="26"/>
      <c r="D52" s="27"/>
      <c r="E52" s="40">
        <f aca="true" t="shared" si="2" ref="E52:K52">SUM(E42:E50)</f>
        <v>2049767</v>
      </c>
      <c r="F52" s="40">
        <f t="shared" si="2"/>
        <v>1900783.9986592184</v>
      </c>
      <c r="G52" s="40">
        <f t="shared" si="2"/>
        <v>18112963</v>
      </c>
      <c r="H52" s="40">
        <f t="shared" si="2"/>
        <v>19738910.755307265</v>
      </c>
      <c r="I52" s="40">
        <f>SUM(I42:I50)</f>
        <v>17894967</v>
      </c>
      <c r="J52" s="40">
        <f t="shared" si="2"/>
        <v>18713370</v>
      </c>
      <c r="K52" s="40">
        <f t="shared" si="2"/>
        <v>6433422.764692737</v>
      </c>
    </row>
    <row r="53" spans="1:11" s="45" customFormat="1" ht="4.5" customHeight="1">
      <c r="A53" s="37"/>
      <c r="B53" s="43"/>
      <c r="C53" s="27"/>
      <c r="D53" s="27"/>
      <c r="E53" s="28"/>
      <c r="F53" s="28"/>
      <c r="G53" s="28"/>
      <c r="H53" s="28"/>
      <c r="I53" s="28"/>
      <c r="J53" s="28"/>
      <c r="K53" s="28"/>
    </row>
    <row r="54" spans="1:11" ht="12.75">
      <c r="A54" s="23" t="s">
        <v>131</v>
      </c>
      <c r="B54" s="26"/>
      <c r="C54" s="26"/>
      <c r="D54" s="24"/>
      <c r="E54" s="40">
        <f aca="true" t="shared" si="3" ref="E54:K54">+E38+E52</f>
        <v>3593868</v>
      </c>
      <c r="F54" s="40">
        <f t="shared" si="3"/>
        <v>3391472.7251706757</v>
      </c>
      <c r="G54" s="40">
        <f t="shared" si="3"/>
        <v>32188594.23</v>
      </c>
      <c r="H54" s="40">
        <f t="shared" si="3"/>
        <v>35219139.83831086</v>
      </c>
      <c r="I54" s="40">
        <f t="shared" si="3"/>
        <v>30078267</v>
      </c>
      <c r="J54" s="40">
        <f t="shared" si="3"/>
        <v>30494510</v>
      </c>
      <c r="K54" s="40">
        <f t="shared" si="3"/>
        <v>11478830.76211613</v>
      </c>
    </row>
    <row r="55" spans="1:11" ht="4.5" customHeight="1">
      <c r="A55" s="38"/>
      <c r="B55" s="24"/>
      <c r="C55" s="24"/>
      <c r="D55" s="24"/>
      <c r="E55" s="47"/>
      <c r="F55" s="47"/>
      <c r="G55" s="47"/>
      <c r="H55" s="47"/>
      <c r="I55" s="47"/>
      <c r="J55" s="47"/>
      <c r="K55" s="47"/>
    </row>
    <row r="56" spans="1:11" ht="12.75">
      <c r="A56" s="23" t="s">
        <v>132</v>
      </c>
      <c r="B56" s="26"/>
      <c r="C56" s="26"/>
      <c r="D56" s="27"/>
      <c r="E56" s="48">
        <f aca="true" t="shared" si="4" ref="E56:J56">E58/E21*100</f>
        <v>30.139892519562135</v>
      </c>
      <c r="F56" s="48">
        <f t="shared" si="4"/>
        <v>37.737867473157834</v>
      </c>
      <c r="G56" s="48">
        <f t="shared" si="4"/>
        <v>35.02011924722517</v>
      </c>
      <c r="H56" s="48">
        <f t="shared" si="4"/>
        <v>37.73786747315782</v>
      </c>
      <c r="I56" s="48">
        <f t="shared" si="4"/>
        <v>35.916655234473865</v>
      </c>
      <c r="J56" s="48">
        <f t="shared" si="4"/>
        <v>42.19244177749644</v>
      </c>
      <c r="K56" s="48">
        <f>K58/K21*100</f>
        <v>37.73786747315789</v>
      </c>
    </row>
    <row r="57" spans="1:11" ht="4.5" customHeight="1">
      <c r="A57" s="20"/>
      <c r="B57" s="21"/>
      <c r="C57" s="21"/>
      <c r="D57" s="24"/>
      <c r="E57" s="49"/>
      <c r="F57" s="49"/>
      <c r="G57" s="49"/>
      <c r="H57" s="49"/>
      <c r="I57" s="49"/>
      <c r="J57" s="49"/>
      <c r="K57" s="49"/>
    </row>
    <row r="58" spans="1:11" s="45" customFormat="1" ht="12.75">
      <c r="A58" s="23" t="s">
        <v>133</v>
      </c>
      <c r="B58" s="26"/>
      <c r="C58" s="26"/>
      <c r="D58" s="27"/>
      <c r="E58" s="28">
        <f>E21-E54</f>
        <v>1550510</v>
      </c>
      <c r="F58" s="28">
        <f>F21-F54</f>
        <v>2055614.593447201</v>
      </c>
      <c r="G58" s="28">
        <f>G21-G54</f>
        <v>17347652.77</v>
      </c>
      <c r="H58" s="28">
        <f>H21-H54</f>
        <v>21346766.931951687</v>
      </c>
      <c r="I58" s="28">
        <f>I21-I54</f>
        <v>16857902</v>
      </c>
      <c r="J58" s="28">
        <f>J21-J54+1</f>
        <v>22257259</v>
      </c>
      <c r="K58" s="28">
        <f>K21-K54</f>
        <v>6957464.77782131</v>
      </c>
    </row>
    <row r="59" spans="1:11" ht="4.5" customHeight="1">
      <c r="A59" s="38"/>
      <c r="B59" s="24"/>
      <c r="C59" s="24"/>
      <c r="D59" s="24"/>
      <c r="E59" s="39"/>
      <c r="F59" s="39"/>
      <c r="G59" s="39"/>
      <c r="H59" s="39"/>
      <c r="I59" s="39"/>
      <c r="J59" s="39"/>
      <c r="K59" s="39"/>
    </row>
    <row r="60" spans="1:11" s="45" customFormat="1" ht="12.75">
      <c r="A60" s="23" t="s">
        <v>134</v>
      </c>
      <c r="B60" s="26"/>
      <c r="C60" s="26"/>
      <c r="D60" s="27"/>
      <c r="E60" s="42"/>
      <c r="F60" s="42"/>
      <c r="G60" s="42"/>
      <c r="H60" s="42"/>
      <c r="I60" s="42"/>
      <c r="J60" s="42"/>
      <c r="K60" s="42"/>
    </row>
    <row r="61" spans="1:11" ht="12.75">
      <c r="A61" s="23" t="s">
        <v>85</v>
      </c>
      <c r="B61" s="26" t="s">
        <v>135</v>
      </c>
      <c r="C61" s="26"/>
      <c r="D61" s="27"/>
      <c r="E61" s="28"/>
      <c r="F61" s="28"/>
      <c r="G61" s="28"/>
      <c r="H61" s="28"/>
      <c r="I61" s="28"/>
      <c r="J61" s="28"/>
      <c r="K61" s="28"/>
    </row>
    <row r="62" spans="1:11" ht="12.75">
      <c r="A62" s="23"/>
      <c r="B62" s="26"/>
      <c r="C62" s="29" t="s">
        <v>120</v>
      </c>
      <c r="D62" s="27"/>
      <c r="E62" s="28">
        <f aca="true" t="shared" si="5" ref="E62:K62">SUM(E63:E66)</f>
        <v>89823</v>
      </c>
      <c r="F62" s="28">
        <f t="shared" si="5"/>
        <v>102258.49966480446</v>
      </c>
      <c r="G62" s="28">
        <f t="shared" si="5"/>
        <v>784593</v>
      </c>
      <c r="H62" s="28">
        <f t="shared" si="5"/>
        <v>1061915.1888268157</v>
      </c>
      <c r="I62" s="50">
        <f t="shared" si="5"/>
        <v>842932</v>
      </c>
      <c r="J62" s="50">
        <f t="shared" si="5"/>
        <v>1082531</v>
      </c>
      <c r="K62" s="28">
        <f t="shared" si="5"/>
        <v>346105.69117318443</v>
      </c>
    </row>
    <row r="63" spans="1:11" ht="12.75" hidden="1">
      <c r="A63" s="37"/>
      <c r="B63" s="30"/>
      <c r="C63" s="27" t="s">
        <v>121</v>
      </c>
      <c r="D63" s="27"/>
      <c r="E63" s="28">
        <f>'[7]PL-CM'!$R$63</f>
        <v>80419</v>
      </c>
      <c r="F63" s="28">
        <f>'[7]PL-CM'!$S$63</f>
        <v>79256.93296089386</v>
      </c>
      <c r="G63" s="28">
        <f>'[7]PL-YTD'!$R$63</f>
        <v>699707</v>
      </c>
      <c r="H63" s="28">
        <f>'[7]PL-YTD'!$S$63</f>
        <v>807867.150837989</v>
      </c>
      <c r="I63" s="28">
        <v>752191</v>
      </c>
      <c r="J63" s="28">
        <v>976527</v>
      </c>
      <c r="K63" s="28">
        <f>'[7]PL-YTD'!$AB$63</f>
        <v>420712.8491620113</v>
      </c>
    </row>
    <row r="64" spans="1:11" ht="12.75" hidden="1">
      <c r="A64" s="37"/>
      <c r="B64" s="30"/>
      <c r="C64" s="27" t="s">
        <v>136</v>
      </c>
      <c r="D64" s="27"/>
      <c r="E64" s="28">
        <f>'[7]PL-CM'!$R$64</f>
        <v>0</v>
      </c>
      <c r="F64" s="28">
        <f>'[7]PL-CM'!$S$64</f>
        <v>12002.703910614526</v>
      </c>
      <c r="G64" s="28">
        <f>'[7]PL-YTD'!$R$64</f>
        <v>0</v>
      </c>
      <c r="H64" s="28">
        <f>'[7]PL-YTD'!$S$64</f>
        <v>139829.0782122905</v>
      </c>
      <c r="I64" s="28">
        <v>0</v>
      </c>
      <c r="J64" s="28">
        <v>0</v>
      </c>
      <c r="K64" s="28">
        <f>'[7]PL-YTD'!$AB$64</f>
        <v>-111834.07821229051</v>
      </c>
    </row>
    <row r="65" spans="1:11" ht="12.75" hidden="1">
      <c r="A65" s="37"/>
      <c r="B65" s="30"/>
      <c r="C65" s="27" t="s">
        <v>123</v>
      </c>
      <c r="D65" s="27"/>
      <c r="E65" s="28">
        <f>'[7]PL-CM'!$R$65</f>
        <v>0</v>
      </c>
      <c r="F65" s="28">
        <f>'[7]PL-CM'!$S$65</f>
        <v>0</v>
      </c>
      <c r="G65" s="28">
        <f>'[7]PL-YTD'!$R$65</f>
        <v>51</v>
      </c>
      <c r="H65" s="28">
        <f>'[7]PL-YTD'!$S$65</f>
        <v>0</v>
      </c>
      <c r="I65" s="28">
        <v>0</v>
      </c>
      <c r="J65" s="28">
        <v>101</v>
      </c>
      <c r="K65" s="28">
        <f>'[7]PL-YTD'!$AB$65</f>
        <v>0</v>
      </c>
    </row>
    <row r="66" spans="1:11" ht="12.75" hidden="1">
      <c r="A66" s="37"/>
      <c r="B66" s="30"/>
      <c r="C66" s="27" t="s">
        <v>124</v>
      </c>
      <c r="D66" s="27"/>
      <c r="E66" s="28">
        <f>'[7]PL-CM'!$R$66</f>
        <v>9404</v>
      </c>
      <c r="F66" s="28">
        <f>'[7]PL-CM'!$S$66</f>
        <v>10998.862793296088</v>
      </c>
      <c r="G66" s="28">
        <f>'[7]PL-YTD'!$R$66</f>
        <v>84835</v>
      </c>
      <c r="H66" s="28">
        <f>'[7]PL-YTD'!$S$66</f>
        <v>114218.95977653633</v>
      </c>
      <c r="I66" s="28">
        <v>90741</v>
      </c>
      <c r="J66" s="28">
        <v>105903</v>
      </c>
      <c r="K66" s="28">
        <f>'[7]PL-YTD'!$AB$66</f>
        <v>37226.920223463676</v>
      </c>
    </row>
    <row r="67" spans="1:11" ht="12.75">
      <c r="A67" s="37"/>
      <c r="B67" s="30"/>
      <c r="C67" s="27" t="s">
        <v>137</v>
      </c>
      <c r="D67" s="27"/>
      <c r="E67" s="28">
        <f>'[7]PL-CM'!$R$67</f>
        <v>15645</v>
      </c>
      <c r="F67" s="28">
        <f>'[7]PL-CM'!$S$67</f>
        <v>13223.614525139667</v>
      </c>
      <c r="G67" s="28">
        <f>'[7]PL-YTD'!$R$67</f>
        <v>130234</v>
      </c>
      <c r="H67" s="28">
        <f>'[7]PL-YTD'!$S$67</f>
        <v>137322.15083798883</v>
      </c>
      <c r="I67" s="28">
        <v>119820</v>
      </c>
      <c r="J67" s="28">
        <v>147467</v>
      </c>
      <c r="K67" s="28">
        <f>'[7]PL-YTD'!$AB$67</f>
        <v>44756.849162011174</v>
      </c>
    </row>
    <row r="68" spans="1:11" ht="12.75">
      <c r="A68" s="37"/>
      <c r="B68" s="30"/>
      <c r="C68" s="27" t="s">
        <v>138</v>
      </c>
      <c r="D68" s="27"/>
      <c r="E68" s="28">
        <f>'[7]PL-CM'!$R$68</f>
        <v>1618</v>
      </c>
      <c r="F68" s="28">
        <f>'[7]PL-CM'!$S$68</f>
        <v>1519.2569832402237</v>
      </c>
      <c r="G68" s="28">
        <f>'[7]PL-YTD'!$R$68</f>
        <v>15674</v>
      </c>
      <c r="H68" s="28">
        <f>'[7]PL-YTD'!$S$68</f>
        <v>15776.899441340782</v>
      </c>
      <c r="I68" s="28">
        <v>10918</v>
      </c>
      <c r="J68" s="28">
        <v>16969</v>
      </c>
      <c r="K68" s="28">
        <f>'[7]PL-YTD'!$AB$68</f>
        <v>5142.100558659218</v>
      </c>
    </row>
    <row r="69" spans="1:11" ht="12.75">
      <c r="A69" s="37"/>
      <c r="B69" s="30"/>
      <c r="C69" s="27" t="s">
        <v>139</v>
      </c>
      <c r="D69" s="27"/>
      <c r="E69" s="28">
        <f>'[7]PL-CM'!$R$69</f>
        <v>5000</v>
      </c>
      <c r="F69" s="28">
        <f>'[7]PL-CM'!$S$69</f>
        <v>5810.055865921789</v>
      </c>
      <c r="G69" s="28">
        <f>'[7]PL-YTD'!$R$69</f>
        <v>45000</v>
      </c>
      <c r="H69" s="28">
        <f>'[7]PL-YTD'!$S$69</f>
        <v>60335.19553072626</v>
      </c>
      <c r="I69" s="28">
        <v>-1000</v>
      </c>
      <c r="J69" s="28">
        <v>112500</v>
      </c>
      <c r="K69" s="28">
        <f>'[7]PL-YTD'!$AB$69</f>
        <v>19664.804469273753</v>
      </c>
    </row>
    <row r="70" spans="1:11" ht="12.75">
      <c r="A70" s="37"/>
      <c r="B70" s="30"/>
      <c r="C70" s="27" t="s">
        <v>140</v>
      </c>
      <c r="D70" s="27"/>
      <c r="E70" s="28">
        <f>'[7]PL-CM'!$R$70</f>
        <v>35259</v>
      </c>
      <c r="F70" s="28">
        <f>'[7]PL-CM'!$S$70</f>
        <v>27234.636871508385</v>
      </c>
      <c r="G70" s="28">
        <f>'[7]PL-YTD'!$R$70</f>
        <v>137192</v>
      </c>
      <c r="H70" s="28">
        <f>'[7]PL-YTD'!$S$70</f>
        <v>282821.2290502793</v>
      </c>
      <c r="I70" s="28">
        <v>132458</v>
      </c>
      <c r="J70" s="28">
        <v>304835</v>
      </c>
      <c r="K70" s="28">
        <f>'[7]PL-YTD'!$AB$70</f>
        <v>92178.77094972064</v>
      </c>
    </row>
    <row r="71" spans="1:11" ht="4.5" customHeight="1">
      <c r="A71" s="38"/>
      <c r="B71" s="24"/>
      <c r="C71" s="24"/>
      <c r="D71" s="24"/>
      <c r="E71" s="39"/>
      <c r="F71" s="39"/>
      <c r="G71" s="39"/>
      <c r="H71" s="39"/>
      <c r="I71" s="39"/>
      <c r="J71" s="39"/>
      <c r="K71" s="39"/>
    </row>
    <row r="72" spans="1:11" ht="12.75">
      <c r="A72" s="52"/>
      <c r="B72" s="26" t="s">
        <v>141</v>
      </c>
      <c r="C72" s="26"/>
      <c r="D72" s="27"/>
      <c r="E72" s="40">
        <f aca="true" t="shared" si="6" ref="E72:K72">SUM(E63:E70)</f>
        <v>147345</v>
      </c>
      <c r="F72" s="40">
        <f t="shared" si="6"/>
        <v>150046.06391061452</v>
      </c>
      <c r="G72" s="40">
        <f t="shared" si="6"/>
        <v>1112693</v>
      </c>
      <c r="H72" s="40">
        <f t="shared" si="6"/>
        <v>1558170.663687151</v>
      </c>
      <c r="I72" s="40">
        <f t="shared" si="6"/>
        <v>1105128</v>
      </c>
      <c r="J72" s="40">
        <f t="shared" si="6"/>
        <v>1664302</v>
      </c>
      <c r="K72" s="40">
        <f t="shared" si="6"/>
        <v>507848.21631284925</v>
      </c>
    </row>
    <row r="73" spans="1:11" ht="4.5" customHeight="1">
      <c r="A73" s="20"/>
      <c r="B73" s="21"/>
      <c r="C73" s="21"/>
      <c r="D73" s="24"/>
      <c r="E73" s="39"/>
      <c r="F73" s="39"/>
      <c r="G73" s="39"/>
      <c r="H73" s="39"/>
      <c r="I73" s="39"/>
      <c r="J73" s="39"/>
      <c r="K73" s="39"/>
    </row>
    <row r="74" spans="1:11" ht="12.75">
      <c r="A74" s="52"/>
      <c r="B74" s="26" t="s">
        <v>142</v>
      </c>
      <c r="C74" s="26"/>
      <c r="D74" s="27"/>
      <c r="E74" s="42"/>
      <c r="F74" s="42"/>
      <c r="G74" s="42"/>
      <c r="H74" s="42"/>
      <c r="I74" s="42"/>
      <c r="J74" s="42"/>
      <c r="K74" s="42"/>
    </row>
    <row r="75" spans="1:11" ht="12.75">
      <c r="A75" s="52"/>
      <c r="B75" s="26"/>
      <c r="C75" s="29" t="s">
        <v>120</v>
      </c>
      <c r="D75" s="27"/>
      <c r="E75" s="42">
        <f aca="true" t="shared" si="7" ref="E75:K75">SUM(E76:E80)</f>
        <v>487198</v>
      </c>
      <c r="F75" s="42">
        <f t="shared" si="7"/>
        <v>436715.47094972065</v>
      </c>
      <c r="G75" s="42">
        <f t="shared" si="7"/>
        <v>4517724</v>
      </c>
      <c r="H75" s="42">
        <f t="shared" si="7"/>
        <v>4535122.198324022</v>
      </c>
      <c r="I75" s="42">
        <f t="shared" si="7"/>
        <v>4327378</v>
      </c>
      <c r="J75" s="42">
        <f t="shared" si="7"/>
        <v>4830331</v>
      </c>
      <c r="K75" s="42">
        <f t="shared" si="7"/>
        <v>2072689.9016759777</v>
      </c>
    </row>
    <row r="76" spans="1:11" ht="12.75" hidden="1">
      <c r="A76" s="52"/>
      <c r="B76" s="27"/>
      <c r="C76" s="27" t="s">
        <v>121</v>
      </c>
      <c r="D76" s="30"/>
      <c r="E76" s="28">
        <f>'[7]PL-CM'!$R$76</f>
        <v>379616</v>
      </c>
      <c r="F76" s="28">
        <f>'[7]PL-CM'!$S$76</f>
        <v>305000.04469273746</v>
      </c>
      <c r="G76" s="28">
        <f>'[7]PL-YTD'!$R$76</f>
        <v>3468221</v>
      </c>
      <c r="H76" s="28">
        <f>'[7]PL-YTD'!$S$76</f>
        <v>3167308.156424581</v>
      </c>
      <c r="I76" s="28">
        <v>3324188</v>
      </c>
      <c r="J76" s="28">
        <v>3618406</v>
      </c>
      <c r="K76" s="28">
        <f>'[7]PL-YTD'!$AB$76</f>
        <v>1820065.843575419</v>
      </c>
    </row>
    <row r="77" spans="1:11" ht="12.75" hidden="1">
      <c r="A77" s="52"/>
      <c r="B77" s="27"/>
      <c r="C77" s="27" t="s">
        <v>136</v>
      </c>
      <c r="D77" s="30"/>
      <c r="E77" s="28">
        <f>'[7]PL-CM'!$R$77</f>
        <v>0</v>
      </c>
      <c r="F77" s="28">
        <f>'[7]PL-CM'!$S$77</f>
        <v>0</v>
      </c>
      <c r="G77" s="28">
        <f>'[7]PL-YTD'!$R$77</f>
        <v>0</v>
      </c>
      <c r="H77" s="28">
        <f>'[7]PL-YTD'!$S$77</f>
        <v>0</v>
      </c>
      <c r="I77" s="28">
        <v>0</v>
      </c>
      <c r="J77" s="28">
        <v>0</v>
      </c>
      <c r="K77" s="28">
        <f>'[7]PL-YTD'!$AB$77</f>
        <v>16811</v>
      </c>
    </row>
    <row r="78" spans="1:11" ht="12.75" hidden="1">
      <c r="A78" s="52"/>
      <c r="B78" s="27"/>
      <c r="C78" s="27" t="s">
        <v>123</v>
      </c>
      <c r="D78" s="30"/>
      <c r="E78" s="28">
        <f>'[7]PL-CM'!$R$78</f>
        <v>12222</v>
      </c>
      <c r="F78" s="28">
        <f>'[7]PL-CM'!$S$78</f>
        <v>58432.38547486034</v>
      </c>
      <c r="G78" s="28">
        <f>'[7]PL-YTD'!$R$78</f>
        <v>118131</v>
      </c>
      <c r="H78" s="28">
        <f>'[7]PL-YTD'!$S$78</f>
        <v>606797.849162011</v>
      </c>
      <c r="I78" s="28">
        <v>110122</v>
      </c>
      <c r="J78" s="28">
        <v>206983</v>
      </c>
      <c r="K78" s="28">
        <f>'[7]PL-YTD'!$AB$78</f>
        <v>-422541.749162011</v>
      </c>
    </row>
    <row r="79" spans="1:11" ht="12.75" hidden="1">
      <c r="A79" s="52"/>
      <c r="B79" s="27"/>
      <c r="C79" s="27" t="s">
        <v>143</v>
      </c>
      <c r="D79" s="30"/>
      <c r="E79" s="28">
        <f>'[7]PL-CM'!$R$79</f>
        <v>63108</v>
      </c>
      <c r="F79" s="28">
        <f>'[7]PL-CM'!$S$79</f>
        <v>56231.83407821229</v>
      </c>
      <c r="G79" s="28">
        <f>'[7]PL-YTD'!$R$79</f>
        <v>537282</v>
      </c>
      <c r="H79" s="28">
        <f>'[7]PL-YTD'!$S$79</f>
        <v>583945.969273743</v>
      </c>
      <c r="I79" s="28">
        <v>539059</v>
      </c>
      <c r="J79" s="28">
        <v>537298</v>
      </c>
      <c r="K79" s="28">
        <f>'[7]PL-YTD'!$AB$79</f>
        <v>225066.030726257</v>
      </c>
    </row>
    <row r="80" spans="1:11" ht="12.75" hidden="1">
      <c r="A80" s="52"/>
      <c r="B80" s="27"/>
      <c r="C80" s="27" t="s">
        <v>144</v>
      </c>
      <c r="D80" s="30"/>
      <c r="E80" s="28">
        <f>'[7]PL-CM'!$R$80</f>
        <v>32252</v>
      </c>
      <c r="F80" s="28">
        <f>'[7]PL-CM'!$S$80</f>
        <v>17051.206703910615</v>
      </c>
      <c r="G80" s="28">
        <f>'[7]PL-YTD'!$R$80</f>
        <v>394090</v>
      </c>
      <c r="H80" s="28">
        <f>'[7]PL-YTD'!$S$80</f>
        <v>177070.22346368714</v>
      </c>
      <c r="I80" s="28">
        <v>354009</v>
      </c>
      <c r="J80" s="28">
        <v>467644</v>
      </c>
      <c r="K80" s="28">
        <f>'[7]PL-YTD'!$AB$80</f>
        <v>433288.776536313</v>
      </c>
    </row>
    <row r="81" spans="1:11" ht="12.75">
      <c r="A81" s="52"/>
      <c r="B81" s="27"/>
      <c r="C81" s="27" t="s">
        <v>145</v>
      </c>
      <c r="D81" s="30"/>
      <c r="E81" s="28">
        <f>'[7]PL-CM'!$R$81</f>
        <v>136</v>
      </c>
      <c r="F81" s="28">
        <f>'[7]PL-CM'!$S$81</f>
        <v>46776.469273743016</v>
      </c>
      <c r="G81" s="28">
        <f>'[7]PL-YTD'!$R$81</f>
        <v>15158</v>
      </c>
      <c r="H81" s="28">
        <f>'[7]PL-YTD'!$S$81</f>
        <v>485755.6424581006</v>
      </c>
      <c r="I81" s="28">
        <v>23434</v>
      </c>
      <c r="J81" s="28">
        <v>36573</v>
      </c>
      <c r="K81" s="28">
        <f>'[7]PL-YTD'!$AB$81</f>
        <v>-436255.6424581006</v>
      </c>
    </row>
    <row r="82" spans="1:11" ht="12.75">
      <c r="A82" s="52"/>
      <c r="B82" s="27"/>
      <c r="C82" s="27" t="s">
        <v>146</v>
      </c>
      <c r="D82" s="30"/>
      <c r="E82" s="28">
        <f>'[7]PL-CM'!$R$82</f>
        <v>5958</v>
      </c>
      <c r="F82" s="28">
        <f>'[7]PL-CM'!$S$82</f>
        <v>21550.89888268157</v>
      </c>
      <c r="G82" s="28">
        <f>'[7]PL-YTD'!$R$82</f>
        <v>156664</v>
      </c>
      <c r="H82" s="28">
        <f>'[7]PL-YTD'!$S$82</f>
        <v>223797.79608938546</v>
      </c>
      <c r="I82" s="28">
        <v>306901</v>
      </c>
      <c r="J82" s="28">
        <v>313502</v>
      </c>
      <c r="K82" s="28">
        <f>'[7]PL-YTD'!$AB$82</f>
        <v>222941.50391061453</v>
      </c>
    </row>
    <row r="83" spans="1:11" ht="12.75">
      <c r="A83" s="52"/>
      <c r="B83" s="27"/>
      <c r="C83" s="27" t="s">
        <v>147</v>
      </c>
      <c r="D83" s="30"/>
      <c r="E83" s="28">
        <f>'[7]PL-CM'!$R$83</f>
        <v>35706</v>
      </c>
      <c r="F83" s="28">
        <f>'[7]PL-CM'!$S$83</f>
        <v>15255.754189944135</v>
      </c>
      <c r="G83" s="28">
        <f>'[7]PL-YTD'!$R$83</f>
        <v>208854</v>
      </c>
      <c r="H83" s="28">
        <f>'[7]PL-YTD'!$S$83</f>
        <v>158425.13966480448</v>
      </c>
      <c r="I83" s="28">
        <v>154025</v>
      </c>
      <c r="J83" s="28">
        <v>140057</v>
      </c>
      <c r="K83" s="28">
        <f>'[7]PL-YTD'!$AB$83</f>
        <v>74431.86033519552</v>
      </c>
    </row>
    <row r="84" spans="1:11" ht="12.75">
      <c r="A84" s="52"/>
      <c r="B84" s="27"/>
      <c r="C84" s="27" t="s">
        <v>148</v>
      </c>
      <c r="D84" s="30"/>
      <c r="E84" s="28">
        <f>'[7]PL-CM'!$R$84</f>
        <v>2500</v>
      </c>
      <c r="F84" s="28">
        <f>'[7]PL-CM'!$S$84</f>
        <v>14946.15083798883</v>
      </c>
      <c r="G84" s="28">
        <f>'[7]PL-YTD'!$R$84</f>
        <v>33174</v>
      </c>
      <c r="H84" s="28">
        <f>'[7]PL-YTD'!$S$84</f>
        <v>155210.02793296086</v>
      </c>
      <c r="I84" s="28">
        <v>33302</v>
      </c>
      <c r="J84" s="28">
        <v>22125</v>
      </c>
      <c r="K84" s="28">
        <f>'[7]PL-YTD'!$AB$84</f>
        <v>-92210.02793296086</v>
      </c>
    </row>
    <row r="85" spans="1:11" ht="12.75">
      <c r="A85" s="52"/>
      <c r="B85" s="27"/>
      <c r="C85" s="27" t="s">
        <v>242</v>
      </c>
      <c r="D85" s="30"/>
      <c r="E85" s="28">
        <f>'[7]PL-CM'!$R$85</f>
        <v>35672</v>
      </c>
      <c r="F85" s="28">
        <f>'[7]PL-CM'!$S$85</f>
        <v>32346.021899441344</v>
      </c>
      <c r="G85" s="28">
        <f>'[7]PL-YTD'!$R$85</f>
        <v>268974</v>
      </c>
      <c r="H85" s="28">
        <f>'[7]PL-YTD'!$S$85</f>
        <v>335900.99664804473</v>
      </c>
      <c r="I85" s="28">
        <v>357368</v>
      </c>
      <c r="J85" s="28">
        <v>353667</v>
      </c>
      <c r="K85" s="28">
        <f>'[7]PL-YTD'!$AB$85</f>
        <v>90518.84335195535</v>
      </c>
    </row>
    <row r="86" spans="1:11" ht="12.75">
      <c r="A86" s="52"/>
      <c r="B86" s="27"/>
      <c r="C86" s="27" t="s">
        <v>150</v>
      </c>
      <c r="D86" s="30"/>
      <c r="E86" s="28">
        <f>'[7]PL-CM'!$R$86</f>
        <v>161715</v>
      </c>
      <c r="F86" s="28">
        <f>'[7]PL-CM'!$S$86</f>
        <v>111976.48044692738</v>
      </c>
      <c r="G86" s="28">
        <f>'[7]PL-YTD'!$R$86</f>
        <v>1276567</v>
      </c>
      <c r="H86" s="28">
        <f>'[7]PL-YTD'!$S$86</f>
        <v>1162832.6815642458</v>
      </c>
      <c r="I86" s="28">
        <v>1044413</v>
      </c>
      <c r="J86" s="28">
        <v>1083532</v>
      </c>
      <c r="K86" s="28">
        <f>'[7]PL-YTD'!$AB$86</f>
        <v>391957.31843575416</v>
      </c>
    </row>
    <row r="87" spans="1:11" ht="12.75">
      <c r="A87" s="52"/>
      <c r="B87" s="27"/>
      <c r="C87" s="27" t="s">
        <v>151</v>
      </c>
      <c r="D87" s="30"/>
      <c r="E87" s="28">
        <f>'[7]PL-CM'!$R$87</f>
        <v>40862</v>
      </c>
      <c r="F87" s="28">
        <f>'[7]PL-CM'!$S$87</f>
        <v>3025.441340782123</v>
      </c>
      <c r="G87" s="28">
        <f>'[7]PL-YTD'!$R$87</f>
        <v>371967</v>
      </c>
      <c r="H87" s="28">
        <f>'[7]PL-YTD'!$S$87</f>
        <v>31418.044692737436</v>
      </c>
      <c r="I87" s="28">
        <v>356234</v>
      </c>
      <c r="J87" s="28">
        <v>339070</v>
      </c>
      <c r="K87" s="28">
        <f>'[7]PL-YTD'!$AB$87</f>
        <v>454027.9553072625</v>
      </c>
    </row>
    <row r="88" spans="1:11" ht="12.75">
      <c r="A88" s="52"/>
      <c r="B88" s="27"/>
      <c r="C88" s="27" t="s">
        <v>152</v>
      </c>
      <c r="D88" s="30"/>
      <c r="E88" s="28">
        <f>'[7]PL-CM'!$R$88</f>
        <v>13562</v>
      </c>
      <c r="F88" s="28">
        <f>'[7]PL-CM'!$S$88</f>
        <v>44473.072625698325</v>
      </c>
      <c r="G88" s="28">
        <f>'[7]PL-YTD'!$R$88</f>
        <v>122891</v>
      </c>
      <c r="H88" s="28">
        <f>'[7]PL-YTD'!$S$88</f>
        <v>461835.75418994407</v>
      </c>
      <c r="I88" s="28">
        <v>107243</v>
      </c>
      <c r="J88" s="28">
        <v>110118</v>
      </c>
      <c r="K88" s="28">
        <f>'[7]PL-YTD'!$AB$88</f>
        <v>-294191.75418994407</v>
      </c>
    </row>
    <row r="89" spans="1:11" ht="12.75">
      <c r="A89" s="52"/>
      <c r="B89" s="27"/>
      <c r="C89" s="27" t="s">
        <v>153</v>
      </c>
      <c r="D89" s="30"/>
      <c r="E89" s="28">
        <f>'[7]PL-CM'!$R$89</f>
        <v>169907</v>
      </c>
      <c r="F89" s="28">
        <f>'[7]PL-CM'!$S$89</f>
        <v>150518.64804469276</v>
      </c>
      <c r="G89" s="28">
        <f>'[7]PL-YTD'!$R$89</f>
        <v>1519862</v>
      </c>
      <c r="H89" s="28">
        <f>'[7]PL-YTD'!$S$89</f>
        <v>1563078.2681564244</v>
      </c>
      <c r="I89" s="28">
        <v>1349048</v>
      </c>
      <c r="J89" s="28">
        <v>2150538</v>
      </c>
      <c r="K89" s="28">
        <f>'[7]PL-YTD'!$AB$89</f>
        <v>486375.73184357537</v>
      </c>
    </row>
    <row r="90" spans="1:11" ht="12.75">
      <c r="A90" s="52"/>
      <c r="B90" s="27"/>
      <c r="C90" s="27" t="s">
        <v>154</v>
      </c>
      <c r="D90" s="30"/>
      <c r="E90" s="28">
        <f>'[7]PL-CM'!$R$90</f>
        <v>129578</v>
      </c>
      <c r="F90" s="28">
        <f>'[7]PL-CM'!$S$90</f>
        <v>106092.03166878213</v>
      </c>
      <c r="G90" s="28">
        <f>'[7]PL-YTD'!$R$90</f>
        <v>1113658</v>
      </c>
      <c r="H90" s="28">
        <f>'[7]PL-YTD'!$S$90</f>
        <v>1101724.9442527373</v>
      </c>
      <c r="I90" s="28">
        <v>1058377</v>
      </c>
      <c r="J90" s="28">
        <v>1045631</v>
      </c>
      <c r="K90" s="28">
        <f>'[7]PL-YTD'!$AB$90</f>
        <v>402252.7225712626</v>
      </c>
    </row>
    <row r="91" spans="1:11" ht="12.75">
      <c r="A91" s="52"/>
      <c r="B91" s="27"/>
      <c r="C91" s="27" t="s">
        <v>155</v>
      </c>
      <c r="D91" s="30"/>
      <c r="E91" s="28">
        <f>'[7]PL-CM'!$R$91</f>
        <v>15777</v>
      </c>
      <c r="F91" s="28">
        <f>'[7]PL-CM'!$S$91</f>
        <v>9721.167597765365</v>
      </c>
      <c r="G91" s="28">
        <f>'[7]PL-YTD'!$R$91</f>
        <v>139255</v>
      </c>
      <c r="H91" s="28">
        <f>'[7]PL-YTD'!$S$91</f>
        <v>100950.58659217878</v>
      </c>
      <c r="I91" s="28">
        <v>100230</v>
      </c>
      <c r="J91" s="28">
        <v>91675</v>
      </c>
      <c r="K91" s="28">
        <f>'[7]PL-YTD'!$AB$91</f>
        <v>39516.41340782122</v>
      </c>
    </row>
    <row r="92" spans="1:11" ht="12.75">
      <c r="A92" s="52"/>
      <c r="B92" s="27"/>
      <c r="C92" s="27" t="s">
        <v>156</v>
      </c>
      <c r="D92" s="30"/>
      <c r="E92" s="28">
        <f>'[7]PL-CM'!$R$92</f>
        <v>60529</v>
      </c>
      <c r="F92" s="28">
        <f>'[7]PL-CM'!$S$92</f>
        <v>33621.122905027936</v>
      </c>
      <c r="G92" s="28">
        <f>'[7]PL-YTD'!$R$92</f>
        <v>424554.32</v>
      </c>
      <c r="H92" s="28">
        <f>'[7]PL-YTD'!$S$92</f>
        <v>349142.43016759783</v>
      </c>
      <c r="I92" s="28">
        <v>349164</v>
      </c>
      <c r="J92" s="28">
        <v>361248</v>
      </c>
      <c r="K92" s="28">
        <f>'[7]PL-YTD'!$AB$92</f>
        <v>125641.56983240222</v>
      </c>
    </row>
    <row r="93" spans="1:11" ht="12.75">
      <c r="A93" s="52"/>
      <c r="B93" s="27"/>
      <c r="C93" s="27" t="s">
        <v>157</v>
      </c>
      <c r="D93" s="30"/>
      <c r="E93" s="28">
        <f>'[7]PL-CM'!$R$93</f>
        <v>6177</v>
      </c>
      <c r="F93" s="28">
        <f>'[7]PL-CM'!$S$93</f>
        <v>5432.983240223463</v>
      </c>
      <c r="G93" s="28">
        <f>'[7]PL-YTD'!$R$93</f>
        <v>61835</v>
      </c>
      <c r="H93" s="28">
        <f>'[7]PL-YTD'!$S$93</f>
        <v>56419.44134078212</v>
      </c>
      <c r="I93" s="28">
        <v>54076</v>
      </c>
      <c r="J93" s="28">
        <v>58710</v>
      </c>
      <c r="K93" s="28">
        <f>'[7]PL-YTD'!$AB$93</f>
        <v>6755.558659217888</v>
      </c>
    </row>
    <row r="94" spans="1:11" ht="12.75">
      <c r="A94" s="52"/>
      <c r="B94" s="27"/>
      <c r="C94" s="27" t="s">
        <v>158</v>
      </c>
      <c r="D94" s="43"/>
      <c r="E94" s="28">
        <f>'[7]PL-CM'!$R$94</f>
        <v>0</v>
      </c>
      <c r="F94" s="28">
        <f>'[7]PL-CM'!$S$94</f>
        <v>0</v>
      </c>
      <c r="G94" s="28">
        <f>'[7]PL-YTD'!$R$94</f>
        <v>0</v>
      </c>
      <c r="H94" s="28">
        <f>'[7]PL-YTD'!$S$94</f>
        <v>0</v>
      </c>
      <c r="I94" s="28">
        <v>0</v>
      </c>
      <c r="J94" s="28">
        <v>0</v>
      </c>
      <c r="K94" s="28">
        <f>'[7]PL-YTD'!$AB$94</f>
        <v>0</v>
      </c>
    </row>
    <row r="95" spans="1:11" ht="12.75">
      <c r="A95" s="52"/>
      <c r="B95" s="27"/>
      <c r="C95" s="27" t="s">
        <v>159</v>
      </c>
      <c r="D95" s="43"/>
      <c r="E95" s="28">
        <f>'[7]PL-CM'!$R$95</f>
        <v>95535</v>
      </c>
      <c r="F95" s="28">
        <f>'[7]PL-CM'!$S$95</f>
        <v>11473.625698324024</v>
      </c>
      <c r="G95" s="28">
        <f>'[7]PL-YTD'!$R$95</f>
        <v>268079</v>
      </c>
      <c r="H95" s="28">
        <f>'[7]PL-YTD'!$S$95</f>
        <v>119149.18994413406</v>
      </c>
      <c r="I95" s="28">
        <v>143497</v>
      </c>
      <c r="J95" s="28">
        <v>352768</v>
      </c>
      <c r="K95" s="28">
        <f>'[7]PL-YTD'!$AB$95</f>
        <v>215269.81005586588</v>
      </c>
    </row>
    <row r="96" spans="1:11" ht="12.75">
      <c r="A96" s="52"/>
      <c r="B96" s="27"/>
      <c r="C96" s="27" t="s">
        <v>160</v>
      </c>
      <c r="D96" s="43"/>
      <c r="E96" s="28">
        <f>'[7]PL-CM'!$R$96</f>
        <v>0</v>
      </c>
      <c r="F96" s="28">
        <f>'[7]PL-CM'!$S$96</f>
        <v>16445.072625698325</v>
      </c>
      <c r="G96" s="28">
        <f>'[7]PL-YTD'!$R$96</f>
        <v>21939</v>
      </c>
      <c r="H96" s="28">
        <f>'[7]PL-YTD'!$S$96</f>
        <v>170775.75418994413</v>
      </c>
      <c r="I96" s="28">
        <v>-11437</v>
      </c>
      <c r="J96" s="28">
        <v>-56250</v>
      </c>
      <c r="K96" s="28">
        <f>'[7]PL-YTD'!$AB$96</f>
        <v>-170775.75418994413</v>
      </c>
    </row>
    <row r="97" spans="1:11" ht="12.75">
      <c r="A97" s="52"/>
      <c r="B97" s="27"/>
      <c r="C97" s="29" t="s">
        <v>161</v>
      </c>
      <c r="D97" s="53"/>
      <c r="E97" s="28">
        <f>'[7]PL-CM'!$R$97</f>
        <v>12408</v>
      </c>
      <c r="F97" s="28">
        <f>'[7]PL-CM'!$S$97</f>
        <v>6.318435754189944</v>
      </c>
      <c r="G97" s="28">
        <f>'[7]PL-YTD'!$R$97</f>
        <v>79534</v>
      </c>
      <c r="H97" s="28">
        <f>'[7]PL-YTD'!$S$97</f>
        <v>65.6145251396648</v>
      </c>
      <c r="I97" s="28">
        <v>18615</v>
      </c>
      <c r="J97" s="28">
        <v>39500</v>
      </c>
      <c r="K97" s="28">
        <f>'[7]PL-YTD'!$AB$97</f>
        <v>32919.38547486033</v>
      </c>
    </row>
    <row r="98" spans="1:11" ht="12.75">
      <c r="A98" s="52"/>
      <c r="B98" s="27"/>
      <c r="C98" s="27" t="s">
        <v>162</v>
      </c>
      <c r="D98" s="43"/>
      <c r="E98" s="28">
        <f>'[7]PL-CM'!$R$98</f>
        <v>-23623</v>
      </c>
      <c r="F98" s="28">
        <f>'[7]PL-CM'!$S$98</f>
        <v>2389.2402234636875</v>
      </c>
      <c r="G98" s="28">
        <f>'[7]PL-YTD'!$R$98</f>
        <v>-94186</v>
      </c>
      <c r="H98" s="28">
        <f>'[7]PL-YTD'!$S$98</f>
        <v>24811.340782122905</v>
      </c>
      <c r="I98" s="28">
        <v>66295</v>
      </c>
      <c r="J98" s="28">
        <v>0</v>
      </c>
      <c r="K98" s="28">
        <f>'[7]PL-YTD'!$AB$98</f>
        <v>-24811.340782122905</v>
      </c>
    </row>
    <row r="99" spans="1:11" ht="12.75">
      <c r="A99" s="52"/>
      <c r="B99" s="27"/>
      <c r="C99" s="27" t="s">
        <v>163</v>
      </c>
      <c r="D99" s="43"/>
      <c r="E99" s="28">
        <f>'[7]PL-CM'!$R$99</f>
        <v>0</v>
      </c>
      <c r="F99" s="28">
        <f>'[7]PL-CM'!$S$99</f>
        <v>3631.2849162011175</v>
      </c>
      <c r="G99" s="28">
        <f>'[7]PL-YTD'!$R$99</f>
        <v>0</v>
      </c>
      <c r="H99" s="28">
        <f>'[7]PL-YTD'!$S$99</f>
        <v>37709.49720670391</v>
      </c>
      <c r="I99" s="28">
        <v>0</v>
      </c>
      <c r="J99" s="28">
        <v>0</v>
      </c>
      <c r="K99" s="28">
        <f>'[7]PL-YTD'!$AB$99</f>
        <v>12290.502793296095</v>
      </c>
    </row>
    <row r="100" spans="1:11" ht="4.5" customHeight="1">
      <c r="A100" s="38"/>
      <c r="B100" s="24"/>
      <c r="C100" s="24"/>
      <c r="D100" s="24"/>
      <c r="E100" s="39"/>
      <c r="F100" s="39"/>
      <c r="G100" s="39"/>
      <c r="H100" s="39"/>
      <c r="I100" s="39"/>
      <c r="J100" s="39"/>
      <c r="K100" s="39"/>
    </row>
    <row r="101" spans="1:11" ht="12.75">
      <c r="A101" s="52"/>
      <c r="B101" s="26" t="s">
        <v>164</v>
      </c>
      <c r="C101" s="26"/>
      <c r="D101" s="27"/>
      <c r="E101" s="40">
        <f aca="true" t="shared" si="8" ref="E101:K101">SUM(E76:E99)</f>
        <v>1249597</v>
      </c>
      <c r="F101" s="40">
        <f t="shared" si="8"/>
        <v>1066397.2558028603</v>
      </c>
      <c r="G101" s="40">
        <f t="shared" si="8"/>
        <v>10506503.32</v>
      </c>
      <c r="H101" s="40">
        <f t="shared" si="8"/>
        <v>11074125.348722009</v>
      </c>
      <c r="I101" s="40">
        <f t="shared" si="8"/>
        <v>9838163</v>
      </c>
      <c r="J101" s="40">
        <f t="shared" si="8"/>
        <v>11272795</v>
      </c>
      <c r="K101" s="40">
        <f t="shared" si="8"/>
        <v>3609344.558101989</v>
      </c>
    </row>
    <row r="102" spans="1:11" ht="4.5" customHeight="1">
      <c r="A102" s="38"/>
      <c r="B102" s="24"/>
      <c r="C102" s="24"/>
      <c r="D102" s="24"/>
      <c r="E102" s="39"/>
      <c r="F102" s="39"/>
      <c r="G102" s="39"/>
      <c r="H102" s="39"/>
      <c r="I102" s="39"/>
      <c r="J102" s="39"/>
      <c r="K102" s="39"/>
    </row>
    <row r="103" spans="1:11" ht="12.75">
      <c r="A103" s="23" t="s">
        <v>165</v>
      </c>
      <c r="B103" s="26"/>
      <c r="C103" s="26"/>
      <c r="D103" s="27"/>
      <c r="E103" s="28">
        <f aca="true" t="shared" si="9" ref="E103:K103">E101+E72</f>
        <v>1396942</v>
      </c>
      <c r="F103" s="28">
        <f t="shared" si="9"/>
        <v>1216443.3197134747</v>
      </c>
      <c r="G103" s="28">
        <f t="shared" si="9"/>
        <v>11619196.32</v>
      </c>
      <c r="H103" s="28">
        <f t="shared" si="9"/>
        <v>12632296.01240916</v>
      </c>
      <c r="I103" s="28">
        <f t="shared" si="9"/>
        <v>10943291</v>
      </c>
      <c r="J103" s="28">
        <f t="shared" si="9"/>
        <v>12937097</v>
      </c>
      <c r="K103" s="28">
        <f t="shared" si="9"/>
        <v>4117192.7744148383</v>
      </c>
    </row>
    <row r="104" spans="1:11" ht="4.5" customHeight="1">
      <c r="A104" s="38"/>
      <c r="B104" s="24"/>
      <c r="C104" s="24"/>
      <c r="D104" s="24"/>
      <c r="E104" s="39"/>
      <c r="F104" s="39"/>
      <c r="G104" s="39"/>
      <c r="H104" s="39"/>
      <c r="I104" s="39"/>
      <c r="J104" s="39"/>
      <c r="K104" s="39"/>
    </row>
    <row r="105" spans="1:11" ht="12.75">
      <c r="A105" s="23" t="s">
        <v>166</v>
      </c>
      <c r="B105" s="24"/>
      <c r="C105" s="24"/>
      <c r="D105" s="24"/>
      <c r="E105" s="39">
        <f>+E38+E52+E72+E101</f>
        <v>4990810</v>
      </c>
      <c r="F105" s="39">
        <f>+F38+F52+F72+F101</f>
        <v>4607916.044884151</v>
      </c>
      <c r="G105" s="39">
        <f>+G38+G52+G72+G101</f>
        <v>43807790.55</v>
      </c>
      <c r="H105" s="39">
        <f>+H38+H52+H72+H101</f>
        <v>47851435.85072002</v>
      </c>
      <c r="I105" s="39">
        <f>+I38+I52+I72+I101</f>
        <v>41021558</v>
      </c>
      <c r="J105" s="39">
        <f>+J38+J52+J72+J101-1</f>
        <v>43431606</v>
      </c>
      <c r="K105" s="39">
        <f>+K38+K52+K72+K101</f>
        <v>15596023.53653097</v>
      </c>
    </row>
    <row r="106" spans="1:11" ht="4.5" customHeight="1">
      <c r="A106" s="38"/>
      <c r="B106" s="24"/>
      <c r="C106" s="24"/>
      <c r="D106" s="24"/>
      <c r="E106" s="39"/>
      <c r="F106" s="39"/>
      <c r="G106" s="39"/>
      <c r="H106" s="39"/>
      <c r="I106" s="39"/>
      <c r="J106" s="39"/>
      <c r="K106" s="39"/>
    </row>
    <row r="107" spans="1:11" ht="12.75">
      <c r="A107" s="23" t="s">
        <v>167</v>
      </c>
      <c r="B107" s="26"/>
      <c r="C107" s="26"/>
      <c r="D107" s="27"/>
      <c r="E107" s="28">
        <f aca="true" t="shared" si="10" ref="E107:K107">E21-E105</f>
        <v>153568</v>
      </c>
      <c r="F107" s="28">
        <f t="shared" si="10"/>
        <v>839171.2737337258</v>
      </c>
      <c r="G107" s="28">
        <f t="shared" si="10"/>
        <v>5728456.450000003</v>
      </c>
      <c r="H107" s="28">
        <f t="shared" si="10"/>
        <v>8714470.919542529</v>
      </c>
      <c r="I107" s="28">
        <f>I21-I105</f>
        <v>5914611</v>
      </c>
      <c r="J107" s="28">
        <f>J21-J105</f>
        <v>9320162</v>
      </c>
      <c r="K107" s="28">
        <f t="shared" si="10"/>
        <v>2840272.0034064706</v>
      </c>
    </row>
    <row r="108" spans="1:11" ht="12.75">
      <c r="A108" s="54"/>
      <c r="B108" s="27"/>
      <c r="C108" s="27" t="s">
        <v>168</v>
      </c>
      <c r="D108" s="27"/>
      <c r="E108" s="28">
        <f>'[7]PL-CM'!$R$108</f>
        <v>35660</v>
      </c>
      <c r="F108" s="28">
        <f>'[7]PL-CM'!$S$108</f>
        <v>26155.63687150838</v>
      </c>
      <c r="G108" s="28">
        <f>'[7]PL-YTD'!$R$108</f>
        <v>319212</v>
      </c>
      <c r="H108" s="28">
        <f>'[7]PL-YTD'!$S$108</f>
        <v>271616.22905027936</v>
      </c>
      <c r="I108" s="28">
        <v>351810</v>
      </c>
      <c r="J108" s="28">
        <v>370545</v>
      </c>
      <c r="K108" s="28">
        <f>'[7]PL-YTD'!$AB$108</f>
        <v>88526.29608938546</v>
      </c>
    </row>
    <row r="109" spans="1:11" ht="4.5" customHeight="1">
      <c r="A109" s="38"/>
      <c r="B109" s="24"/>
      <c r="C109" s="24"/>
      <c r="D109" s="24"/>
      <c r="E109" s="39"/>
      <c r="F109" s="39"/>
      <c r="G109" s="39"/>
      <c r="H109" s="39"/>
      <c r="I109" s="39"/>
      <c r="J109" s="39"/>
      <c r="K109" s="39"/>
    </row>
    <row r="110" spans="1:11" ht="13.5" thickBot="1">
      <c r="A110" s="23" t="s">
        <v>169</v>
      </c>
      <c r="B110" s="26"/>
      <c r="C110" s="26"/>
      <c r="D110" s="27"/>
      <c r="E110" s="55">
        <f aca="true" t="shared" si="11" ref="E110:J110">E107+E108</f>
        <v>189228</v>
      </c>
      <c r="F110" s="55">
        <f t="shared" si="11"/>
        <v>865326.9106052341</v>
      </c>
      <c r="G110" s="55">
        <f t="shared" si="11"/>
        <v>6047668.450000003</v>
      </c>
      <c r="H110" s="56">
        <f t="shared" si="11"/>
        <v>8986087.148592807</v>
      </c>
      <c r="I110" s="56">
        <f t="shared" si="11"/>
        <v>6266421</v>
      </c>
      <c r="J110" s="56">
        <f t="shared" si="11"/>
        <v>9690707</v>
      </c>
      <c r="K110" s="56">
        <f>K107+K108</f>
        <v>2928798.2994958563</v>
      </c>
    </row>
    <row r="111" spans="1:11" ht="4.5" customHeight="1" thickTop="1">
      <c r="A111" s="52"/>
      <c r="B111" s="30"/>
      <c r="C111" s="30"/>
      <c r="D111" s="30"/>
      <c r="E111" s="57"/>
      <c r="F111" s="57"/>
      <c r="G111" s="57"/>
      <c r="H111" s="57"/>
      <c r="I111" s="57"/>
      <c r="J111" s="57"/>
      <c r="K111" s="57"/>
    </row>
    <row r="112" spans="1:11" ht="12.75">
      <c r="A112" s="52"/>
      <c r="C112" s="27" t="s">
        <v>11</v>
      </c>
      <c r="E112" s="28">
        <f>'[7]PL-CM'!$R$112</f>
        <v>12737</v>
      </c>
      <c r="F112" s="28">
        <f>'[7]PL-CM'!$S$112</f>
        <v>0</v>
      </c>
      <c r="G112" s="28">
        <f>'[7]PL-YTD'!$R$112</f>
        <v>1484283</v>
      </c>
      <c r="H112" s="28">
        <f>'[7]PL-YTD'!$S$112</f>
        <v>0</v>
      </c>
      <c r="I112" s="58">
        <v>1754598</v>
      </c>
      <c r="J112" s="28">
        <v>2632199</v>
      </c>
      <c r="K112" s="28">
        <f>'[7]PL-YTD'!$AB$112</f>
        <v>0</v>
      </c>
    </row>
    <row r="113" spans="1:11" ht="4.5" customHeight="1">
      <c r="A113" s="52"/>
      <c r="E113" s="59"/>
      <c r="F113" s="60"/>
      <c r="G113" s="60"/>
      <c r="H113" s="60"/>
      <c r="I113" s="60"/>
      <c r="J113" s="60"/>
      <c r="K113" s="60"/>
    </row>
    <row r="114" spans="1:11" ht="13.5" thickBot="1">
      <c r="A114" s="23" t="s">
        <v>170</v>
      </c>
      <c r="E114" s="55">
        <f aca="true" t="shared" si="12" ref="E114:J114">E110-E112</f>
        <v>176491</v>
      </c>
      <c r="F114" s="55">
        <f t="shared" si="12"/>
        <v>865326.9106052341</v>
      </c>
      <c r="G114" s="55">
        <f t="shared" si="12"/>
        <v>4563385.450000003</v>
      </c>
      <c r="H114" s="56">
        <f t="shared" si="12"/>
        <v>8986087.148592807</v>
      </c>
      <c r="I114" s="55">
        <f t="shared" si="12"/>
        <v>4511823</v>
      </c>
      <c r="J114" s="56">
        <f t="shared" si="12"/>
        <v>7058508</v>
      </c>
      <c r="K114" s="56">
        <f>K110-K112</f>
        <v>2928798.2994958563</v>
      </c>
    </row>
    <row r="115" spans="1:11" ht="4.5" customHeight="1" thickTop="1">
      <c r="A115" s="23"/>
      <c r="E115" s="61"/>
      <c r="F115" s="61"/>
      <c r="G115" s="61"/>
      <c r="H115" s="61"/>
      <c r="I115" s="62"/>
      <c r="J115" s="63"/>
      <c r="K115" s="61"/>
    </row>
    <row r="116" spans="1:11" ht="12.75">
      <c r="A116" s="52"/>
      <c r="C116" s="27" t="s">
        <v>171</v>
      </c>
      <c r="E116" s="28">
        <f>'[7]PL-CM'!$R$116</f>
        <v>0</v>
      </c>
      <c r="F116" s="28">
        <f>'[7]PL-CM'!$S$116</f>
        <v>0</v>
      </c>
      <c r="G116" s="28">
        <f>'[7]PL-YTD'!$R$116</f>
        <v>1545642</v>
      </c>
      <c r="H116" s="28">
        <f>'[7]PL-YTD'!$S$116</f>
        <v>0</v>
      </c>
      <c r="I116" s="64">
        <v>1914879</v>
      </c>
      <c r="J116" s="65">
        <v>0</v>
      </c>
      <c r="K116" s="28">
        <f>'[7]PL-YTD'!$AB$116</f>
        <v>0</v>
      </c>
    </row>
    <row r="117" spans="1:11" ht="4.5" customHeight="1">
      <c r="A117" s="52"/>
      <c r="E117" s="59"/>
      <c r="F117" s="60"/>
      <c r="G117" s="60"/>
      <c r="H117" s="60"/>
      <c r="I117" s="66"/>
      <c r="J117" s="67"/>
      <c r="K117" s="60"/>
    </row>
    <row r="118" spans="1:11" ht="13.5" thickBot="1">
      <c r="A118" s="68" t="s">
        <v>172</v>
      </c>
      <c r="E118" s="55">
        <f aca="true" t="shared" si="13" ref="E118:J118">E114-E116</f>
        <v>176491</v>
      </c>
      <c r="F118" s="55">
        <f t="shared" si="13"/>
        <v>865326.9106052341</v>
      </c>
      <c r="G118" s="55">
        <f t="shared" si="13"/>
        <v>3017743.450000003</v>
      </c>
      <c r="H118" s="56">
        <f t="shared" si="13"/>
        <v>8986087.148592807</v>
      </c>
      <c r="I118" s="56">
        <f t="shared" si="13"/>
        <v>2596944</v>
      </c>
      <c r="J118" s="56">
        <f t="shared" si="13"/>
        <v>7058508</v>
      </c>
      <c r="K118" s="56">
        <f>K114-K116</f>
        <v>2928798.2994958563</v>
      </c>
    </row>
    <row r="119" spans="1:11" ht="4.5" customHeight="1" thickTop="1">
      <c r="A119" s="69"/>
      <c r="B119" s="17"/>
      <c r="C119" s="17"/>
      <c r="D119" s="17"/>
      <c r="E119" s="17"/>
      <c r="F119" s="17"/>
      <c r="G119" s="17"/>
      <c r="H119" s="70"/>
      <c r="I119" s="70"/>
      <c r="J119" s="71"/>
      <c r="K119" s="72"/>
    </row>
    <row r="120" spans="9:12" ht="12.75">
      <c r="I120" s="350" t="s">
        <v>173</v>
      </c>
      <c r="J120" s="350"/>
      <c r="K120" s="41"/>
      <c r="L120" s="41"/>
    </row>
    <row r="121" spans="5:11" ht="12.75">
      <c r="E121" s="41">
        <f>E118-'[7]PL-CM'!R118</f>
        <v>0</v>
      </c>
      <c r="F121" s="41">
        <f>F118-'[7]PL-CM'!S118</f>
        <v>0</v>
      </c>
      <c r="G121" s="41">
        <f>G118-'[7]PL-YTD'!R118</f>
        <v>0</v>
      </c>
      <c r="H121" s="41">
        <f>H118-'[7]PL-YTD'!S118</f>
        <v>0</v>
      </c>
      <c r="I121" s="41"/>
      <c r="J121" s="41"/>
      <c r="K121" s="41"/>
    </row>
    <row r="153" ht="12.75">
      <c r="I153" s="3" t="s">
        <v>85</v>
      </c>
    </row>
  </sheetData>
  <mergeCells count="8">
    <mergeCell ref="I120:J120"/>
    <mergeCell ref="G7:H7"/>
    <mergeCell ref="I7:J7"/>
    <mergeCell ref="A1:K1"/>
    <mergeCell ref="A2:K2"/>
    <mergeCell ref="A3:K3"/>
    <mergeCell ref="G5:H5"/>
    <mergeCell ref="I5:J5"/>
  </mergeCell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4"/>
  <sheetViews>
    <sheetView workbookViewId="0" topLeftCell="E1">
      <selection activeCell="G8" sqref="G8"/>
    </sheetView>
  </sheetViews>
  <sheetFormatPr defaultColWidth="9.140625" defaultRowHeight="12.75"/>
  <cols>
    <col min="1" max="1" width="1.7109375" style="78" customWidth="1"/>
    <col min="2" max="2" width="39.28125" style="78" customWidth="1"/>
    <col min="3" max="3" width="14.7109375" style="132" customWidth="1"/>
    <col min="4" max="9" width="12.7109375" style="132" customWidth="1"/>
    <col min="10" max="10" width="13.7109375" style="132" customWidth="1"/>
    <col min="11" max="12" width="12.7109375" style="78" customWidth="1"/>
    <col min="13" max="16384" width="9.140625" style="78" customWidth="1"/>
  </cols>
  <sheetData>
    <row r="1" spans="1:12" ht="12.75">
      <c r="A1" s="74" t="s">
        <v>82</v>
      </c>
      <c r="B1" s="75"/>
      <c r="C1" s="76"/>
      <c r="D1" s="76"/>
      <c r="E1" s="76"/>
      <c r="F1" s="76"/>
      <c r="G1" s="76"/>
      <c r="H1" s="76"/>
      <c r="I1" s="76"/>
      <c r="J1" s="76"/>
      <c r="K1" s="77"/>
      <c r="L1" s="77"/>
    </row>
    <row r="2" spans="1:12" ht="12.75">
      <c r="A2" s="74" t="s">
        <v>247</v>
      </c>
      <c r="B2" s="74"/>
      <c r="C2" s="76"/>
      <c r="D2" s="76"/>
      <c r="E2" s="76"/>
      <c r="F2" s="76"/>
      <c r="G2" s="76"/>
      <c r="H2" s="76"/>
      <c r="I2" s="76"/>
      <c r="J2" s="76"/>
      <c r="K2" s="77"/>
      <c r="L2" s="77"/>
    </row>
    <row r="3" spans="1:10" ht="12.75">
      <c r="A3" s="79"/>
      <c r="B3" s="79"/>
      <c r="C3" s="51"/>
      <c r="D3" s="51"/>
      <c r="E3" s="2"/>
      <c r="F3" s="2"/>
      <c r="G3" s="2"/>
      <c r="H3" s="2"/>
      <c r="I3" s="2"/>
      <c r="J3" s="2"/>
    </row>
    <row r="4" spans="1:12" ht="12.75">
      <c r="A4" s="80"/>
      <c r="B4" s="81"/>
      <c r="C4" s="82" t="s">
        <v>178</v>
      </c>
      <c r="D4" s="83" t="s">
        <v>179</v>
      </c>
      <c r="E4" s="84" t="s">
        <v>180</v>
      </c>
      <c r="F4" s="85" t="s">
        <v>181</v>
      </c>
      <c r="G4" s="86" t="s">
        <v>182</v>
      </c>
      <c r="H4" s="86" t="s">
        <v>183</v>
      </c>
      <c r="I4" s="86" t="s">
        <v>184</v>
      </c>
      <c r="J4" s="87"/>
      <c r="K4" s="88"/>
      <c r="L4" s="89" t="s">
        <v>180</v>
      </c>
    </row>
    <row r="5" spans="1:12" ht="12.75">
      <c r="A5" s="90" t="s">
        <v>87</v>
      </c>
      <c r="B5" s="91"/>
      <c r="C5" s="92" t="s">
        <v>185</v>
      </c>
      <c r="D5" s="93"/>
      <c r="E5" s="93"/>
      <c r="F5" s="94"/>
      <c r="G5" s="95"/>
      <c r="H5" s="95"/>
      <c r="I5" s="95"/>
      <c r="J5" s="96" t="s">
        <v>186</v>
      </c>
      <c r="K5" s="97" t="s">
        <v>187</v>
      </c>
      <c r="L5" s="98" t="s">
        <v>2</v>
      </c>
    </row>
    <row r="6" spans="1:12" ht="12.75">
      <c r="A6" s="99"/>
      <c r="B6" s="100"/>
      <c r="C6" s="101">
        <f>'[7]PL-CM'!E7</f>
        <v>37621</v>
      </c>
      <c r="D6" s="102"/>
      <c r="E6" s="102"/>
      <c r="F6" s="103"/>
      <c r="G6" s="104"/>
      <c r="H6" s="104"/>
      <c r="I6" s="104"/>
      <c r="J6" s="105"/>
      <c r="K6" s="106"/>
      <c r="L6" s="107">
        <f>C6</f>
        <v>37621</v>
      </c>
    </row>
    <row r="7" spans="1:12" ht="12.75">
      <c r="A7" s="108"/>
      <c r="B7" s="109"/>
      <c r="C7" s="110"/>
      <c r="D7" s="111"/>
      <c r="E7" s="112">
        <v>2.1875</v>
      </c>
      <c r="F7" s="50"/>
      <c r="G7" s="113"/>
      <c r="H7" s="113"/>
      <c r="I7" s="113"/>
      <c r="J7" s="66"/>
      <c r="K7" s="114"/>
      <c r="L7" s="115" t="s">
        <v>188</v>
      </c>
    </row>
    <row r="8" spans="1:12" ht="12.75">
      <c r="A8" s="116" t="s">
        <v>189</v>
      </c>
      <c r="B8" s="117"/>
      <c r="C8" s="118"/>
      <c r="D8" s="118"/>
      <c r="E8" s="118"/>
      <c r="F8" s="66"/>
      <c r="G8" s="119"/>
      <c r="H8" s="119"/>
      <c r="I8" s="119"/>
      <c r="J8" s="66"/>
      <c r="K8" s="114"/>
      <c r="L8" s="114"/>
    </row>
    <row r="9" spans="1:12" ht="12.75">
      <c r="A9" s="120"/>
      <c r="B9" s="121" t="s">
        <v>190</v>
      </c>
      <c r="C9" s="64">
        <f>'[14]BS'!$C$9</f>
        <v>15995337</v>
      </c>
      <c r="D9" s="122">
        <v>621202</v>
      </c>
      <c r="E9" s="123">
        <v>241379</v>
      </c>
      <c r="F9" s="122">
        <v>830171</v>
      </c>
      <c r="G9" s="124">
        <v>0</v>
      </c>
      <c r="H9" s="124">
        <v>0</v>
      </c>
      <c r="I9" s="124">
        <f>SUM(C9:H9)</f>
        <v>17688089</v>
      </c>
      <c r="J9" s="122"/>
      <c r="K9" s="125">
        <f aca="true" t="shared" si="0" ref="K9:K16">SUM(I9:J9)</f>
        <v>17688089</v>
      </c>
      <c r="L9" s="126">
        <v>110345</v>
      </c>
    </row>
    <row r="10" spans="1:12" ht="12.75">
      <c r="A10" s="120"/>
      <c r="B10" s="121" t="s">
        <v>191</v>
      </c>
      <c r="C10" s="64">
        <f>'[14]BS'!$C$10</f>
        <v>2824197</v>
      </c>
      <c r="D10" s="122">
        <v>21020</v>
      </c>
      <c r="E10" s="123">
        <v>92788</v>
      </c>
      <c r="F10" s="122">
        <v>9660</v>
      </c>
      <c r="G10" s="124">
        <v>0</v>
      </c>
      <c r="H10" s="124">
        <v>0</v>
      </c>
      <c r="I10" s="124">
        <f aca="true" t="shared" si="1" ref="I10:I16">SUM(C10:H10)</f>
        <v>2947665</v>
      </c>
      <c r="J10" s="122"/>
      <c r="K10" s="125">
        <f t="shared" si="0"/>
        <v>2947665</v>
      </c>
      <c r="L10" s="126">
        <v>42417</v>
      </c>
    </row>
    <row r="11" spans="1:12" ht="12.75">
      <c r="A11" s="120"/>
      <c r="B11" s="121" t="s">
        <v>192</v>
      </c>
      <c r="C11" s="64">
        <f>'[14]BS'!$C$11</f>
        <v>110725</v>
      </c>
      <c r="D11" s="64">
        <v>229082</v>
      </c>
      <c r="E11" s="64">
        <f>SUM(E12:E13)</f>
        <v>0</v>
      </c>
      <c r="F11" s="64">
        <f>SUM(F12:F13)</f>
        <v>0</v>
      </c>
      <c r="G11" s="64">
        <f>SUM(G12:G13)</f>
        <v>0</v>
      </c>
      <c r="H11" s="64">
        <f>SUM(H12:H13)</f>
        <v>0</v>
      </c>
      <c r="I11" s="124">
        <f t="shared" si="1"/>
        <v>339807</v>
      </c>
      <c r="J11" s="122"/>
      <c r="K11" s="125">
        <f t="shared" si="0"/>
        <v>339807</v>
      </c>
      <c r="L11" s="64">
        <v>0</v>
      </c>
    </row>
    <row r="12" spans="1:12" ht="12.75" hidden="1">
      <c r="A12" s="120"/>
      <c r="B12" s="121" t="s">
        <v>193</v>
      </c>
      <c r="C12" s="122" t="e">
        <f>+'[14]BSD'!$G$43</f>
        <v>#REF!</v>
      </c>
      <c r="D12" s="127">
        <v>0</v>
      </c>
      <c r="E12" s="123">
        <v>0</v>
      </c>
      <c r="F12" s="122">
        <v>0</v>
      </c>
      <c r="G12" s="124">
        <v>0</v>
      </c>
      <c r="H12" s="124">
        <v>0</v>
      </c>
      <c r="I12" s="124" t="e">
        <f t="shared" si="1"/>
        <v>#REF!</v>
      </c>
      <c r="J12" s="122"/>
      <c r="K12" s="125" t="e">
        <f t="shared" si="0"/>
        <v>#REF!</v>
      </c>
      <c r="L12" s="126">
        <v>0</v>
      </c>
    </row>
    <row r="13" spans="1:12" ht="12.75" hidden="1">
      <c r="A13" s="120"/>
      <c r="B13" s="121" t="s">
        <v>194</v>
      </c>
      <c r="C13" s="122"/>
      <c r="D13" s="127">
        <v>0</v>
      </c>
      <c r="E13" s="123">
        <v>0</v>
      </c>
      <c r="F13" s="122">
        <v>0</v>
      </c>
      <c r="G13" s="124">
        <v>0</v>
      </c>
      <c r="H13" s="124">
        <v>0</v>
      </c>
      <c r="I13" s="124">
        <f t="shared" si="1"/>
        <v>0</v>
      </c>
      <c r="J13" s="122"/>
      <c r="K13" s="125">
        <f t="shared" si="0"/>
        <v>0</v>
      </c>
      <c r="L13" s="126">
        <v>0</v>
      </c>
    </row>
    <row r="14" spans="1:12" s="132" customFormat="1" ht="12.75">
      <c r="A14" s="128"/>
      <c r="B14" s="129" t="s">
        <v>195</v>
      </c>
      <c r="C14" s="64">
        <f>'[14]BS'!$C$12</f>
        <v>2110384</v>
      </c>
      <c r="D14" s="122">
        <v>0</v>
      </c>
      <c r="E14" s="123">
        <v>0</v>
      </c>
      <c r="F14" s="64">
        <v>0</v>
      </c>
      <c r="G14" s="130">
        <v>0</v>
      </c>
      <c r="H14" s="130">
        <v>0</v>
      </c>
      <c r="I14" s="124">
        <f t="shared" si="1"/>
        <v>2110384</v>
      </c>
      <c r="J14" s="122">
        <f>-I14</f>
        <v>-2110384</v>
      </c>
      <c r="K14" s="122">
        <f t="shared" si="0"/>
        <v>0</v>
      </c>
      <c r="L14" s="131">
        <v>0</v>
      </c>
    </row>
    <row r="15" spans="1:12" ht="12.75">
      <c r="A15" s="120"/>
      <c r="B15" s="121" t="s">
        <v>196</v>
      </c>
      <c r="C15" s="122">
        <f>'[14]BS'!$C$13</f>
        <v>52316</v>
      </c>
      <c r="D15" s="122">
        <v>48216</v>
      </c>
      <c r="E15" s="123">
        <v>26148</v>
      </c>
      <c r="F15" s="64">
        <v>230705</v>
      </c>
      <c r="G15" s="130">
        <v>0</v>
      </c>
      <c r="H15" s="130">
        <v>0</v>
      </c>
      <c r="I15" s="124">
        <f t="shared" si="1"/>
        <v>357385</v>
      </c>
      <c r="J15" s="122"/>
      <c r="K15" s="125">
        <f t="shared" si="0"/>
        <v>357385</v>
      </c>
      <c r="L15" s="126">
        <v>11953</v>
      </c>
    </row>
    <row r="16" spans="1:12" ht="12.75">
      <c r="A16" s="120"/>
      <c r="B16" s="121" t="s">
        <v>197</v>
      </c>
      <c r="C16" s="122">
        <f>'[14]BS'!$C$14</f>
        <v>13155920</v>
      </c>
      <c r="D16" s="122">
        <v>676468</v>
      </c>
      <c r="E16" s="123">
        <v>0</v>
      </c>
      <c r="F16" s="122">
        <v>0</v>
      </c>
      <c r="G16" s="124">
        <v>0</v>
      </c>
      <c r="H16" s="124">
        <v>0</v>
      </c>
      <c r="I16" s="124">
        <f t="shared" si="1"/>
        <v>13832388</v>
      </c>
      <c r="J16" s="122"/>
      <c r="K16" s="125">
        <f t="shared" si="0"/>
        <v>13832388</v>
      </c>
      <c r="L16" s="126">
        <v>0</v>
      </c>
    </row>
    <row r="17" spans="1:12" ht="4.5" customHeight="1">
      <c r="A17" s="133"/>
      <c r="B17" s="134"/>
      <c r="C17" s="135" t="s">
        <v>85</v>
      </c>
      <c r="D17" s="135" t="s">
        <v>85</v>
      </c>
      <c r="E17" s="136" t="s">
        <v>85</v>
      </c>
      <c r="F17" s="137" t="s">
        <v>198</v>
      </c>
      <c r="G17" s="138"/>
      <c r="H17" s="138"/>
      <c r="I17" s="138" t="s">
        <v>198</v>
      </c>
      <c r="J17" s="137" t="s">
        <v>85</v>
      </c>
      <c r="K17" s="139" t="s">
        <v>85</v>
      </c>
      <c r="L17" s="140" t="s">
        <v>85</v>
      </c>
    </row>
    <row r="18" spans="1:12" ht="12.75">
      <c r="A18" s="68" t="s">
        <v>199</v>
      </c>
      <c r="B18" s="141"/>
      <c r="C18" s="142" t="e">
        <f>SUM(C9:C16)</f>
        <v>#REF!</v>
      </c>
      <c r="D18" s="142">
        <f>SUM(D9:D16)</f>
        <v>1595988</v>
      </c>
      <c r="E18" s="142">
        <f aca="true" t="shared" si="2" ref="E18:K18">SUM(E9:E16)-E11</f>
        <v>360315</v>
      </c>
      <c r="F18" s="142">
        <f t="shared" si="2"/>
        <v>1070536</v>
      </c>
      <c r="G18" s="142">
        <f t="shared" si="2"/>
        <v>0</v>
      </c>
      <c r="H18" s="142">
        <f t="shared" si="2"/>
        <v>0</v>
      </c>
      <c r="I18" s="142" t="e">
        <f>SUM(I9:I16)</f>
        <v>#REF!</v>
      </c>
      <c r="J18" s="142">
        <f t="shared" si="2"/>
        <v>-2110384</v>
      </c>
      <c r="K18" s="142" t="e">
        <f t="shared" si="2"/>
        <v>#REF!</v>
      </c>
      <c r="L18" s="142">
        <f>SUM(L9:L16)-L11</f>
        <v>164715</v>
      </c>
    </row>
    <row r="19" spans="1:12" ht="4.5" customHeight="1">
      <c r="A19" s="133"/>
      <c r="B19" s="134"/>
      <c r="C19" s="143" t="s">
        <v>85</v>
      </c>
      <c r="D19" s="144" t="s">
        <v>85</v>
      </c>
      <c r="E19" s="145" t="s">
        <v>85</v>
      </c>
      <c r="F19" s="146" t="s">
        <v>85</v>
      </c>
      <c r="G19" s="147"/>
      <c r="H19" s="147"/>
      <c r="I19" s="148" t="s">
        <v>85</v>
      </c>
      <c r="J19" s="146" t="s">
        <v>85</v>
      </c>
      <c r="K19" s="149" t="s">
        <v>85</v>
      </c>
      <c r="L19" s="150" t="s">
        <v>85</v>
      </c>
    </row>
    <row r="20" spans="1:12" ht="12.75">
      <c r="A20" s="116" t="s">
        <v>200</v>
      </c>
      <c r="B20" s="117"/>
      <c r="C20" s="151"/>
      <c r="D20" s="151"/>
      <c r="E20" s="152"/>
      <c r="F20" s="64"/>
      <c r="G20" s="130"/>
      <c r="H20" s="130"/>
      <c r="I20" s="130"/>
      <c r="J20" s="64"/>
      <c r="K20" s="153"/>
      <c r="L20" s="154"/>
    </row>
    <row r="21" spans="1:12" ht="12.75">
      <c r="A21" s="120"/>
      <c r="B21" s="121" t="s">
        <v>201</v>
      </c>
      <c r="C21" s="122">
        <f>'[14]BS'!$C$19</f>
        <v>1350573</v>
      </c>
      <c r="D21" s="131">
        <v>723888</v>
      </c>
      <c r="E21" s="123">
        <v>170569</v>
      </c>
      <c r="F21" s="122">
        <v>19100</v>
      </c>
      <c r="G21" s="124">
        <v>0</v>
      </c>
      <c r="H21" s="124">
        <v>0</v>
      </c>
      <c r="I21" s="124">
        <f aca="true" t="shared" si="3" ref="I21:I29">SUM(C21:H21)</f>
        <v>2264130</v>
      </c>
      <c r="J21" s="122"/>
      <c r="K21" s="125">
        <f>SUM(I21:J21)</f>
        <v>2264130</v>
      </c>
      <c r="L21" s="126">
        <v>77974</v>
      </c>
    </row>
    <row r="22" spans="1:12" ht="12.75">
      <c r="A22" s="120"/>
      <c r="B22" s="121" t="s">
        <v>202</v>
      </c>
      <c r="C22" s="122">
        <f>'[14]BS'!$C$20</f>
        <v>3472810</v>
      </c>
      <c r="D22" s="131">
        <v>109307</v>
      </c>
      <c r="E22" s="123">
        <v>197313</v>
      </c>
      <c r="F22" s="122">
        <v>378579</v>
      </c>
      <c r="G22" s="124">
        <v>0</v>
      </c>
      <c r="H22" s="124">
        <v>0</v>
      </c>
      <c r="I22" s="124">
        <f t="shared" si="3"/>
        <v>4158009</v>
      </c>
      <c r="J22" s="122"/>
      <c r="K22" s="125">
        <f>SUM(I22:J22)</f>
        <v>4158009</v>
      </c>
      <c r="L22" s="126">
        <v>90200</v>
      </c>
    </row>
    <row r="23" spans="1:12" ht="12.75">
      <c r="A23" s="120"/>
      <c r="B23" s="121" t="s">
        <v>203</v>
      </c>
      <c r="C23" s="122">
        <f>'[14]BS'!$C$21</f>
        <v>6938</v>
      </c>
      <c r="D23" s="131">
        <f>'[3]BS'!$C$22</f>
        <v>0</v>
      </c>
      <c r="E23" s="123">
        <v>0</v>
      </c>
      <c r="F23" s="122">
        <v>0</v>
      </c>
      <c r="G23" s="124">
        <v>0</v>
      </c>
      <c r="H23" s="124">
        <v>0</v>
      </c>
      <c r="I23" s="124">
        <f t="shared" si="3"/>
        <v>6938</v>
      </c>
      <c r="J23" s="122"/>
      <c r="K23" s="125">
        <f>SUM(I23:J23)</f>
        <v>6938</v>
      </c>
      <c r="L23" s="126">
        <v>0</v>
      </c>
    </row>
    <row r="24" spans="1:12" ht="12.75">
      <c r="A24" s="120"/>
      <c r="B24" s="121" t="s">
        <v>195</v>
      </c>
      <c r="C24" s="64">
        <f aca="true" t="shared" si="4" ref="C24:J24">SUM(C25:C27)</f>
        <v>7251</v>
      </c>
      <c r="D24" s="64">
        <f t="shared" si="4"/>
        <v>586010</v>
      </c>
      <c r="E24" s="64">
        <f>SUM(E25:E27)</f>
        <v>1310207</v>
      </c>
      <c r="F24" s="64">
        <f>SUM(F25:F27)</f>
        <v>287717</v>
      </c>
      <c r="G24" s="64">
        <f t="shared" si="4"/>
        <v>2860</v>
      </c>
      <c r="H24" s="64">
        <f t="shared" si="4"/>
        <v>250</v>
      </c>
      <c r="I24" s="124">
        <f t="shared" si="3"/>
        <v>2194295</v>
      </c>
      <c r="J24" s="64">
        <f t="shared" si="4"/>
        <v>-2110385</v>
      </c>
      <c r="K24" s="125">
        <f>SUM(I24:J24)</f>
        <v>83910</v>
      </c>
      <c r="L24" s="64">
        <f>SUM(L25:L26)</f>
        <v>598952</v>
      </c>
    </row>
    <row r="25" spans="1:12" ht="12.75" hidden="1">
      <c r="A25" s="120"/>
      <c r="B25" s="121" t="s">
        <v>195</v>
      </c>
      <c r="C25" s="158">
        <f>'[14]BS'!$C$23</f>
        <v>0</v>
      </c>
      <c r="D25" s="156">
        <v>586010</v>
      </c>
      <c r="E25" s="157">
        <v>1297150</v>
      </c>
      <c r="F25" s="158">
        <v>224115</v>
      </c>
      <c r="G25" s="159">
        <f>1760+1000+100</f>
        <v>2860</v>
      </c>
      <c r="H25" s="159">
        <f>100+150</f>
        <v>250</v>
      </c>
      <c r="I25" s="124">
        <f>SUM(C25:H25)</f>
        <v>2110385</v>
      </c>
      <c r="J25" s="122">
        <f>-I25</f>
        <v>-2110385</v>
      </c>
      <c r="K25" s="125">
        <f>I25+J25</f>
        <v>0</v>
      </c>
      <c r="L25" s="126">
        <v>592983</v>
      </c>
    </row>
    <row r="26" spans="1:12" ht="12.75" hidden="1">
      <c r="A26" s="120"/>
      <c r="B26" s="121" t="s">
        <v>204</v>
      </c>
      <c r="C26" s="122">
        <v>0</v>
      </c>
      <c r="D26" s="131">
        <v>0</v>
      </c>
      <c r="E26" s="123">
        <v>13057</v>
      </c>
      <c r="F26" s="122">
        <v>63602</v>
      </c>
      <c r="G26" s="124">
        <v>0</v>
      </c>
      <c r="H26" s="124">
        <v>0</v>
      </c>
      <c r="I26" s="124">
        <f t="shared" si="3"/>
        <v>76659</v>
      </c>
      <c r="J26" s="122"/>
      <c r="K26" s="125">
        <f>I26+J26</f>
        <v>76659</v>
      </c>
      <c r="L26" s="126">
        <v>5969</v>
      </c>
    </row>
    <row r="27" spans="1:12" ht="12.75" hidden="1">
      <c r="A27" s="120"/>
      <c r="B27" s="121" t="s">
        <v>205</v>
      </c>
      <c r="C27" s="122">
        <f>'[14]BS'!$C$24</f>
        <v>7251</v>
      </c>
      <c r="D27" s="131">
        <v>0</v>
      </c>
      <c r="E27" s="123">
        <v>0</v>
      </c>
      <c r="F27" s="122">
        <v>0</v>
      </c>
      <c r="G27" s="124">
        <v>0</v>
      </c>
      <c r="H27" s="124">
        <v>0</v>
      </c>
      <c r="I27" s="124">
        <f t="shared" si="3"/>
        <v>7251</v>
      </c>
      <c r="J27" s="122"/>
      <c r="K27" s="125">
        <f>SUM(I27:J27)</f>
        <v>7251</v>
      </c>
      <c r="L27" s="126">
        <v>0</v>
      </c>
    </row>
    <row r="28" spans="1:12" ht="12.75">
      <c r="A28" s="120"/>
      <c r="B28" s="121" t="s">
        <v>11</v>
      </c>
      <c r="C28" s="122">
        <f>'[14]BS'!$C$25</f>
        <v>1215027</v>
      </c>
      <c r="D28" s="131">
        <f>'[7]PL-YTD'!G112</f>
        <v>16442</v>
      </c>
      <c r="E28" s="123">
        <v>6566</v>
      </c>
      <c r="F28" s="122">
        <v>35180</v>
      </c>
      <c r="G28" s="124">
        <v>0</v>
      </c>
      <c r="H28" s="124">
        <v>0</v>
      </c>
      <c r="I28" s="124">
        <f t="shared" si="3"/>
        <v>1273215</v>
      </c>
      <c r="J28" s="122"/>
      <c r="K28" s="125">
        <f>SUM(I28:J28)</f>
        <v>1273215</v>
      </c>
      <c r="L28" s="126">
        <v>3002</v>
      </c>
    </row>
    <row r="29" spans="1:12" ht="12.75">
      <c r="A29" s="120"/>
      <c r="B29" s="121" t="s">
        <v>206</v>
      </c>
      <c r="C29" s="122">
        <f>'[14]BS'!$C$26</f>
        <v>1545642</v>
      </c>
      <c r="D29" s="131">
        <f>'[3]BS'!$C$25</f>
        <v>0</v>
      </c>
      <c r="E29" s="123">
        <v>0</v>
      </c>
      <c r="F29" s="122">
        <v>0</v>
      </c>
      <c r="G29" s="124">
        <v>0</v>
      </c>
      <c r="H29" s="124">
        <v>0</v>
      </c>
      <c r="I29" s="124">
        <f t="shared" si="3"/>
        <v>1545642</v>
      </c>
      <c r="J29" s="122">
        <v>0</v>
      </c>
      <c r="K29" s="125">
        <f>SUM(I29:J29)</f>
        <v>1545642</v>
      </c>
      <c r="L29" s="126">
        <v>0</v>
      </c>
    </row>
    <row r="30" spans="1:12" ht="4.5" customHeight="1">
      <c r="A30" s="133"/>
      <c r="B30" s="134"/>
      <c r="C30" s="135" t="s">
        <v>85</v>
      </c>
      <c r="D30" s="135" t="s">
        <v>85</v>
      </c>
      <c r="E30" s="136" t="s">
        <v>85</v>
      </c>
      <c r="F30" s="137" t="s">
        <v>85</v>
      </c>
      <c r="G30" s="138"/>
      <c r="H30" s="138"/>
      <c r="I30" s="138" t="s">
        <v>85</v>
      </c>
      <c r="J30" s="137" t="s">
        <v>85</v>
      </c>
      <c r="K30" s="139" t="s">
        <v>85</v>
      </c>
      <c r="L30" s="140" t="s">
        <v>85</v>
      </c>
    </row>
    <row r="31" spans="1:12" ht="12.75">
      <c r="A31" s="68" t="s">
        <v>207</v>
      </c>
      <c r="B31" s="141"/>
      <c r="C31" s="142">
        <f>SUM(C21:C29)-C24</f>
        <v>7598241</v>
      </c>
      <c r="D31" s="142">
        <f aca="true" t="shared" si="5" ref="D31:J31">SUM(D21:D29)-D24</f>
        <v>1435647</v>
      </c>
      <c r="E31" s="142">
        <f>SUM(E21:E29)-E24</f>
        <v>1684655</v>
      </c>
      <c r="F31" s="142">
        <f t="shared" si="5"/>
        <v>720576</v>
      </c>
      <c r="G31" s="142">
        <f t="shared" si="5"/>
        <v>2860</v>
      </c>
      <c r="H31" s="142">
        <f t="shared" si="5"/>
        <v>250</v>
      </c>
      <c r="I31" s="142">
        <f t="shared" si="5"/>
        <v>11442229</v>
      </c>
      <c r="J31" s="142">
        <f t="shared" si="5"/>
        <v>-2110385</v>
      </c>
      <c r="K31" s="142">
        <f>SUM(K21:K29)-K24</f>
        <v>9331844</v>
      </c>
      <c r="L31" s="142">
        <f>SUM(L21:L29)-L24</f>
        <v>770128</v>
      </c>
    </row>
    <row r="32" spans="1:12" ht="4.5" customHeight="1">
      <c r="A32" s="133"/>
      <c r="B32" s="134"/>
      <c r="C32" s="135" t="s">
        <v>85</v>
      </c>
      <c r="D32" s="135" t="s">
        <v>85</v>
      </c>
      <c r="E32" s="136" t="s">
        <v>85</v>
      </c>
      <c r="F32" s="137" t="s">
        <v>85</v>
      </c>
      <c r="G32" s="138"/>
      <c r="H32" s="138"/>
      <c r="I32" s="138" t="s">
        <v>85</v>
      </c>
      <c r="J32" s="137" t="s">
        <v>85</v>
      </c>
      <c r="K32" s="139" t="s">
        <v>85</v>
      </c>
      <c r="L32" s="140" t="s">
        <v>85</v>
      </c>
    </row>
    <row r="33" spans="1:12" ht="12.75">
      <c r="A33" s="120" t="s">
        <v>85</v>
      </c>
      <c r="B33" s="121" t="s">
        <v>208</v>
      </c>
      <c r="C33" s="122" t="e">
        <f>C18-C31</f>
        <v>#REF!</v>
      </c>
      <c r="D33" s="122">
        <f>D18-D31</f>
        <v>160341</v>
      </c>
      <c r="E33" s="123">
        <f>E18-E31</f>
        <v>-1324340</v>
      </c>
      <c r="F33" s="122">
        <f>F18-F31-1</f>
        <v>349959</v>
      </c>
      <c r="G33" s="122">
        <f>G18-G31</f>
        <v>-2860</v>
      </c>
      <c r="H33" s="122">
        <f>H18-H31</f>
        <v>-250</v>
      </c>
      <c r="I33" s="124" t="e">
        <f>I18-I31-1</f>
        <v>#REF!</v>
      </c>
      <c r="J33" s="131"/>
      <c r="K33" s="125" t="e">
        <f>SUM(I33:J33)</f>
        <v>#REF!</v>
      </c>
      <c r="L33" s="126">
        <f>L18-L31+1</f>
        <v>-605412</v>
      </c>
    </row>
    <row r="34" spans="1:12" ht="12.75">
      <c r="A34" s="120" t="s">
        <v>85</v>
      </c>
      <c r="B34" s="121" t="s">
        <v>209</v>
      </c>
      <c r="C34" s="122">
        <f>'[14]BS'!$C$31</f>
        <v>24567696</v>
      </c>
      <c r="D34" s="131">
        <v>45566</v>
      </c>
      <c r="E34" s="123">
        <v>9306</v>
      </c>
      <c r="F34" s="122">
        <v>96934</v>
      </c>
      <c r="G34" s="122">
        <v>0</v>
      </c>
      <c r="H34" s="122">
        <v>0</v>
      </c>
      <c r="I34" s="124">
        <f>SUM(C34:H34)</f>
        <v>24719502</v>
      </c>
      <c r="J34" s="122"/>
      <c r="K34" s="125">
        <f>SUM(I34:J34)</f>
        <v>24719502</v>
      </c>
      <c r="L34" s="126">
        <v>4254</v>
      </c>
    </row>
    <row r="35" spans="1:12" ht="12.75">
      <c r="A35" s="120"/>
      <c r="B35" s="121" t="s">
        <v>210</v>
      </c>
      <c r="C35" s="122">
        <f>'[14]BS'!$C$32</f>
        <v>436000</v>
      </c>
      <c r="D35" s="131">
        <v>0</v>
      </c>
      <c r="E35" s="123">
        <v>0</v>
      </c>
      <c r="F35" s="122">
        <v>0</v>
      </c>
      <c r="G35" s="122">
        <v>0</v>
      </c>
      <c r="H35" s="122">
        <v>0</v>
      </c>
      <c r="I35" s="124">
        <f>SUM(C35:H35)</f>
        <v>436000</v>
      </c>
      <c r="J35" s="122">
        <f>-I35</f>
        <v>-436000</v>
      </c>
      <c r="K35" s="125">
        <f>SUM(I35:J35)</f>
        <v>0</v>
      </c>
      <c r="L35" s="126">
        <v>0</v>
      </c>
    </row>
    <row r="36" spans="1:12" ht="12.75">
      <c r="A36" s="120" t="s">
        <v>85</v>
      </c>
      <c r="B36" s="121" t="s">
        <v>211</v>
      </c>
      <c r="C36" s="122">
        <f>'[14]BS'!$C$33</f>
        <v>0</v>
      </c>
      <c r="D36" s="131">
        <v>0</v>
      </c>
      <c r="E36" s="123">
        <v>0</v>
      </c>
      <c r="F36" s="122">
        <v>0</v>
      </c>
      <c r="G36" s="122">
        <v>0</v>
      </c>
      <c r="H36" s="122">
        <v>0</v>
      </c>
      <c r="I36" s="124">
        <f>SUM(C36:H36)</f>
        <v>0</v>
      </c>
      <c r="J36" s="122"/>
      <c r="K36" s="125">
        <f>SUM(I36:J36)</f>
        <v>0</v>
      </c>
      <c r="L36" s="126">
        <v>0</v>
      </c>
    </row>
    <row r="37" spans="1:12" ht="4.5" customHeight="1">
      <c r="A37" s="133"/>
      <c r="B37" s="134"/>
      <c r="C37" s="135" t="s">
        <v>85</v>
      </c>
      <c r="D37" s="135" t="s">
        <v>85</v>
      </c>
      <c r="E37" s="136" t="s">
        <v>85</v>
      </c>
      <c r="F37" s="137" t="s">
        <v>85</v>
      </c>
      <c r="G37" s="138"/>
      <c r="H37" s="138"/>
      <c r="I37" s="138" t="s">
        <v>85</v>
      </c>
      <c r="J37" s="137" t="s">
        <v>85</v>
      </c>
      <c r="K37" s="139" t="s">
        <v>85</v>
      </c>
      <c r="L37" s="140" t="s">
        <v>85</v>
      </c>
    </row>
    <row r="38" spans="1:12" ht="13.5" thickBot="1">
      <c r="A38" s="68" t="s">
        <v>212</v>
      </c>
      <c r="B38" s="160"/>
      <c r="C38" s="161" t="e">
        <f>SUM(C33:C36)</f>
        <v>#REF!</v>
      </c>
      <c r="D38" s="161">
        <f aca="true" t="shared" si="6" ref="D38:L38">SUM(D33:D36)</f>
        <v>205907</v>
      </c>
      <c r="E38" s="162">
        <f t="shared" si="6"/>
        <v>-1315034</v>
      </c>
      <c r="F38" s="56">
        <f t="shared" si="6"/>
        <v>446893</v>
      </c>
      <c r="G38" s="56">
        <f t="shared" si="6"/>
        <v>-2860</v>
      </c>
      <c r="H38" s="56">
        <f t="shared" si="6"/>
        <v>-250</v>
      </c>
      <c r="I38" s="163" t="e">
        <f t="shared" si="6"/>
        <v>#REF!</v>
      </c>
      <c r="J38" s="161">
        <f t="shared" si="6"/>
        <v>-436000</v>
      </c>
      <c r="K38" s="161" t="e">
        <f t="shared" si="6"/>
        <v>#REF!</v>
      </c>
      <c r="L38" s="161">
        <f t="shared" si="6"/>
        <v>-601158</v>
      </c>
    </row>
    <row r="39" spans="1:12" ht="4.5" customHeight="1" thickTop="1">
      <c r="A39" s="133"/>
      <c r="B39" s="134"/>
      <c r="C39" s="135" t="s">
        <v>85</v>
      </c>
      <c r="D39" s="135" t="s">
        <v>85</v>
      </c>
      <c r="E39" s="136" t="s">
        <v>85</v>
      </c>
      <c r="F39" s="164" t="s">
        <v>85</v>
      </c>
      <c r="G39" s="164"/>
      <c r="H39" s="164"/>
      <c r="I39" s="138" t="s">
        <v>85</v>
      </c>
      <c r="J39" s="137" t="s">
        <v>85</v>
      </c>
      <c r="K39" s="139" t="s">
        <v>85</v>
      </c>
      <c r="L39" s="140" t="s">
        <v>85</v>
      </c>
    </row>
    <row r="40" spans="1:12" ht="4.5" customHeight="1">
      <c r="A40" s="133"/>
      <c r="B40" s="134"/>
      <c r="C40" s="151"/>
      <c r="D40" s="151"/>
      <c r="E40" s="165"/>
      <c r="F40" s="64"/>
      <c r="G40" s="130"/>
      <c r="H40" s="130"/>
      <c r="I40" s="130"/>
      <c r="J40" s="64"/>
      <c r="K40" s="153"/>
      <c r="L40" s="154"/>
    </row>
    <row r="41" spans="1:12" ht="12.75">
      <c r="A41" s="68" t="s">
        <v>213</v>
      </c>
      <c r="B41" s="160"/>
      <c r="C41" s="151"/>
      <c r="D41" s="151"/>
      <c r="E41" s="165"/>
      <c r="F41" s="64"/>
      <c r="G41" s="130"/>
      <c r="H41" s="130"/>
      <c r="I41" s="130"/>
      <c r="J41" s="64"/>
      <c r="K41" s="153"/>
      <c r="L41" s="154"/>
    </row>
    <row r="42" spans="1:12" ht="12.75">
      <c r="A42" s="120" t="s">
        <v>85</v>
      </c>
      <c r="B42" s="121" t="s">
        <v>214</v>
      </c>
      <c r="C42" s="122">
        <f>'[14]BS'!$C$38</f>
        <v>42934500</v>
      </c>
      <c r="D42" s="131">
        <v>500000</v>
      </c>
      <c r="E42" s="123">
        <v>129253</v>
      </c>
      <c r="F42" s="122">
        <v>25000</v>
      </c>
      <c r="G42" s="122">
        <v>0</v>
      </c>
      <c r="H42" s="122">
        <v>0</v>
      </c>
      <c r="I42" s="124">
        <f>SUM(C42:H42)</f>
        <v>43588753</v>
      </c>
      <c r="J42" s="122">
        <f>-(D42+E42+F42)</f>
        <v>-654253</v>
      </c>
      <c r="K42" s="125">
        <f>SUM(I42:J42)</f>
        <v>42934500</v>
      </c>
      <c r="L42" s="126">
        <v>100000</v>
      </c>
    </row>
    <row r="43" spans="1:12" ht="12.75">
      <c r="A43" s="120" t="s">
        <v>85</v>
      </c>
      <c r="B43" s="121" t="s">
        <v>25</v>
      </c>
      <c r="C43" s="122">
        <f>'[14]BS'!$C$39</f>
        <v>6382715</v>
      </c>
      <c r="D43" s="131">
        <v>-336373</v>
      </c>
      <c r="E43" s="123">
        <f>-2056425+107331</f>
        <v>-1949094</v>
      </c>
      <c r="F43" s="122">
        <v>101411</v>
      </c>
      <c r="G43" s="122">
        <v>0</v>
      </c>
      <c r="H43" s="122">
        <v>0</v>
      </c>
      <c r="I43" s="124">
        <f>SUM(C43:H43)</f>
        <v>4198659</v>
      </c>
      <c r="J43" s="122">
        <f>-157500+375752+1</f>
        <v>218253</v>
      </c>
      <c r="K43" s="125">
        <f>SUM(I43:J43)</f>
        <v>4416912</v>
      </c>
      <c r="L43" s="126">
        <v>-921835</v>
      </c>
    </row>
    <row r="44" spans="1:12" ht="12.75">
      <c r="A44" s="120"/>
      <c r="B44" s="121" t="s">
        <v>215</v>
      </c>
      <c r="C44" s="122">
        <f>'[14]BS'!$C$41</f>
        <v>0</v>
      </c>
      <c r="D44" s="131">
        <v>0</v>
      </c>
      <c r="E44" s="123">
        <v>31835</v>
      </c>
      <c r="F44" s="122">
        <v>0</v>
      </c>
      <c r="G44" s="122">
        <v>0</v>
      </c>
      <c r="H44" s="122">
        <v>0</v>
      </c>
      <c r="I44" s="124">
        <f>SUM(C44:H44)</f>
        <v>31835</v>
      </c>
      <c r="J44" s="122"/>
      <c r="K44" s="125">
        <f>SUM(I44:J44)</f>
        <v>31835</v>
      </c>
      <c r="L44" s="126">
        <v>0</v>
      </c>
    </row>
    <row r="45" spans="1:12" ht="12.75">
      <c r="A45" s="120" t="s">
        <v>85</v>
      </c>
      <c r="B45" s="121" t="s">
        <v>216</v>
      </c>
      <c r="C45" s="122">
        <f>'[14]BS'!$C$42</f>
        <v>2185119</v>
      </c>
      <c r="D45" s="131">
        <v>42280</v>
      </c>
      <c r="E45" s="123">
        <v>472972</v>
      </c>
      <c r="F45" s="122">
        <v>320482</v>
      </c>
      <c r="G45" s="122">
        <f>-1760-1000-100</f>
        <v>-2860</v>
      </c>
      <c r="H45" s="122">
        <f>-100-150</f>
        <v>-250</v>
      </c>
      <c r="I45" s="124">
        <f>SUM(C45:H45)</f>
        <v>3017743</v>
      </c>
      <c r="J45" s="166"/>
      <c r="K45" s="125">
        <f>SUM(I45:J45)</f>
        <v>3017743</v>
      </c>
      <c r="L45" s="126">
        <v>220677</v>
      </c>
    </row>
    <row r="46" spans="1:12" ht="12.75">
      <c r="A46" s="120" t="s">
        <v>85</v>
      </c>
      <c r="B46" s="121" t="s">
        <v>217</v>
      </c>
      <c r="C46" s="122">
        <f>'[14]BS'!$C$44</f>
        <v>152000</v>
      </c>
      <c r="D46" s="131">
        <v>0</v>
      </c>
      <c r="E46" s="166">
        <v>0</v>
      </c>
      <c r="F46" s="122">
        <v>0</v>
      </c>
      <c r="G46" s="122">
        <v>0</v>
      </c>
      <c r="H46" s="122">
        <v>0</v>
      </c>
      <c r="I46" s="124">
        <f>SUM(C46:H46)</f>
        <v>152000</v>
      </c>
      <c r="J46" s="122"/>
      <c r="K46" s="125">
        <f>SUM(I46:J46)</f>
        <v>152000</v>
      </c>
      <c r="L46" s="126">
        <v>0</v>
      </c>
    </row>
    <row r="47" spans="1:12" ht="4.5" customHeight="1">
      <c r="A47" s="133"/>
      <c r="B47" s="134"/>
      <c r="C47" s="122"/>
      <c r="D47" s="135" t="s">
        <v>198</v>
      </c>
      <c r="E47" s="136"/>
      <c r="F47" s="137" t="s">
        <v>198</v>
      </c>
      <c r="G47" s="137" t="s">
        <v>198</v>
      </c>
      <c r="H47" s="137" t="s">
        <v>198</v>
      </c>
      <c r="I47" s="138" t="s">
        <v>198</v>
      </c>
      <c r="J47" s="137" t="s">
        <v>198</v>
      </c>
      <c r="K47" s="139" t="s">
        <v>198</v>
      </c>
      <c r="L47" s="140" t="s">
        <v>198</v>
      </c>
    </row>
    <row r="48" spans="1:12" ht="13.5" thickBot="1">
      <c r="A48" s="68" t="s">
        <v>218</v>
      </c>
      <c r="B48" s="167"/>
      <c r="C48" s="161">
        <f>SUM(C42:C46)</f>
        <v>51654334</v>
      </c>
      <c r="D48" s="161">
        <f aca="true" t="shared" si="7" ref="D48:L48">SUM(D42:D46)</f>
        <v>205907</v>
      </c>
      <c r="E48" s="162">
        <f t="shared" si="7"/>
        <v>-1315034</v>
      </c>
      <c r="F48" s="56">
        <f t="shared" si="7"/>
        <v>446893</v>
      </c>
      <c r="G48" s="56">
        <f>SUM(G42:G46)</f>
        <v>-2860</v>
      </c>
      <c r="H48" s="56">
        <f>SUM(H42:H46)</f>
        <v>-250</v>
      </c>
      <c r="I48" s="163">
        <f t="shared" si="7"/>
        <v>50988990</v>
      </c>
      <c r="J48" s="161">
        <f t="shared" si="7"/>
        <v>-436000</v>
      </c>
      <c r="K48" s="161">
        <f t="shared" si="7"/>
        <v>50552990</v>
      </c>
      <c r="L48" s="161">
        <f t="shared" si="7"/>
        <v>-601158</v>
      </c>
    </row>
    <row r="49" spans="1:12" ht="4.5" customHeight="1" thickTop="1">
      <c r="A49" s="168"/>
      <c r="B49" s="169"/>
      <c r="C49" s="170" t="s">
        <v>85</v>
      </c>
      <c r="D49" s="170" t="s">
        <v>85</v>
      </c>
      <c r="E49" s="170" t="s">
        <v>85</v>
      </c>
      <c r="F49" s="171"/>
      <c r="G49" s="171"/>
      <c r="H49" s="171"/>
      <c r="I49" s="172" t="s">
        <v>85</v>
      </c>
      <c r="J49" s="170" t="s">
        <v>85</v>
      </c>
      <c r="K49" s="173" t="s">
        <v>85</v>
      </c>
      <c r="L49" s="174" t="s">
        <v>85</v>
      </c>
    </row>
    <row r="50" spans="1:12" ht="12.75">
      <c r="A50" s="1"/>
      <c r="B50" s="1"/>
      <c r="C50" s="51"/>
      <c r="D50" s="51"/>
      <c r="E50" s="51"/>
      <c r="F50" s="2"/>
      <c r="G50" s="2"/>
      <c r="H50" s="2"/>
      <c r="J50" s="2"/>
      <c r="L50" s="175"/>
    </row>
    <row r="51" spans="1:12" ht="12.75">
      <c r="A51" s="1"/>
      <c r="B51" s="1"/>
      <c r="C51" s="176" t="e">
        <f>C38-C48</f>
        <v>#REF!</v>
      </c>
      <c r="D51" s="176">
        <f aca="true" t="shared" si="8" ref="D51:L51">D38-D48</f>
        <v>0</v>
      </c>
      <c r="E51" s="176">
        <f t="shared" si="8"/>
        <v>0</v>
      </c>
      <c r="F51" s="177">
        <f t="shared" si="8"/>
        <v>0</v>
      </c>
      <c r="G51" s="177">
        <f t="shared" si="8"/>
        <v>0</v>
      </c>
      <c r="H51" s="177">
        <f t="shared" si="8"/>
        <v>0</v>
      </c>
      <c r="I51" s="176" t="e">
        <f t="shared" si="8"/>
        <v>#REF!</v>
      </c>
      <c r="J51" s="178">
        <f t="shared" si="8"/>
        <v>0</v>
      </c>
      <c r="K51" s="179" t="e">
        <f t="shared" si="8"/>
        <v>#REF!</v>
      </c>
      <c r="L51" s="175">
        <f t="shared" si="8"/>
        <v>0</v>
      </c>
    </row>
    <row r="52" spans="1:12" ht="12.75">
      <c r="A52" s="1"/>
      <c r="B52" s="1"/>
      <c r="C52" s="51"/>
      <c r="D52" s="51"/>
      <c r="E52" s="180">
        <f>E48/L48</f>
        <v>2.187501455524172</v>
      </c>
      <c r="F52" s="51"/>
      <c r="G52" s="51"/>
      <c r="H52" s="51"/>
      <c r="I52" s="181" t="s">
        <v>85</v>
      </c>
      <c r="J52" s="182"/>
      <c r="K52" s="183"/>
      <c r="L52" s="175"/>
    </row>
    <row r="53" spans="1:12" ht="12.75">
      <c r="A53" s="1"/>
      <c r="B53" s="184" t="s">
        <v>219</v>
      </c>
      <c r="C53" s="51"/>
      <c r="D53" s="51"/>
      <c r="E53" s="177"/>
      <c r="F53" s="51"/>
      <c r="G53" s="51"/>
      <c r="H53" s="51"/>
      <c r="I53" s="181"/>
      <c r="J53" s="177"/>
      <c r="K53" s="185"/>
      <c r="L53" s="175"/>
    </row>
    <row r="54" spans="1:12" ht="12.75">
      <c r="A54" s="1"/>
      <c r="B54" s="184" t="s">
        <v>220</v>
      </c>
      <c r="C54" s="51">
        <f>C45+D45+E45+F45+G45+H45+J45</f>
        <v>3017743</v>
      </c>
      <c r="D54" s="51"/>
      <c r="E54" s="51"/>
      <c r="F54" s="51"/>
      <c r="G54" s="51"/>
      <c r="H54" s="51"/>
      <c r="I54" s="181"/>
      <c r="J54" s="2"/>
      <c r="L54" s="175"/>
    </row>
    <row r="55" spans="1:12" ht="12.75">
      <c r="A55" s="1"/>
      <c r="B55" s="184" t="s">
        <v>221</v>
      </c>
      <c r="C55" s="178">
        <f>C54-C56</f>
        <v>-0.44999999925494194</v>
      </c>
      <c r="D55" s="51"/>
      <c r="E55" s="51"/>
      <c r="F55" s="51"/>
      <c r="G55" s="51"/>
      <c r="H55" s="51"/>
      <c r="J55" s="2"/>
      <c r="L55" s="175"/>
    </row>
    <row r="56" spans="1:12" ht="12.75">
      <c r="A56" s="1"/>
      <c r="B56" s="184" t="s">
        <v>222</v>
      </c>
      <c r="C56" s="51">
        <f>'[7]PLnew'!J62</f>
        <v>3017743.4499999993</v>
      </c>
      <c r="D56" s="51"/>
      <c r="E56" s="51"/>
      <c r="F56" s="2"/>
      <c r="G56" s="2"/>
      <c r="H56" s="2"/>
      <c r="J56" s="2"/>
      <c r="L56" s="175"/>
    </row>
    <row r="57" spans="1:12" ht="12.75">
      <c r="A57" s="1"/>
      <c r="B57" s="184" t="s">
        <v>223</v>
      </c>
      <c r="C57" s="51"/>
      <c r="D57" s="51"/>
      <c r="E57" s="51"/>
      <c r="F57" s="2"/>
      <c r="G57" s="2"/>
      <c r="H57" s="2"/>
      <c r="J57" s="177"/>
      <c r="L57" s="175"/>
    </row>
    <row r="58" spans="1:12" ht="12.75">
      <c r="A58" s="1"/>
      <c r="B58" s="1"/>
      <c r="C58" s="51"/>
      <c r="D58" s="51"/>
      <c r="E58" s="51"/>
      <c r="F58" s="2"/>
      <c r="G58" s="2"/>
      <c r="H58" s="2"/>
      <c r="J58" s="177"/>
      <c r="L58" s="175"/>
    </row>
    <row r="59" spans="1:12" ht="12.75">
      <c r="A59" s="1"/>
      <c r="B59" s="1"/>
      <c r="C59" s="51"/>
      <c r="D59" s="51"/>
      <c r="E59" s="51"/>
      <c r="F59" s="2"/>
      <c r="G59" s="2"/>
      <c r="H59" s="2"/>
      <c r="J59" s="182"/>
      <c r="L59" s="175"/>
    </row>
    <row r="60" spans="1:12" ht="12.75">
      <c r="A60" s="1"/>
      <c r="B60" s="1"/>
      <c r="C60" s="182"/>
      <c r="D60" s="51"/>
      <c r="E60" s="51"/>
      <c r="F60" s="2"/>
      <c r="G60" s="2"/>
      <c r="H60" s="2"/>
      <c r="J60" s="2"/>
      <c r="L60" s="175"/>
    </row>
    <row r="61" spans="1:12" ht="12.75">
      <c r="A61" s="1"/>
      <c r="B61" s="1"/>
      <c r="C61" s="51"/>
      <c r="D61" s="51"/>
      <c r="E61" s="51"/>
      <c r="F61" s="2"/>
      <c r="G61" s="2"/>
      <c r="H61" s="2"/>
      <c r="J61" s="2"/>
      <c r="L61" s="175"/>
    </row>
    <row r="62" spans="1:12" ht="12.75">
      <c r="A62" s="1"/>
      <c r="B62" s="1"/>
      <c r="C62" s="51"/>
      <c r="D62" s="51"/>
      <c r="E62" s="51"/>
      <c r="F62" s="2"/>
      <c r="G62" s="2"/>
      <c r="H62" s="2"/>
      <c r="J62" s="2"/>
      <c r="L62" s="175"/>
    </row>
    <row r="63" spans="1:10" ht="12.75">
      <c r="A63" s="1"/>
      <c r="B63" s="1"/>
      <c r="C63" s="51"/>
      <c r="D63" s="51"/>
      <c r="E63" s="51"/>
      <c r="F63" s="2"/>
      <c r="G63" s="2"/>
      <c r="H63" s="2"/>
      <c r="J63" s="2"/>
    </row>
    <row r="64" spans="1:10" ht="12.75">
      <c r="A64" s="1"/>
      <c r="B64" s="1"/>
      <c r="C64" s="51"/>
      <c r="D64" s="51"/>
      <c r="E64" s="51"/>
      <c r="F64" s="2"/>
      <c r="G64" s="2"/>
      <c r="H64" s="2"/>
      <c r="J64" s="2"/>
    </row>
    <row r="65" spans="1:10" ht="12.75">
      <c r="A65" s="1"/>
      <c r="B65" s="1"/>
      <c r="C65" s="51"/>
      <c r="D65" s="51"/>
      <c r="E65" s="51"/>
      <c r="F65" s="2"/>
      <c r="G65" s="2"/>
      <c r="H65" s="2"/>
      <c r="J65" s="2"/>
    </row>
    <row r="66" spans="1:10" ht="12.75">
      <c r="A66" s="1"/>
      <c r="B66" s="1"/>
      <c r="C66" s="51"/>
      <c r="D66" s="51"/>
      <c r="E66" s="51"/>
      <c r="F66" s="2"/>
      <c r="G66" s="2"/>
      <c r="H66" s="2"/>
      <c r="J66" s="2"/>
    </row>
    <row r="67" spans="1:10" ht="12.75">
      <c r="A67" s="1"/>
      <c r="B67" s="1"/>
      <c r="C67" s="51"/>
      <c r="D67" s="51"/>
      <c r="E67" s="51"/>
      <c r="F67" s="2"/>
      <c r="G67" s="2"/>
      <c r="H67" s="2"/>
      <c r="J67" s="2"/>
    </row>
    <row r="68" spans="1:10" ht="12.75">
      <c r="A68" s="1"/>
      <c r="B68" s="1"/>
      <c r="C68" s="51"/>
      <c r="D68" s="51"/>
      <c r="E68" s="51"/>
      <c r="F68" s="2"/>
      <c r="G68" s="2"/>
      <c r="H68" s="2"/>
      <c r="I68" s="2"/>
      <c r="J68" s="2"/>
    </row>
    <row r="69" spans="1:10" ht="12.75">
      <c r="A69" s="1"/>
      <c r="B69" s="1"/>
      <c r="C69" s="51"/>
      <c r="D69" s="51"/>
      <c r="E69" s="51"/>
      <c r="F69" s="2"/>
      <c r="G69" s="2"/>
      <c r="H69" s="2"/>
      <c r="I69" s="2"/>
      <c r="J69" s="2"/>
    </row>
    <row r="70" spans="1:10" ht="12.75">
      <c r="A70" s="1"/>
      <c r="B70" s="1"/>
      <c r="C70" s="51"/>
      <c r="D70" s="51"/>
      <c r="E70" s="51"/>
      <c r="F70" s="2"/>
      <c r="G70" s="2"/>
      <c r="H70" s="2"/>
      <c r="I70" s="2"/>
      <c r="J70" s="2"/>
    </row>
    <row r="71" spans="1:10" ht="12.75">
      <c r="A71" s="1"/>
      <c r="B71" s="1"/>
      <c r="C71" s="51"/>
      <c r="D71" s="51"/>
      <c r="E71" s="51"/>
      <c r="F71" s="2"/>
      <c r="G71" s="2"/>
      <c r="H71" s="2"/>
      <c r="I71" s="2"/>
      <c r="J71" s="2"/>
    </row>
    <row r="72" spans="1:10" ht="12.75">
      <c r="A72" s="1"/>
      <c r="B72" s="1"/>
      <c r="C72" s="51"/>
      <c r="D72" s="51"/>
      <c r="E72" s="51"/>
      <c r="F72" s="2"/>
      <c r="G72" s="2"/>
      <c r="H72" s="2"/>
      <c r="I72" s="2"/>
      <c r="J72" s="2"/>
    </row>
    <row r="73" spans="1:10" ht="12.75">
      <c r="A73" s="1"/>
      <c r="B73" s="1"/>
      <c r="C73" s="51"/>
      <c r="D73" s="51"/>
      <c r="E73" s="51"/>
      <c r="F73" s="2"/>
      <c r="G73" s="2"/>
      <c r="H73" s="2"/>
      <c r="I73" s="2"/>
      <c r="J73" s="2"/>
    </row>
    <row r="74" spans="1:10" ht="12.75">
      <c r="A74" s="1"/>
      <c r="B74" s="1"/>
      <c r="C74" s="51"/>
      <c r="D74" s="51"/>
      <c r="E74" s="51"/>
      <c r="F74" s="2"/>
      <c r="G74" s="2"/>
      <c r="H74" s="2"/>
      <c r="I74" s="2"/>
      <c r="J74" s="2"/>
    </row>
    <row r="75" spans="1:10" ht="12.75">
      <c r="A75" s="1"/>
      <c r="B75" s="1"/>
      <c r="C75" s="51"/>
      <c r="D75" s="51"/>
      <c r="E75" s="51"/>
      <c r="F75" s="2"/>
      <c r="G75" s="2"/>
      <c r="H75" s="2"/>
      <c r="I75" s="2"/>
      <c r="J75" s="2"/>
    </row>
    <row r="76" spans="1:10" ht="12.75">
      <c r="A76" s="1"/>
      <c r="B76" s="1"/>
      <c r="C76" s="51"/>
      <c r="D76" s="51"/>
      <c r="E76" s="51"/>
      <c r="F76" s="2"/>
      <c r="G76" s="2"/>
      <c r="H76" s="2"/>
      <c r="I76" s="2"/>
      <c r="J76" s="2"/>
    </row>
    <row r="77" spans="1:10" ht="12.75">
      <c r="A77" s="1"/>
      <c r="B77" s="1"/>
      <c r="C77" s="51"/>
      <c r="D77" s="51"/>
      <c r="E77" s="51"/>
      <c r="F77" s="2"/>
      <c r="G77" s="2"/>
      <c r="H77" s="2"/>
      <c r="I77" s="2"/>
      <c r="J77" s="2"/>
    </row>
    <row r="78" spans="1:10" ht="12.75">
      <c r="A78" s="1"/>
      <c r="B78" s="1"/>
      <c r="C78" s="51"/>
      <c r="D78" s="51"/>
      <c r="E78" s="51"/>
      <c r="F78" s="2"/>
      <c r="G78" s="2"/>
      <c r="H78" s="2"/>
      <c r="I78" s="2"/>
      <c r="J78" s="2"/>
    </row>
    <row r="79" spans="1:10" ht="12.75">
      <c r="A79" s="1"/>
      <c r="B79" s="1"/>
      <c r="C79" s="51"/>
      <c r="D79" s="51"/>
      <c r="E79" s="51"/>
      <c r="F79" s="2"/>
      <c r="G79" s="2"/>
      <c r="H79" s="2"/>
      <c r="I79" s="2"/>
      <c r="J79" s="2"/>
    </row>
    <row r="80" spans="1:10" ht="12.75">
      <c r="A80" s="1"/>
      <c r="B80" s="1"/>
      <c r="C80" s="51"/>
      <c r="D80" s="51"/>
      <c r="E80" s="51"/>
      <c r="F80" s="2"/>
      <c r="G80" s="2"/>
      <c r="H80" s="2"/>
      <c r="I80" s="2"/>
      <c r="J80" s="2"/>
    </row>
    <row r="81" spans="1:10" ht="12.75">
      <c r="A81" s="1"/>
      <c r="B81" s="1"/>
      <c r="C81" s="51"/>
      <c r="D81" s="51"/>
      <c r="E81" s="51"/>
      <c r="F81" s="2"/>
      <c r="G81" s="2"/>
      <c r="H81" s="2"/>
      <c r="I81" s="2"/>
      <c r="J81" s="2"/>
    </row>
    <row r="82" spans="1:10" ht="12.75">
      <c r="A82" s="1"/>
      <c r="B82" s="1"/>
      <c r="C82" s="51"/>
      <c r="D82" s="51"/>
      <c r="E82" s="51"/>
      <c r="F82" s="2"/>
      <c r="G82" s="2"/>
      <c r="H82" s="2"/>
      <c r="I82" s="2"/>
      <c r="J82" s="2"/>
    </row>
    <row r="83" spans="1:10" ht="12.75">
      <c r="A83" s="1"/>
      <c r="B83" s="1"/>
      <c r="C83" s="51"/>
      <c r="D83" s="51"/>
      <c r="E83" s="51"/>
      <c r="F83" s="2"/>
      <c r="G83" s="2"/>
      <c r="H83" s="2"/>
      <c r="I83" s="2"/>
      <c r="J83" s="2"/>
    </row>
    <row r="84" spans="1:10" ht="12.75">
      <c r="A84" s="1"/>
      <c r="B84" s="1"/>
      <c r="C84" s="51"/>
      <c r="D84" s="51"/>
      <c r="E84" s="51"/>
      <c r="F84" s="2"/>
      <c r="G84" s="2"/>
      <c r="H84" s="2"/>
      <c r="I84" s="2"/>
      <c r="J84" s="2"/>
    </row>
    <row r="85" spans="1:10" ht="12.75">
      <c r="A85" s="1"/>
      <c r="B85" s="1"/>
      <c r="C85" s="51"/>
      <c r="D85" s="51"/>
      <c r="E85" s="51"/>
      <c r="F85" s="2"/>
      <c r="G85" s="2"/>
      <c r="H85" s="2"/>
      <c r="I85" s="2"/>
      <c r="J85" s="2"/>
    </row>
    <row r="86" spans="1:10" ht="12.75">
      <c r="A86" s="1"/>
      <c r="B86" s="1"/>
      <c r="C86" s="51"/>
      <c r="D86" s="51"/>
      <c r="E86" s="51"/>
      <c r="F86" s="2"/>
      <c r="G86" s="2"/>
      <c r="H86" s="2"/>
      <c r="I86" s="2"/>
      <c r="J86" s="2"/>
    </row>
    <row r="87" spans="1:10" ht="12.75">
      <c r="A87" s="1"/>
      <c r="B87" s="1"/>
      <c r="C87" s="51"/>
      <c r="D87" s="51"/>
      <c r="E87" s="51"/>
      <c r="F87" s="2"/>
      <c r="G87" s="2"/>
      <c r="H87" s="2"/>
      <c r="I87" s="2"/>
      <c r="J87" s="2"/>
    </row>
    <row r="88" spans="1:10" ht="12.75">
      <c r="A88" s="1"/>
      <c r="B88" s="1"/>
      <c r="C88" s="51"/>
      <c r="D88" s="51"/>
      <c r="E88" s="51"/>
      <c r="F88" s="2"/>
      <c r="G88" s="2"/>
      <c r="H88" s="2"/>
      <c r="I88" s="2"/>
      <c r="J88" s="2"/>
    </row>
    <row r="89" spans="1:10" ht="12.75">
      <c r="A89" s="1"/>
      <c r="B89" s="1"/>
      <c r="C89" s="51"/>
      <c r="D89" s="51"/>
      <c r="E89" s="51"/>
      <c r="F89" s="2"/>
      <c r="G89" s="2"/>
      <c r="H89" s="2"/>
      <c r="I89" s="2"/>
      <c r="J89" s="2"/>
    </row>
    <row r="90" spans="1:10" ht="12.75">
      <c r="A90" s="1"/>
      <c r="B90" s="1"/>
      <c r="C90" s="51"/>
      <c r="D90" s="51"/>
      <c r="E90" s="51"/>
      <c r="F90" s="2"/>
      <c r="G90" s="2"/>
      <c r="H90" s="2"/>
      <c r="I90" s="2"/>
      <c r="J90" s="2"/>
    </row>
    <row r="91" spans="1:10" ht="12.75">
      <c r="A91" s="1"/>
      <c r="B91" s="1"/>
      <c r="C91" s="51"/>
      <c r="D91" s="51"/>
      <c r="E91" s="51"/>
      <c r="F91" s="2"/>
      <c r="G91" s="2"/>
      <c r="H91" s="2"/>
      <c r="I91" s="2"/>
      <c r="J91" s="2"/>
    </row>
    <row r="92" spans="1:10" ht="12.75">
      <c r="A92" s="1"/>
      <c r="B92" s="1"/>
      <c r="C92" s="51"/>
      <c r="D92" s="51"/>
      <c r="E92" s="51"/>
      <c r="F92" s="2"/>
      <c r="G92" s="2"/>
      <c r="H92" s="2"/>
      <c r="I92" s="2"/>
      <c r="J92" s="2"/>
    </row>
    <row r="93" spans="1:10" ht="12.75">
      <c r="A93" s="1"/>
      <c r="B93" s="1"/>
      <c r="C93" s="51"/>
      <c r="D93" s="51"/>
      <c r="E93" s="51"/>
      <c r="F93" s="2"/>
      <c r="G93" s="2"/>
      <c r="H93" s="2"/>
      <c r="I93" s="2"/>
      <c r="J93" s="2"/>
    </row>
    <row r="94" spans="1:10" ht="12.75">
      <c r="A94" s="1"/>
      <c r="B94" s="1"/>
      <c r="C94" s="51"/>
      <c r="D94" s="51"/>
      <c r="E94" s="51"/>
      <c r="F94" s="2"/>
      <c r="G94" s="2"/>
      <c r="H94" s="2"/>
      <c r="I94" s="2"/>
      <c r="J94" s="2"/>
    </row>
    <row r="95" spans="1:10" ht="12.75">
      <c r="A95" s="1"/>
      <c r="B95" s="1"/>
      <c r="C95" s="51"/>
      <c r="D95" s="51"/>
      <c r="E95" s="51"/>
      <c r="F95" s="2"/>
      <c r="G95" s="2"/>
      <c r="H95" s="2"/>
      <c r="I95" s="2"/>
      <c r="J95" s="2"/>
    </row>
    <row r="96" spans="1:10" ht="12.75">
      <c r="A96" s="1"/>
      <c r="B96" s="1"/>
      <c r="C96" s="51"/>
      <c r="D96" s="51"/>
      <c r="E96" s="51"/>
      <c r="F96" s="2"/>
      <c r="G96" s="2"/>
      <c r="H96" s="2"/>
      <c r="I96" s="2"/>
      <c r="J96" s="2"/>
    </row>
    <row r="97" spans="1:10" ht="12.75">
      <c r="A97" s="1"/>
      <c r="B97" s="1"/>
      <c r="C97" s="51"/>
      <c r="D97" s="51"/>
      <c r="E97" s="51"/>
      <c r="F97" s="2"/>
      <c r="G97" s="2"/>
      <c r="H97" s="2"/>
      <c r="I97" s="2"/>
      <c r="J97" s="2"/>
    </row>
    <row r="98" spans="1:10" ht="12.75">
      <c r="A98" s="1"/>
      <c r="B98" s="1"/>
      <c r="C98" s="51"/>
      <c r="D98" s="51"/>
      <c r="E98" s="51"/>
      <c r="F98" s="2"/>
      <c r="G98" s="2"/>
      <c r="H98" s="2"/>
      <c r="I98" s="2"/>
      <c r="J98" s="2"/>
    </row>
    <row r="99" spans="1:10" ht="12.75">
      <c r="A99" s="1"/>
      <c r="B99" s="1"/>
      <c r="C99" s="51"/>
      <c r="D99" s="51"/>
      <c r="E99" s="51"/>
      <c r="F99" s="2"/>
      <c r="G99" s="2"/>
      <c r="H99" s="2"/>
      <c r="I99" s="2"/>
      <c r="J99" s="2"/>
    </row>
    <row r="100" spans="1:10" ht="12.75">
      <c r="A100" s="1"/>
      <c r="B100" s="1"/>
      <c r="C100" s="51"/>
      <c r="D100" s="51"/>
      <c r="E100" s="51"/>
      <c r="F100" s="2"/>
      <c r="G100" s="2"/>
      <c r="H100" s="2"/>
      <c r="I100" s="2"/>
      <c r="J100" s="2"/>
    </row>
    <row r="101" spans="1:10" ht="12.75">
      <c r="A101" s="1"/>
      <c r="B101" s="1"/>
      <c r="C101" s="51"/>
      <c r="D101" s="51"/>
      <c r="E101" s="51"/>
      <c r="F101" s="2"/>
      <c r="G101" s="2"/>
      <c r="H101" s="2"/>
      <c r="I101" s="2"/>
      <c r="J101" s="2"/>
    </row>
    <row r="102" spans="1:10" ht="12.75">
      <c r="A102" s="1"/>
      <c r="B102" s="1"/>
      <c r="C102" s="51"/>
      <c r="D102" s="51"/>
      <c r="E102" s="51"/>
      <c r="F102" s="2"/>
      <c r="G102" s="2"/>
      <c r="H102" s="2"/>
      <c r="I102" s="2"/>
      <c r="J102" s="2"/>
    </row>
    <row r="103" spans="1:10" ht="12.75">
      <c r="A103" s="1"/>
      <c r="B103" s="1"/>
      <c r="C103" s="51"/>
      <c r="D103" s="51"/>
      <c r="E103" s="51"/>
      <c r="F103" s="2"/>
      <c r="G103" s="2"/>
      <c r="H103" s="2"/>
      <c r="I103" s="2"/>
      <c r="J103" s="2"/>
    </row>
    <row r="104" spans="1:10" ht="12.75">
      <c r="A104" s="1"/>
      <c r="B104" s="1"/>
      <c r="C104" s="51"/>
      <c r="D104" s="51"/>
      <c r="E104" s="51"/>
      <c r="F104" s="2"/>
      <c r="G104" s="2"/>
      <c r="H104" s="2"/>
      <c r="I104" s="2"/>
      <c r="J104" s="2"/>
    </row>
    <row r="105" spans="1:10" ht="12.75">
      <c r="A105" s="1"/>
      <c r="B105" s="1"/>
      <c r="C105" s="51"/>
      <c r="D105" s="51"/>
      <c r="E105" s="51"/>
      <c r="F105" s="2"/>
      <c r="G105" s="2"/>
      <c r="H105" s="2"/>
      <c r="I105" s="2"/>
      <c r="J105" s="2"/>
    </row>
    <row r="106" spans="1:10" ht="12.75">
      <c r="A106" s="1"/>
      <c r="B106" s="1"/>
      <c r="C106" s="51"/>
      <c r="D106" s="51"/>
      <c r="E106" s="51"/>
      <c r="F106" s="2"/>
      <c r="G106" s="2"/>
      <c r="H106" s="2"/>
      <c r="I106" s="2"/>
      <c r="J106" s="2"/>
    </row>
    <row r="107" spans="1:10" ht="12.75">
      <c r="A107" s="1"/>
      <c r="B107" s="1"/>
      <c r="C107" s="51"/>
      <c r="D107" s="51"/>
      <c r="E107" s="51"/>
      <c r="F107" s="2"/>
      <c r="G107" s="2"/>
      <c r="H107" s="2"/>
      <c r="I107" s="2"/>
      <c r="J107" s="2"/>
    </row>
    <row r="108" spans="1:10" ht="12.75">
      <c r="A108" s="1"/>
      <c r="B108" s="1"/>
      <c r="C108" s="51"/>
      <c r="D108" s="51"/>
      <c r="E108" s="51"/>
      <c r="F108" s="2"/>
      <c r="G108" s="2"/>
      <c r="H108" s="2"/>
      <c r="I108" s="2"/>
      <c r="J108" s="2"/>
    </row>
    <row r="109" spans="1:10" ht="12.75">
      <c r="A109" s="1"/>
      <c r="B109" s="1"/>
      <c r="C109" s="51"/>
      <c r="D109" s="51"/>
      <c r="E109" s="51"/>
      <c r="F109" s="2"/>
      <c r="G109" s="2"/>
      <c r="H109" s="2"/>
      <c r="I109" s="2"/>
      <c r="J109" s="2"/>
    </row>
    <row r="110" spans="1:10" ht="12.75">
      <c r="A110" s="1"/>
      <c r="B110" s="1"/>
      <c r="C110" s="51"/>
      <c r="D110" s="51"/>
      <c r="E110" s="51"/>
      <c r="F110" s="2"/>
      <c r="G110" s="2"/>
      <c r="H110" s="2"/>
      <c r="I110" s="2"/>
      <c r="J110" s="2"/>
    </row>
    <row r="111" spans="1:10" ht="12.75">
      <c r="A111" s="1"/>
      <c r="B111" s="1"/>
      <c r="C111" s="51"/>
      <c r="D111" s="51"/>
      <c r="E111" s="51"/>
      <c r="F111" s="2"/>
      <c r="G111" s="2"/>
      <c r="H111" s="2"/>
      <c r="I111" s="2"/>
      <c r="J111" s="2"/>
    </row>
    <row r="112" spans="1:10" ht="12.75">
      <c r="A112" s="1"/>
      <c r="B112" s="1"/>
      <c r="C112" s="51"/>
      <c r="D112" s="51"/>
      <c r="E112" s="51"/>
      <c r="F112" s="2"/>
      <c r="G112" s="2"/>
      <c r="H112" s="2"/>
      <c r="I112" s="2"/>
      <c r="J112" s="2"/>
    </row>
    <row r="113" spans="1:10" ht="12.75">
      <c r="A113" s="1"/>
      <c r="B113" s="1"/>
      <c r="C113" s="51"/>
      <c r="D113" s="51"/>
      <c r="E113" s="51"/>
      <c r="F113" s="2"/>
      <c r="G113" s="2"/>
      <c r="H113" s="2"/>
      <c r="I113" s="2"/>
      <c r="J113" s="2"/>
    </row>
    <row r="114" spans="1:10" ht="12.75">
      <c r="A114" s="1"/>
      <c r="B114" s="1"/>
      <c r="C114" s="51"/>
      <c r="D114" s="51"/>
      <c r="E114" s="51"/>
      <c r="F114" s="2"/>
      <c r="G114" s="2"/>
      <c r="H114" s="2"/>
      <c r="I114" s="2"/>
      <c r="J114" s="2"/>
    </row>
    <row r="115" spans="1:10" ht="12.75">
      <c r="A115" s="1"/>
      <c r="B115" s="1"/>
      <c r="C115" s="51"/>
      <c r="D115" s="51"/>
      <c r="E115" s="51"/>
      <c r="F115" s="2"/>
      <c r="G115" s="2"/>
      <c r="H115" s="2"/>
      <c r="I115" s="2"/>
      <c r="J115" s="2"/>
    </row>
    <row r="116" spans="1:10" ht="12.75">
      <c r="A116" s="1"/>
      <c r="B116" s="1"/>
      <c r="C116" s="51"/>
      <c r="D116" s="51"/>
      <c r="E116" s="51"/>
      <c r="F116" s="2"/>
      <c r="G116" s="2"/>
      <c r="H116" s="2"/>
      <c r="I116" s="2"/>
      <c r="J116" s="2"/>
    </row>
    <row r="117" spans="1:10" ht="12.75">
      <c r="A117" s="1"/>
      <c r="B117" s="1"/>
      <c r="C117" s="51"/>
      <c r="D117" s="51"/>
      <c r="E117" s="51"/>
      <c r="F117" s="2"/>
      <c r="G117" s="2"/>
      <c r="H117" s="2"/>
      <c r="I117" s="2"/>
      <c r="J117" s="2"/>
    </row>
    <row r="118" spans="1:10" ht="12.75">
      <c r="A118" s="1"/>
      <c r="B118" s="1"/>
      <c r="C118" s="51"/>
      <c r="D118" s="51"/>
      <c r="E118" s="51"/>
      <c r="F118" s="2"/>
      <c r="G118" s="2"/>
      <c r="H118" s="2"/>
      <c r="I118" s="2"/>
      <c r="J118" s="2"/>
    </row>
    <row r="119" spans="1:10" ht="12.75">
      <c r="A119" s="1"/>
      <c r="B119" s="1"/>
      <c r="C119" s="51"/>
      <c r="D119" s="51"/>
      <c r="E119" s="51"/>
      <c r="F119" s="2"/>
      <c r="G119" s="2"/>
      <c r="H119" s="2"/>
      <c r="I119" s="2"/>
      <c r="J119" s="2"/>
    </row>
    <row r="120" spans="1:10" ht="12.75">
      <c r="A120" s="1"/>
      <c r="B120" s="1"/>
      <c r="C120" s="51"/>
      <c r="D120" s="51"/>
      <c r="E120" s="51"/>
      <c r="F120" s="2"/>
      <c r="G120" s="2"/>
      <c r="H120" s="2"/>
      <c r="I120" s="2"/>
      <c r="J120" s="2"/>
    </row>
    <row r="121" spans="1:10" ht="12.75">
      <c r="A121" s="1"/>
      <c r="B121" s="1"/>
      <c r="C121" s="51"/>
      <c r="D121" s="51"/>
      <c r="E121" s="51"/>
      <c r="F121" s="2"/>
      <c r="G121" s="2"/>
      <c r="H121" s="2"/>
      <c r="I121" s="2"/>
      <c r="J121" s="2"/>
    </row>
    <row r="122" spans="1:10" ht="12.75">
      <c r="A122" s="1"/>
      <c r="B122" s="1"/>
      <c r="C122" s="51"/>
      <c r="D122" s="51"/>
      <c r="E122" s="51"/>
      <c r="F122" s="2"/>
      <c r="G122" s="2"/>
      <c r="H122" s="2"/>
      <c r="I122" s="2"/>
      <c r="J122" s="2"/>
    </row>
    <row r="123" spans="1:10" ht="12.75">
      <c r="A123" s="1"/>
      <c r="B123" s="1"/>
      <c r="C123" s="51"/>
      <c r="D123" s="51"/>
      <c r="E123" s="51"/>
      <c r="F123" s="2"/>
      <c r="G123" s="2"/>
      <c r="H123" s="2"/>
      <c r="I123" s="2"/>
      <c r="J123" s="2"/>
    </row>
    <row r="124" spans="1:10" ht="12.75">
      <c r="A124" s="1"/>
      <c r="B124" s="1"/>
      <c r="C124" s="51"/>
      <c r="D124" s="51"/>
      <c r="E124" s="51"/>
      <c r="F124" s="2"/>
      <c r="G124" s="2"/>
      <c r="H124" s="2"/>
      <c r="I124" s="2"/>
      <c r="J124" s="2"/>
    </row>
    <row r="125" spans="1:10" ht="12.75">
      <c r="A125" s="1"/>
      <c r="B125" s="1"/>
      <c r="C125" s="51"/>
      <c r="D125" s="51"/>
      <c r="E125" s="51"/>
      <c r="F125" s="2"/>
      <c r="G125" s="2"/>
      <c r="H125" s="2"/>
      <c r="I125" s="2"/>
      <c r="J125" s="2"/>
    </row>
    <row r="126" spans="1:10" ht="12.75">
      <c r="A126" s="1"/>
      <c r="B126" s="1"/>
      <c r="C126" s="51"/>
      <c r="D126" s="51"/>
      <c r="E126" s="51"/>
      <c r="F126" s="2"/>
      <c r="G126" s="2"/>
      <c r="H126" s="2"/>
      <c r="I126" s="2"/>
      <c r="J126" s="2"/>
    </row>
    <row r="127" spans="1:10" ht="12.75">
      <c r="A127" s="1"/>
      <c r="B127" s="1"/>
      <c r="C127" s="51"/>
      <c r="D127" s="51"/>
      <c r="E127" s="51"/>
      <c r="F127" s="2"/>
      <c r="G127" s="2"/>
      <c r="H127" s="2"/>
      <c r="I127" s="2"/>
      <c r="J127" s="2"/>
    </row>
    <row r="128" spans="1:10" ht="12.75">
      <c r="A128" s="1"/>
      <c r="B128" s="1"/>
      <c r="C128" s="51"/>
      <c r="D128" s="51"/>
      <c r="E128" s="51"/>
      <c r="F128" s="2"/>
      <c r="G128" s="2"/>
      <c r="H128" s="2"/>
      <c r="I128" s="2"/>
      <c r="J128" s="2"/>
    </row>
    <row r="129" spans="1:10" ht="12.75">
      <c r="A129" s="1"/>
      <c r="B129" s="1"/>
      <c r="C129" s="51"/>
      <c r="D129" s="51"/>
      <c r="E129" s="51"/>
      <c r="F129" s="2"/>
      <c r="G129" s="2"/>
      <c r="H129" s="2"/>
      <c r="I129" s="2"/>
      <c r="J129" s="2"/>
    </row>
    <row r="130" spans="1:10" ht="12.75">
      <c r="A130" s="1"/>
      <c r="B130" s="1"/>
      <c r="C130" s="51"/>
      <c r="D130" s="51"/>
      <c r="E130" s="51"/>
      <c r="F130" s="2"/>
      <c r="G130" s="2"/>
      <c r="H130" s="2"/>
      <c r="I130" s="2"/>
      <c r="J130" s="2"/>
    </row>
    <row r="131" spans="1:10" ht="12.75">
      <c r="A131" s="1"/>
      <c r="B131" s="1"/>
      <c r="C131" s="51"/>
      <c r="D131" s="51"/>
      <c r="E131" s="51"/>
      <c r="F131" s="2"/>
      <c r="G131" s="2"/>
      <c r="H131" s="2"/>
      <c r="I131" s="2"/>
      <c r="J131" s="2"/>
    </row>
    <row r="132" spans="1:10" ht="12.75">
      <c r="A132" s="1"/>
      <c r="B132" s="1"/>
      <c r="C132" s="51"/>
      <c r="D132" s="51"/>
      <c r="E132" s="51"/>
      <c r="F132" s="2"/>
      <c r="G132" s="2"/>
      <c r="H132" s="2"/>
      <c r="I132" s="2"/>
      <c r="J132" s="2"/>
    </row>
    <row r="133" spans="1:10" ht="12.75">
      <c r="A133" s="1"/>
      <c r="B133" s="1"/>
      <c r="C133" s="51"/>
      <c r="D133" s="51"/>
      <c r="E133" s="51"/>
      <c r="F133" s="2"/>
      <c r="G133" s="2"/>
      <c r="H133" s="2"/>
      <c r="I133" s="2"/>
      <c r="J133" s="2"/>
    </row>
    <row r="134" spans="1:10" ht="12.75">
      <c r="A134" s="1"/>
      <c r="B134" s="1"/>
      <c r="C134" s="51"/>
      <c r="D134" s="51"/>
      <c r="E134" s="51"/>
      <c r="F134" s="2"/>
      <c r="G134" s="2"/>
      <c r="H134" s="2"/>
      <c r="I134" s="2"/>
      <c r="J134" s="2"/>
    </row>
    <row r="135" spans="1:10" ht="12.75">
      <c r="A135" s="1"/>
      <c r="B135" s="1"/>
      <c r="C135" s="51"/>
      <c r="D135" s="51"/>
      <c r="E135" s="51"/>
      <c r="F135" s="2"/>
      <c r="G135" s="2"/>
      <c r="H135" s="2"/>
      <c r="I135" s="2"/>
      <c r="J135" s="2"/>
    </row>
    <row r="136" spans="1:10" ht="12.75">
      <c r="A136" s="1"/>
      <c r="B136" s="1"/>
      <c r="C136" s="51"/>
      <c r="D136" s="51"/>
      <c r="E136" s="51"/>
      <c r="F136" s="2"/>
      <c r="G136" s="2"/>
      <c r="H136" s="2"/>
      <c r="I136" s="2"/>
      <c r="J136" s="2"/>
    </row>
    <row r="137" spans="1:10" ht="12.75">
      <c r="A137" s="1"/>
      <c r="B137" s="1"/>
      <c r="C137" s="51"/>
      <c r="D137" s="51"/>
      <c r="E137" s="51"/>
      <c r="F137" s="2"/>
      <c r="G137" s="2"/>
      <c r="H137" s="2"/>
      <c r="I137" s="2"/>
      <c r="J137" s="2"/>
    </row>
    <row r="138" spans="1:10" ht="12.75">
      <c r="A138" s="1"/>
      <c r="B138" s="1"/>
      <c r="C138" s="51"/>
      <c r="D138" s="51"/>
      <c r="E138" s="51"/>
      <c r="F138" s="2"/>
      <c r="G138" s="2"/>
      <c r="H138" s="2"/>
      <c r="I138" s="2"/>
      <c r="J138" s="2"/>
    </row>
    <row r="139" spans="1:10" ht="12.75">
      <c r="A139" s="1"/>
      <c r="B139" s="1"/>
      <c r="C139" s="51"/>
      <c r="D139" s="51"/>
      <c r="E139" s="51"/>
      <c r="F139" s="2"/>
      <c r="G139" s="2"/>
      <c r="H139" s="2"/>
      <c r="I139" s="2"/>
      <c r="J139" s="2"/>
    </row>
    <row r="140" spans="1:10" ht="12.75">
      <c r="A140" s="1"/>
      <c r="B140" s="1"/>
      <c r="C140" s="51"/>
      <c r="D140" s="51"/>
      <c r="E140" s="51"/>
      <c r="F140" s="2"/>
      <c r="G140" s="2"/>
      <c r="H140" s="2"/>
      <c r="I140" s="2"/>
      <c r="J140" s="2"/>
    </row>
    <row r="141" spans="1:10" ht="12.75">
      <c r="A141" s="1"/>
      <c r="B141" s="1"/>
      <c r="C141" s="51"/>
      <c r="D141" s="51"/>
      <c r="E141" s="51"/>
      <c r="F141" s="2"/>
      <c r="G141" s="2"/>
      <c r="H141" s="2"/>
      <c r="I141" s="2"/>
      <c r="J141" s="2"/>
    </row>
    <row r="142" spans="1:10" ht="12.75">
      <c r="A142" s="1"/>
      <c r="B142" s="1"/>
      <c r="C142" s="51"/>
      <c r="D142" s="51"/>
      <c r="E142" s="51"/>
      <c r="F142" s="2"/>
      <c r="G142" s="2"/>
      <c r="H142" s="2"/>
      <c r="I142" s="2"/>
      <c r="J142" s="2"/>
    </row>
    <row r="143" spans="1:10" ht="12.75">
      <c r="A143" s="1"/>
      <c r="B143" s="1"/>
      <c r="C143" s="51"/>
      <c r="D143" s="51"/>
      <c r="E143" s="51"/>
      <c r="F143" s="2"/>
      <c r="G143" s="2"/>
      <c r="H143" s="2"/>
      <c r="I143" s="2"/>
      <c r="J143" s="2"/>
    </row>
    <row r="144" spans="1:10" ht="12.75">
      <c r="A144" s="1"/>
      <c r="B144" s="1"/>
      <c r="C144" s="51"/>
      <c r="D144" s="51"/>
      <c r="E144" s="51"/>
      <c r="F144" s="2"/>
      <c r="G144" s="2"/>
      <c r="H144" s="2"/>
      <c r="I144" s="2"/>
      <c r="J144" s="2"/>
    </row>
    <row r="145" spans="1:10" ht="12.75">
      <c r="A145" s="1"/>
      <c r="B145" s="1"/>
      <c r="C145" s="51"/>
      <c r="D145" s="51"/>
      <c r="E145" s="51"/>
      <c r="F145" s="2"/>
      <c r="G145" s="2"/>
      <c r="H145" s="2"/>
      <c r="I145" s="2"/>
      <c r="J145" s="2"/>
    </row>
    <row r="146" spans="1:10" ht="12.75">
      <c r="A146" s="1"/>
      <c r="B146" s="1"/>
      <c r="C146" s="51"/>
      <c r="D146" s="51"/>
      <c r="E146" s="51"/>
      <c r="F146" s="2"/>
      <c r="G146" s="2"/>
      <c r="H146" s="2"/>
      <c r="I146" s="2"/>
      <c r="J146" s="2"/>
    </row>
    <row r="147" spans="1:10" ht="12.75">
      <c r="A147" s="1"/>
      <c r="B147" s="1"/>
      <c r="C147" s="51"/>
      <c r="D147" s="51"/>
      <c r="E147" s="51"/>
      <c r="F147" s="2"/>
      <c r="G147" s="2"/>
      <c r="H147" s="2"/>
      <c r="I147" s="2"/>
      <c r="J147" s="2"/>
    </row>
    <row r="148" spans="1:10" ht="12.75">
      <c r="A148" s="1"/>
      <c r="B148" s="1"/>
      <c r="C148" s="51"/>
      <c r="D148" s="51"/>
      <c r="E148" s="51"/>
      <c r="F148" s="2"/>
      <c r="G148" s="2"/>
      <c r="H148" s="2"/>
      <c r="I148" s="2"/>
      <c r="J148" s="2"/>
    </row>
    <row r="149" spans="1:10" ht="12.75">
      <c r="A149" s="1"/>
      <c r="B149" s="1"/>
      <c r="C149" s="51"/>
      <c r="D149" s="51"/>
      <c r="E149" s="51"/>
      <c r="F149" s="2"/>
      <c r="G149" s="2"/>
      <c r="H149" s="2"/>
      <c r="I149" s="2"/>
      <c r="J149" s="2"/>
    </row>
    <row r="150" spans="1:10" ht="12.75">
      <c r="A150" s="1"/>
      <c r="B150" s="1"/>
      <c r="C150" s="51"/>
      <c r="D150" s="51"/>
      <c r="E150" s="51"/>
      <c r="F150" s="2"/>
      <c r="G150" s="2"/>
      <c r="H150" s="2"/>
      <c r="I150" s="2"/>
      <c r="J150" s="2"/>
    </row>
    <row r="151" spans="1:10" ht="12.75">
      <c r="A151" s="1"/>
      <c r="B151" s="1"/>
      <c r="C151" s="51"/>
      <c r="D151" s="51"/>
      <c r="E151" s="51"/>
      <c r="F151" s="2"/>
      <c r="G151" s="2"/>
      <c r="H151" s="2"/>
      <c r="I151" s="2"/>
      <c r="J151" s="2"/>
    </row>
    <row r="152" spans="1:10" ht="12.75">
      <c r="A152" s="1"/>
      <c r="B152" s="1"/>
      <c r="C152" s="51"/>
      <c r="D152" s="51"/>
      <c r="E152" s="51"/>
      <c r="F152" s="2"/>
      <c r="G152" s="2"/>
      <c r="H152" s="2"/>
      <c r="I152" s="2"/>
      <c r="J152" s="2"/>
    </row>
    <row r="153" spans="1:10" ht="12.75">
      <c r="A153" s="1"/>
      <c r="B153" s="1"/>
      <c r="C153" s="51"/>
      <c r="D153" s="51"/>
      <c r="E153" s="51"/>
      <c r="F153" s="2"/>
      <c r="G153" s="2"/>
      <c r="H153" s="2"/>
      <c r="I153" s="2"/>
      <c r="J153" s="2"/>
    </row>
    <row r="154" spans="1:10" ht="12.75">
      <c r="A154" s="1"/>
      <c r="B154" s="1"/>
      <c r="C154" s="51"/>
      <c r="D154" s="51"/>
      <c r="E154" s="51"/>
      <c r="F154" s="2"/>
      <c r="G154" s="2"/>
      <c r="H154" s="2"/>
      <c r="I154" s="2"/>
      <c r="J154" s="2"/>
    </row>
    <row r="155" spans="1:10" ht="12.75">
      <c r="A155" s="1"/>
      <c r="B155" s="1"/>
      <c r="C155" s="51"/>
      <c r="D155" s="51"/>
      <c r="E155" s="51"/>
      <c r="F155" s="2"/>
      <c r="G155" s="2"/>
      <c r="H155" s="2"/>
      <c r="I155" s="2"/>
      <c r="J155" s="2"/>
    </row>
    <row r="156" spans="1:10" ht="12.75">
      <c r="A156" s="1"/>
      <c r="B156" s="1"/>
      <c r="C156" s="51"/>
      <c r="D156" s="51"/>
      <c r="E156" s="51"/>
      <c r="F156" s="2"/>
      <c r="G156" s="2"/>
      <c r="H156" s="2"/>
      <c r="I156" s="2"/>
      <c r="J156" s="2"/>
    </row>
    <row r="157" spans="1:10" ht="12.75">
      <c r="A157" s="1"/>
      <c r="B157" s="1"/>
      <c r="C157" s="51"/>
      <c r="D157" s="51"/>
      <c r="E157" s="51"/>
      <c r="F157" s="2"/>
      <c r="G157" s="2"/>
      <c r="H157" s="2"/>
      <c r="I157" s="2"/>
      <c r="J157" s="2"/>
    </row>
    <row r="158" spans="1:10" ht="12.75">
      <c r="A158" s="1"/>
      <c r="B158" s="1"/>
      <c r="C158" s="51"/>
      <c r="D158" s="51"/>
      <c r="E158" s="51"/>
      <c r="F158" s="2"/>
      <c r="G158" s="2"/>
      <c r="H158" s="2"/>
      <c r="I158" s="2"/>
      <c r="J158" s="2"/>
    </row>
    <row r="159" spans="1:10" ht="12.75">
      <c r="A159" s="1"/>
      <c r="B159" s="1"/>
      <c r="C159" s="51"/>
      <c r="D159" s="51"/>
      <c r="E159" s="51"/>
      <c r="F159" s="2"/>
      <c r="G159" s="2"/>
      <c r="H159" s="2"/>
      <c r="I159" s="2"/>
      <c r="J159" s="2"/>
    </row>
    <row r="160" spans="1:10" ht="12.75">
      <c r="A160" s="1"/>
      <c r="B160" s="1"/>
      <c r="C160" s="51"/>
      <c r="D160" s="51"/>
      <c r="E160" s="51"/>
      <c r="F160" s="2"/>
      <c r="G160" s="2"/>
      <c r="H160" s="2"/>
      <c r="I160" s="2"/>
      <c r="J160" s="2"/>
    </row>
    <row r="161" spans="1:10" ht="12.75">
      <c r="A161" s="1"/>
      <c r="B161" s="1"/>
      <c r="C161" s="51"/>
      <c r="D161" s="51"/>
      <c r="E161" s="51"/>
      <c r="F161" s="2"/>
      <c r="G161" s="2"/>
      <c r="H161" s="2"/>
      <c r="I161" s="2"/>
      <c r="J161" s="2"/>
    </row>
    <row r="162" spans="1:10" ht="12.75">
      <c r="A162" s="1"/>
      <c r="B162" s="1"/>
      <c r="C162" s="51"/>
      <c r="D162" s="51"/>
      <c r="E162" s="51"/>
      <c r="F162" s="2"/>
      <c r="G162" s="2"/>
      <c r="H162" s="2"/>
      <c r="I162" s="2"/>
      <c r="J162" s="2"/>
    </row>
    <row r="163" spans="1:10" ht="12.75">
      <c r="A163" s="1"/>
      <c r="B163" s="1"/>
      <c r="C163" s="51"/>
      <c r="D163" s="51"/>
      <c r="E163" s="51"/>
      <c r="F163" s="2"/>
      <c r="G163" s="2"/>
      <c r="H163" s="2"/>
      <c r="I163" s="2"/>
      <c r="J163" s="2"/>
    </row>
    <row r="164" spans="1:10" ht="12.75">
      <c r="A164" s="1"/>
      <c r="B164" s="1"/>
      <c r="C164" s="51"/>
      <c r="D164" s="51"/>
      <c r="E164" s="51"/>
      <c r="F164" s="2"/>
      <c r="G164" s="2"/>
      <c r="H164" s="2"/>
      <c r="I164" s="2"/>
      <c r="J164" s="2"/>
    </row>
    <row r="165" spans="1:10" ht="12.75">
      <c r="A165" s="1"/>
      <c r="B165" s="1"/>
      <c r="C165" s="51"/>
      <c r="D165" s="51"/>
      <c r="E165" s="51"/>
      <c r="F165" s="2"/>
      <c r="G165" s="2"/>
      <c r="H165" s="2"/>
      <c r="I165" s="2"/>
      <c r="J165" s="2"/>
    </row>
    <row r="166" spans="1:10" ht="12.75">
      <c r="A166" s="1"/>
      <c r="B166" s="1"/>
      <c r="C166" s="51"/>
      <c r="D166" s="51"/>
      <c r="E166" s="51"/>
      <c r="F166" s="2"/>
      <c r="G166" s="2"/>
      <c r="H166" s="2"/>
      <c r="I166" s="2"/>
      <c r="J166" s="2"/>
    </row>
    <row r="167" spans="1:10" ht="12.75">
      <c r="A167" s="1"/>
      <c r="B167" s="1"/>
      <c r="C167" s="51"/>
      <c r="D167" s="51"/>
      <c r="E167" s="51"/>
      <c r="F167" s="2"/>
      <c r="G167" s="2"/>
      <c r="H167" s="2"/>
      <c r="I167" s="2"/>
      <c r="J167" s="2"/>
    </row>
    <row r="168" spans="1:10" ht="12.75">
      <c r="A168" s="1"/>
      <c r="B168" s="1"/>
      <c r="C168" s="51"/>
      <c r="D168" s="51"/>
      <c r="E168" s="51"/>
      <c r="F168" s="2"/>
      <c r="G168" s="2"/>
      <c r="H168" s="2"/>
      <c r="I168" s="2"/>
      <c r="J168" s="2"/>
    </row>
    <row r="169" spans="1:10" ht="12.75">
      <c r="A169" s="1"/>
      <c r="B169" s="1"/>
      <c r="C169" s="51"/>
      <c r="D169" s="51"/>
      <c r="E169" s="51"/>
      <c r="F169" s="2"/>
      <c r="G169" s="2"/>
      <c r="H169" s="2"/>
      <c r="I169" s="2"/>
      <c r="J169" s="2"/>
    </row>
    <row r="170" spans="1:10" ht="12.75">
      <c r="A170" s="1"/>
      <c r="B170" s="1"/>
      <c r="C170" s="51"/>
      <c r="D170" s="51"/>
      <c r="E170" s="51"/>
      <c r="F170" s="2"/>
      <c r="G170" s="2"/>
      <c r="H170" s="2"/>
      <c r="I170" s="2"/>
      <c r="J170" s="2"/>
    </row>
    <row r="171" spans="1:10" ht="12.75">
      <c r="A171" s="1"/>
      <c r="B171" s="1"/>
      <c r="C171" s="51"/>
      <c r="D171" s="51"/>
      <c r="E171" s="51"/>
      <c r="F171" s="2"/>
      <c r="G171" s="2"/>
      <c r="H171" s="2"/>
      <c r="I171" s="2"/>
      <c r="J171" s="2"/>
    </row>
    <row r="172" spans="1:10" ht="12.75">
      <c r="A172" s="1"/>
      <c r="B172" s="1"/>
      <c r="C172" s="51"/>
      <c r="D172" s="51"/>
      <c r="E172" s="51"/>
      <c r="F172" s="2"/>
      <c r="G172" s="2"/>
      <c r="H172" s="2"/>
      <c r="I172" s="2"/>
      <c r="J172" s="2"/>
    </row>
    <row r="173" spans="1:10" ht="12.75">
      <c r="A173" s="1"/>
      <c r="B173" s="1"/>
      <c r="C173" s="51"/>
      <c r="D173" s="51"/>
      <c r="E173" s="51"/>
      <c r="F173" s="2"/>
      <c r="G173" s="2"/>
      <c r="H173" s="2"/>
      <c r="I173" s="2"/>
      <c r="J173" s="2"/>
    </row>
    <row r="174" spans="1:10" ht="12.75">
      <c r="A174" s="1"/>
      <c r="B174" s="1"/>
      <c r="C174" s="51"/>
      <c r="D174" s="51"/>
      <c r="E174" s="51"/>
      <c r="F174" s="2"/>
      <c r="G174" s="2"/>
      <c r="H174" s="2"/>
      <c r="I174" s="2"/>
      <c r="J174" s="2"/>
    </row>
    <row r="175" spans="1:10" ht="12.75">
      <c r="A175" s="1"/>
      <c r="B175" s="1"/>
      <c r="C175" s="51"/>
      <c r="D175" s="51"/>
      <c r="E175" s="51"/>
      <c r="F175" s="2"/>
      <c r="G175" s="2"/>
      <c r="H175" s="2"/>
      <c r="I175" s="2"/>
      <c r="J175" s="2"/>
    </row>
    <row r="176" spans="1:10" ht="12.75">
      <c r="A176" s="1"/>
      <c r="B176" s="1"/>
      <c r="C176" s="51"/>
      <c r="D176" s="51"/>
      <c r="E176" s="51"/>
      <c r="F176" s="2"/>
      <c r="G176" s="2"/>
      <c r="H176" s="2"/>
      <c r="I176" s="2"/>
      <c r="J176" s="2"/>
    </row>
    <row r="177" spans="1:10" ht="12.75">
      <c r="A177" s="1"/>
      <c r="B177" s="1"/>
      <c r="C177" s="51"/>
      <c r="D177" s="51"/>
      <c r="E177" s="51"/>
      <c r="F177" s="2"/>
      <c r="G177" s="2"/>
      <c r="H177" s="2"/>
      <c r="I177" s="2"/>
      <c r="J177" s="2"/>
    </row>
    <row r="178" spans="1:10" ht="12.75">
      <c r="A178" s="1"/>
      <c r="B178" s="1"/>
      <c r="C178" s="51"/>
      <c r="D178" s="51"/>
      <c r="E178" s="51"/>
      <c r="F178" s="2"/>
      <c r="G178" s="2"/>
      <c r="H178" s="2"/>
      <c r="I178" s="2"/>
      <c r="J178" s="2"/>
    </row>
    <row r="179" spans="1:10" ht="12.75">
      <c r="A179" s="1"/>
      <c r="B179" s="1"/>
      <c r="C179" s="51"/>
      <c r="D179" s="51"/>
      <c r="E179" s="51"/>
      <c r="F179" s="2"/>
      <c r="G179" s="2"/>
      <c r="H179" s="2"/>
      <c r="I179" s="2"/>
      <c r="J179" s="2"/>
    </row>
    <row r="180" spans="1:10" ht="12.75">
      <c r="A180" s="1"/>
      <c r="B180" s="1"/>
      <c r="C180" s="51"/>
      <c r="D180" s="51"/>
      <c r="E180" s="51"/>
      <c r="F180" s="2"/>
      <c r="G180" s="2"/>
      <c r="H180" s="2"/>
      <c r="I180" s="2"/>
      <c r="J180" s="2"/>
    </row>
    <row r="181" spans="1:10" ht="12.75">
      <c r="A181" s="1"/>
      <c r="B181" s="1"/>
      <c r="C181" s="51"/>
      <c r="D181" s="51"/>
      <c r="E181" s="51"/>
      <c r="F181" s="2"/>
      <c r="G181" s="2"/>
      <c r="H181" s="2"/>
      <c r="I181" s="2"/>
      <c r="J181" s="2"/>
    </row>
    <row r="182" spans="1:10" ht="12.75">
      <c r="A182" s="1"/>
      <c r="B182" s="1"/>
      <c r="C182" s="51"/>
      <c r="D182" s="51"/>
      <c r="E182" s="51"/>
      <c r="F182" s="2"/>
      <c r="G182" s="2"/>
      <c r="H182" s="2"/>
      <c r="I182" s="2"/>
      <c r="J182" s="2"/>
    </row>
    <row r="183" spans="1:10" ht="12.75">
      <c r="A183" s="1"/>
      <c r="B183" s="1"/>
      <c r="C183" s="51"/>
      <c r="D183" s="51"/>
      <c r="E183" s="51"/>
      <c r="F183" s="2"/>
      <c r="G183" s="2"/>
      <c r="H183" s="2"/>
      <c r="I183" s="2"/>
      <c r="J183" s="2"/>
    </row>
    <row r="184" spans="1:10" ht="12.75">
      <c r="A184" s="1"/>
      <c r="B184" s="1"/>
      <c r="C184" s="51"/>
      <c r="D184" s="51"/>
      <c r="E184" s="51"/>
      <c r="F184" s="2"/>
      <c r="G184" s="2"/>
      <c r="H184" s="2"/>
      <c r="I184" s="2"/>
      <c r="J184" s="2"/>
    </row>
    <row r="185" spans="1:10" ht="12.75">
      <c r="A185" s="1"/>
      <c r="B185" s="1"/>
      <c r="C185" s="51"/>
      <c r="D185" s="51"/>
      <c r="E185" s="51"/>
      <c r="F185" s="2"/>
      <c r="G185" s="2"/>
      <c r="H185" s="2"/>
      <c r="I185" s="2"/>
      <c r="J185" s="2"/>
    </row>
    <row r="186" spans="1:10" ht="12.75">
      <c r="A186" s="1"/>
      <c r="B186" s="1"/>
      <c r="C186" s="51"/>
      <c r="D186" s="51"/>
      <c r="E186" s="51"/>
      <c r="F186" s="2"/>
      <c r="G186" s="2"/>
      <c r="H186" s="2"/>
      <c r="I186" s="2"/>
      <c r="J186" s="2"/>
    </row>
    <row r="187" spans="1:10" ht="12.75">
      <c r="A187" s="1"/>
      <c r="B187" s="1"/>
      <c r="C187" s="51"/>
      <c r="D187" s="51"/>
      <c r="E187" s="51"/>
      <c r="F187" s="2"/>
      <c r="G187" s="2"/>
      <c r="H187" s="2"/>
      <c r="I187" s="2"/>
      <c r="J187" s="2"/>
    </row>
    <row r="188" spans="1:10" ht="12.75">
      <c r="A188" s="1"/>
      <c r="B188" s="1"/>
      <c r="C188" s="51"/>
      <c r="D188" s="51"/>
      <c r="E188" s="51"/>
      <c r="F188" s="2"/>
      <c r="G188" s="2"/>
      <c r="H188" s="2"/>
      <c r="I188" s="2"/>
      <c r="J188" s="2"/>
    </row>
    <row r="189" spans="1:10" ht="12.75">
      <c r="A189" s="1"/>
      <c r="B189" s="1"/>
      <c r="C189" s="51"/>
      <c r="D189" s="51"/>
      <c r="E189" s="51"/>
      <c r="F189" s="2"/>
      <c r="G189" s="2"/>
      <c r="H189" s="2"/>
      <c r="I189" s="2"/>
      <c r="J189" s="2"/>
    </row>
    <row r="190" spans="1:10" ht="12.75">
      <c r="A190" s="1"/>
      <c r="B190" s="1"/>
      <c r="C190" s="51"/>
      <c r="D190" s="51"/>
      <c r="E190" s="51"/>
      <c r="F190" s="2"/>
      <c r="G190" s="2"/>
      <c r="H190" s="2"/>
      <c r="I190" s="2"/>
      <c r="J190" s="2"/>
    </row>
    <row r="191" spans="1:10" ht="12.75">
      <c r="A191" s="1"/>
      <c r="B191" s="1"/>
      <c r="C191" s="51"/>
      <c r="D191" s="51"/>
      <c r="E191" s="51"/>
      <c r="F191" s="2"/>
      <c r="G191" s="2"/>
      <c r="H191" s="2"/>
      <c r="I191" s="2"/>
      <c r="J191" s="2"/>
    </row>
    <row r="192" spans="1:10" ht="12.75">
      <c r="A192" s="1"/>
      <c r="B192" s="1"/>
      <c r="C192" s="51"/>
      <c r="D192" s="51"/>
      <c r="E192" s="51"/>
      <c r="F192" s="2"/>
      <c r="G192" s="2"/>
      <c r="H192" s="2"/>
      <c r="I192" s="2"/>
      <c r="J192" s="2"/>
    </row>
    <row r="193" spans="1:10" ht="12.75">
      <c r="A193" s="1"/>
      <c r="B193" s="1"/>
      <c r="C193" s="51"/>
      <c r="D193" s="51"/>
      <c r="E193" s="51"/>
      <c r="F193" s="2"/>
      <c r="G193" s="2"/>
      <c r="H193" s="2"/>
      <c r="I193" s="2"/>
      <c r="J193" s="2"/>
    </row>
    <row r="194" spans="1:10" ht="12.75">
      <c r="A194" s="1"/>
      <c r="B194" s="1"/>
      <c r="C194" s="51"/>
      <c r="D194" s="51"/>
      <c r="E194" s="51"/>
      <c r="F194" s="2"/>
      <c r="G194" s="2"/>
      <c r="H194" s="2"/>
      <c r="I194" s="2"/>
      <c r="J194" s="2"/>
    </row>
    <row r="195" spans="1:10" ht="12.75">
      <c r="A195" s="1"/>
      <c r="B195" s="1"/>
      <c r="C195" s="51"/>
      <c r="D195" s="51"/>
      <c r="E195" s="51"/>
      <c r="F195" s="2"/>
      <c r="G195" s="2"/>
      <c r="H195" s="2"/>
      <c r="I195" s="2"/>
      <c r="J195" s="2"/>
    </row>
    <row r="196" spans="1:10" ht="12.75">
      <c r="A196" s="1"/>
      <c r="B196" s="1"/>
      <c r="C196" s="51"/>
      <c r="D196" s="51"/>
      <c r="E196" s="51"/>
      <c r="F196" s="2"/>
      <c r="G196" s="2"/>
      <c r="H196" s="2"/>
      <c r="I196" s="2"/>
      <c r="J196" s="2"/>
    </row>
    <row r="197" spans="1:10" ht="12.75">
      <c r="A197" s="1"/>
      <c r="B197" s="1"/>
      <c r="C197" s="51"/>
      <c r="D197" s="51"/>
      <c r="E197" s="51"/>
      <c r="F197" s="2"/>
      <c r="G197" s="2"/>
      <c r="H197" s="2"/>
      <c r="I197" s="2"/>
      <c r="J197" s="2"/>
    </row>
    <row r="198" spans="1:10" ht="12.75">
      <c r="A198" s="1"/>
      <c r="B198" s="1"/>
      <c r="C198" s="51"/>
      <c r="D198" s="51"/>
      <c r="E198" s="51"/>
      <c r="F198" s="2"/>
      <c r="G198" s="2"/>
      <c r="H198" s="2"/>
      <c r="I198" s="2"/>
      <c r="J198" s="2"/>
    </row>
    <row r="199" spans="1:10" ht="12.75">
      <c r="A199" s="1"/>
      <c r="B199" s="1"/>
      <c r="C199" s="51"/>
      <c r="D199" s="51"/>
      <c r="E199" s="51"/>
      <c r="F199" s="2"/>
      <c r="G199" s="2"/>
      <c r="H199" s="2"/>
      <c r="I199" s="2"/>
      <c r="J199" s="2"/>
    </row>
    <row r="200" spans="1:10" ht="12.75">
      <c r="A200" s="1"/>
      <c r="B200" s="1"/>
      <c r="C200" s="51"/>
      <c r="D200" s="51"/>
      <c r="E200" s="51"/>
      <c r="F200" s="2"/>
      <c r="G200" s="2"/>
      <c r="H200" s="2"/>
      <c r="I200" s="2"/>
      <c r="J200" s="2"/>
    </row>
    <row r="201" spans="1:10" ht="12.75">
      <c r="A201" s="1"/>
      <c r="B201" s="1"/>
      <c r="C201" s="51"/>
      <c r="D201" s="51"/>
      <c r="E201" s="51"/>
      <c r="F201" s="2"/>
      <c r="G201" s="2"/>
      <c r="H201" s="2"/>
      <c r="I201" s="2"/>
      <c r="J201" s="2"/>
    </row>
    <row r="202" spans="1:10" ht="12.75">
      <c r="A202" s="1"/>
      <c r="B202" s="1"/>
      <c r="C202" s="51"/>
      <c r="D202" s="51"/>
      <c r="E202" s="51"/>
      <c r="F202" s="2"/>
      <c r="G202" s="2"/>
      <c r="H202" s="2"/>
      <c r="I202" s="2"/>
      <c r="J202" s="2"/>
    </row>
    <row r="203" spans="1:10" ht="12.75">
      <c r="A203" s="1"/>
      <c r="B203" s="1"/>
      <c r="C203" s="51"/>
      <c r="D203" s="51"/>
      <c r="E203" s="51"/>
      <c r="F203" s="2"/>
      <c r="G203" s="2"/>
      <c r="H203" s="2"/>
      <c r="I203" s="2"/>
      <c r="J203" s="2"/>
    </row>
    <row r="204" spans="1:10" ht="12.75">
      <c r="A204" s="1"/>
      <c r="B204" s="1"/>
      <c r="C204" s="51"/>
      <c r="D204" s="51"/>
      <c r="E204" s="51"/>
      <c r="F204" s="2"/>
      <c r="G204" s="2"/>
      <c r="H204" s="2"/>
      <c r="I204" s="2"/>
      <c r="J204" s="2"/>
    </row>
    <row r="205" spans="1:10" ht="12.75">
      <c r="A205" s="1"/>
      <c r="B205" s="1"/>
      <c r="C205" s="51"/>
      <c r="D205" s="51"/>
      <c r="E205" s="51"/>
      <c r="F205" s="2"/>
      <c r="G205" s="2"/>
      <c r="H205" s="2"/>
      <c r="I205" s="2"/>
      <c r="J205" s="2"/>
    </row>
    <row r="206" spans="1:10" ht="12.75">
      <c r="A206" s="1"/>
      <c r="B206" s="1"/>
      <c r="C206" s="51"/>
      <c r="D206" s="51"/>
      <c r="E206" s="51"/>
      <c r="F206" s="2"/>
      <c r="G206" s="2"/>
      <c r="H206" s="2"/>
      <c r="I206" s="2"/>
      <c r="J206" s="2"/>
    </row>
    <row r="207" spans="1:10" ht="12.75">
      <c r="A207" s="1"/>
      <c r="B207" s="1"/>
      <c r="C207" s="51"/>
      <c r="D207" s="51"/>
      <c r="E207" s="51"/>
      <c r="F207" s="2"/>
      <c r="G207" s="2"/>
      <c r="H207" s="2"/>
      <c r="I207" s="2"/>
      <c r="J207" s="2"/>
    </row>
    <row r="208" spans="1:10" ht="12.75">
      <c r="A208" s="1"/>
      <c r="B208" s="1"/>
      <c r="C208" s="51"/>
      <c r="D208" s="51"/>
      <c r="E208" s="51"/>
      <c r="F208" s="2"/>
      <c r="G208" s="2"/>
      <c r="H208" s="2"/>
      <c r="I208" s="2"/>
      <c r="J208" s="2"/>
    </row>
    <row r="209" spans="1:10" ht="12.75">
      <c r="A209" s="1"/>
      <c r="B209" s="1"/>
      <c r="C209" s="51"/>
      <c r="D209" s="51"/>
      <c r="E209" s="51"/>
      <c r="F209" s="2"/>
      <c r="G209" s="2"/>
      <c r="H209" s="2"/>
      <c r="I209" s="2"/>
      <c r="J209" s="2"/>
    </row>
    <row r="210" spans="1:10" ht="12.75">
      <c r="A210" s="1"/>
      <c r="B210" s="1"/>
      <c r="C210" s="51"/>
      <c r="D210" s="51"/>
      <c r="E210" s="51"/>
      <c r="F210" s="2"/>
      <c r="G210" s="2"/>
      <c r="H210" s="2"/>
      <c r="I210" s="2"/>
      <c r="J210" s="2"/>
    </row>
    <row r="211" spans="1:10" ht="12.75">
      <c r="A211" s="1"/>
      <c r="B211" s="1"/>
      <c r="C211" s="51"/>
      <c r="D211" s="51"/>
      <c r="E211" s="51"/>
      <c r="F211" s="2"/>
      <c r="G211" s="2"/>
      <c r="H211" s="2"/>
      <c r="I211" s="2"/>
      <c r="J211" s="2"/>
    </row>
    <row r="212" spans="1:10" ht="12.75">
      <c r="A212" s="1"/>
      <c r="B212" s="1"/>
      <c r="C212" s="51"/>
      <c r="D212" s="51"/>
      <c r="E212" s="51"/>
      <c r="F212" s="2"/>
      <c r="G212" s="2"/>
      <c r="H212" s="2"/>
      <c r="I212" s="2"/>
      <c r="J212" s="2"/>
    </row>
    <row r="213" spans="1:10" ht="12.75">
      <c r="A213" s="1"/>
      <c r="B213" s="1"/>
      <c r="C213" s="51"/>
      <c r="D213" s="51"/>
      <c r="E213" s="51"/>
      <c r="F213" s="2"/>
      <c r="G213" s="2"/>
      <c r="H213" s="2"/>
      <c r="I213" s="2"/>
      <c r="J213" s="2"/>
    </row>
    <row r="214" spans="1:10" ht="12.75">
      <c r="A214" s="1"/>
      <c r="B214" s="1"/>
      <c r="C214" s="51"/>
      <c r="D214" s="51"/>
      <c r="E214" s="51"/>
      <c r="F214" s="2"/>
      <c r="G214" s="2"/>
      <c r="H214" s="2"/>
      <c r="I214" s="2"/>
      <c r="J214" s="2"/>
    </row>
    <row r="215" spans="1:10" ht="12.75">
      <c r="A215" s="1"/>
      <c r="B215" s="1"/>
      <c r="C215" s="51"/>
      <c r="D215" s="51"/>
      <c r="E215" s="51"/>
      <c r="F215" s="2"/>
      <c r="G215" s="2"/>
      <c r="H215" s="2"/>
      <c r="I215" s="2"/>
      <c r="J215" s="2"/>
    </row>
    <row r="216" spans="1:10" ht="12.75">
      <c r="A216" s="1"/>
      <c r="B216" s="1"/>
      <c r="C216" s="51"/>
      <c r="D216" s="51"/>
      <c r="E216" s="51"/>
      <c r="F216" s="2"/>
      <c r="G216" s="2"/>
      <c r="H216" s="2"/>
      <c r="I216" s="2"/>
      <c r="J216" s="2"/>
    </row>
    <row r="217" spans="1:10" ht="12.75">
      <c r="A217" s="1"/>
      <c r="B217" s="1"/>
      <c r="C217" s="51"/>
      <c r="D217" s="51"/>
      <c r="E217" s="51"/>
      <c r="F217" s="2"/>
      <c r="G217" s="2"/>
      <c r="H217" s="2"/>
      <c r="I217" s="2"/>
      <c r="J217" s="2"/>
    </row>
    <row r="218" spans="1:10" ht="12.75">
      <c r="A218" s="1"/>
      <c r="B218" s="1"/>
      <c r="C218" s="51"/>
      <c r="D218" s="51"/>
      <c r="E218" s="51"/>
      <c r="F218" s="2"/>
      <c r="G218" s="2"/>
      <c r="H218" s="2"/>
      <c r="I218" s="2"/>
      <c r="J218" s="2"/>
    </row>
    <row r="219" spans="1:10" ht="12.75">
      <c r="A219" s="1"/>
      <c r="B219" s="1"/>
      <c r="C219" s="51"/>
      <c r="D219" s="51"/>
      <c r="E219" s="51"/>
      <c r="F219" s="2"/>
      <c r="G219" s="2"/>
      <c r="H219" s="2"/>
      <c r="I219" s="2"/>
      <c r="J219" s="2"/>
    </row>
    <row r="220" spans="1:10" ht="12.75">
      <c r="A220" s="1"/>
      <c r="B220" s="1"/>
      <c r="C220" s="51"/>
      <c r="D220" s="51"/>
      <c r="E220" s="51"/>
      <c r="F220" s="2"/>
      <c r="G220" s="2"/>
      <c r="H220" s="2"/>
      <c r="I220" s="2"/>
      <c r="J220" s="2"/>
    </row>
    <row r="221" spans="1:10" ht="12.75">
      <c r="A221" s="1"/>
      <c r="B221" s="1"/>
      <c r="C221" s="51"/>
      <c r="D221" s="51"/>
      <c r="E221" s="51"/>
      <c r="F221" s="2"/>
      <c r="G221" s="2"/>
      <c r="H221" s="2"/>
      <c r="I221" s="2"/>
      <c r="J221" s="2"/>
    </row>
    <row r="222" spans="1:10" ht="12.75">
      <c r="A222" s="1"/>
      <c r="B222" s="1"/>
      <c r="C222" s="51"/>
      <c r="D222" s="51"/>
      <c r="E222" s="51"/>
      <c r="F222" s="2"/>
      <c r="G222" s="2"/>
      <c r="H222" s="2"/>
      <c r="I222" s="2"/>
      <c r="J222" s="2"/>
    </row>
    <row r="223" spans="1:10" ht="12.75">
      <c r="A223" s="1"/>
      <c r="B223" s="1"/>
      <c r="C223" s="51"/>
      <c r="D223" s="51"/>
      <c r="E223" s="51"/>
      <c r="F223" s="2"/>
      <c r="G223" s="2"/>
      <c r="H223" s="2"/>
      <c r="I223" s="2"/>
      <c r="J223" s="2"/>
    </row>
    <row r="224" spans="1:10" ht="12.75">
      <c r="A224" s="1"/>
      <c r="B224" s="1"/>
      <c r="C224" s="51"/>
      <c r="D224" s="51"/>
      <c r="E224" s="51"/>
      <c r="F224" s="2"/>
      <c r="G224" s="2"/>
      <c r="H224" s="2"/>
      <c r="I224" s="2"/>
      <c r="J224" s="2"/>
    </row>
    <row r="225" spans="1:10" ht="12.75">
      <c r="A225" s="1"/>
      <c r="B225" s="1"/>
      <c r="C225" s="51"/>
      <c r="D225" s="51"/>
      <c r="E225" s="51"/>
      <c r="F225" s="2"/>
      <c r="G225" s="2"/>
      <c r="H225" s="2"/>
      <c r="I225" s="2"/>
      <c r="J225" s="2"/>
    </row>
    <row r="226" spans="1:10" ht="12.75">
      <c r="A226" s="1"/>
      <c r="B226" s="1"/>
      <c r="C226" s="51"/>
      <c r="D226" s="51"/>
      <c r="E226" s="51"/>
      <c r="F226" s="2"/>
      <c r="G226" s="2"/>
      <c r="H226" s="2"/>
      <c r="I226" s="2"/>
      <c r="J226" s="2"/>
    </row>
    <row r="227" spans="1:10" ht="12.75">
      <c r="A227" s="1"/>
      <c r="B227" s="1"/>
      <c r="C227" s="51"/>
      <c r="D227" s="51"/>
      <c r="E227" s="51"/>
      <c r="F227" s="2"/>
      <c r="G227" s="2"/>
      <c r="H227" s="2"/>
      <c r="I227" s="2"/>
      <c r="J227" s="2"/>
    </row>
    <row r="228" spans="1:10" ht="12.75">
      <c r="A228" s="1"/>
      <c r="B228" s="1"/>
      <c r="C228" s="51"/>
      <c r="D228" s="51"/>
      <c r="E228" s="51"/>
      <c r="F228" s="2"/>
      <c r="G228" s="2"/>
      <c r="H228" s="2"/>
      <c r="I228" s="2"/>
      <c r="J228" s="2"/>
    </row>
    <row r="229" spans="1:10" ht="12.75">
      <c r="A229" s="1"/>
      <c r="B229" s="1"/>
      <c r="C229" s="51"/>
      <c r="D229" s="51"/>
      <c r="E229" s="51"/>
      <c r="F229" s="2"/>
      <c r="G229" s="2"/>
      <c r="H229" s="2"/>
      <c r="I229" s="2"/>
      <c r="J229" s="2"/>
    </row>
    <row r="230" spans="1:10" ht="12.75">
      <c r="A230" s="1"/>
      <c r="B230" s="1"/>
      <c r="C230" s="51"/>
      <c r="D230" s="51"/>
      <c r="E230" s="51"/>
      <c r="F230" s="2"/>
      <c r="G230" s="2"/>
      <c r="H230" s="2"/>
      <c r="I230" s="2"/>
      <c r="J230" s="2"/>
    </row>
    <row r="231" spans="1:10" ht="12.75">
      <c r="A231" s="1"/>
      <c r="B231" s="1"/>
      <c r="C231" s="51"/>
      <c r="D231" s="51"/>
      <c r="E231" s="51"/>
      <c r="F231" s="2"/>
      <c r="G231" s="2"/>
      <c r="H231" s="2"/>
      <c r="I231" s="2"/>
      <c r="J231" s="2"/>
    </row>
    <row r="232" spans="1:10" ht="12.75">
      <c r="A232" s="1"/>
      <c r="B232" s="1"/>
      <c r="C232" s="51"/>
      <c r="D232" s="51"/>
      <c r="E232" s="51"/>
      <c r="F232" s="2"/>
      <c r="G232" s="2"/>
      <c r="H232" s="2"/>
      <c r="I232" s="2"/>
      <c r="J232" s="2"/>
    </row>
    <row r="233" spans="1:10" ht="12.75">
      <c r="A233" s="1"/>
      <c r="B233" s="1"/>
      <c r="C233" s="51"/>
      <c r="D233" s="51"/>
      <c r="E233" s="51"/>
      <c r="F233" s="2"/>
      <c r="G233" s="2"/>
      <c r="H233" s="2"/>
      <c r="I233" s="2"/>
      <c r="J233" s="2"/>
    </row>
    <row r="234" spans="1:10" ht="12.75">
      <c r="A234" s="1"/>
      <c r="B234" s="1"/>
      <c r="C234" s="51"/>
      <c r="D234" s="51"/>
      <c r="E234" s="51"/>
      <c r="F234" s="2"/>
      <c r="G234" s="2"/>
      <c r="H234" s="2"/>
      <c r="I234" s="2"/>
      <c r="J234" s="2"/>
    </row>
    <row r="235" spans="1:10" ht="12.75">
      <c r="A235" s="1"/>
      <c r="B235" s="1"/>
      <c r="C235" s="51"/>
      <c r="D235" s="51"/>
      <c r="E235" s="51"/>
      <c r="F235" s="2"/>
      <c r="G235" s="2"/>
      <c r="H235" s="2"/>
      <c r="I235" s="2"/>
      <c r="J235" s="2"/>
    </row>
    <row r="236" spans="1:10" ht="12.75">
      <c r="A236" s="1"/>
      <c r="B236" s="1"/>
      <c r="C236" s="51"/>
      <c r="D236" s="51"/>
      <c r="E236" s="51"/>
      <c r="F236" s="2"/>
      <c r="G236" s="2"/>
      <c r="H236" s="2"/>
      <c r="I236" s="2"/>
      <c r="J236" s="2"/>
    </row>
    <row r="237" spans="1:10" ht="12.75">
      <c r="A237" s="1"/>
      <c r="B237" s="1"/>
      <c r="C237" s="51"/>
      <c r="D237" s="51"/>
      <c r="E237" s="51"/>
      <c r="F237" s="2"/>
      <c r="G237" s="2"/>
      <c r="H237" s="2"/>
      <c r="I237" s="2"/>
      <c r="J237" s="2"/>
    </row>
    <row r="238" spans="1:10" ht="12.75">
      <c r="A238" s="1"/>
      <c r="B238" s="1"/>
      <c r="C238" s="51"/>
      <c r="D238" s="51"/>
      <c r="E238" s="51"/>
      <c r="F238" s="2"/>
      <c r="G238" s="2"/>
      <c r="H238" s="2"/>
      <c r="I238" s="2"/>
      <c r="J238" s="2"/>
    </row>
    <row r="239" spans="1:10" ht="12.75">
      <c r="A239" s="1"/>
      <c r="B239" s="1"/>
      <c r="C239" s="51"/>
      <c r="D239" s="51"/>
      <c r="E239" s="51"/>
      <c r="F239" s="2"/>
      <c r="G239" s="2"/>
      <c r="H239" s="2"/>
      <c r="I239" s="2"/>
      <c r="J239" s="2"/>
    </row>
    <row r="240" spans="1:10" ht="12.75">
      <c r="A240" s="1"/>
      <c r="B240" s="1"/>
      <c r="C240" s="51"/>
      <c r="D240" s="51"/>
      <c r="E240" s="51"/>
      <c r="F240" s="2"/>
      <c r="G240" s="2"/>
      <c r="H240" s="2"/>
      <c r="I240" s="2"/>
      <c r="J240" s="2"/>
    </row>
    <row r="241" spans="1:10" ht="12.75">
      <c r="A241" s="1"/>
      <c r="B241" s="1"/>
      <c r="C241" s="51"/>
      <c r="D241" s="51"/>
      <c r="E241" s="51"/>
      <c r="F241" s="2"/>
      <c r="G241" s="2"/>
      <c r="H241" s="2"/>
      <c r="I241" s="2"/>
      <c r="J241" s="2"/>
    </row>
    <row r="242" spans="1:10" ht="12.75">
      <c r="A242" s="1"/>
      <c r="B242" s="1"/>
      <c r="C242" s="51"/>
      <c r="D242" s="51"/>
      <c r="E242" s="51"/>
      <c r="F242" s="2"/>
      <c r="G242" s="2"/>
      <c r="H242" s="2"/>
      <c r="I242" s="2"/>
      <c r="J242" s="2"/>
    </row>
    <row r="243" spans="1:10" ht="12.75">
      <c r="A243" s="1"/>
      <c r="B243" s="1"/>
      <c r="C243" s="51"/>
      <c r="D243" s="51"/>
      <c r="E243" s="51"/>
      <c r="F243" s="2"/>
      <c r="G243" s="2"/>
      <c r="H243" s="2"/>
      <c r="I243" s="2"/>
      <c r="J243" s="2"/>
    </row>
    <row r="244" spans="1:10" ht="12.75">
      <c r="A244" s="1"/>
      <c r="B244" s="1"/>
      <c r="C244" s="51"/>
      <c r="D244" s="51"/>
      <c r="E244" s="51"/>
      <c r="F244" s="2"/>
      <c r="G244" s="2"/>
      <c r="H244" s="2"/>
      <c r="I244" s="2"/>
      <c r="J244" s="2"/>
    </row>
    <row r="245" spans="1:10" ht="12.75">
      <c r="A245" s="1"/>
      <c r="B245" s="1"/>
      <c r="C245" s="51"/>
      <c r="D245" s="51"/>
      <c r="E245" s="51"/>
      <c r="F245" s="2"/>
      <c r="G245" s="2"/>
      <c r="H245" s="2"/>
      <c r="I245" s="2"/>
      <c r="J245" s="2"/>
    </row>
    <row r="246" spans="1:10" ht="12.75">
      <c r="A246" s="1"/>
      <c r="B246" s="1"/>
      <c r="C246" s="51"/>
      <c r="D246" s="51"/>
      <c r="E246" s="51"/>
      <c r="F246" s="2"/>
      <c r="G246" s="2"/>
      <c r="H246" s="2"/>
      <c r="I246" s="2"/>
      <c r="J246" s="2"/>
    </row>
    <row r="247" spans="1:10" ht="12.75">
      <c r="A247" s="1"/>
      <c r="B247" s="1"/>
      <c r="C247" s="51"/>
      <c r="D247" s="51"/>
      <c r="E247" s="51"/>
      <c r="F247" s="2"/>
      <c r="G247" s="2"/>
      <c r="H247" s="2"/>
      <c r="I247" s="2"/>
      <c r="J247" s="2"/>
    </row>
    <row r="248" spans="1:10" ht="12.75">
      <c r="A248" s="1"/>
      <c r="B248" s="1"/>
      <c r="C248" s="51"/>
      <c r="D248" s="51"/>
      <c r="E248" s="51"/>
      <c r="F248" s="2"/>
      <c r="G248" s="2"/>
      <c r="H248" s="2"/>
      <c r="I248" s="2"/>
      <c r="J248" s="2"/>
    </row>
    <row r="249" spans="1:10" ht="12.75">
      <c r="A249" s="1"/>
      <c r="B249" s="1"/>
      <c r="C249" s="51"/>
      <c r="D249" s="51"/>
      <c r="E249" s="51"/>
      <c r="F249" s="2"/>
      <c r="G249" s="2"/>
      <c r="H249" s="2"/>
      <c r="I249" s="2"/>
      <c r="J249" s="2"/>
    </row>
    <row r="250" spans="1:10" ht="12.75">
      <c r="A250" s="1"/>
      <c r="B250" s="1"/>
      <c r="C250" s="51"/>
      <c r="D250" s="51"/>
      <c r="E250" s="51"/>
      <c r="F250" s="2"/>
      <c r="G250" s="2"/>
      <c r="H250" s="2"/>
      <c r="I250" s="2"/>
      <c r="J250" s="2"/>
    </row>
    <row r="251" spans="1:10" ht="12.75">
      <c r="A251" s="1"/>
      <c r="B251" s="1"/>
      <c r="C251" s="51"/>
      <c r="D251" s="51"/>
      <c r="E251" s="51"/>
      <c r="F251" s="2"/>
      <c r="G251" s="2"/>
      <c r="H251" s="2"/>
      <c r="I251" s="2"/>
      <c r="J251" s="2"/>
    </row>
    <row r="252" spans="1:10" ht="12.75">
      <c r="A252" s="1"/>
      <c r="B252" s="1"/>
      <c r="C252" s="51"/>
      <c r="D252" s="51"/>
      <c r="E252" s="51"/>
      <c r="F252" s="2"/>
      <c r="G252" s="2"/>
      <c r="H252" s="2"/>
      <c r="I252" s="2"/>
      <c r="J252" s="2"/>
    </row>
    <row r="253" spans="1:10" ht="12.75">
      <c r="A253" s="1"/>
      <c r="B253" s="1"/>
      <c r="C253" s="51"/>
      <c r="D253" s="51"/>
      <c r="E253" s="51"/>
      <c r="F253" s="2"/>
      <c r="G253" s="2"/>
      <c r="H253" s="2"/>
      <c r="I253" s="2"/>
      <c r="J253" s="2"/>
    </row>
    <row r="254" spans="1:10" ht="12.75">
      <c r="A254" s="1"/>
      <c r="B254" s="1"/>
      <c r="C254" s="51"/>
      <c r="D254" s="51"/>
      <c r="E254" s="51"/>
      <c r="F254" s="2"/>
      <c r="G254" s="2"/>
      <c r="H254" s="2"/>
      <c r="I254" s="2"/>
      <c r="J254" s="2"/>
    </row>
    <row r="255" spans="1:10" ht="12.75">
      <c r="A255" s="1"/>
      <c r="B255" s="1"/>
      <c r="C255" s="51"/>
      <c r="D255" s="51"/>
      <c r="E255" s="51"/>
      <c r="F255" s="2"/>
      <c r="G255" s="2"/>
      <c r="H255" s="2"/>
      <c r="I255" s="2"/>
      <c r="J255" s="2"/>
    </row>
    <row r="256" spans="1:10" ht="12.75">
      <c r="A256" s="1"/>
      <c r="B256" s="1"/>
      <c r="C256" s="51"/>
      <c r="D256" s="51"/>
      <c r="E256" s="51"/>
      <c r="F256" s="2"/>
      <c r="G256" s="2"/>
      <c r="H256" s="2"/>
      <c r="I256" s="2"/>
      <c r="J256" s="2"/>
    </row>
    <row r="257" spans="1:10" ht="12.75">
      <c r="A257" s="1"/>
      <c r="B257" s="1"/>
      <c r="C257" s="51"/>
      <c r="D257" s="51"/>
      <c r="E257" s="51"/>
      <c r="F257" s="2"/>
      <c r="G257" s="2"/>
      <c r="H257" s="2"/>
      <c r="I257" s="2"/>
      <c r="J257" s="2"/>
    </row>
    <row r="258" spans="1:10" ht="12.75">
      <c r="A258" s="1"/>
      <c r="B258" s="1"/>
      <c r="C258" s="51"/>
      <c r="D258" s="51"/>
      <c r="E258" s="51"/>
      <c r="F258" s="2"/>
      <c r="G258" s="2"/>
      <c r="H258" s="2"/>
      <c r="I258" s="2"/>
      <c r="J258" s="2"/>
    </row>
    <row r="259" spans="1:10" ht="12.75">
      <c r="A259" s="1"/>
      <c r="B259" s="1"/>
      <c r="C259" s="51"/>
      <c r="D259" s="51"/>
      <c r="E259" s="51"/>
      <c r="F259" s="2"/>
      <c r="G259" s="2"/>
      <c r="H259" s="2"/>
      <c r="I259" s="2"/>
      <c r="J259" s="2"/>
    </row>
    <row r="260" spans="1:10" ht="12.75">
      <c r="A260" s="1"/>
      <c r="B260" s="1"/>
      <c r="C260" s="51"/>
      <c r="D260" s="51"/>
      <c r="E260" s="51"/>
      <c r="F260" s="2"/>
      <c r="G260" s="2"/>
      <c r="H260" s="2"/>
      <c r="I260" s="2"/>
      <c r="J260" s="2"/>
    </row>
    <row r="261" spans="1:10" ht="12.75">
      <c r="A261" s="1"/>
      <c r="B261" s="1"/>
      <c r="C261" s="51"/>
      <c r="D261" s="51"/>
      <c r="E261" s="51"/>
      <c r="F261" s="2"/>
      <c r="G261" s="2"/>
      <c r="H261" s="2"/>
      <c r="I261" s="2"/>
      <c r="J261" s="2"/>
    </row>
    <row r="262" spans="1:10" ht="12.75">
      <c r="A262" s="1"/>
      <c r="B262" s="1"/>
      <c r="C262" s="51"/>
      <c r="D262" s="51"/>
      <c r="E262" s="51"/>
      <c r="F262" s="2"/>
      <c r="G262" s="2"/>
      <c r="H262" s="2"/>
      <c r="I262" s="2"/>
      <c r="J262" s="2"/>
    </row>
    <row r="263" spans="1:10" ht="12.75">
      <c r="A263" s="1"/>
      <c r="B263" s="1"/>
      <c r="C263" s="51"/>
      <c r="D263" s="51"/>
      <c r="E263" s="51"/>
      <c r="F263" s="2"/>
      <c r="G263" s="2"/>
      <c r="H263" s="2"/>
      <c r="I263" s="2"/>
      <c r="J263" s="2"/>
    </row>
    <row r="264" spans="1:10" ht="12.75">
      <c r="A264" s="1"/>
      <c r="B264" s="1"/>
      <c r="C264" s="51"/>
      <c r="D264" s="51"/>
      <c r="E264" s="51"/>
      <c r="F264" s="2"/>
      <c r="G264" s="2"/>
      <c r="H264" s="2"/>
      <c r="I264" s="2"/>
      <c r="J264" s="2"/>
    </row>
    <row r="265" spans="1:10" ht="12.75">
      <c r="A265" s="1"/>
      <c r="B265" s="1"/>
      <c r="C265" s="51"/>
      <c r="D265" s="51"/>
      <c r="E265" s="51"/>
      <c r="F265" s="2"/>
      <c r="G265" s="2"/>
      <c r="H265" s="2"/>
      <c r="I265" s="2"/>
      <c r="J265" s="2"/>
    </row>
    <row r="266" spans="1:10" ht="12.75">
      <c r="A266" s="1"/>
      <c r="B266" s="1"/>
      <c r="C266" s="51"/>
      <c r="D266" s="51"/>
      <c r="E266" s="51"/>
      <c r="F266" s="2"/>
      <c r="G266" s="2"/>
      <c r="H266" s="2"/>
      <c r="I266" s="2"/>
      <c r="J266" s="2"/>
    </row>
    <row r="267" spans="1:10" ht="12.75">
      <c r="A267" s="1"/>
      <c r="B267" s="1"/>
      <c r="C267" s="51"/>
      <c r="D267" s="51"/>
      <c r="E267" s="51"/>
      <c r="F267" s="2"/>
      <c r="G267" s="2"/>
      <c r="H267" s="2"/>
      <c r="I267" s="2"/>
      <c r="J267" s="2"/>
    </row>
    <row r="268" spans="1:10" ht="12.75">
      <c r="A268" s="1"/>
      <c r="B268" s="1"/>
      <c r="C268" s="51"/>
      <c r="D268" s="51"/>
      <c r="E268" s="51"/>
      <c r="F268" s="2"/>
      <c r="G268" s="2"/>
      <c r="H268" s="2"/>
      <c r="I268" s="2"/>
      <c r="J268" s="2"/>
    </row>
    <row r="269" spans="1:10" ht="12.75">
      <c r="A269" s="1"/>
      <c r="B269" s="1"/>
      <c r="C269" s="51"/>
      <c r="D269" s="51"/>
      <c r="E269" s="51"/>
      <c r="F269" s="2"/>
      <c r="G269" s="2"/>
      <c r="H269" s="2"/>
      <c r="I269" s="2"/>
      <c r="J269" s="2"/>
    </row>
    <row r="270" spans="1:10" ht="12.75">
      <c r="A270" s="1"/>
      <c r="B270" s="1"/>
      <c r="C270" s="51"/>
      <c r="D270" s="51"/>
      <c r="E270" s="51"/>
      <c r="F270" s="2"/>
      <c r="G270" s="2"/>
      <c r="H270" s="2"/>
      <c r="I270" s="2"/>
      <c r="J270" s="2"/>
    </row>
    <row r="271" spans="1:10" ht="12.75">
      <c r="A271" s="1"/>
      <c r="B271" s="1"/>
      <c r="C271" s="51"/>
      <c r="D271" s="51"/>
      <c r="E271" s="51"/>
      <c r="F271" s="2"/>
      <c r="G271" s="2"/>
      <c r="H271" s="2"/>
      <c r="I271" s="2"/>
      <c r="J271" s="2"/>
    </row>
    <row r="272" spans="1:10" ht="12.75">
      <c r="A272" s="1"/>
      <c r="B272" s="1"/>
      <c r="C272" s="51"/>
      <c r="D272" s="51"/>
      <c r="E272" s="51"/>
      <c r="F272" s="2"/>
      <c r="G272" s="2"/>
      <c r="H272" s="2"/>
      <c r="I272" s="2"/>
      <c r="J272" s="2"/>
    </row>
    <row r="273" spans="1:10" ht="12.75">
      <c r="A273" s="1"/>
      <c r="B273" s="1"/>
      <c r="C273" s="51"/>
      <c r="D273" s="51"/>
      <c r="E273" s="51"/>
      <c r="F273" s="2"/>
      <c r="G273" s="2"/>
      <c r="H273" s="2"/>
      <c r="I273" s="2"/>
      <c r="J273" s="2"/>
    </row>
    <row r="274" spans="1:10" ht="12.75">
      <c r="A274" s="1"/>
      <c r="B274" s="1"/>
      <c r="C274" s="51"/>
      <c r="D274" s="51"/>
      <c r="E274" s="51"/>
      <c r="F274" s="2"/>
      <c r="G274" s="2"/>
      <c r="H274" s="2"/>
      <c r="I274" s="2"/>
      <c r="J274" s="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1"/>
  <sheetViews>
    <sheetView workbookViewId="0" topLeftCell="A1">
      <selection activeCell="B10" sqref="B10"/>
    </sheetView>
  </sheetViews>
  <sheetFormatPr defaultColWidth="9.140625" defaultRowHeight="12.75"/>
  <cols>
    <col min="1" max="1" width="1.7109375" style="194" customWidth="1"/>
    <col min="2" max="2" width="37.57421875" style="194" customWidth="1"/>
    <col min="3" max="3" width="14.7109375" style="289" bestFit="1" customWidth="1"/>
    <col min="4" max="7" width="12.7109375" style="289" customWidth="1"/>
    <col min="8" max="8" width="13.7109375" style="289" customWidth="1"/>
    <col min="9" max="10" width="12.7109375" style="194" customWidth="1"/>
    <col min="11" max="11" width="12.8515625" style="194" customWidth="1"/>
    <col min="12" max="12" width="13.00390625" style="195" bestFit="1" customWidth="1"/>
    <col min="13" max="13" width="11.421875" style="195" bestFit="1" customWidth="1"/>
    <col min="14" max="14" width="12.8515625" style="196" bestFit="1" customWidth="1"/>
    <col min="15" max="15" width="12.8515625" style="195" bestFit="1" customWidth="1"/>
    <col min="16" max="16" width="11.421875" style="194" bestFit="1" customWidth="1"/>
    <col min="17" max="16384" width="9.140625" style="194" customWidth="1"/>
  </cols>
  <sheetData>
    <row r="1" spans="1:10" ht="15">
      <c r="A1" s="190" t="s">
        <v>82</v>
      </c>
      <c r="B1" s="191"/>
      <c r="C1" s="192"/>
      <c r="D1" s="192"/>
      <c r="E1" s="192"/>
      <c r="F1" s="192"/>
      <c r="G1" s="192"/>
      <c r="H1" s="192"/>
      <c r="I1" s="193"/>
      <c r="J1" s="193"/>
    </row>
    <row r="2" spans="1:10" ht="15">
      <c r="A2" s="190" t="s">
        <v>248</v>
      </c>
      <c r="B2" s="190"/>
      <c r="C2" s="192"/>
      <c r="D2" s="192"/>
      <c r="E2" s="192"/>
      <c r="F2" s="192"/>
      <c r="G2" s="192"/>
      <c r="H2" s="192"/>
      <c r="I2" s="193"/>
      <c r="J2" s="193"/>
    </row>
    <row r="3" spans="1:8" ht="15">
      <c r="A3" s="197"/>
      <c r="B3" s="197"/>
      <c r="C3" s="198"/>
      <c r="D3" s="198"/>
      <c r="E3" s="199"/>
      <c r="F3" s="199"/>
      <c r="G3" s="199"/>
      <c r="H3" s="199"/>
    </row>
    <row r="4" spans="1:16" ht="15">
      <c r="A4" s="200"/>
      <c r="B4" s="201"/>
      <c r="C4" s="202" t="s">
        <v>178</v>
      </c>
      <c r="D4" s="203" t="s">
        <v>249</v>
      </c>
      <c r="E4" s="204" t="s">
        <v>180</v>
      </c>
      <c r="F4" s="204" t="s">
        <v>250</v>
      </c>
      <c r="G4" s="204" t="s">
        <v>184</v>
      </c>
      <c r="H4" s="205"/>
      <c r="I4" s="206"/>
      <c r="J4" s="207" t="s">
        <v>180</v>
      </c>
      <c r="P4" s="207" t="s">
        <v>250</v>
      </c>
    </row>
    <row r="5" spans="1:16" ht="15">
      <c r="A5" s="208" t="s">
        <v>87</v>
      </c>
      <c r="B5" s="209"/>
      <c r="C5" s="210" t="s">
        <v>185</v>
      </c>
      <c r="D5" s="211"/>
      <c r="E5" s="211"/>
      <c r="F5" s="211"/>
      <c r="G5" s="212"/>
      <c r="H5" s="213" t="s">
        <v>186</v>
      </c>
      <c r="I5" s="214" t="s">
        <v>187</v>
      </c>
      <c r="J5" s="215" t="s">
        <v>2</v>
      </c>
      <c r="P5" s="216"/>
    </row>
    <row r="6" spans="1:16" ht="15">
      <c r="A6" s="217"/>
      <c r="B6" s="218"/>
      <c r="C6" s="219">
        <f>'[12]PL-CM'!E7</f>
        <v>37256</v>
      </c>
      <c r="D6" s="220"/>
      <c r="E6" s="220"/>
      <c r="F6" s="220"/>
      <c r="G6" s="221"/>
      <c r="H6" s="222"/>
      <c r="I6" s="223"/>
      <c r="J6" s="224">
        <f>C6</f>
        <v>37256</v>
      </c>
      <c r="P6" s="225"/>
    </row>
    <row r="7" spans="1:16" ht="15">
      <c r="A7" s="226"/>
      <c r="B7" s="227"/>
      <c r="C7" s="228"/>
      <c r="D7" s="229"/>
      <c r="E7" s="230">
        <v>2.0463021844868776</v>
      </c>
      <c r="F7" s="229"/>
      <c r="G7" s="231"/>
      <c r="H7" s="232"/>
      <c r="I7" s="233"/>
      <c r="J7" s="234" t="s">
        <v>188</v>
      </c>
      <c r="P7" s="235"/>
    </row>
    <row r="8" spans="1:16" ht="15">
      <c r="A8" s="236" t="s">
        <v>189</v>
      </c>
      <c r="B8" s="237"/>
      <c r="C8" s="238"/>
      <c r="D8" s="238"/>
      <c r="E8" s="238"/>
      <c r="F8" s="238"/>
      <c r="G8" s="232"/>
      <c r="H8" s="232"/>
      <c r="I8" s="233"/>
      <c r="J8" s="233"/>
      <c r="P8" s="239"/>
    </row>
    <row r="9" spans="1:16" ht="15">
      <c r="A9" s="240"/>
      <c r="B9" s="241" t="s">
        <v>190</v>
      </c>
      <c r="C9" s="242">
        <f>+'[15]BSD'!$G$20</f>
        <v>16779496</v>
      </c>
      <c r="D9" s="125">
        <v>392270</v>
      </c>
      <c r="E9" s="243">
        <v>263209</v>
      </c>
      <c r="F9" s="243">
        <v>0</v>
      </c>
      <c r="G9" s="244">
        <f aca="true" t="shared" si="0" ref="G9:G15">SUM(C9:F9)</f>
        <v>17434975</v>
      </c>
      <c r="H9" s="244">
        <v>0</v>
      </c>
      <c r="I9" s="245">
        <f>G9-H9</f>
        <v>17434975</v>
      </c>
      <c r="J9" s="246">
        <v>128627</v>
      </c>
      <c r="P9" s="246">
        <v>0</v>
      </c>
    </row>
    <row r="10" spans="1:16" ht="15">
      <c r="A10" s="240"/>
      <c r="B10" s="241" t="s">
        <v>191</v>
      </c>
      <c r="C10" s="242">
        <f>+'[15]BSD'!$G$37</f>
        <v>2525181</v>
      </c>
      <c r="D10" s="125">
        <v>65842</v>
      </c>
      <c r="E10" s="243">
        <v>76626</v>
      </c>
      <c r="F10" s="243">
        <v>0</v>
      </c>
      <c r="G10" s="244">
        <f t="shared" si="0"/>
        <v>2667649</v>
      </c>
      <c r="H10" s="244">
        <f>-7540</f>
        <v>-7540</v>
      </c>
      <c r="I10" s="245">
        <f aca="true" t="shared" si="1" ref="I10:I15">G10+H10</f>
        <v>2660109</v>
      </c>
      <c r="J10" s="246">
        <v>37446</v>
      </c>
      <c r="P10" s="246">
        <v>0</v>
      </c>
    </row>
    <row r="11" spans="1:16" ht="15">
      <c r="A11" s="240"/>
      <c r="B11" s="241" t="s">
        <v>251</v>
      </c>
      <c r="C11" s="247"/>
      <c r="D11" s="125">
        <v>226708</v>
      </c>
      <c r="E11" s="243"/>
      <c r="F11" s="243"/>
      <c r="G11" s="244">
        <f t="shared" si="0"/>
        <v>226708</v>
      </c>
      <c r="H11" s="244"/>
      <c r="I11" s="245">
        <f t="shared" si="1"/>
        <v>226708</v>
      </c>
      <c r="J11" s="246"/>
      <c r="P11" s="246"/>
    </row>
    <row r="12" spans="1:16" ht="15">
      <c r="A12" s="240"/>
      <c r="B12" s="241" t="s">
        <v>252</v>
      </c>
      <c r="C12" s="245">
        <f>+'[15]BSD'!$G$39</f>
        <v>25166</v>
      </c>
      <c r="D12" s="125">
        <v>26250</v>
      </c>
      <c r="E12" s="243">
        <f>'[16]BS'!$C$59</f>
        <v>0</v>
      </c>
      <c r="F12" s="243">
        <v>0</v>
      </c>
      <c r="G12" s="244">
        <f t="shared" si="0"/>
        <v>51416</v>
      </c>
      <c r="H12" s="244"/>
      <c r="I12" s="245">
        <f t="shared" si="1"/>
        <v>51416</v>
      </c>
      <c r="J12" s="246">
        <f>+'[16]BS'!$C$11</f>
        <v>0</v>
      </c>
      <c r="K12" s="248"/>
      <c r="P12" s="246">
        <v>0</v>
      </c>
    </row>
    <row r="13" spans="1:16" ht="15">
      <c r="A13" s="240"/>
      <c r="B13" s="241" t="s">
        <v>195</v>
      </c>
      <c r="C13" s="247">
        <f>+'[15]BSD'!$G$40</f>
        <v>3072088</v>
      </c>
      <c r="D13" s="122">
        <v>0</v>
      </c>
      <c r="E13" s="249">
        <f>'[16]BS'!$C$60</f>
        <v>0</v>
      </c>
      <c r="F13" s="247">
        <f>-(1275+60+150+56-1275+1275-57+1955+1650-146990+3885+150)</f>
        <v>137866</v>
      </c>
      <c r="G13" s="244">
        <f t="shared" si="0"/>
        <v>3209954</v>
      </c>
      <c r="H13" s="244">
        <f>-G13</f>
        <v>-3209954</v>
      </c>
      <c r="I13" s="245">
        <f t="shared" si="1"/>
        <v>0</v>
      </c>
      <c r="J13" s="246">
        <f>+'[16]BS'!$C$12</f>
        <v>0</v>
      </c>
      <c r="K13" s="248">
        <f>I13-I23</f>
        <v>0</v>
      </c>
      <c r="M13" s="250">
        <f>146357-60-1177-2015-1275-60-1650-206+1275+57-1955-1275</f>
        <v>138016</v>
      </c>
      <c r="N13" s="196">
        <f>-(1275+60+150+56-1275+1275-57+1955+1650-146990+3885)</f>
        <v>138016</v>
      </c>
      <c r="P13" s="246">
        <f>146357-60-1177-2015-1275-60-1650-206+1275+57-1955-1275</f>
        <v>138016</v>
      </c>
    </row>
    <row r="14" spans="1:16" ht="15">
      <c r="A14" s="240"/>
      <c r="B14" s="241" t="s">
        <v>196</v>
      </c>
      <c r="C14" s="247">
        <f>+'[15]BSD'!$G$77</f>
        <v>1061200</v>
      </c>
      <c r="D14" s="122">
        <v>114826</v>
      </c>
      <c r="E14" s="249">
        <v>132766</v>
      </c>
      <c r="F14" s="247">
        <f>-(-1275-56+1275-1955-1650)</f>
        <v>3661</v>
      </c>
      <c r="G14" s="244">
        <f t="shared" si="0"/>
        <v>1312453</v>
      </c>
      <c r="H14" s="244">
        <v>0</v>
      </c>
      <c r="I14" s="245">
        <f t="shared" si="1"/>
        <v>1312453</v>
      </c>
      <c r="J14" s="246">
        <v>64881</v>
      </c>
      <c r="L14" s="195">
        <f>M14+F14</f>
        <v>7321.92</v>
      </c>
      <c r="M14" s="195">
        <f>-(-1275-55.97+1275-1955-1649.95)</f>
        <v>3660.92</v>
      </c>
      <c r="N14" s="196">
        <f>-(-1275-56+1275-1955-1650)</f>
        <v>3661</v>
      </c>
      <c r="P14" s="246">
        <f>3768</f>
        <v>3768</v>
      </c>
    </row>
    <row r="15" spans="1:16" ht="15">
      <c r="A15" s="240"/>
      <c r="B15" s="241" t="s">
        <v>197</v>
      </c>
      <c r="C15" s="247">
        <f>+'[15]BSD'!$G$49</f>
        <v>11999933</v>
      </c>
      <c r="D15" s="122">
        <v>169501</v>
      </c>
      <c r="E15" s="243">
        <f>'[16]BS'!$C$62</f>
        <v>0</v>
      </c>
      <c r="F15" s="243">
        <v>0</v>
      </c>
      <c r="G15" s="244">
        <f t="shared" si="0"/>
        <v>12169434</v>
      </c>
      <c r="H15" s="244">
        <v>0</v>
      </c>
      <c r="I15" s="245">
        <f t="shared" si="1"/>
        <v>12169434</v>
      </c>
      <c r="J15" s="246">
        <f>+'[16]BS'!$C$14</f>
        <v>0</v>
      </c>
      <c r="P15" s="246">
        <v>0</v>
      </c>
    </row>
    <row r="16" spans="1:16" ht="4.5" customHeight="1">
      <c r="A16" s="251"/>
      <c r="B16" s="252"/>
      <c r="C16" s="253" t="s">
        <v>85</v>
      </c>
      <c r="D16" s="253" t="s">
        <v>85</v>
      </c>
      <c r="E16" s="253" t="s">
        <v>85</v>
      </c>
      <c r="F16" s="254" t="s">
        <v>198</v>
      </c>
      <c r="G16" s="255" t="s">
        <v>198</v>
      </c>
      <c r="H16" s="255" t="s">
        <v>85</v>
      </c>
      <c r="I16" s="256" t="s">
        <v>85</v>
      </c>
      <c r="J16" s="257" t="s">
        <v>85</v>
      </c>
      <c r="P16" s="258" t="s">
        <v>198</v>
      </c>
    </row>
    <row r="17" spans="1:16" ht="15">
      <c r="A17" s="259" t="s">
        <v>199</v>
      </c>
      <c r="B17" s="260"/>
      <c r="C17" s="261">
        <f>SUM(C9:C15)</f>
        <v>35463064</v>
      </c>
      <c r="D17" s="261">
        <f aca="true" t="shared" si="2" ref="D17:J17">SUM(D9:D15)</f>
        <v>995397</v>
      </c>
      <c r="E17" s="261">
        <f t="shared" si="2"/>
        <v>472601</v>
      </c>
      <c r="F17" s="261">
        <f t="shared" si="2"/>
        <v>141527</v>
      </c>
      <c r="G17" s="261">
        <f t="shared" si="2"/>
        <v>37072589</v>
      </c>
      <c r="H17" s="261">
        <f t="shared" si="2"/>
        <v>-3217494</v>
      </c>
      <c r="I17" s="261">
        <f t="shared" si="2"/>
        <v>33855095</v>
      </c>
      <c r="J17" s="261">
        <f t="shared" si="2"/>
        <v>230954</v>
      </c>
      <c r="N17" s="262">
        <f>SUM(N9:N15)</f>
        <v>141677</v>
      </c>
      <c r="P17" s="262">
        <f>SUM(P9:P15)</f>
        <v>141784</v>
      </c>
    </row>
    <row r="18" spans="1:16" ht="4.5" customHeight="1">
      <c r="A18" s="251"/>
      <c r="B18" s="252"/>
      <c r="C18" s="263" t="s">
        <v>85</v>
      </c>
      <c r="D18" s="264" t="s">
        <v>85</v>
      </c>
      <c r="E18" s="264" t="s">
        <v>85</v>
      </c>
      <c r="F18" s="264" t="s">
        <v>85</v>
      </c>
      <c r="G18" s="264" t="s">
        <v>85</v>
      </c>
      <c r="H18" s="265" t="s">
        <v>85</v>
      </c>
      <c r="I18" s="266" t="s">
        <v>85</v>
      </c>
      <c r="J18" s="267" t="s">
        <v>85</v>
      </c>
      <c r="P18" s="267" t="s">
        <v>85</v>
      </c>
    </row>
    <row r="19" spans="1:16" ht="15">
      <c r="A19" s="236" t="s">
        <v>200</v>
      </c>
      <c r="B19" s="237"/>
      <c r="C19" s="268"/>
      <c r="D19" s="268"/>
      <c r="E19" s="269"/>
      <c r="F19" s="268"/>
      <c r="G19" s="247"/>
      <c r="H19" s="247"/>
      <c r="I19" s="242"/>
      <c r="J19" s="270"/>
      <c r="O19" s="195">
        <f>2071254+147955+136001</f>
        <v>2355210</v>
      </c>
      <c r="P19" s="270"/>
    </row>
    <row r="20" spans="1:16" ht="15">
      <c r="A20" s="240"/>
      <c r="B20" s="241" t="s">
        <v>201</v>
      </c>
      <c r="C20" s="247">
        <f>-'[15]BSD'!$G$86</f>
        <v>2374361</v>
      </c>
      <c r="D20" s="243">
        <v>145706</v>
      </c>
      <c r="E20" s="243">
        <v>188685</v>
      </c>
      <c r="F20" s="243">
        <v>0</v>
      </c>
      <c r="G20" s="244">
        <f aca="true" t="shared" si="3" ref="G20:G26">SUM(C20:F20)</f>
        <v>2708752</v>
      </c>
      <c r="H20" s="244">
        <v>0</v>
      </c>
      <c r="I20" s="245">
        <f>G20-H20</f>
        <v>2708752</v>
      </c>
      <c r="J20" s="246">
        <v>92208</v>
      </c>
      <c r="P20" s="246">
        <v>0</v>
      </c>
    </row>
    <row r="21" spans="1:16" ht="15">
      <c r="A21" s="240"/>
      <c r="B21" s="241" t="s">
        <v>202</v>
      </c>
      <c r="C21" s="247">
        <f>-'[15]BSD'!$G$121</f>
        <v>4705644</v>
      </c>
      <c r="D21" s="243">
        <v>61731</v>
      </c>
      <c r="E21" s="243">
        <v>219711</v>
      </c>
      <c r="F21" s="243">
        <v>1275</v>
      </c>
      <c r="G21" s="244">
        <f t="shared" si="3"/>
        <v>4988361</v>
      </c>
      <c r="H21" s="244">
        <v>0</v>
      </c>
      <c r="I21" s="245">
        <f>G21-H21</f>
        <v>4988361</v>
      </c>
      <c r="J21" s="246">
        <v>107370</v>
      </c>
      <c r="K21" s="195">
        <f>H23-H13</f>
        <v>0</v>
      </c>
      <c r="M21" s="195">
        <f>-(-1275)</f>
        <v>1275</v>
      </c>
      <c r="N21" s="196">
        <f>-(-1275)</f>
        <v>1275</v>
      </c>
      <c r="P21" s="246">
        <f>1530+1800-1275-828.4939</f>
        <v>1226.5061</v>
      </c>
    </row>
    <row r="22" spans="1:16" ht="15">
      <c r="A22" s="240"/>
      <c r="B22" s="241" t="s">
        <v>203</v>
      </c>
      <c r="C22" s="247">
        <f>-'[15]BSD'!$G$124</f>
        <v>9864</v>
      </c>
      <c r="D22" s="243">
        <f>'[3]BS'!$C$22</f>
        <v>0</v>
      </c>
      <c r="E22" s="243">
        <f>'[16]BS'!$C$69</f>
        <v>0</v>
      </c>
      <c r="F22" s="243">
        <v>0</v>
      </c>
      <c r="G22" s="244">
        <f t="shared" si="3"/>
        <v>9864</v>
      </c>
      <c r="H22" s="244">
        <v>0</v>
      </c>
      <c r="I22" s="245">
        <f>G22-H22</f>
        <v>9864</v>
      </c>
      <c r="J22" s="246">
        <f>+'[16]BS'!$C$21</f>
        <v>0</v>
      </c>
      <c r="P22" s="246">
        <v>0</v>
      </c>
    </row>
    <row r="23" spans="1:16" ht="15">
      <c r="A23" s="240"/>
      <c r="B23" s="241" t="s">
        <v>195</v>
      </c>
      <c r="C23" s="247">
        <f>-'[15]BSD'!$G$43</f>
        <v>137866</v>
      </c>
      <c r="D23" s="243">
        <v>983211</v>
      </c>
      <c r="E23" s="243">
        <v>2088877</v>
      </c>
      <c r="F23" s="243">
        <v>0</v>
      </c>
      <c r="G23" s="244">
        <f>SUM(C23:F23)</f>
        <v>3209954</v>
      </c>
      <c r="H23" s="244">
        <f>-G23</f>
        <v>-3209954</v>
      </c>
      <c r="I23" s="245">
        <f>G23+H23</f>
        <v>0</v>
      </c>
      <c r="J23" s="246">
        <v>1020807</v>
      </c>
      <c r="K23" s="271"/>
      <c r="L23" s="195">
        <v>1960099.12</v>
      </c>
      <c r="N23" s="272"/>
      <c r="O23" s="195">
        <v>2207134</v>
      </c>
      <c r="P23" s="246">
        <v>0</v>
      </c>
    </row>
    <row r="24" spans="1:16" ht="15">
      <c r="A24" s="240"/>
      <c r="B24" s="241" t="s">
        <v>205</v>
      </c>
      <c r="C24" s="247">
        <f>-'[15]BSD'!$G$46</f>
        <v>20637</v>
      </c>
      <c r="D24" s="243">
        <v>0</v>
      </c>
      <c r="E24" s="243">
        <v>24883</v>
      </c>
      <c r="F24" s="243">
        <v>0</v>
      </c>
      <c r="G24" s="244">
        <f t="shared" si="3"/>
        <v>45520</v>
      </c>
      <c r="H24" s="244">
        <v>0</v>
      </c>
      <c r="I24" s="245">
        <f>G24-H24</f>
        <v>45520</v>
      </c>
      <c r="J24" s="246">
        <v>12160</v>
      </c>
      <c r="L24" s="195">
        <v>547799.91</v>
      </c>
      <c r="P24" s="246">
        <v>0</v>
      </c>
    </row>
    <row r="25" spans="1:16" ht="15">
      <c r="A25" s="240"/>
      <c r="B25" s="241" t="s">
        <v>11</v>
      </c>
      <c r="C25" s="247">
        <f>-'[15]BSD'!$G$126</f>
        <v>152659</v>
      </c>
      <c r="D25" s="243">
        <v>0</v>
      </c>
      <c r="E25" s="243">
        <f>'[16]BS'!$C$72</f>
        <v>0</v>
      </c>
      <c r="F25" s="243">
        <v>9082</v>
      </c>
      <c r="G25" s="244">
        <f t="shared" si="3"/>
        <v>161741</v>
      </c>
      <c r="H25" s="244">
        <v>0</v>
      </c>
      <c r="I25" s="245">
        <f>G25-H25</f>
        <v>161741</v>
      </c>
      <c r="J25" s="246">
        <f>+'[16]BS'!$C$24</f>
        <v>0</v>
      </c>
      <c r="L25" s="195">
        <f>L23-E23</f>
        <v>-128777.87999999989</v>
      </c>
      <c r="M25" s="195">
        <v>0</v>
      </c>
      <c r="N25" s="246">
        <v>9082</v>
      </c>
      <c r="P25" s="246">
        <f>12163</f>
        <v>12163</v>
      </c>
    </row>
    <row r="26" spans="1:16" ht="15">
      <c r="A26" s="240"/>
      <c r="B26" s="241" t="s">
        <v>206</v>
      </c>
      <c r="C26" s="247">
        <f>-'[15]BSD'!$G$128</f>
        <v>1914878</v>
      </c>
      <c r="D26" s="243">
        <f>'[3]BS'!$C$25</f>
        <v>0</v>
      </c>
      <c r="E26" s="243">
        <f>'[16]BS'!$C$73</f>
        <v>0</v>
      </c>
      <c r="F26" s="243">
        <v>0</v>
      </c>
      <c r="G26" s="244">
        <f t="shared" si="3"/>
        <v>1914878</v>
      </c>
      <c r="H26" s="244">
        <v>0</v>
      </c>
      <c r="I26" s="245">
        <f>G26-H26</f>
        <v>1914878</v>
      </c>
      <c r="J26" s="246">
        <f>+'[16]BS'!$C$25</f>
        <v>0</v>
      </c>
      <c r="P26" s="246">
        <v>0</v>
      </c>
    </row>
    <row r="27" spans="1:16" ht="4.5" customHeight="1">
      <c r="A27" s="251"/>
      <c r="B27" s="252"/>
      <c r="C27" s="253" t="s">
        <v>85</v>
      </c>
      <c r="D27" s="253" t="s">
        <v>85</v>
      </c>
      <c r="E27" s="253" t="s">
        <v>85</v>
      </c>
      <c r="F27" s="253" t="s">
        <v>85</v>
      </c>
      <c r="G27" s="255" t="s">
        <v>85</v>
      </c>
      <c r="H27" s="255" t="s">
        <v>85</v>
      </c>
      <c r="I27" s="256" t="s">
        <v>85</v>
      </c>
      <c r="J27" s="257" t="s">
        <v>85</v>
      </c>
      <c r="P27" s="257" t="s">
        <v>85</v>
      </c>
    </row>
    <row r="28" spans="1:16" ht="15">
      <c r="A28" s="259" t="s">
        <v>207</v>
      </c>
      <c r="B28" s="260"/>
      <c r="C28" s="261">
        <f>SUM(C20:C26)</f>
        <v>9315909</v>
      </c>
      <c r="D28" s="261">
        <f aca="true" t="shared" si="4" ref="D28:J28">SUM(D20:D26)</f>
        <v>1190648</v>
      </c>
      <c r="E28" s="261">
        <f t="shared" si="4"/>
        <v>2522156</v>
      </c>
      <c r="F28" s="261">
        <f t="shared" si="4"/>
        <v>10357</v>
      </c>
      <c r="G28" s="261">
        <f t="shared" si="4"/>
        <v>13039070</v>
      </c>
      <c r="H28" s="261">
        <f t="shared" si="4"/>
        <v>-3209954</v>
      </c>
      <c r="I28" s="261">
        <f t="shared" si="4"/>
        <v>9829116</v>
      </c>
      <c r="J28" s="261">
        <f t="shared" si="4"/>
        <v>1232545</v>
      </c>
      <c r="M28" s="262"/>
      <c r="N28" s="262">
        <f>SUM(N20:N26)</f>
        <v>10357</v>
      </c>
      <c r="P28" s="262">
        <f>SUM(P20:P26)</f>
        <v>13389.5061</v>
      </c>
    </row>
    <row r="29" spans="1:16" ht="4.5" customHeight="1">
      <c r="A29" s="251"/>
      <c r="B29" s="252"/>
      <c r="C29" s="253" t="s">
        <v>85</v>
      </c>
      <c r="D29" s="253" t="s">
        <v>85</v>
      </c>
      <c r="E29" s="253" t="s">
        <v>85</v>
      </c>
      <c r="F29" s="253" t="s">
        <v>85</v>
      </c>
      <c r="G29" s="255" t="s">
        <v>85</v>
      </c>
      <c r="H29" s="255" t="s">
        <v>85</v>
      </c>
      <c r="I29" s="256" t="s">
        <v>85</v>
      </c>
      <c r="J29" s="257" t="s">
        <v>85</v>
      </c>
      <c r="P29" s="257" t="s">
        <v>85</v>
      </c>
    </row>
    <row r="30" spans="1:16" ht="15">
      <c r="A30" s="240" t="s">
        <v>85</v>
      </c>
      <c r="B30" s="241" t="s">
        <v>208</v>
      </c>
      <c r="C30" s="244">
        <f aca="true" t="shared" si="5" ref="C30:H30">C17-C28</f>
        <v>26147155</v>
      </c>
      <c r="D30" s="244">
        <f t="shared" si="5"/>
        <v>-195251</v>
      </c>
      <c r="E30" s="243">
        <f>E17-E28-1</f>
        <v>-2049556</v>
      </c>
      <c r="F30" s="243">
        <f t="shared" si="5"/>
        <v>131170</v>
      </c>
      <c r="G30" s="244">
        <f>G17-G28-1</f>
        <v>24033518</v>
      </c>
      <c r="H30" s="243">
        <f t="shared" si="5"/>
        <v>-7540</v>
      </c>
      <c r="I30" s="243">
        <f>I17-I28-1</f>
        <v>24025978</v>
      </c>
      <c r="J30" s="246">
        <f>J17-J28</f>
        <v>-1001591</v>
      </c>
      <c r="M30" s="246"/>
      <c r="N30" s="246">
        <f>N17-N28</f>
        <v>131320</v>
      </c>
      <c r="P30" s="246">
        <f>P17-P28</f>
        <v>128394.4939</v>
      </c>
    </row>
    <row r="31" spans="1:16" ht="15">
      <c r="A31" s="240" t="s">
        <v>85</v>
      </c>
      <c r="B31" s="241" t="s">
        <v>209</v>
      </c>
      <c r="C31" s="247">
        <f>+'[15]BSD'!$G$151</f>
        <v>26228890</v>
      </c>
      <c r="D31" s="243">
        <v>43237</v>
      </c>
      <c r="E31" s="243">
        <v>25536</v>
      </c>
      <c r="F31" s="243">
        <v>0</v>
      </c>
      <c r="G31" s="244">
        <f>SUM(C31:F31)</f>
        <v>26297663</v>
      </c>
      <c r="H31" s="244"/>
      <c r="I31" s="245">
        <f>G31+H31</f>
        <v>26297663</v>
      </c>
      <c r="J31" s="246">
        <v>12480</v>
      </c>
      <c r="N31" s="272"/>
      <c r="O31" s="195">
        <v>-20645</v>
      </c>
      <c r="P31" s="246">
        <v>0</v>
      </c>
    </row>
    <row r="32" spans="1:16" ht="15">
      <c r="A32" s="240"/>
      <c r="B32" s="241" t="s">
        <v>210</v>
      </c>
      <c r="C32" s="244">
        <f>+'[15]BSD'!$G$154</f>
        <v>136000</v>
      </c>
      <c r="D32" s="243">
        <v>0</v>
      </c>
      <c r="E32" s="243">
        <f>+'[16]BS'!$C$80</f>
        <v>0</v>
      </c>
      <c r="F32" s="243">
        <v>0</v>
      </c>
      <c r="G32" s="244">
        <f>SUM(C32:F32)</f>
        <v>136000</v>
      </c>
      <c r="H32" s="244">
        <f>-G32</f>
        <v>-136000</v>
      </c>
      <c r="I32" s="245">
        <f>G32+H32</f>
        <v>0</v>
      </c>
      <c r="J32" s="246">
        <f>+'[16]BS'!$C$32</f>
        <v>0</v>
      </c>
      <c r="P32" s="246">
        <v>0</v>
      </c>
    </row>
    <row r="33" spans="1:16" ht="15">
      <c r="A33" s="240" t="s">
        <v>85</v>
      </c>
      <c r="B33" s="241" t="s">
        <v>211</v>
      </c>
      <c r="C33" s="244">
        <v>0</v>
      </c>
      <c r="D33" s="243">
        <v>0</v>
      </c>
      <c r="E33" s="243">
        <f>+'[16]BS'!$C$81</f>
        <v>0</v>
      </c>
      <c r="F33" s="243">
        <v>0</v>
      </c>
      <c r="G33" s="244">
        <f>SUM(C33:F33)</f>
        <v>0</v>
      </c>
      <c r="H33" s="244">
        <f>-G33</f>
        <v>0</v>
      </c>
      <c r="I33" s="245">
        <f>G33+H33</f>
        <v>0</v>
      </c>
      <c r="J33" s="246">
        <f>+'[16]BS'!$C$33</f>
        <v>0</v>
      </c>
      <c r="P33" s="246">
        <v>0</v>
      </c>
    </row>
    <row r="34" spans="1:16" ht="4.5" customHeight="1">
      <c r="A34" s="251"/>
      <c r="B34" s="252"/>
      <c r="C34" s="253" t="s">
        <v>85</v>
      </c>
      <c r="D34" s="253" t="s">
        <v>85</v>
      </c>
      <c r="E34" s="253" t="s">
        <v>85</v>
      </c>
      <c r="F34" s="253" t="s">
        <v>85</v>
      </c>
      <c r="G34" s="255" t="s">
        <v>85</v>
      </c>
      <c r="H34" s="255" t="s">
        <v>85</v>
      </c>
      <c r="I34" s="256" t="s">
        <v>85</v>
      </c>
      <c r="J34" s="257" t="s">
        <v>85</v>
      </c>
      <c r="P34" s="257" t="s">
        <v>85</v>
      </c>
    </row>
    <row r="35" spans="1:16" ht="15.75" thickBot="1">
      <c r="A35" s="259" t="s">
        <v>212</v>
      </c>
      <c r="B35" s="273"/>
      <c r="C35" s="274">
        <f>SUM(C30:C33)</f>
        <v>52512045</v>
      </c>
      <c r="D35" s="274">
        <f aca="true" t="shared" si="6" ref="D35:J35">SUM(D30:D33)</f>
        <v>-152014</v>
      </c>
      <c r="E35" s="274">
        <f t="shared" si="6"/>
        <v>-2024020</v>
      </c>
      <c r="F35" s="274">
        <f t="shared" si="6"/>
        <v>131170</v>
      </c>
      <c r="G35" s="274">
        <f t="shared" si="6"/>
        <v>50467181</v>
      </c>
      <c r="H35" s="274">
        <f t="shared" si="6"/>
        <v>-143540</v>
      </c>
      <c r="I35" s="274">
        <f t="shared" si="6"/>
        <v>50323641</v>
      </c>
      <c r="J35" s="274">
        <f t="shared" si="6"/>
        <v>-989111</v>
      </c>
      <c r="N35" s="275">
        <f>SUM(N30:N33)</f>
        <v>131320</v>
      </c>
      <c r="P35" s="275">
        <f>SUM(P30:P33)</f>
        <v>128394.4939</v>
      </c>
    </row>
    <row r="36" spans="1:16" ht="4.5" customHeight="1" thickTop="1">
      <c r="A36" s="251"/>
      <c r="B36" s="252"/>
      <c r="C36" s="253" t="s">
        <v>85</v>
      </c>
      <c r="D36" s="253" t="s">
        <v>85</v>
      </c>
      <c r="E36" s="253" t="s">
        <v>85</v>
      </c>
      <c r="F36" s="253" t="s">
        <v>85</v>
      </c>
      <c r="G36" s="255" t="s">
        <v>85</v>
      </c>
      <c r="H36" s="255" t="s">
        <v>85</v>
      </c>
      <c r="I36" s="256" t="s">
        <v>85</v>
      </c>
      <c r="J36" s="257" t="s">
        <v>85</v>
      </c>
      <c r="P36" s="257" t="s">
        <v>85</v>
      </c>
    </row>
    <row r="37" spans="1:16" ht="4.5" customHeight="1">
      <c r="A37" s="251"/>
      <c r="B37" s="252"/>
      <c r="C37" s="268"/>
      <c r="D37" s="268"/>
      <c r="E37" s="268"/>
      <c r="F37" s="268"/>
      <c r="G37" s="247"/>
      <c r="H37" s="247"/>
      <c r="I37" s="242"/>
      <c r="J37" s="270"/>
      <c r="P37" s="270"/>
    </row>
    <row r="38" spans="1:16" ht="15">
      <c r="A38" s="259" t="s">
        <v>213</v>
      </c>
      <c r="B38" s="273"/>
      <c r="C38" s="268"/>
      <c r="D38" s="268"/>
      <c r="E38" s="268"/>
      <c r="F38" s="268"/>
      <c r="G38" s="247"/>
      <c r="H38" s="247"/>
      <c r="I38" s="242"/>
      <c r="J38" s="270"/>
      <c r="P38" s="270"/>
    </row>
    <row r="39" spans="1:16" ht="15">
      <c r="A39" s="240" t="s">
        <v>85</v>
      </c>
      <c r="B39" s="241" t="s">
        <v>214</v>
      </c>
      <c r="C39" s="244">
        <f>+'[15]BSD'!$G$157</f>
        <v>42934500</v>
      </c>
      <c r="D39" s="243">
        <f>'[3]BS'!$C$38</f>
        <v>200000</v>
      </c>
      <c r="E39" s="243">
        <f>+'[16]BS'!$C$86</f>
        <v>129253</v>
      </c>
      <c r="F39" s="243">
        <v>25000</v>
      </c>
      <c r="G39" s="244">
        <f>SUM(C39:F39)</f>
        <v>43288753</v>
      </c>
      <c r="H39" s="244">
        <f>-(D39+E39+F39)</f>
        <v>-354253</v>
      </c>
      <c r="I39" s="245">
        <f>G39+H39</f>
        <v>42934500</v>
      </c>
      <c r="J39" s="246">
        <f>+'[16]BS'!$C$38</f>
        <v>100000</v>
      </c>
      <c r="N39" s="246">
        <v>25000</v>
      </c>
      <c r="P39" s="246">
        <v>25000</v>
      </c>
    </row>
    <row r="40" spans="1:16" ht="15">
      <c r="A40" s="240" t="s">
        <v>85</v>
      </c>
      <c r="B40" s="241" t="s">
        <v>25</v>
      </c>
      <c r="C40" s="247">
        <f>+'[15]BSD'!$G$159</f>
        <v>6218534.612</v>
      </c>
      <c r="D40" s="243">
        <f>'[3]BS'!$C$39</f>
        <v>-508038</v>
      </c>
      <c r="E40" s="243">
        <v>-1974866</v>
      </c>
      <c r="F40" s="243">
        <f>113040-1458-5202-60</f>
        <v>106320</v>
      </c>
      <c r="G40" s="244">
        <f>SUM(C40:F40)</f>
        <v>3841950.6119999997</v>
      </c>
      <c r="H40" s="244">
        <f>-157500+375752-7540+1</f>
        <v>210713</v>
      </c>
      <c r="I40" s="245">
        <f>G40+H40</f>
        <v>4052663.6119999997</v>
      </c>
      <c r="J40" s="246">
        <f>+'[16]BS'!$C$39</f>
        <v>-973911</v>
      </c>
      <c r="N40" s="246">
        <f>113040-1458-5202</f>
        <v>106380</v>
      </c>
      <c r="P40" s="246">
        <f>113040-1458-5202</f>
        <v>106380</v>
      </c>
    </row>
    <row r="41" spans="1:16" ht="15">
      <c r="A41" s="240"/>
      <c r="B41" s="241" t="s">
        <v>215</v>
      </c>
      <c r="C41" s="247">
        <f>+'[4]BS'!$C$40</f>
        <v>0</v>
      </c>
      <c r="D41" s="243">
        <v>0</v>
      </c>
      <c r="E41" s="243">
        <v>57329</v>
      </c>
      <c r="F41" s="243">
        <v>0</v>
      </c>
      <c r="G41" s="244">
        <f>SUM(C41:F41)</f>
        <v>57329</v>
      </c>
      <c r="H41" s="244">
        <v>0</v>
      </c>
      <c r="I41" s="245">
        <f>G41+H41</f>
        <v>57329</v>
      </c>
      <c r="J41" s="246" t="e">
        <f>+'[16]BS'!$C$40</f>
        <v>#REF!</v>
      </c>
      <c r="P41" s="246">
        <v>0</v>
      </c>
    </row>
    <row r="42" spans="1:16" ht="15">
      <c r="A42" s="240" t="s">
        <v>85</v>
      </c>
      <c r="B42" s="241" t="s">
        <v>216</v>
      </c>
      <c r="C42" s="247">
        <f>+'[15]BSD'!$G$160</f>
        <v>2681010</v>
      </c>
      <c r="D42" s="126">
        <v>156024</v>
      </c>
      <c r="E42" s="243">
        <v>-235736</v>
      </c>
      <c r="F42" s="249">
        <v>-150</v>
      </c>
      <c r="G42" s="244">
        <f>SUM(C42:F42)</f>
        <v>2601148</v>
      </c>
      <c r="H42" s="276">
        <v>0</v>
      </c>
      <c r="I42" s="277">
        <f>G42+H42</f>
        <v>2601148</v>
      </c>
      <c r="J42" s="246">
        <v>-115200</v>
      </c>
      <c r="K42" s="272"/>
      <c r="N42" s="278">
        <v>-60</v>
      </c>
      <c r="P42" s="278">
        <f>-60-1275-1650-206+1275+57-1955+828.4939</f>
        <v>-2985.5061</v>
      </c>
    </row>
    <row r="43" spans="1:16" ht="15">
      <c r="A43" s="240" t="s">
        <v>85</v>
      </c>
      <c r="B43" s="241" t="s">
        <v>217</v>
      </c>
      <c r="C43" s="244">
        <f>+'[15]BSD'!$G$161</f>
        <v>678000</v>
      </c>
      <c r="D43" s="243" t="e">
        <f>+'[3]BS'!$C$42</f>
        <v>#REF!</v>
      </c>
      <c r="E43" s="279">
        <f>'[16]BS'!$C$90</f>
        <v>0</v>
      </c>
      <c r="F43" s="243">
        <v>0</v>
      </c>
      <c r="G43" s="244" t="e">
        <f>SUM(C43:F43)</f>
        <v>#REF!</v>
      </c>
      <c r="H43" s="244">
        <v>0</v>
      </c>
      <c r="I43" s="277" t="e">
        <f>G43+H43</f>
        <v>#REF!</v>
      </c>
      <c r="J43" s="246" t="e">
        <f>+'[16]BS'!$C$42</f>
        <v>#REF!</v>
      </c>
      <c r="K43" s="248"/>
      <c r="P43" s="246">
        <v>0</v>
      </c>
    </row>
    <row r="44" spans="1:16" ht="4.5" customHeight="1">
      <c r="A44" s="251"/>
      <c r="B44" s="252"/>
      <c r="C44" s="244"/>
      <c r="D44" s="253" t="s">
        <v>198</v>
      </c>
      <c r="E44" s="253" t="s">
        <v>198</v>
      </c>
      <c r="F44" s="253" t="s">
        <v>198</v>
      </c>
      <c r="G44" s="255" t="s">
        <v>198</v>
      </c>
      <c r="H44" s="255" t="s">
        <v>198</v>
      </c>
      <c r="I44" s="256" t="s">
        <v>198</v>
      </c>
      <c r="J44" s="257" t="s">
        <v>198</v>
      </c>
      <c r="P44" s="257" t="s">
        <v>198</v>
      </c>
    </row>
    <row r="45" spans="1:16" ht="15.75" thickBot="1">
      <c r="A45" s="259" t="s">
        <v>218</v>
      </c>
      <c r="B45" s="280"/>
      <c r="C45" s="274">
        <f>SUM(C39:C43)</f>
        <v>52512044.612</v>
      </c>
      <c r="D45" s="274" t="e">
        <f aca="true" t="shared" si="7" ref="D45:J45">SUM(D39:D43)</f>
        <v>#REF!</v>
      </c>
      <c r="E45" s="274">
        <f t="shared" si="7"/>
        <v>-2024020</v>
      </c>
      <c r="F45" s="274">
        <f t="shared" si="7"/>
        <v>131170</v>
      </c>
      <c r="G45" s="274" t="e">
        <f t="shared" si="7"/>
        <v>#REF!</v>
      </c>
      <c r="H45" s="274">
        <f t="shared" si="7"/>
        <v>-143540</v>
      </c>
      <c r="I45" s="274" t="e">
        <f t="shared" si="7"/>
        <v>#REF!</v>
      </c>
      <c r="J45" s="274" t="e">
        <f t="shared" si="7"/>
        <v>#REF!</v>
      </c>
      <c r="N45" s="275">
        <f>SUM(N39:N43)</f>
        <v>131320</v>
      </c>
      <c r="P45" s="275">
        <f>SUM(P39:P43)</f>
        <v>128394.4939</v>
      </c>
    </row>
    <row r="46" spans="1:16" ht="4.5" customHeight="1" thickTop="1">
      <c r="A46" s="281"/>
      <c r="B46" s="282"/>
      <c r="C46" s="283" t="s">
        <v>85</v>
      </c>
      <c r="D46" s="283" t="s">
        <v>85</v>
      </c>
      <c r="E46" s="283" t="s">
        <v>85</v>
      </c>
      <c r="F46" s="284"/>
      <c r="G46" s="285" t="s">
        <v>85</v>
      </c>
      <c r="H46" s="283" t="s">
        <v>85</v>
      </c>
      <c r="I46" s="286" t="s">
        <v>85</v>
      </c>
      <c r="J46" s="287" t="s">
        <v>85</v>
      </c>
      <c r="P46" s="282"/>
    </row>
    <row r="47" spans="1:14" ht="15">
      <c r="A47" s="288"/>
      <c r="B47" s="288"/>
      <c r="C47" s="198"/>
      <c r="D47" s="198"/>
      <c r="E47" s="198"/>
      <c r="F47" s="199"/>
      <c r="H47" s="199"/>
      <c r="J47" s="290"/>
      <c r="N47" s="196">
        <f>N35-N45</f>
        <v>0</v>
      </c>
    </row>
    <row r="48" spans="1:10" ht="15">
      <c r="A48" s="288"/>
      <c r="B48" s="288"/>
      <c r="C48" s="291">
        <f>C35-C45</f>
        <v>0.3879999965429306</v>
      </c>
      <c r="D48" s="292" t="e">
        <f aca="true" t="shared" si="8" ref="D48:J48">D35-D45</f>
        <v>#REF!</v>
      </c>
      <c r="E48" s="292">
        <f t="shared" si="8"/>
        <v>0</v>
      </c>
      <c r="F48" s="291">
        <f t="shared" si="8"/>
        <v>0</v>
      </c>
      <c r="G48" s="292" t="e">
        <f t="shared" si="8"/>
        <v>#REF!</v>
      </c>
      <c r="H48" s="293">
        <f t="shared" si="8"/>
        <v>0</v>
      </c>
      <c r="I48" s="196" t="e">
        <f t="shared" si="8"/>
        <v>#REF!</v>
      </c>
      <c r="J48" s="290" t="e">
        <f t="shared" si="8"/>
        <v>#REF!</v>
      </c>
    </row>
    <row r="49" spans="1:10" ht="15">
      <c r="A49" s="288"/>
      <c r="B49" s="288"/>
      <c r="C49" s="198"/>
      <c r="D49" s="198"/>
      <c r="E49" s="294" t="e">
        <f>E45/J45</f>
        <v>#REF!</v>
      </c>
      <c r="F49" s="198"/>
      <c r="G49" s="295" t="s">
        <v>85</v>
      </c>
      <c r="H49" s="296"/>
      <c r="I49" s="248"/>
      <c r="J49" s="290"/>
    </row>
    <row r="50" spans="1:10" ht="15">
      <c r="A50" s="288"/>
      <c r="B50" s="297" t="s">
        <v>219</v>
      </c>
      <c r="C50" s="198"/>
      <c r="D50" s="198"/>
      <c r="E50" s="291"/>
      <c r="F50" s="198"/>
      <c r="G50" s="295"/>
      <c r="H50" s="291"/>
      <c r="I50" s="298"/>
      <c r="J50" s="290"/>
    </row>
    <row r="51" spans="1:10" ht="15">
      <c r="A51" s="288"/>
      <c r="B51" s="297" t="s">
        <v>253</v>
      </c>
      <c r="C51" s="198">
        <f>C42+D42+E42+F42+H42</f>
        <v>2601148</v>
      </c>
      <c r="D51" s="198"/>
      <c r="E51" s="198"/>
      <c r="F51" s="198"/>
      <c r="G51" s="295"/>
      <c r="H51" s="199"/>
      <c r="J51" s="290"/>
    </row>
    <row r="52" spans="1:10" ht="15">
      <c r="A52" s="288"/>
      <c r="B52" s="297"/>
      <c r="C52" s="293">
        <f>C51-C53</f>
        <v>-1910675.0999999996</v>
      </c>
      <c r="D52" s="198"/>
      <c r="E52" s="198"/>
      <c r="F52" s="198"/>
      <c r="H52" s="199"/>
      <c r="J52" s="290"/>
    </row>
    <row r="53" spans="1:10" ht="15">
      <c r="A53" s="288"/>
      <c r="B53" s="297" t="s">
        <v>222</v>
      </c>
      <c r="C53" s="198">
        <f>'[12]PLnew'!J58</f>
        <v>4511823.1</v>
      </c>
      <c r="D53" s="198"/>
      <c r="E53" s="198"/>
      <c r="F53" s="199"/>
      <c r="H53" s="199"/>
      <c r="J53" s="290"/>
    </row>
    <row r="54" spans="1:10" ht="15">
      <c r="A54" s="288"/>
      <c r="B54" s="297" t="s">
        <v>223</v>
      </c>
      <c r="C54" s="198"/>
      <c r="D54" s="198"/>
      <c r="E54" s="198"/>
      <c r="F54" s="199"/>
      <c r="H54" s="291"/>
      <c r="J54" s="290"/>
    </row>
    <row r="55" spans="1:10" ht="15">
      <c r="A55" s="288"/>
      <c r="B55" s="288"/>
      <c r="C55" s="198"/>
      <c r="D55" s="198"/>
      <c r="E55" s="198"/>
      <c r="F55" s="199"/>
      <c r="H55" s="291"/>
      <c r="J55" s="290"/>
    </row>
    <row r="56" spans="1:10" ht="15">
      <c r="A56" s="288"/>
      <c r="B56" s="288"/>
      <c r="C56" s="198"/>
      <c r="D56" s="198"/>
      <c r="E56" s="198"/>
      <c r="F56" s="199"/>
      <c r="H56" s="296"/>
      <c r="J56" s="290"/>
    </row>
    <row r="57" spans="1:10" ht="15">
      <c r="A57" s="288"/>
      <c r="B57" s="288"/>
      <c r="C57" s="296"/>
      <c r="D57" s="198"/>
      <c r="E57" s="198"/>
      <c r="F57" s="199"/>
      <c r="H57" s="199"/>
      <c r="J57" s="290"/>
    </row>
    <row r="58" spans="1:10" ht="15">
      <c r="A58" s="288"/>
      <c r="B58" s="288"/>
      <c r="C58" s="198"/>
      <c r="D58" s="198"/>
      <c r="E58" s="198"/>
      <c r="F58" s="199"/>
      <c r="H58" s="199"/>
      <c r="J58" s="290"/>
    </row>
    <row r="59" spans="1:10" ht="15">
      <c r="A59" s="288"/>
      <c r="B59" s="288"/>
      <c r="C59" s="198"/>
      <c r="D59" s="198"/>
      <c r="E59" s="198"/>
      <c r="F59" s="199"/>
      <c r="H59" s="199"/>
      <c r="J59" s="290"/>
    </row>
    <row r="60" spans="1:8" ht="15">
      <c r="A60" s="288"/>
      <c r="B60" s="288"/>
      <c r="C60" s="198"/>
      <c r="D60" s="198"/>
      <c r="E60" s="198"/>
      <c r="F60" s="199"/>
      <c r="H60" s="199"/>
    </row>
    <row r="61" spans="1:8" ht="15">
      <c r="A61" s="288"/>
      <c r="B61" s="288"/>
      <c r="C61" s="198"/>
      <c r="D61" s="198"/>
      <c r="E61" s="198"/>
      <c r="F61" s="199"/>
      <c r="H61" s="199"/>
    </row>
    <row r="62" spans="1:8" ht="15">
      <c r="A62" s="288"/>
      <c r="B62" s="288"/>
      <c r="C62" s="198"/>
      <c r="D62" s="198"/>
      <c r="E62" s="198"/>
      <c r="F62" s="199"/>
      <c r="H62" s="199"/>
    </row>
    <row r="63" spans="1:8" ht="15">
      <c r="A63" s="288"/>
      <c r="B63" s="288"/>
      <c r="C63" s="198"/>
      <c r="D63" s="198"/>
      <c r="E63" s="198"/>
      <c r="F63" s="199"/>
      <c r="H63" s="199"/>
    </row>
    <row r="64" spans="1:8" ht="15">
      <c r="A64" s="288"/>
      <c r="B64" s="288"/>
      <c r="C64" s="198"/>
      <c r="D64" s="198"/>
      <c r="E64" s="198"/>
      <c r="F64" s="199"/>
      <c r="H64" s="199"/>
    </row>
    <row r="65" spans="1:8" ht="15">
      <c r="A65" s="288"/>
      <c r="B65" s="288"/>
      <c r="C65" s="198"/>
      <c r="D65" s="198"/>
      <c r="E65" s="198"/>
      <c r="F65" s="199"/>
      <c r="G65" s="199"/>
      <c r="H65" s="199"/>
    </row>
    <row r="66" spans="1:8" ht="15">
      <c r="A66" s="288"/>
      <c r="B66" s="288"/>
      <c r="C66" s="198"/>
      <c r="D66" s="198"/>
      <c r="E66" s="198"/>
      <c r="F66" s="199"/>
      <c r="G66" s="199"/>
      <c r="H66" s="199"/>
    </row>
    <row r="67" spans="1:8" ht="15">
      <c r="A67" s="288"/>
      <c r="B67" s="288"/>
      <c r="C67" s="198"/>
      <c r="D67" s="198"/>
      <c r="E67" s="198"/>
      <c r="F67" s="199"/>
      <c r="G67" s="199"/>
      <c r="H67" s="199"/>
    </row>
    <row r="68" spans="1:8" ht="15">
      <c r="A68" s="288"/>
      <c r="B68" s="288"/>
      <c r="C68" s="198"/>
      <c r="D68" s="198"/>
      <c r="E68" s="198"/>
      <c r="F68" s="199"/>
      <c r="G68" s="199"/>
      <c r="H68" s="199"/>
    </row>
    <row r="69" spans="1:8" ht="15">
      <c r="A69" s="288"/>
      <c r="B69" s="288"/>
      <c r="C69" s="198"/>
      <c r="D69" s="198"/>
      <c r="E69" s="198"/>
      <c r="F69" s="199"/>
      <c r="G69" s="199"/>
      <c r="H69" s="199"/>
    </row>
    <row r="70" spans="1:8" ht="15">
      <c r="A70" s="288"/>
      <c r="B70" s="288"/>
      <c r="C70" s="198"/>
      <c r="D70" s="198"/>
      <c r="E70" s="198"/>
      <c r="F70" s="199"/>
      <c r="G70" s="199"/>
      <c r="H70" s="199"/>
    </row>
    <row r="71" spans="1:8" ht="15">
      <c r="A71" s="288"/>
      <c r="B71" s="288"/>
      <c r="C71" s="198"/>
      <c r="D71" s="198"/>
      <c r="E71" s="198"/>
      <c r="F71" s="199"/>
      <c r="G71" s="199"/>
      <c r="H71" s="199"/>
    </row>
    <row r="72" spans="1:8" ht="15">
      <c r="A72" s="288"/>
      <c r="B72" s="288"/>
      <c r="C72" s="198"/>
      <c r="D72" s="198"/>
      <c r="E72" s="198"/>
      <c r="F72" s="199"/>
      <c r="G72" s="199"/>
      <c r="H72" s="199"/>
    </row>
    <row r="73" spans="1:8" ht="15">
      <c r="A73" s="288"/>
      <c r="B73" s="288"/>
      <c r="C73" s="198"/>
      <c r="D73" s="198"/>
      <c r="E73" s="198"/>
      <c r="F73" s="199"/>
      <c r="G73" s="199"/>
      <c r="H73" s="199"/>
    </row>
    <row r="74" spans="1:8" ht="15">
      <c r="A74" s="288"/>
      <c r="B74" s="288"/>
      <c r="C74" s="198"/>
      <c r="D74" s="198"/>
      <c r="E74" s="198"/>
      <c r="F74" s="199"/>
      <c r="G74" s="199"/>
      <c r="H74" s="199"/>
    </row>
    <row r="75" spans="1:8" ht="15">
      <c r="A75" s="288"/>
      <c r="B75" s="288"/>
      <c r="C75" s="198"/>
      <c r="D75" s="198"/>
      <c r="E75" s="198"/>
      <c r="F75" s="199"/>
      <c r="G75" s="199"/>
      <c r="H75" s="199"/>
    </row>
    <row r="76" spans="1:8" ht="15">
      <c r="A76" s="288"/>
      <c r="B76" s="288"/>
      <c r="C76" s="198"/>
      <c r="D76" s="198"/>
      <c r="E76" s="198"/>
      <c r="F76" s="199"/>
      <c r="G76" s="199"/>
      <c r="H76" s="199"/>
    </row>
    <row r="77" spans="1:8" ht="15">
      <c r="A77" s="288"/>
      <c r="B77" s="288"/>
      <c r="C77" s="198"/>
      <c r="D77" s="198"/>
      <c r="E77" s="198"/>
      <c r="F77" s="199"/>
      <c r="G77" s="199"/>
      <c r="H77" s="199"/>
    </row>
    <row r="78" spans="1:8" ht="15">
      <c r="A78" s="288"/>
      <c r="B78" s="288"/>
      <c r="C78" s="198"/>
      <c r="D78" s="198"/>
      <c r="E78" s="198"/>
      <c r="F78" s="199"/>
      <c r="G78" s="199"/>
      <c r="H78" s="199"/>
    </row>
    <row r="79" spans="1:8" ht="15">
      <c r="A79" s="288"/>
      <c r="B79" s="288"/>
      <c r="C79" s="198"/>
      <c r="D79" s="198"/>
      <c r="E79" s="198"/>
      <c r="F79" s="199"/>
      <c r="G79" s="199"/>
      <c r="H79" s="199"/>
    </row>
    <row r="80" spans="1:8" ht="15">
      <c r="A80" s="288"/>
      <c r="B80" s="288"/>
      <c r="C80" s="198"/>
      <c r="D80" s="198"/>
      <c r="E80" s="198"/>
      <c r="F80" s="199"/>
      <c r="G80" s="199"/>
      <c r="H80" s="199"/>
    </row>
    <row r="81" spans="1:8" ht="15">
      <c r="A81" s="288"/>
      <c r="B81" s="288"/>
      <c r="C81" s="198"/>
      <c r="D81" s="198"/>
      <c r="E81" s="198"/>
      <c r="F81" s="199"/>
      <c r="G81" s="199"/>
      <c r="H81" s="199"/>
    </row>
    <row r="82" spans="1:8" ht="15">
      <c r="A82" s="288"/>
      <c r="B82" s="288"/>
      <c r="C82" s="198"/>
      <c r="D82" s="198"/>
      <c r="E82" s="198"/>
      <c r="F82" s="199"/>
      <c r="G82" s="199"/>
      <c r="H82" s="199"/>
    </row>
    <row r="83" spans="1:8" ht="15">
      <c r="A83" s="288"/>
      <c r="B83" s="288"/>
      <c r="C83" s="198"/>
      <c r="D83" s="198"/>
      <c r="E83" s="198"/>
      <c r="F83" s="199"/>
      <c r="G83" s="199"/>
      <c r="H83" s="199"/>
    </row>
    <row r="84" spans="1:8" ht="15">
      <c r="A84" s="288"/>
      <c r="B84" s="288"/>
      <c r="C84" s="198"/>
      <c r="D84" s="198"/>
      <c r="E84" s="198"/>
      <c r="F84" s="199"/>
      <c r="G84" s="199"/>
      <c r="H84" s="199"/>
    </row>
    <row r="85" spans="1:8" ht="15">
      <c r="A85" s="288"/>
      <c r="B85" s="288"/>
      <c r="C85" s="198"/>
      <c r="D85" s="198"/>
      <c r="E85" s="198"/>
      <c r="F85" s="199"/>
      <c r="G85" s="199"/>
      <c r="H85" s="199"/>
    </row>
    <row r="86" spans="1:8" ht="15">
      <c r="A86" s="288"/>
      <c r="B86" s="288"/>
      <c r="C86" s="198"/>
      <c r="D86" s="198"/>
      <c r="E86" s="198"/>
      <c r="F86" s="199"/>
      <c r="G86" s="199"/>
      <c r="H86" s="199"/>
    </row>
    <row r="87" spans="1:8" ht="15">
      <c r="A87" s="288"/>
      <c r="B87" s="288"/>
      <c r="C87" s="198"/>
      <c r="D87" s="198"/>
      <c r="E87" s="198"/>
      <c r="F87" s="199"/>
      <c r="G87" s="199"/>
      <c r="H87" s="199"/>
    </row>
    <row r="88" spans="1:8" ht="15">
      <c r="A88" s="288"/>
      <c r="B88" s="288"/>
      <c r="C88" s="198"/>
      <c r="D88" s="198"/>
      <c r="E88" s="198"/>
      <c r="F88" s="199"/>
      <c r="G88" s="199"/>
      <c r="H88" s="199"/>
    </row>
    <row r="89" spans="1:8" ht="15">
      <c r="A89" s="288"/>
      <c r="B89" s="288"/>
      <c r="C89" s="198"/>
      <c r="D89" s="198"/>
      <c r="E89" s="198"/>
      <c r="F89" s="199"/>
      <c r="G89" s="199"/>
      <c r="H89" s="199"/>
    </row>
    <row r="90" spans="1:8" ht="15">
      <c r="A90" s="288"/>
      <c r="B90" s="288"/>
      <c r="C90" s="198"/>
      <c r="D90" s="198"/>
      <c r="E90" s="198"/>
      <c r="F90" s="199"/>
      <c r="G90" s="199"/>
      <c r="H90" s="199"/>
    </row>
    <row r="91" spans="1:8" ht="15">
      <c r="A91" s="288"/>
      <c r="B91" s="288"/>
      <c r="C91" s="198"/>
      <c r="D91" s="198"/>
      <c r="E91" s="198"/>
      <c r="F91" s="199"/>
      <c r="G91" s="199"/>
      <c r="H91" s="199"/>
    </row>
    <row r="92" spans="1:8" ht="15">
      <c r="A92" s="288"/>
      <c r="B92" s="288"/>
      <c r="C92" s="198"/>
      <c r="D92" s="198"/>
      <c r="E92" s="198"/>
      <c r="F92" s="199"/>
      <c r="G92" s="199"/>
      <c r="H92" s="199"/>
    </row>
    <row r="93" spans="1:8" ht="15">
      <c r="A93" s="288"/>
      <c r="B93" s="288"/>
      <c r="C93" s="198"/>
      <c r="D93" s="198"/>
      <c r="E93" s="198"/>
      <c r="F93" s="199"/>
      <c r="G93" s="199"/>
      <c r="H93" s="199"/>
    </row>
    <row r="94" spans="1:8" ht="15">
      <c r="A94" s="288"/>
      <c r="B94" s="288"/>
      <c r="C94" s="198"/>
      <c r="D94" s="198"/>
      <c r="E94" s="198"/>
      <c r="F94" s="199"/>
      <c r="G94" s="199"/>
      <c r="H94" s="199"/>
    </row>
    <row r="95" spans="1:8" ht="15">
      <c r="A95" s="288"/>
      <c r="B95" s="288"/>
      <c r="C95" s="198"/>
      <c r="D95" s="198"/>
      <c r="E95" s="198"/>
      <c r="F95" s="199"/>
      <c r="G95" s="199"/>
      <c r="H95" s="199"/>
    </row>
    <row r="96" spans="1:8" ht="15">
      <c r="A96" s="288"/>
      <c r="B96" s="288"/>
      <c r="C96" s="198"/>
      <c r="D96" s="198"/>
      <c r="E96" s="198"/>
      <c r="F96" s="199"/>
      <c r="G96" s="199"/>
      <c r="H96" s="199"/>
    </row>
    <row r="97" spans="1:8" ht="15">
      <c r="A97" s="288"/>
      <c r="B97" s="288"/>
      <c r="C97" s="198"/>
      <c r="D97" s="198"/>
      <c r="E97" s="198"/>
      <c r="F97" s="199"/>
      <c r="G97" s="199"/>
      <c r="H97" s="199"/>
    </row>
    <row r="98" spans="1:8" ht="15">
      <c r="A98" s="288"/>
      <c r="B98" s="288"/>
      <c r="C98" s="198"/>
      <c r="D98" s="198"/>
      <c r="E98" s="198"/>
      <c r="F98" s="199"/>
      <c r="G98" s="199"/>
      <c r="H98" s="199"/>
    </row>
    <row r="99" spans="1:8" ht="15">
      <c r="A99" s="288"/>
      <c r="B99" s="288"/>
      <c r="C99" s="198"/>
      <c r="D99" s="198"/>
      <c r="E99" s="198"/>
      <c r="F99" s="199"/>
      <c r="G99" s="199"/>
      <c r="H99" s="199"/>
    </row>
    <row r="100" spans="1:8" ht="15">
      <c r="A100" s="288"/>
      <c r="B100" s="288"/>
      <c r="C100" s="198"/>
      <c r="D100" s="198"/>
      <c r="E100" s="198"/>
      <c r="F100" s="199"/>
      <c r="G100" s="199"/>
      <c r="H100" s="199"/>
    </row>
    <row r="101" spans="1:8" ht="15">
      <c r="A101" s="288"/>
      <c r="B101" s="288"/>
      <c r="C101" s="198"/>
      <c r="D101" s="198"/>
      <c r="E101" s="198"/>
      <c r="F101" s="199"/>
      <c r="G101" s="199"/>
      <c r="H101" s="199"/>
    </row>
    <row r="102" spans="1:8" ht="15">
      <c r="A102" s="288"/>
      <c r="B102" s="288"/>
      <c r="C102" s="198"/>
      <c r="D102" s="198"/>
      <c r="E102" s="198"/>
      <c r="F102" s="199"/>
      <c r="G102" s="199"/>
      <c r="H102" s="199"/>
    </row>
    <row r="103" spans="1:8" ht="15">
      <c r="A103" s="288"/>
      <c r="B103" s="288"/>
      <c r="C103" s="198"/>
      <c r="D103" s="198"/>
      <c r="E103" s="198"/>
      <c r="F103" s="199"/>
      <c r="G103" s="199"/>
      <c r="H103" s="199"/>
    </row>
    <row r="104" spans="1:8" ht="15">
      <c r="A104" s="288"/>
      <c r="B104" s="288"/>
      <c r="C104" s="198"/>
      <c r="D104" s="198"/>
      <c r="E104" s="198"/>
      <c r="F104" s="199"/>
      <c r="G104" s="199"/>
      <c r="H104" s="199"/>
    </row>
    <row r="105" spans="1:8" ht="15">
      <c r="A105" s="288"/>
      <c r="B105" s="288"/>
      <c r="C105" s="198"/>
      <c r="D105" s="198"/>
      <c r="E105" s="198"/>
      <c r="F105" s="199"/>
      <c r="G105" s="199"/>
      <c r="H105" s="199"/>
    </row>
    <row r="106" spans="1:8" ht="15">
      <c r="A106" s="288"/>
      <c r="B106" s="288"/>
      <c r="C106" s="198"/>
      <c r="D106" s="198"/>
      <c r="E106" s="198"/>
      <c r="F106" s="199"/>
      <c r="G106" s="199"/>
      <c r="H106" s="199"/>
    </row>
    <row r="107" spans="1:8" ht="15">
      <c r="A107" s="288"/>
      <c r="B107" s="288"/>
      <c r="C107" s="198"/>
      <c r="D107" s="198"/>
      <c r="E107" s="198"/>
      <c r="F107" s="199"/>
      <c r="G107" s="199"/>
      <c r="H107" s="199"/>
    </row>
    <row r="108" spans="1:8" ht="15">
      <c r="A108" s="288"/>
      <c r="B108" s="288"/>
      <c r="C108" s="198"/>
      <c r="D108" s="198"/>
      <c r="E108" s="198"/>
      <c r="F108" s="199"/>
      <c r="G108" s="199"/>
      <c r="H108" s="199"/>
    </row>
    <row r="109" spans="1:8" ht="15">
      <c r="A109" s="288"/>
      <c r="B109" s="288"/>
      <c r="C109" s="198"/>
      <c r="D109" s="198"/>
      <c r="E109" s="198"/>
      <c r="F109" s="199"/>
      <c r="G109" s="199"/>
      <c r="H109" s="199"/>
    </row>
    <row r="110" spans="1:8" ht="15">
      <c r="A110" s="288"/>
      <c r="B110" s="288"/>
      <c r="C110" s="198"/>
      <c r="D110" s="198"/>
      <c r="E110" s="198"/>
      <c r="F110" s="199"/>
      <c r="G110" s="199"/>
      <c r="H110" s="199"/>
    </row>
    <row r="111" spans="1:8" ht="15">
      <c r="A111" s="288"/>
      <c r="B111" s="288"/>
      <c r="C111" s="198"/>
      <c r="D111" s="198"/>
      <c r="E111" s="198"/>
      <c r="F111" s="199"/>
      <c r="G111" s="199"/>
      <c r="H111" s="199"/>
    </row>
    <row r="112" spans="1:8" ht="15">
      <c r="A112" s="288"/>
      <c r="B112" s="288"/>
      <c r="C112" s="198"/>
      <c r="D112" s="198"/>
      <c r="E112" s="198"/>
      <c r="F112" s="199"/>
      <c r="G112" s="199"/>
      <c r="H112" s="199"/>
    </row>
    <row r="113" spans="1:8" ht="15">
      <c r="A113" s="288"/>
      <c r="B113" s="288"/>
      <c r="C113" s="198"/>
      <c r="D113" s="198"/>
      <c r="E113" s="198"/>
      <c r="F113" s="199"/>
      <c r="G113" s="199"/>
      <c r="H113" s="199"/>
    </row>
    <row r="114" spans="1:8" ht="15">
      <c r="A114" s="288"/>
      <c r="B114" s="288"/>
      <c r="C114" s="198"/>
      <c r="D114" s="198"/>
      <c r="E114" s="198"/>
      <c r="F114" s="199"/>
      <c r="G114" s="199"/>
      <c r="H114" s="199"/>
    </row>
    <row r="115" spans="1:8" ht="15">
      <c r="A115" s="288"/>
      <c r="B115" s="288"/>
      <c r="C115" s="198"/>
      <c r="D115" s="198"/>
      <c r="E115" s="198"/>
      <c r="F115" s="199"/>
      <c r="G115" s="199"/>
      <c r="H115" s="199"/>
    </row>
    <row r="116" spans="1:8" ht="15">
      <c r="A116" s="288"/>
      <c r="B116" s="288"/>
      <c r="C116" s="198"/>
      <c r="D116" s="198"/>
      <c r="E116" s="198"/>
      <c r="F116" s="199"/>
      <c r="G116" s="199"/>
      <c r="H116" s="199"/>
    </row>
    <row r="117" spans="1:8" ht="15">
      <c r="A117" s="288"/>
      <c r="B117" s="288"/>
      <c r="C117" s="198"/>
      <c r="D117" s="198"/>
      <c r="E117" s="198"/>
      <c r="F117" s="199"/>
      <c r="G117" s="199"/>
      <c r="H117" s="199"/>
    </row>
    <row r="118" spans="1:8" ht="15">
      <c r="A118" s="288"/>
      <c r="B118" s="288"/>
      <c r="C118" s="198"/>
      <c r="D118" s="198"/>
      <c r="E118" s="198"/>
      <c r="F118" s="199"/>
      <c r="G118" s="199"/>
      <c r="H118" s="199"/>
    </row>
    <row r="119" spans="1:8" ht="15">
      <c r="A119" s="288"/>
      <c r="B119" s="288"/>
      <c r="C119" s="198"/>
      <c r="D119" s="198"/>
      <c r="E119" s="198"/>
      <c r="F119" s="199"/>
      <c r="G119" s="199"/>
      <c r="H119" s="199"/>
    </row>
    <row r="120" spans="1:8" ht="15">
      <c r="A120" s="288"/>
      <c r="B120" s="288"/>
      <c r="C120" s="198"/>
      <c r="D120" s="198"/>
      <c r="E120" s="198"/>
      <c r="F120" s="199"/>
      <c r="G120" s="199"/>
      <c r="H120" s="199"/>
    </row>
    <row r="121" spans="1:8" ht="15">
      <c r="A121" s="288"/>
      <c r="B121" s="288"/>
      <c r="C121" s="198"/>
      <c r="D121" s="198"/>
      <c r="E121" s="198"/>
      <c r="F121" s="199"/>
      <c r="G121" s="199"/>
      <c r="H121" s="199"/>
    </row>
    <row r="122" spans="1:8" ht="15">
      <c r="A122" s="288"/>
      <c r="B122" s="288"/>
      <c r="C122" s="198"/>
      <c r="D122" s="198"/>
      <c r="E122" s="198"/>
      <c r="F122" s="199"/>
      <c r="G122" s="199"/>
      <c r="H122" s="199"/>
    </row>
    <row r="123" spans="1:8" ht="15">
      <c r="A123" s="288"/>
      <c r="B123" s="288"/>
      <c r="C123" s="198"/>
      <c r="D123" s="198"/>
      <c r="E123" s="198"/>
      <c r="F123" s="199"/>
      <c r="G123" s="199"/>
      <c r="H123" s="199"/>
    </row>
    <row r="124" spans="1:8" ht="15">
      <c r="A124" s="288"/>
      <c r="B124" s="288"/>
      <c r="C124" s="198"/>
      <c r="D124" s="198"/>
      <c r="E124" s="198"/>
      <c r="F124" s="199"/>
      <c r="G124" s="199"/>
      <c r="H124" s="199"/>
    </row>
    <row r="125" spans="1:8" ht="15">
      <c r="A125" s="288"/>
      <c r="B125" s="288"/>
      <c r="C125" s="198"/>
      <c r="D125" s="198"/>
      <c r="E125" s="198"/>
      <c r="F125" s="199"/>
      <c r="G125" s="199"/>
      <c r="H125" s="199"/>
    </row>
    <row r="126" spans="1:8" ht="15">
      <c r="A126" s="288"/>
      <c r="B126" s="288"/>
      <c r="C126" s="198"/>
      <c r="D126" s="198"/>
      <c r="E126" s="198"/>
      <c r="F126" s="199"/>
      <c r="G126" s="199"/>
      <c r="H126" s="199"/>
    </row>
    <row r="127" spans="1:8" ht="15">
      <c r="A127" s="288"/>
      <c r="B127" s="288"/>
      <c r="C127" s="198"/>
      <c r="D127" s="198"/>
      <c r="E127" s="198"/>
      <c r="F127" s="199"/>
      <c r="G127" s="199"/>
      <c r="H127" s="199"/>
    </row>
    <row r="128" spans="1:8" ht="15">
      <c r="A128" s="288"/>
      <c r="B128" s="288"/>
      <c r="C128" s="198"/>
      <c r="D128" s="198"/>
      <c r="E128" s="198"/>
      <c r="F128" s="199"/>
      <c r="G128" s="199"/>
      <c r="H128" s="199"/>
    </row>
    <row r="129" spans="1:8" ht="15">
      <c r="A129" s="288"/>
      <c r="B129" s="288"/>
      <c r="C129" s="198"/>
      <c r="D129" s="198"/>
      <c r="E129" s="198"/>
      <c r="F129" s="199"/>
      <c r="G129" s="199"/>
      <c r="H129" s="199"/>
    </row>
    <row r="130" spans="1:8" ht="15">
      <c r="A130" s="288"/>
      <c r="B130" s="288"/>
      <c r="C130" s="198"/>
      <c r="D130" s="198"/>
      <c r="E130" s="198"/>
      <c r="F130" s="199"/>
      <c r="G130" s="199"/>
      <c r="H130" s="199"/>
    </row>
    <row r="131" spans="1:8" ht="15">
      <c r="A131" s="288"/>
      <c r="B131" s="288"/>
      <c r="C131" s="198"/>
      <c r="D131" s="198"/>
      <c r="E131" s="198"/>
      <c r="F131" s="199"/>
      <c r="G131" s="199"/>
      <c r="H131" s="199"/>
    </row>
    <row r="132" spans="1:8" ht="15">
      <c r="A132" s="288"/>
      <c r="B132" s="288"/>
      <c r="C132" s="198"/>
      <c r="D132" s="198"/>
      <c r="E132" s="198"/>
      <c r="F132" s="199"/>
      <c r="G132" s="199"/>
      <c r="H132" s="199"/>
    </row>
    <row r="133" spans="1:8" ht="15">
      <c r="A133" s="288"/>
      <c r="B133" s="288"/>
      <c r="C133" s="198"/>
      <c r="D133" s="198"/>
      <c r="E133" s="198"/>
      <c r="F133" s="199"/>
      <c r="G133" s="199"/>
      <c r="H133" s="199"/>
    </row>
    <row r="134" spans="1:8" ht="15">
      <c r="A134" s="288"/>
      <c r="B134" s="288"/>
      <c r="C134" s="198"/>
      <c r="D134" s="198"/>
      <c r="E134" s="198"/>
      <c r="F134" s="199"/>
      <c r="G134" s="199"/>
      <c r="H134" s="199"/>
    </row>
    <row r="135" spans="1:8" ht="15">
      <c r="A135" s="288"/>
      <c r="B135" s="288"/>
      <c r="C135" s="198"/>
      <c r="D135" s="198"/>
      <c r="E135" s="198"/>
      <c r="F135" s="199"/>
      <c r="G135" s="199"/>
      <c r="H135" s="199"/>
    </row>
    <row r="136" spans="1:8" ht="15">
      <c r="A136" s="288"/>
      <c r="B136" s="288"/>
      <c r="C136" s="198"/>
      <c r="D136" s="198"/>
      <c r="E136" s="198"/>
      <c r="F136" s="199"/>
      <c r="G136" s="199"/>
      <c r="H136" s="199"/>
    </row>
    <row r="137" spans="1:8" ht="15">
      <c r="A137" s="288"/>
      <c r="B137" s="288"/>
      <c r="C137" s="198"/>
      <c r="D137" s="198"/>
      <c r="E137" s="198"/>
      <c r="F137" s="199"/>
      <c r="G137" s="199"/>
      <c r="H137" s="199"/>
    </row>
    <row r="138" spans="1:8" ht="15">
      <c r="A138" s="288"/>
      <c r="B138" s="288"/>
      <c r="C138" s="198"/>
      <c r="D138" s="198"/>
      <c r="E138" s="198"/>
      <c r="F138" s="199"/>
      <c r="G138" s="199"/>
      <c r="H138" s="199"/>
    </row>
    <row r="139" spans="1:8" ht="15">
      <c r="A139" s="288"/>
      <c r="B139" s="288"/>
      <c r="C139" s="198"/>
      <c r="D139" s="198"/>
      <c r="E139" s="198"/>
      <c r="F139" s="199"/>
      <c r="G139" s="199"/>
      <c r="H139" s="199"/>
    </row>
    <row r="140" spans="1:8" ht="15">
      <c r="A140" s="288"/>
      <c r="B140" s="288"/>
      <c r="C140" s="198"/>
      <c r="D140" s="198"/>
      <c r="E140" s="198"/>
      <c r="F140" s="199"/>
      <c r="G140" s="199"/>
      <c r="H140" s="199"/>
    </row>
    <row r="141" spans="1:8" ht="15">
      <c r="A141" s="288"/>
      <c r="B141" s="288"/>
      <c r="C141" s="198"/>
      <c r="D141" s="198"/>
      <c r="E141" s="198"/>
      <c r="F141" s="199"/>
      <c r="G141" s="199"/>
      <c r="H141" s="199"/>
    </row>
    <row r="142" spans="1:8" ht="15">
      <c r="A142" s="288"/>
      <c r="B142" s="288"/>
      <c r="C142" s="198"/>
      <c r="D142" s="198"/>
      <c r="E142" s="198"/>
      <c r="F142" s="199"/>
      <c r="G142" s="199"/>
      <c r="H142" s="199"/>
    </row>
    <row r="143" spans="1:8" ht="15">
      <c r="A143" s="288"/>
      <c r="B143" s="288"/>
      <c r="C143" s="198"/>
      <c r="D143" s="198"/>
      <c r="E143" s="198"/>
      <c r="F143" s="199"/>
      <c r="G143" s="199"/>
      <c r="H143" s="199"/>
    </row>
    <row r="144" spans="1:8" ht="15">
      <c r="A144" s="288"/>
      <c r="B144" s="288"/>
      <c r="C144" s="198"/>
      <c r="D144" s="198"/>
      <c r="E144" s="198"/>
      <c r="F144" s="199"/>
      <c r="G144" s="199"/>
      <c r="H144" s="199"/>
    </row>
    <row r="145" spans="1:8" ht="15">
      <c r="A145" s="288"/>
      <c r="B145" s="288"/>
      <c r="C145" s="198"/>
      <c r="D145" s="198"/>
      <c r="E145" s="198"/>
      <c r="F145" s="199"/>
      <c r="G145" s="199"/>
      <c r="H145" s="199"/>
    </row>
    <row r="146" spans="1:8" ht="15">
      <c r="A146" s="288"/>
      <c r="B146" s="288"/>
      <c r="C146" s="198"/>
      <c r="D146" s="198"/>
      <c r="E146" s="198"/>
      <c r="F146" s="199"/>
      <c r="G146" s="199"/>
      <c r="H146" s="199"/>
    </row>
    <row r="147" spans="1:8" ht="15">
      <c r="A147" s="288"/>
      <c r="B147" s="288"/>
      <c r="C147" s="198"/>
      <c r="D147" s="198"/>
      <c r="E147" s="198"/>
      <c r="F147" s="199"/>
      <c r="G147" s="199"/>
      <c r="H147" s="199"/>
    </row>
    <row r="148" spans="1:8" ht="15">
      <c r="A148" s="288"/>
      <c r="B148" s="288"/>
      <c r="C148" s="198"/>
      <c r="D148" s="198"/>
      <c r="E148" s="198"/>
      <c r="F148" s="199"/>
      <c r="G148" s="199"/>
      <c r="H148" s="199"/>
    </row>
    <row r="149" spans="1:8" ht="15">
      <c r="A149" s="288"/>
      <c r="B149" s="288"/>
      <c r="C149" s="198"/>
      <c r="D149" s="198"/>
      <c r="E149" s="198"/>
      <c r="F149" s="199"/>
      <c r="G149" s="199"/>
      <c r="H149" s="199"/>
    </row>
    <row r="150" spans="1:8" ht="15">
      <c r="A150" s="288"/>
      <c r="B150" s="288"/>
      <c r="C150" s="198"/>
      <c r="D150" s="198"/>
      <c r="E150" s="198"/>
      <c r="F150" s="199"/>
      <c r="G150" s="199"/>
      <c r="H150" s="199"/>
    </row>
    <row r="151" spans="1:8" ht="15">
      <c r="A151" s="288"/>
      <c r="B151" s="288"/>
      <c r="C151" s="198"/>
      <c r="D151" s="198"/>
      <c r="E151" s="198"/>
      <c r="F151" s="199"/>
      <c r="G151" s="199"/>
      <c r="H151" s="199"/>
    </row>
    <row r="152" spans="1:8" ht="15">
      <c r="A152" s="288"/>
      <c r="B152" s="288"/>
      <c r="C152" s="198"/>
      <c r="D152" s="198"/>
      <c r="E152" s="198"/>
      <c r="F152" s="199"/>
      <c r="G152" s="199"/>
      <c r="H152" s="199"/>
    </row>
    <row r="153" spans="1:8" ht="15">
      <c r="A153" s="288"/>
      <c r="B153" s="288"/>
      <c r="C153" s="198"/>
      <c r="D153" s="198"/>
      <c r="E153" s="198"/>
      <c r="F153" s="199"/>
      <c r="G153" s="199"/>
      <c r="H153" s="199"/>
    </row>
    <row r="154" spans="1:8" ht="15">
      <c r="A154" s="288"/>
      <c r="B154" s="288"/>
      <c r="C154" s="198"/>
      <c r="D154" s="198"/>
      <c r="E154" s="198"/>
      <c r="F154" s="199"/>
      <c r="G154" s="199"/>
      <c r="H154" s="199"/>
    </row>
    <row r="155" spans="1:8" ht="15">
      <c r="A155" s="288"/>
      <c r="B155" s="288"/>
      <c r="C155" s="198"/>
      <c r="D155" s="198"/>
      <c r="E155" s="198"/>
      <c r="F155" s="199"/>
      <c r="G155" s="199"/>
      <c r="H155" s="199"/>
    </row>
    <row r="156" spans="1:8" ht="15">
      <c r="A156" s="288"/>
      <c r="B156" s="288"/>
      <c r="C156" s="198"/>
      <c r="D156" s="198"/>
      <c r="E156" s="198"/>
      <c r="F156" s="199"/>
      <c r="G156" s="199"/>
      <c r="H156" s="199"/>
    </row>
    <row r="157" spans="1:8" ht="15">
      <c r="A157" s="288"/>
      <c r="B157" s="288"/>
      <c r="C157" s="198"/>
      <c r="D157" s="198"/>
      <c r="E157" s="198"/>
      <c r="F157" s="199"/>
      <c r="G157" s="199"/>
      <c r="H157" s="199"/>
    </row>
    <row r="158" spans="1:8" ht="15">
      <c r="A158" s="288"/>
      <c r="B158" s="288"/>
      <c r="C158" s="198"/>
      <c r="D158" s="198"/>
      <c r="E158" s="198"/>
      <c r="F158" s="199"/>
      <c r="G158" s="199"/>
      <c r="H158" s="199"/>
    </row>
    <row r="159" spans="1:8" ht="15">
      <c r="A159" s="288"/>
      <c r="B159" s="288"/>
      <c r="C159" s="198"/>
      <c r="D159" s="198"/>
      <c r="E159" s="198"/>
      <c r="F159" s="199"/>
      <c r="G159" s="199"/>
      <c r="H159" s="199"/>
    </row>
    <row r="160" spans="1:8" ht="15">
      <c r="A160" s="288"/>
      <c r="B160" s="288"/>
      <c r="C160" s="198"/>
      <c r="D160" s="198"/>
      <c r="E160" s="198"/>
      <c r="F160" s="199"/>
      <c r="G160" s="199"/>
      <c r="H160" s="199"/>
    </row>
    <row r="161" spans="1:8" ht="15">
      <c r="A161" s="288"/>
      <c r="B161" s="288"/>
      <c r="C161" s="198"/>
      <c r="D161" s="198"/>
      <c r="E161" s="198"/>
      <c r="F161" s="199"/>
      <c r="G161" s="199"/>
      <c r="H161" s="199"/>
    </row>
    <row r="162" spans="1:8" ht="15">
      <c r="A162" s="288"/>
      <c r="B162" s="288"/>
      <c r="C162" s="198"/>
      <c r="D162" s="198"/>
      <c r="E162" s="198"/>
      <c r="F162" s="199"/>
      <c r="G162" s="199"/>
      <c r="H162" s="199"/>
    </row>
    <row r="163" spans="1:8" ht="15">
      <c r="A163" s="288"/>
      <c r="B163" s="288"/>
      <c r="C163" s="198"/>
      <c r="D163" s="198"/>
      <c r="E163" s="198"/>
      <c r="F163" s="199"/>
      <c r="G163" s="199"/>
      <c r="H163" s="199"/>
    </row>
    <row r="164" spans="1:8" ht="15">
      <c r="A164" s="288"/>
      <c r="B164" s="288"/>
      <c r="C164" s="198"/>
      <c r="D164" s="198"/>
      <c r="E164" s="198"/>
      <c r="F164" s="199"/>
      <c r="G164" s="199"/>
      <c r="H164" s="199"/>
    </row>
    <row r="165" spans="1:8" ht="15">
      <c r="A165" s="288"/>
      <c r="B165" s="288"/>
      <c r="C165" s="198"/>
      <c r="D165" s="198"/>
      <c r="E165" s="198"/>
      <c r="F165" s="199"/>
      <c r="G165" s="199"/>
      <c r="H165" s="199"/>
    </row>
    <row r="166" spans="1:8" ht="15">
      <c r="A166" s="288"/>
      <c r="B166" s="288"/>
      <c r="C166" s="198"/>
      <c r="D166" s="198"/>
      <c r="E166" s="198"/>
      <c r="F166" s="199"/>
      <c r="G166" s="199"/>
      <c r="H166" s="199"/>
    </row>
    <row r="167" spans="1:8" ht="15">
      <c r="A167" s="288"/>
      <c r="B167" s="288"/>
      <c r="C167" s="198"/>
      <c r="D167" s="198"/>
      <c r="E167" s="198"/>
      <c r="F167" s="199"/>
      <c r="G167" s="199"/>
      <c r="H167" s="199"/>
    </row>
    <row r="168" spans="1:8" ht="15">
      <c r="A168" s="288"/>
      <c r="B168" s="288"/>
      <c r="C168" s="198"/>
      <c r="D168" s="198"/>
      <c r="E168" s="198"/>
      <c r="F168" s="199"/>
      <c r="G168" s="199"/>
      <c r="H168" s="199"/>
    </row>
    <row r="169" spans="1:8" ht="15">
      <c r="A169" s="288"/>
      <c r="B169" s="288"/>
      <c r="C169" s="198"/>
      <c r="D169" s="198"/>
      <c r="E169" s="198"/>
      <c r="F169" s="199"/>
      <c r="G169" s="199"/>
      <c r="H169" s="199"/>
    </row>
    <row r="170" spans="1:8" ht="15">
      <c r="A170" s="288"/>
      <c r="B170" s="288"/>
      <c r="C170" s="198"/>
      <c r="D170" s="198"/>
      <c r="E170" s="198"/>
      <c r="F170" s="199"/>
      <c r="G170" s="199"/>
      <c r="H170" s="199"/>
    </row>
    <row r="171" spans="1:8" ht="15">
      <c r="A171" s="288"/>
      <c r="B171" s="288"/>
      <c r="C171" s="198"/>
      <c r="D171" s="198"/>
      <c r="E171" s="198"/>
      <c r="F171" s="199"/>
      <c r="G171" s="199"/>
      <c r="H171" s="199"/>
    </row>
    <row r="172" spans="1:8" ht="15">
      <c r="A172" s="288"/>
      <c r="B172" s="288"/>
      <c r="C172" s="198"/>
      <c r="D172" s="198"/>
      <c r="E172" s="198"/>
      <c r="F172" s="199"/>
      <c r="G172" s="199"/>
      <c r="H172" s="199"/>
    </row>
    <row r="173" spans="1:8" ht="15">
      <c r="A173" s="288"/>
      <c r="B173" s="288"/>
      <c r="C173" s="198"/>
      <c r="D173" s="198"/>
      <c r="E173" s="198"/>
      <c r="F173" s="199"/>
      <c r="G173" s="199"/>
      <c r="H173" s="199"/>
    </row>
    <row r="174" spans="1:8" ht="15">
      <c r="A174" s="288"/>
      <c r="B174" s="288"/>
      <c r="C174" s="198"/>
      <c r="D174" s="198"/>
      <c r="E174" s="198"/>
      <c r="F174" s="199"/>
      <c r="G174" s="199"/>
      <c r="H174" s="199"/>
    </row>
    <row r="175" spans="1:8" ht="15">
      <c r="A175" s="288"/>
      <c r="B175" s="288"/>
      <c r="C175" s="198"/>
      <c r="D175" s="198"/>
      <c r="E175" s="198"/>
      <c r="F175" s="199"/>
      <c r="G175" s="199"/>
      <c r="H175" s="199"/>
    </row>
    <row r="176" spans="1:8" ht="15">
      <c r="A176" s="288"/>
      <c r="B176" s="288"/>
      <c r="C176" s="198"/>
      <c r="D176" s="198"/>
      <c r="E176" s="198"/>
      <c r="F176" s="199"/>
      <c r="G176" s="199"/>
      <c r="H176" s="199"/>
    </row>
    <row r="177" spans="1:8" ht="15">
      <c r="A177" s="288"/>
      <c r="B177" s="288"/>
      <c r="C177" s="198"/>
      <c r="D177" s="198"/>
      <c r="E177" s="198"/>
      <c r="F177" s="199"/>
      <c r="G177" s="199"/>
      <c r="H177" s="199"/>
    </row>
    <row r="178" spans="1:8" ht="15">
      <c r="A178" s="288"/>
      <c r="B178" s="288"/>
      <c r="C178" s="198"/>
      <c r="D178" s="198"/>
      <c r="E178" s="198"/>
      <c r="F178" s="199"/>
      <c r="G178" s="199"/>
      <c r="H178" s="199"/>
    </row>
    <row r="179" spans="1:8" ht="15">
      <c r="A179" s="288"/>
      <c r="B179" s="288"/>
      <c r="C179" s="198"/>
      <c r="D179" s="198"/>
      <c r="E179" s="198"/>
      <c r="F179" s="199"/>
      <c r="G179" s="199"/>
      <c r="H179" s="199"/>
    </row>
    <row r="180" spans="1:8" ht="15">
      <c r="A180" s="288"/>
      <c r="B180" s="288"/>
      <c r="C180" s="198"/>
      <c r="D180" s="198"/>
      <c r="E180" s="198"/>
      <c r="F180" s="199"/>
      <c r="G180" s="199"/>
      <c r="H180" s="199"/>
    </row>
    <row r="181" spans="1:8" ht="15">
      <c r="A181" s="288"/>
      <c r="B181" s="288"/>
      <c r="C181" s="198"/>
      <c r="D181" s="198"/>
      <c r="E181" s="198"/>
      <c r="F181" s="199"/>
      <c r="G181" s="199"/>
      <c r="H181" s="199"/>
    </row>
    <row r="182" spans="1:8" ht="15">
      <c r="A182" s="288"/>
      <c r="B182" s="288"/>
      <c r="C182" s="198"/>
      <c r="D182" s="198"/>
      <c r="E182" s="198"/>
      <c r="F182" s="199"/>
      <c r="G182" s="199"/>
      <c r="H182" s="199"/>
    </row>
    <row r="183" spans="1:8" ht="15">
      <c r="A183" s="288"/>
      <c r="B183" s="288"/>
      <c r="C183" s="198"/>
      <c r="D183" s="198"/>
      <c r="E183" s="198"/>
      <c r="F183" s="199"/>
      <c r="G183" s="199"/>
      <c r="H183" s="199"/>
    </row>
    <row r="184" spans="1:8" ht="15">
      <c r="A184" s="288"/>
      <c r="B184" s="288"/>
      <c r="C184" s="198"/>
      <c r="D184" s="198"/>
      <c r="E184" s="198"/>
      <c r="F184" s="199"/>
      <c r="G184" s="199"/>
      <c r="H184" s="199"/>
    </row>
    <row r="185" spans="1:8" ht="15">
      <c r="A185" s="288"/>
      <c r="B185" s="288"/>
      <c r="C185" s="198"/>
      <c r="D185" s="198"/>
      <c r="E185" s="198"/>
      <c r="F185" s="199"/>
      <c r="G185" s="199"/>
      <c r="H185" s="199"/>
    </row>
    <row r="186" spans="1:8" ht="15">
      <c r="A186" s="288"/>
      <c r="B186" s="288"/>
      <c r="C186" s="198"/>
      <c r="D186" s="198"/>
      <c r="E186" s="198"/>
      <c r="F186" s="199"/>
      <c r="G186" s="199"/>
      <c r="H186" s="199"/>
    </row>
    <row r="187" spans="1:8" ht="15">
      <c r="A187" s="288"/>
      <c r="B187" s="288"/>
      <c r="C187" s="198"/>
      <c r="D187" s="198"/>
      <c r="E187" s="198"/>
      <c r="F187" s="199"/>
      <c r="G187" s="199"/>
      <c r="H187" s="199"/>
    </row>
    <row r="188" spans="1:8" ht="15">
      <c r="A188" s="288"/>
      <c r="B188" s="288"/>
      <c r="C188" s="198"/>
      <c r="D188" s="198"/>
      <c r="E188" s="198"/>
      <c r="F188" s="199"/>
      <c r="G188" s="199"/>
      <c r="H188" s="199"/>
    </row>
    <row r="189" spans="1:8" ht="15">
      <c r="A189" s="288"/>
      <c r="B189" s="288"/>
      <c r="C189" s="198"/>
      <c r="D189" s="198"/>
      <c r="E189" s="198"/>
      <c r="F189" s="199"/>
      <c r="G189" s="199"/>
      <c r="H189" s="199"/>
    </row>
    <row r="190" spans="1:8" ht="15">
      <c r="A190" s="288"/>
      <c r="B190" s="288"/>
      <c r="C190" s="198"/>
      <c r="D190" s="198"/>
      <c r="E190" s="198"/>
      <c r="F190" s="199"/>
      <c r="G190" s="199"/>
      <c r="H190" s="199"/>
    </row>
    <row r="191" spans="1:8" ht="15">
      <c r="A191" s="288"/>
      <c r="B191" s="288"/>
      <c r="C191" s="198"/>
      <c r="D191" s="198"/>
      <c r="E191" s="198"/>
      <c r="F191" s="199"/>
      <c r="G191" s="199"/>
      <c r="H191" s="199"/>
    </row>
    <row r="192" spans="1:8" ht="15">
      <c r="A192" s="288"/>
      <c r="B192" s="288"/>
      <c r="C192" s="198"/>
      <c r="D192" s="198"/>
      <c r="E192" s="198"/>
      <c r="F192" s="199"/>
      <c r="G192" s="199"/>
      <c r="H192" s="199"/>
    </row>
    <row r="193" spans="1:8" ht="15">
      <c r="A193" s="288"/>
      <c r="B193" s="288"/>
      <c r="C193" s="198"/>
      <c r="D193" s="198"/>
      <c r="E193" s="198"/>
      <c r="F193" s="199"/>
      <c r="G193" s="199"/>
      <c r="H193" s="199"/>
    </row>
    <row r="194" spans="1:8" ht="15">
      <c r="A194" s="288"/>
      <c r="B194" s="288"/>
      <c r="C194" s="198"/>
      <c r="D194" s="198"/>
      <c r="E194" s="198"/>
      <c r="F194" s="199"/>
      <c r="G194" s="199"/>
      <c r="H194" s="199"/>
    </row>
    <row r="195" spans="1:8" ht="15">
      <c r="A195" s="288"/>
      <c r="B195" s="288"/>
      <c r="C195" s="198"/>
      <c r="D195" s="198"/>
      <c r="E195" s="198"/>
      <c r="F195" s="199"/>
      <c r="G195" s="199"/>
      <c r="H195" s="199"/>
    </row>
    <row r="196" spans="1:8" ht="15">
      <c r="A196" s="288"/>
      <c r="B196" s="288"/>
      <c r="C196" s="198"/>
      <c r="D196" s="198"/>
      <c r="E196" s="198"/>
      <c r="F196" s="199"/>
      <c r="G196" s="199"/>
      <c r="H196" s="199"/>
    </row>
    <row r="197" spans="1:8" ht="15">
      <c r="A197" s="288"/>
      <c r="B197" s="288"/>
      <c r="C197" s="198"/>
      <c r="D197" s="198"/>
      <c r="E197" s="198"/>
      <c r="F197" s="199"/>
      <c r="G197" s="199"/>
      <c r="H197" s="199"/>
    </row>
    <row r="198" spans="1:8" ht="15">
      <c r="A198" s="288"/>
      <c r="B198" s="288"/>
      <c r="C198" s="198"/>
      <c r="D198" s="198"/>
      <c r="E198" s="198"/>
      <c r="F198" s="199"/>
      <c r="G198" s="199"/>
      <c r="H198" s="199"/>
    </row>
    <row r="199" spans="1:8" ht="15">
      <c r="A199" s="288"/>
      <c r="B199" s="288"/>
      <c r="C199" s="198"/>
      <c r="D199" s="198"/>
      <c r="E199" s="198"/>
      <c r="F199" s="199"/>
      <c r="G199" s="199"/>
      <c r="H199" s="199"/>
    </row>
    <row r="200" spans="1:8" ht="15">
      <c r="A200" s="288"/>
      <c r="B200" s="288"/>
      <c r="C200" s="198"/>
      <c r="D200" s="198"/>
      <c r="E200" s="198"/>
      <c r="F200" s="199"/>
      <c r="G200" s="199"/>
      <c r="H200" s="199"/>
    </row>
    <row r="201" spans="1:8" ht="15">
      <c r="A201" s="288"/>
      <c r="B201" s="288"/>
      <c r="C201" s="198"/>
      <c r="D201" s="198"/>
      <c r="E201" s="198"/>
      <c r="F201" s="199"/>
      <c r="G201" s="199"/>
      <c r="H201" s="199"/>
    </row>
    <row r="202" spans="1:8" ht="15">
      <c r="A202" s="288"/>
      <c r="B202" s="288"/>
      <c r="C202" s="198"/>
      <c r="D202" s="198"/>
      <c r="E202" s="198"/>
      <c r="F202" s="199"/>
      <c r="G202" s="199"/>
      <c r="H202" s="199"/>
    </row>
    <row r="203" spans="1:8" ht="15">
      <c r="A203" s="288"/>
      <c r="B203" s="288"/>
      <c r="C203" s="198"/>
      <c r="D203" s="198"/>
      <c r="E203" s="198"/>
      <c r="F203" s="199"/>
      <c r="G203" s="199"/>
      <c r="H203" s="199"/>
    </row>
    <row r="204" spans="1:8" ht="15">
      <c r="A204" s="288"/>
      <c r="B204" s="288"/>
      <c r="C204" s="198"/>
      <c r="D204" s="198"/>
      <c r="E204" s="198"/>
      <c r="F204" s="199"/>
      <c r="G204" s="199"/>
      <c r="H204" s="199"/>
    </row>
    <row r="205" spans="1:8" ht="15">
      <c r="A205" s="288"/>
      <c r="B205" s="288"/>
      <c r="C205" s="198"/>
      <c r="D205" s="198"/>
      <c r="E205" s="198"/>
      <c r="F205" s="199"/>
      <c r="G205" s="199"/>
      <c r="H205" s="199"/>
    </row>
    <row r="206" spans="1:8" ht="15">
      <c r="A206" s="288"/>
      <c r="B206" s="288"/>
      <c r="C206" s="198"/>
      <c r="D206" s="198"/>
      <c r="E206" s="198"/>
      <c r="F206" s="199"/>
      <c r="G206" s="199"/>
      <c r="H206" s="199"/>
    </row>
    <row r="207" spans="1:8" ht="15">
      <c r="A207" s="288"/>
      <c r="B207" s="288"/>
      <c r="C207" s="198"/>
      <c r="D207" s="198"/>
      <c r="E207" s="198"/>
      <c r="F207" s="199"/>
      <c r="G207" s="199"/>
      <c r="H207" s="199"/>
    </row>
    <row r="208" spans="1:8" ht="15">
      <c r="A208" s="288"/>
      <c r="B208" s="288"/>
      <c r="C208" s="198"/>
      <c r="D208" s="198"/>
      <c r="E208" s="198"/>
      <c r="F208" s="199"/>
      <c r="G208" s="199"/>
      <c r="H208" s="199"/>
    </row>
    <row r="209" spans="1:8" ht="15">
      <c r="A209" s="288"/>
      <c r="B209" s="288"/>
      <c r="C209" s="198"/>
      <c r="D209" s="198"/>
      <c r="E209" s="198"/>
      <c r="F209" s="199"/>
      <c r="G209" s="199"/>
      <c r="H209" s="199"/>
    </row>
    <row r="210" spans="1:8" ht="15">
      <c r="A210" s="288"/>
      <c r="B210" s="288"/>
      <c r="C210" s="198"/>
      <c r="D210" s="198"/>
      <c r="E210" s="198"/>
      <c r="F210" s="199"/>
      <c r="G210" s="199"/>
      <c r="H210" s="199"/>
    </row>
    <row r="211" spans="1:8" ht="15">
      <c r="A211" s="288"/>
      <c r="B211" s="288"/>
      <c r="C211" s="198"/>
      <c r="D211" s="198"/>
      <c r="E211" s="198"/>
      <c r="F211" s="199"/>
      <c r="G211" s="199"/>
      <c r="H211" s="199"/>
    </row>
    <row r="212" spans="1:8" ht="15">
      <c r="A212" s="288"/>
      <c r="B212" s="288"/>
      <c r="C212" s="198"/>
      <c r="D212" s="198"/>
      <c r="E212" s="198"/>
      <c r="F212" s="199"/>
      <c r="G212" s="199"/>
      <c r="H212" s="199"/>
    </row>
    <row r="213" spans="1:8" ht="15">
      <c r="A213" s="288"/>
      <c r="B213" s="288"/>
      <c r="C213" s="198"/>
      <c r="D213" s="198"/>
      <c r="E213" s="198"/>
      <c r="F213" s="199"/>
      <c r="G213" s="199"/>
      <c r="H213" s="199"/>
    </row>
    <row r="214" spans="1:8" ht="15">
      <c r="A214" s="288"/>
      <c r="B214" s="288"/>
      <c r="C214" s="198"/>
      <c r="D214" s="198"/>
      <c r="E214" s="198"/>
      <c r="F214" s="199"/>
      <c r="G214" s="199"/>
      <c r="H214" s="199"/>
    </row>
    <row r="215" spans="1:8" ht="15">
      <c r="A215" s="288"/>
      <c r="B215" s="288"/>
      <c r="C215" s="198"/>
      <c r="D215" s="198"/>
      <c r="E215" s="198"/>
      <c r="F215" s="199"/>
      <c r="G215" s="199"/>
      <c r="H215" s="199"/>
    </row>
    <row r="216" spans="1:8" ht="15">
      <c r="A216" s="288"/>
      <c r="B216" s="288"/>
      <c r="C216" s="198"/>
      <c r="D216" s="198"/>
      <c r="E216" s="198"/>
      <c r="F216" s="199"/>
      <c r="G216" s="199"/>
      <c r="H216" s="199"/>
    </row>
    <row r="217" spans="1:8" ht="15">
      <c r="A217" s="288"/>
      <c r="B217" s="288"/>
      <c r="C217" s="198"/>
      <c r="D217" s="198"/>
      <c r="E217" s="198"/>
      <c r="F217" s="199"/>
      <c r="G217" s="199"/>
      <c r="H217" s="199"/>
    </row>
    <row r="218" spans="1:8" ht="15">
      <c r="A218" s="288"/>
      <c r="B218" s="288"/>
      <c r="C218" s="198"/>
      <c r="D218" s="198"/>
      <c r="E218" s="198"/>
      <c r="F218" s="199"/>
      <c r="G218" s="199"/>
      <c r="H218" s="199"/>
    </row>
    <row r="219" spans="1:8" ht="15">
      <c r="A219" s="288"/>
      <c r="B219" s="288"/>
      <c r="C219" s="198"/>
      <c r="D219" s="198"/>
      <c r="E219" s="198"/>
      <c r="F219" s="199"/>
      <c r="G219" s="199"/>
      <c r="H219" s="199"/>
    </row>
    <row r="220" spans="1:8" ht="15">
      <c r="A220" s="288"/>
      <c r="B220" s="288"/>
      <c r="C220" s="198"/>
      <c r="D220" s="198"/>
      <c r="E220" s="198"/>
      <c r="F220" s="199"/>
      <c r="G220" s="199"/>
      <c r="H220" s="199"/>
    </row>
    <row r="221" spans="1:8" ht="15">
      <c r="A221" s="288"/>
      <c r="B221" s="288"/>
      <c r="C221" s="198"/>
      <c r="D221" s="198"/>
      <c r="E221" s="198"/>
      <c r="F221" s="199"/>
      <c r="G221" s="199"/>
      <c r="H221" s="199"/>
    </row>
    <row r="222" spans="1:8" ht="15">
      <c r="A222" s="288"/>
      <c r="B222" s="288"/>
      <c r="C222" s="198"/>
      <c r="D222" s="198"/>
      <c r="E222" s="198"/>
      <c r="F222" s="199"/>
      <c r="G222" s="199"/>
      <c r="H222" s="199"/>
    </row>
    <row r="223" spans="1:8" ht="15">
      <c r="A223" s="288"/>
      <c r="B223" s="288"/>
      <c r="C223" s="198"/>
      <c r="D223" s="198"/>
      <c r="E223" s="198"/>
      <c r="F223" s="199"/>
      <c r="G223" s="199"/>
      <c r="H223" s="199"/>
    </row>
    <row r="224" spans="1:8" ht="15">
      <c r="A224" s="288"/>
      <c r="B224" s="288"/>
      <c r="C224" s="198"/>
      <c r="D224" s="198"/>
      <c r="E224" s="198"/>
      <c r="F224" s="199"/>
      <c r="G224" s="199"/>
      <c r="H224" s="199"/>
    </row>
    <row r="225" spans="1:8" ht="15">
      <c r="A225" s="288"/>
      <c r="B225" s="288"/>
      <c r="C225" s="198"/>
      <c r="D225" s="198"/>
      <c r="E225" s="198"/>
      <c r="F225" s="199"/>
      <c r="G225" s="199"/>
      <c r="H225" s="199"/>
    </row>
    <row r="226" spans="1:8" ht="15">
      <c r="A226" s="288"/>
      <c r="B226" s="288"/>
      <c r="C226" s="198"/>
      <c r="D226" s="198"/>
      <c r="E226" s="198"/>
      <c r="F226" s="199"/>
      <c r="G226" s="199"/>
      <c r="H226" s="199"/>
    </row>
    <row r="227" spans="1:8" ht="15">
      <c r="A227" s="288"/>
      <c r="B227" s="288"/>
      <c r="C227" s="198"/>
      <c r="D227" s="198"/>
      <c r="E227" s="198"/>
      <c r="F227" s="199"/>
      <c r="G227" s="199"/>
      <c r="H227" s="199"/>
    </row>
    <row r="228" spans="1:8" ht="15">
      <c r="A228" s="288"/>
      <c r="B228" s="288"/>
      <c r="C228" s="198"/>
      <c r="D228" s="198"/>
      <c r="E228" s="198"/>
      <c r="F228" s="199"/>
      <c r="G228" s="199"/>
      <c r="H228" s="199"/>
    </row>
    <row r="229" spans="1:8" ht="15">
      <c r="A229" s="288"/>
      <c r="B229" s="288"/>
      <c r="C229" s="198"/>
      <c r="D229" s="198"/>
      <c r="E229" s="198"/>
      <c r="F229" s="199"/>
      <c r="G229" s="199"/>
      <c r="H229" s="199"/>
    </row>
    <row r="230" spans="1:8" ht="15">
      <c r="A230" s="288"/>
      <c r="B230" s="288"/>
      <c r="C230" s="198"/>
      <c r="D230" s="198"/>
      <c r="E230" s="198"/>
      <c r="F230" s="199"/>
      <c r="G230" s="199"/>
      <c r="H230" s="199"/>
    </row>
    <row r="231" spans="1:8" ht="15">
      <c r="A231" s="288"/>
      <c r="B231" s="288"/>
      <c r="C231" s="198"/>
      <c r="D231" s="198"/>
      <c r="E231" s="198"/>
      <c r="F231" s="199"/>
      <c r="G231" s="199"/>
      <c r="H231" s="199"/>
    </row>
    <row r="232" spans="1:8" ht="15">
      <c r="A232" s="288"/>
      <c r="B232" s="288"/>
      <c r="C232" s="198"/>
      <c r="D232" s="198"/>
      <c r="E232" s="198"/>
      <c r="F232" s="199"/>
      <c r="G232" s="199"/>
      <c r="H232" s="199"/>
    </row>
    <row r="233" spans="1:8" ht="15">
      <c r="A233" s="288"/>
      <c r="B233" s="288"/>
      <c r="C233" s="198"/>
      <c r="D233" s="198"/>
      <c r="E233" s="198"/>
      <c r="F233" s="199"/>
      <c r="G233" s="199"/>
      <c r="H233" s="199"/>
    </row>
    <row r="234" spans="1:8" ht="15">
      <c r="A234" s="288"/>
      <c r="B234" s="288"/>
      <c r="C234" s="198"/>
      <c r="D234" s="198"/>
      <c r="E234" s="198"/>
      <c r="F234" s="199"/>
      <c r="G234" s="199"/>
      <c r="H234" s="199"/>
    </row>
    <row r="235" spans="1:8" ht="15">
      <c r="A235" s="288"/>
      <c r="B235" s="288"/>
      <c r="C235" s="198"/>
      <c r="D235" s="198"/>
      <c r="E235" s="198"/>
      <c r="F235" s="199"/>
      <c r="G235" s="199"/>
      <c r="H235" s="199"/>
    </row>
    <row r="236" spans="1:8" ht="15">
      <c r="A236" s="288"/>
      <c r="B236" s="288"/>
      <c r="C236" s="198"/>
      <c r="D236" s="198"/>
      <c r="E236" s="198"/>
      <c r="F236" s="199"/>
      <c r="G236" s="199"/>
      <c r="H236" s="199"/>
    </row>
    <row r="237" spans="1:8" ht="15">
      <c r="A237" s="288"/>
      <c r="B237" s="288"/>
      <c r="C237" s="198"/>
      <c r="D237" s="198"/>
      <c r="E237" s="198"/>
      <c r="F237" s="199"/>
      <c r="G237" s="199"/>
      <c r="H237" s="199"/>
    </row>
    <row r="238" spans="1:8" ht="15">
      <c r="A238" s="288"/>
      <c r="B238" s="288"/>
      <c r="C238" s="198"/>
      <c r="D238" s="198"/>
      <c r="E238" s="198"/>
      <c r="F238" s="199"/>
      <c r="G238" s="199"/>
      <c r="H238" s="199"/>
    </row>
    <row r="239" spans="1:8" ht="15">
      <c r="A239" s="288"/>
      <c r="B239" s="288"/>
      <c r="C239" s="198"/>
      <c r="D239" s="198"/>
      <c r="E239" s="198"/>
      <c r="F239" s="199"/>
      <c r="G239" s="199"/>
      <c r="H239" s="199"/>
    </row>
    <row r="240" spans="1:8" ht="15">
      <c r="A240" s="288"/>
      <c r="B240" s="288"/>
      <c r="C240" s="198"/>
      <c r="D240" s="198"/>
      <c r="E240" s="198"/>
      <c r="F240" s="199"/>
      <c r="G240" s="199"/>
      <c r="H240" s="199"/>
    </row>
    <row r="241" spans="1:8" ht="15">
      <c r="A241" s="288"/>
      <c r="B241" s="288"/>
      <c r="C241" s="198"/>
      <c r="D241" s="198"/>
      <c r="E241" s="198"/>
      <c r="F241" s="199"/>
      <c r="G241" s="199"/>
      <c r="H241" s="199"/>
    </row>
    <row r="242" spans="1:8" ht="15">
      <c r="A242" s="288"/>
      <c r="B242" s="288"/>
      <c r="C242" s="198"/>
      <c r="D242" s="198"/>
      <c r="E242" s="198"/>
      <c r="F242" s="199"/>
      <c r="G242" s="199"/>
      <c r="H242" s="199"/>
    </row>
    <row r="243" spans="1:8" ht="15">
      <c r="A243" s="288"/>
      <c r="B243" s="288"/>
      <c r="C243" s="198"/>
      <c r="D243" s="198"/>
      <c r="E243" s="198"/>
      <c r="F243" s="199"/>
      <c r="G243" s="199"/>
      <c r="H243" s="199"/>
    </row>
    <row r="244" spans="1:8" ht="15">
      <c r="A244" s="288"/>
      <c r="B244" s="288"/>
      <c r="C244" s="198"/>
      <c r="D244" s="198"/>
      <c r="E244" s="198"/>
      <c r="F244" s="199"/>
      <c r="G244" s="199"/>
      <c r="H244" s="199"/>
    </row>
    <row r="245" spans="1:8" ht="15">
      <c r="A245" s="288"/>
      <c r="B245" s="288"/>
      <c r="C245" s="198"/>
      <c r="D245" s="198"/>
      <c r="E245" s="198"/>
      <c r="F245" s="199"/>
      <c r="G245" s="199"/>
      <c r="H245" s="199"/>
    </row>
    <row r="246" spans="1:8" ht="15">
      <c r="A246" s="288"/>
      <c r="B246" s="288"/>
      <c r="C246" s="198"/>
      <c r="D246" s="198"/>
      <c r="E246" s="198"/>
      <c r="F246" s="199"/>
      <c r="G246" s="199"/>
      <c r="H246" s="199"/>
    </row>
    <row r="247" spans="1:8" ht="15">
      <c r="A247" s="288"/>
      <c r="B247" s="288"/>
      <c r="C247" s="198"/>
      <c r="D247" s="198"/>
      <c r="E247" s="198"/>
      <c r="F247" s="199"/>
      <c r="G247" s="199"/>
      <c r="H247" s="199"/>
    </row>
    <row r="248" spans="1:8" ht="15">
      <c r="A248" s="288"/>
      <c r="B248" s="288"/>
      <c r="C248" s="198"/>
      <c r="D248" s="198"/>
      <c r="E248" s="198"/>
      <c r="F248" s="199"/>
      <c r="G248" s="199"/>
      <c r="H248" s="199"/>
    </row>
    <row r="249" spans="1:8" ht="15">
      <c r="A249" s="288"/>
      <c r="B249" s="288"/>
      <c r="C249" s="198"/>
      <c r="D249" s="198"/>
      <c r="E249" s="198"/>
      <c r="F249" s="199"/>
      <c r="G249" s="199"/>
      <c r="H249" s="199"/>
    </row>
    <row r="250" spans="1:8" ht="15">
      <c r="A250" s="288"/>
      <c r="B250" s="288"/>
      <c r="C250" s="198"/>
      <c r="D250" s="198"/>
      <c r="E250" s="198"/>
      <c r="F250" s="199"/>
      <c r="G250" s="199"/>
      <c r="H250" s="199"/>
    </row>
    <row r="251" spans="1:8" ht="15">
      <c r="A251" s="288"/>
      <c r="B251" s="288"/>
      <c r="C251" s="198"/>
      <c r="D251" s="198"/>
      <c r="E251" s="198"/>
      <c r="F251" s="199"/>
      <c r="G251" s="199"/>
      <c r="H251" s="199"/>
    </row>
    <row r="252" spans="1:8" ht="15">
      <c r="A252" s="288"/>
      <c r="B252" s="288"/>
      <c r="C252" s="198"/>
      <c r="D252" s="198"/>
      <c r="E252" s="198"/>
      <c r="F252" s="199"/>
      <c r="G252" s="199"/>
      <c r="H252" s="199"/>
    </row>
    <row r="253" spans="1:8" ht="15">
      <c r="A253" s="288"/>
      <c r="B253" s="288"/>
      <c r="C253" s="198"/>
      <c r="D253" s="198"/>
      <c r="E253" s="198"/>
      <c r="F253" s="199"/>
      <c r="G253" s="199"/>
      <c r="H253" s="199"/>
    </row>
    <row r="254" spans="1:8" ht="15">
      <c r="A254" s="288"/>
      <c r="B254" s="288"/>
      <c r="C254" s="198"/>
      <c r="D254" s="198"/>
      <c r="E254" s="198"/>
      <c r="F254" s="199"/>
      <c r="G254" s="199"/>
      <c r="H254" s="199"/>
    </row>
    <row r="255" spans="1:8" ht="15">
      <c r="A255" s="288"/>
      <c r="B255" s="288"/>
      <c r="C255" s="198"/>
      <c r="D255" s="198"/>
      <c r="E255" s="198"/>
      <c r="F255" s="199"/>
      <c r="G255" s="199"/>
      <c r="H255" s="199"/>
    </row>
    <row r="256" spans="1:8" ht="15">
      <c r="A256" s="288"/>
      <c r="B256" s="288"/>
      <c r="C256" s="198"/>
      <c r="D256" s="198"/>
      <c r="E256" s="198"/>
      <c r="F256" s="199"/>
      <c r="G256" s="199"/>
      <c r="H256" s="199"/>
    </row>
    <row r="257" spans="1:8" ht="15">
      <c r="A257" s="288"/>
      <c r="B257" s="288"/>
      <c r="C257" s="198"/>
      <c r="D257" s="198"/>
      <c r="E257" s="198"/>
      <c r="F257" s="199"/>
      <c r="G257" s="199"/>
      <c r="H257" s="199"/>
    </row>
    <row r="258" spans="1:8" ht="15">
      <c r="A258" s="288"/>
      <c r="B258" s="288"/>
      <c r="C258" s="198"/>
      <c r="D258" s="198"/>
      <c r="E258" s="198"/>
      <c r="F258" s="199"/>
      <c r="G258" s="199"/>
      <c r="H258" s="199"/>
    </row>
    <row r="259" spans="1:8" ht="15">
      <c r="A259" s="288"/>
      <c r="B259" s="288"/>
      <c r="C259" s="198"/>
      <c r="D259" s="198"/>
      <c r="E259" s="198"/>
      <c r="F259" s="199"/>
      <c r="G259" s="199"/>
      <c r="H259" s="199"/>
    </row>
    <row r="260" spans="1:8" ht="15">
      <c r="A260" s="288"/>
      <c r="B260" s="288"/>
      <c r="C260" s="198"/>
      <c r="D260" s="198"/>
      <c r="E260" s="198"/>
      <c r="F260" s="199"/>
      <c r="G260" s="199"/>
      <c r="H260" s="199"/>
    </row>
    <row r="261" spans="1:8" ht="15">
      <c r="A261" s="288"/>
      <c r="B261" s="288"/>
      <c r="C261" s="198"/>
      <c r="D261" s="198"/>
      <c r="E261" s="198"/>
      <c r="F261" s="199"/>
      <c r="G261" s="199"/>
      <c r="H261" s="199"/>
    </row>
    <row r="262" spans="1:8" ht="15">
      <c r="A262" s="288"/>
      <c r="B262" s="288"/>
      <c r="C262" s="198"/>
      <c r="D262" s="198"/>
      <c r="E262" s="198"/>
      <c r="F262" s="199"/>
      <c r="G262" s="199"/>
      <c r="H262" s="199"/>
    </row>
    <row r="263" spans="1:8" ht="15">
      <c r="A263" s="288"/>
      <c r="B263" s="288"/>
      <c r="C263" s="198"/>
      <c r="D263" s="198"/>
      <c r="E263" s="198"/>
      <c r="F263" s="199"/>
      <c r="G263" s="199"/>
      <c r="H263" s="199"/>
    </row>
    <row r="264" spans="1:8" ht="15">
      <c r="A264" s="288"/>
      <c r="B264" s="288"/>
      <c r="C264" s="198"/>
      <c r="D264" s="198"/>
      <c r="E264" s="198"/>
      <c r="F264" s="199"/>
      <c r="G264" s="199"/>
      <c r="H264" s="199"/>
    </row>
    <row r="265" spans="1:8" ht="15">
      <c r="A265" s="288"/>
      <c r="B265" s="288"/>
      <c r="C265" s="198"/>
      <c r="D265" s="198"/>
      <c r="E265" s="198"/>
      <c r="F265" s="199"/>
      <c r="G265" s="199"/>
      <c r="H265" s="199"/>
    </row>
    <row r="266" spans="1:8" ht="15">
      <c r="A266" s="288"/>
      <c r="B266" s="288"/>
      <c r="C266" s="198"/>
      <c r="D266" s="198"/>
      <c r="E266" s="198"/>
      <c r="F266" s="199"/>
      <c r="G266" s="199"/>
      <c r="H266" s="199"/>
    </row>
    <row r="267" spans="1:8" ht="15">
      <c r="A267" s="288"/>
      <c r="B267" s="288"/>
      <c r="C267" s="198"/>
      <c r="D267" s="198"/>
      <c r="E267" s="198"/>
      <c r="F267" s="199"/>
      <c r="G267" s="199"/>
      <c r="H267" s="199"/>
    </row>
    <row r="268" spans="1:8" ht="15">
      <c r="A268" s="288"/>
      <c r="B268" s="288"/>
      <c r="C268" s="198"/>
      <c r="D268" s="198"/>
      <c r="E268" s="198"/>
      <c r="F268" s="199"/>
      <c r="G268" s="199"/>
      <c r="H268" s="199"/>
    </row>
    <row r="269" spans="1:8" ht="15">
      <c r="A269" s="288"/>
      <c r="B269" s="288"/>
      <c r="C269" s="198"/>
      <c r="D269" s="198"/>
      <c r="E269" s="198"/>
      <c r="F269" s="199"/>
      <c r="G269" s="199"/>
      <c r="H269" s="199"/>
    </row>
    <row r="270" spans="1:8" ht="15">
      <c r="A270" s="288"/>
      <c r="B270" s="288"/>
      <c r="C270" s="198"/>
      <c r="D270" s="198"/>
      <c r="E270" s="198"/>
      <c r="F270" s="199"/>
      <c r="G270" s="199"/>
      <c r="H270" s="199"/>
    </row>
    <row r="271" spans="1:8" ht="15">
      <c r="A271" s="288"/>
      <c r="B271" s="288"/>
      <c r="C271" s="198"/>
      <c r="D271" s="198"/>
      <c r="E271" s="198"/>
      <c r="F271" s="199"/>
      <c r="G271" s="199"/>
      <c r="H271" s="199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7"/>
  <sheetViews>
    <sheetView workbookViewId="0" topLeftCell="C1">
      <selection activeCell="D18" sqref="D18"/>
    </sheetView>
  </sheetViews>
  <sheetFormatPr defaultColWidth="9.140625" defaultRowHeight="12.75" outlineLevelRow="1"/>
  <cols>
    <col min="1" max="1" width="1.7109375" style="3" customWidth="1"/>
    <col min="2" max="2" width="2.7109375" style="3" customWidth="1"/>
    <col min="3" max="3" width="1.7109375" style="3" customWidth="1"/>
    <col min="4" max="4" width="40.7109375" style="3" customWidth="1"/>
    <col min="5" max="10" width="10.7109375" style="3" customWidth="1"/>
    <col min="11" max="11" width="15.140625" style="2" bestFit="1" customWidth="1"/>
    <col min="12" max="16384" width="9.140625" style="3" customWidth="1"/>
  </cols>
  <sheetData>
    <row r="1" spans="1:10" ht="12.75">
      <c r="A1" s="353" t="s">
        <v>82</v>
      </c>
      <c r="B1" s="353"/>
      <c r="C1" s="353"/>
      <c r="D1" s="353"/>
      <c r="E1" s="353"/>
      <c r="F1" s="353"/>
      <c r="G1" s="353"/>
      <c r="H1" s="353"/>
      <c r="I1" s="187"/>
      <c r="J1" s="187"/>
    </row>
    <row r="2" spans="1:10" ht="12.75">
      <c r="A2" s="353" t="s">
        <v>84</v>
      </c>
      <c r="B2" s="353"/>
      <c r="C2" s="353"/>
      <c r="D2" s="353"/>
      <c r="E2" s="353"/>
      <c r="F2" s="353"/>
      <c r="G2" s="353"/>
      <c r="H2" s="353"/>
      <c r="I2" s="187"/>
      <c r="J2" s="187"/>
    </row>
    <row r="3" spans="1:10" ht="12.75">
      <c r="A3" s="353" t="str">
        <f>'[8]PL-YTD'!A3</f>
        <v>FOR THE PERIOD ENDED 31 OCTOBER 2001</v>
      </c>
      <c r="B3" s="353"/>
      <c r="C3" s="353"/>
      <c r="D3" s="353"/>
      <c r="E3" s="353"/>
      <c r="F3" s="353"/>
      <c r="G3" s="353"/>
      <c r="H3" s="353"/>
      <c r="I3" s="187"/>
      <c r="J3" s="187"/>
    </row>
    <row r="4" spans="1:4" ht="12.75">
      <c r="A4" s="4" t="s">
        <v>85</v>
      </c>
      <c r="B4" s="2"/>
      <c r="C4" s="2"/>
      <c r="D4" s="5"/>
    </row>
    <row r="5" spans="1:10" ht="12.75">
      <c r="A5" s="6"/>
      <c r="B5" s="7"/>
      <c r="C5" s="7"/>
      <c r="D5" s="7"/>
      <c r="E5" s="8" t="s">
        <v>86</v>
      </c>
      <c r="F5" s="9"/>
      <c r="G5" s="354" t="s">
        <v>86</v>
      </c>
      <c r="H5" s="355"/>
      <c r="I5" s="354" t="s">
        <v>86</v>
      </c>
      <c r="J5" s="355"/>
    </row>
    <row r="6" spans="1:10" ht="12.75">
      <c r="A6" s="11" t="s">
        <v>87</v>
      </c>
      <c r="B6" s="12"/>
      <c r="C6" s="12"/>
      <c r="D6" s="12"/>
      <c r="E6" s="13" t="s">
        <v>2</v>
      </c>
      <c r="F6" s="14" t="s">
        <v>88</v>
      </c>
      <c r="G6" s="15" t="s">
        <v>2</v>
      </c>
      <c r="H6" s="14" t="s">
        <v>88</v>
      </c>
      <c r="I6" s="15" t="s">
        <v>2</v>
      </c>
      <c r="J6" s="14" t="s">
        <v>88</v>
      </c>
    </row>
    <row r="7" spans="1:10" ht="12.75">
      <c r="A7" s="16"/>
      <c r="B7" s="17"/>
      <c r="C7" s="17"/>
      <c r="D7" s="17"/>
      <c r="E7" s="18" t="s">
        <v>2</v>
      </c>
      <c r="F7" s="9"/>
      <c r="G7" s="351" t="s">
        <v>91</v>
      </c>
      <c r="H7" s="352"/>
      <c r="I7" s="351" t="s">
        <v>244</v>
      </c>
      <c r="J7" s="352"/>
    </row>
    <row r="8" spans="1:10" ht="4.5" customHeight="1">
      <c r="A8" s="20"/>
      <c r="B8" s="21"/>
      <c r="C8" s="21"/>
      <c r="D8" s="21"/>
      <c r="E8" s="22"/>
      <c r="F8" s="22"/>
      <c r="G8" s="22"/>
      <c r="H8" s="22"/>
      <c r="I8" s="22"/>
      <c r="J8" s="22"/>
    </row>
    <row r="9" spans="1:10" ht="12.75">
      <c r="A9" s="23" t="s">
        <v>92</v>
      </c>
      <c r="B9" s="24"/>
      <c r="C9" s="24"/>
      <c r="D9" s="24"/>
      <c r="E9" s="25"/>
      <c r="F9" s="25"/>
      <c r="G9" s="25"/>
      <c r="H9" s="25"/>
      <c r="I9" s="25"/>
      <c r="J9" s="25"/>
    </row>
    <row r="10" spans="1:10" ht="12.75">
      <c r="A10" s="23"/>
      <c r="B10" s="26"/>
      <c r="C10" s="27" t="s">
        <v>93</v>
      </c>
      <c r="D10" s="30"/>
      <c r="E10" s="28">
        <f>'[8]PL-CM'!$P$10</f>
        <v>5240301.14</v>
      </c>
      <c r="F10" s="28">
        <f>'[8]PL-CM'!$Q$10</f>
        <v>5488585.050167176</v>
      </c>
      <c r="G10" s="28">
        <f>'[8]PL-YTD'!$P$10</f>
        <v>35248001.14</v>
      </c>
      <c r="H10" s="28">
        <f>'[8]PL-YTD'!$Q$10</f>
        <v>38551835.36587306</v>
      </c>
      <c r="I10" s="28">
        <f>33641398+I13</f>
        <v>33512565</v>
      </c>
      <c r="J10" s="28">
        <f>'[9]PL-YTD'!$Q$10+J13</f>
        <v>37525642.79993334</v>
      </c>
    </row>
    <row r="11" spans="1:10" ht="12.75">
      <c r="A11" s="23"/>
      <c r="B11" s="26"/>
      <c r="C11" s="29" t="s">
        <v>94</v>
      </c>
      <c r="D11" s="30"/>
      <c r="E11" s="28">
        <f>+'[8]PL-CM'!P11</f>
        <v>129682</v>
      </c>
      <c r="F11" s="28">
        <f>+'[8]PL-CM'!Q11</f>
        <v>0</v>
      </c>
      <c r="G11" s="28">
        <f>'[8]PL-YTD'!$P$11</f>
        <v>371438</v>
      </c>
      <c r="H11" s="28">
        <f>'[8]PL-YTD'!$Q$11</f>
        <v>0</v>
      </c>
      <c r="I11" s="28"/>
      <c r="J11" s="28"/>
    </row>
    <row r="12" spans="1:10" ht="12.75" outlineLevel="1">
      <c r="A12" s="23"/>
      <c r="B12" s="26"/>
      <c r="C12" s="29" t="s">
        <v>95</v>
      </c>
      <c r="D12" s="30"/>
      <c r="E12" s="28">
        <f>+'[8]PL-CM'!P12</f>
        <v>56793</v>
      </c>
      <c r="F12" s="28">
        <f>+'[8]PL-CM'!Q12</f>
        <v>64272.22075260237</v>
      </c>
      <c r="G12" s="28">
        <f>'[8]PL-YTD'!$P$12</f>
        <v>376726</v>
      </c>
      <c r="H12" s="28">
        <f>'[8]PL-YTD'!$Q$12</f>
        <v>451454.27347912267</v>
      </c>
      <c r="I12" s="28"/>
      <c r="J12" s="28"/>
    </row>
    <row r="13" spans="1:10" ht="12.75" customHeight="1" hidden="1" outlineLevel="1">
      <c r="A13" s="23"/>
      <c r="B13" s="26"/>
      <c r="C13" s="29" t="s">
        <v>96</v>
      </c>
      <c r="D13" s="30"/>
      <c r="E13" s="28">
        <f>+'[8]PL-CM'!P13</f>
        <v>-4843.859999999986</v>
      </c>
      <c r="F13" s="28">
        <f>+'[8]PL-CM'!Q13</f>
        <v>-3006.675048823934</v>
      </c>
      <c r="G13" s="28">
        <f>'[8]PL-YTD'!$P$13</f>
        <v>-23720.85999999987</v>
      </c>
      <c r="H13" s="28">
        <f>'[8]PL-YTD'!$Q$13</f>
        <v>-21119.175342943054</v>
      </c>
      <c r="I13" s="28">
        <f>1103215-91398-1140650</f>
        <v>-128833</v>
      </c>
      <c r="J13" s="28">
        <f>1375304-127343-1375304</f>
        <v>-127343</v>
      </c>
    </row>
    <row r="14" spans="1:10" ht="12.75" outlineLevel="1">
      <c r="A14" s="23"/>
      <c r="B14" s="26"/>
      <c r="C14" s="29" t="s">
        <v>98</v>
      </c>
      <c r="D14" s="30"/>
      <c r="E14" s="28">
        <f>+'[8]PL-CM'!P14</f>
        <v>45797</v>
      </c>
      <c r="F14" s="28">
        <f>+'[8]PL-CM'!Q14</f>
        <v>0</v>
      </c>
      <c r="G14" s="28">
        <f>'[8]PL-YTD'!$P$14</f>
        <v>285711</v>
      </c>
      <c r="H14" s="28">
        <f>'[8]PL-YTD'!$Q$14</f>
        <v>0</v>
      </c>
      <c r="I14" s="28">
        <v>91397</v>
      </c>
      <c r="J14" s="28">
        <v>127343</v>
      </c>
    </row>
    <row r="15" spans="1:10" ht="12.75" outlineLevel="1">
      <c r="A15" s="23"/>
      <c r="B15" s="26"/>
      <c r="C15" s="29" t="s">
        <v>99</v>
      </c>
      <c r="D15" s="30"/>
      <c r="E15" s="28">
        <f>+'[8]PL-CM'!P15</f>
        <v>71412</v>
      </c>
      <c r="F15" s="28">
        <f>+'[8]PL-CM'!Q15</f>
        <v>247800</v>
      </c>
      <c r="G15" s="28">
        <f>'[8]PL-YTD'!$P$15</f>
        <v>531099</v>
      </c>
      <c r="H15" s="28">
        <f>'[8]PL-YTD'!$Q$15</f>
        <v>1753200</v>
      </c>
      <c r="I15" s="28">
        <f>219906+405742</f>
        <v>625648</v>
      </c>
      <c r="J15" s="28">
        <f>264111+492703</f>
        <v>756814</v>
      </c>
    </row>
    <row r="16" spans="1:10" ht="12.75" hidden="1">
      <c r="A16" s="37"/>
      <c r="B16" s="27"/>
      <c r="C16" s="27" t="s">
        <v>100</v>
      </c>
      <c r="D16" s="30"/>
      <c r="E16" s="28">
        <f>+'[8]PL-CM'!P16</f>
        <v>16092</v>
      </c>
      <c r="F16" s="28">
        <f>+'[8]PL-CM'!Q16</f>
        <v>-278973.79260000004</v>
      </c>
      <c r="G16" s="28">
        <f>'[8]PL-YTD'!$P$11</f>
        <v>371438</v>
      </c>
      <c r="H16" s="28">
        <f>'[8]PL-YTD'!$Q$11</f>
        <v>0</v>
      </c>
      <c r="I16" s="28"/>
      <c r="J16" s="28"/>
    </row>
    <row r="17" spans="1:10" ht="12.75" hidden="1">
      <c r="A17" s="37"/>
      <c r="B17" s="27"/>
      <c r="C17" s="27" t="s">
        <v>101</v>
      </c>
      <c r="D17" s="30"/>
      <c r="E17" s="28">
        <f>+'[8]PL-CM'!P17</f>
        <v>-105823</v>
      </c>
      <c r="F17" s="28">
        <f>+'[8]PL-CM'!Q17</f>
        <v>-62092.671840000025</v>
      </c>
      <c r="G17" s="28">
        <f>'[8]PL-YTD'!$P$11</f>
        <v>371438</v>
      </c>
      <c r="H17" s="28">
        <f>'[8]PL-YTD'!$Q$11</f>
        <v>0</v>
      </c>
      <c r="I17" s="28"/>
      <c r="J17" s="28"/>
    </row>
    <row r="18" spans="1:10" ht="12" customHeight="1">
      <c r="A18" s="37"/>
      <c r="B18" s="27"/>
      <c r="C18" s="27" t="s">
        <v>102</v>
      </c>
      <c r="D18" s="30"/>
      <c r="E18" s="28">
        <f>+'[8]PL-CM'!P18</f>
        <v>1678</v>
      </c>
      <c r="F18" s="28">
        <f>+'[8]PL-CM'!Q18</f>
        <v>5035.112</v>
      </c>
      <c r="G18" s="28">
        <f>'[8]PL-YTD'!$P$18</f>
        <v>11746</v>
      </c>
      <c r="H18" s="28">
        <f>'[8]PL-YTD'!$Q$18</f>
        <v>35367.111999999994</v>
      </c>
      <c r="I18" s="28">
        <v>71825</v>
      </c>
      <c r="J18" s="28">
        <v>0</v>
      </c>
    </row>
    <row r="19" spans="1:10" ht="12.75">
      <c r="A19" s="37"/>
      <c r="B19" s="27"/>
      <c r="C19" s="27" t="s">
        <v>103</v>
      </c>
      <c r="D19" s="30"/>
      <c r="E19" s="28">
        <f>+'[8]PL-CM'!P19</f>
        <v>-4441</v>
      </c>
      <c r="F19" s="28">
        <f>+'[8]PL-CM'!Q19</f>
        <v>0</v>
      </c>
      <c r="G19" s="28">
        <f>'[8]PL-YTD'!$P$19</f>
        <v>-25875</v>
      </c>
      <c r="H19" s="28">
        <f>'[8]PL-YTD'!$Q$19</f>
        <v>0</v>
      </c>
      <c r="I19" s="28">
        <v>0</v>
      </c>
      <c r="J19" s="28">
        <v>0</v>
      </c>
    </row>
    <row r="20" spans="1:10" ht="4.5" customHeight="1">
      <c r="A20" s="38"/>
      <c r="B20" s="24"/>
      <c r="C20" s="24"/>
      <c r="D20" s="24"/>
      <c r="E20" s="39"/>
      <c r="F20" s="39"/>
      <c r="G20" s="39"/>
      <c r="H20" s="39"/>
      <c r="I20" s="39"/>
      <c r="J20" s="39"/>
    </row>
    <row r="21" spans="1:11" ht="12.75">
      <c r="A21" s="23" t="s">
        <v>104</v>
      </c>
      <c r="B21" s="26"/>
      <c r="C21" s="26"/>
      <c r="D21" s="27"/>
      <c r="E21" s="40">
        <f aca="true" t="shared" si="0" ref="E21:J21">+E10+E11+E12+E14+E15+E18+E19</f>
        <v>5541222.14</v>
      </c>
      <c r="F21" s="40">
        <f t="shared" si="0"/>
        <v>5805692.382919778</v>
      </c>
      <c r="G21" s="40">
        <f t="shared" si="0"/>
        <v>36798846.14</v>
      </c>
      <c r="H21" s="40">
        <f t="shared" si="0"/>
        <v>40791856.75135219</v>
      </c>
      <c r="I21" s="40">
        <f t="shared" si="0"/>
        <v>34301435</v>
      </c>
      <c r="J21" s="40">
        <f t="shared" si="0"/>
        <v>38409799.79993334</v>
      </c>
      <c r="K21" s="51"/>
    </row>
    <row r="22" spans="1:10" ht="4.5" customHeight="1">
      <c r="A22" s="20"/>
      <c r="B22" s="21"/>
      <c r="C22" s="21"/>
      <c r="D22" s="24"/>
      <c r="E22" s="39"/>
      <c r="F22" s="39"/>
      <c r="G22" s="39"/>
      <c r="H22" s="39"/>
      <c r="I22" s="39"/>
      <c r="J22" s="39"/>
    </row>
    <row r="23" spans="1:10" ht="12.75">
      <c r="A23" s="23" t="s">
        <v>105</v>
      </c>
      <c r="B23" s="26"/>
      <c r="C23" s="26"/>
      <c r="D23" s="27"/>
      <c r="E23" s="42">
        <f>+E10+E12+E14+E18+E19</f>
        <v>5340128.14</v>
      </c>
      <c r="F23" s="42"/>
      <c r="G23" s="42"/>
      <c r="H23" s="42"/>
      <c r="I23" s="42"/>
      <c r="J23" s="42"/>
    </row>
    <row r="24" spans="1:10" ht="12.75">
      <c r="A24" s="23"/>
      <c r="B24" s="26" t="s">
        <v>106</v>
      </c>
      <c r="C24" s="26"/>
      <c r="D24" s="27"/>
      <c r="E24" s="42"/>
      <c r="F24" s="42"/>
      <c r="G24" s="42"/>
      <c r="H24" s="42"/>
      <c r="I24" s="42"/>
      <c r="J24" s="42"/>
    </row>
    <row r="25" spans="1:10" ht="12.75">
      <c r="A25" s="37" t="s">
        <v>85</v>
      </c>
      <c r="B25" s="43"/>
      <c r="C25" s="27" t="s">
        <v>107</v>
      </c>
      <c r="D25" s="27"/>
      <c r="E25" s="28">
        <f>'[8]PL-CM'!$P$25</f>
        <v>295650</v>
      </c>
      <c r="F25" s="28">
        <f>'[8]PL-CM'!$Q$25</f>
        <v>455179.30658543215</v>
      </c>
      <c r="G25" s="28">
        <f>'[8]PL-YTD'!$P$25</f>
        <v>1953519</v>
      </c>
      <c r="H25" s="28">
        <f>'[8]PL-YTD'!$Q$25</f>
        <v>3197196.5390277943</v>
      </c>
      <c r="I25" s="28">
        <v>1925808</v>
      </c>
      <c r="J25" s="28">
        <f>'[9]PL-YTD'!$Q$20</f>
        <v>2421894.641497314</v>
      </c>
    </row>
    <row r="26" spans="1:10" ht="12.75">
      <c r="A26" s="37" t="s">
        <v>85</v>
      </c>
      <c r="B26" s="43"/>
      <c r="C26" s="27" t="s">
        <v>108</v>
      </c>
      <c r="D26" s="27"/>
      <c r="E26" s="28">
        <f>'[8]PL-CM'!$P$26</f>
        <v>866311</v>
      </c>
      <c r="F26" s="28">
        <f>'[8]PL-CM'!$Q$26</f>
        <v>607847.403384696</v>
      </c>
      <c r="G26" s="28">
        <f>'[8]PL-YTD'!$P$26</f>
        <v>5742521</v>
      </c>
      <c r="H26" s="28">
        <f>'[8]PL-YTD'!$Q$26</f>
        <v>4270595.805943105</v>
      </c>
      <c r="I26" s="28">
        <v>4653266</v>
      </c>
      <c r="J26" s="28">
        <f>'[9]PL-YTD'!$Q$21</f>
        <v>5077449.695000135</v>
      </c>
    </row>
    <row r="27" spans="1:10" ht="12.75">
      <c r="A27" s="37"/>
      <c r="B27" s="43"/>
      <c r="C27" s="27" t="s">
        <v>110</v>
      </c>
      <c r="D27" s="27"/>
      <c r="E27" s="28">
        <f>+'[8]PL-CM'!P27</f>
        <v>80092</v>
      </c>
      <c r="F27" s="28">
        <f>'[8]PL-CM'!$Q$27</f>
        <v>0</v>
      </c>
      <c r="G27" s="28">
        <f>'[8]PL-YTD'!$P$27</f>
        <v>185676</v>
      </c>
      <c r="H27" s="28">
        <f>'[8]PL-YTD'!$Q$27</f>
        <v>0</v>
      </c>
      <c r="I27" s="28"/>
      <c r="J27" s="28">
        <v>0</v>
      </c>
    </row>
    <row r="28" spans="1:10" ht="12.75">
      <c r="A28" s="37" t="s">
        <v>85</v>
      </c>
      <c r="B28" s="43"/>
      <c r="C28" s="27" t="s">
        <v>111</v>
      </c>
      <c r="D28" s="27"/>
      <c r="E28" s="28">
        <f>'[8]PL-CM'!$P$28</f>
        <v>38265</v>
      </c>
      <c r="F28" s="28">
        <f>'[8]PL-CM'!$Q$28</f>
        <v>54678.77983210901</v>
      </c>
      <c r="G28" s="28">
        <f>'[8]PL-YTD'!$P$28</f>
        <v>299559</v>
      </c>
      <c r="H28" s="28">
        <f>'[8]PL-YTD'!$Q$28</f>
        <v>384069.01978457294</v>
      </c>
      <c r="I28" s="28">
        <v>225743</v>
      </c>
      <c r="J28" s="28">
        <f>'[9]PL-YTD'!$Q$22</f>
        <v>337770.5464178142</v>
      </c>
    </row>
    <row r="29" spans="1:10" ht="12.75">
      <c r="A29" s="37"/>
      <c r="B29" s="43"/>
      <c r="C29" s="27" t="s">
        <v>112</v>
      </c>
      <c r="D29" s="27"/>
      <c r="E29" s="28">
        <f>SUM(E30:E31)</f>
        <v>198161</v>
      </c>
      <c r="F29" s="28">
        <f>SUM(F30:F31)</f>
        <v>179064.22584046246</v>
      </c>
      <c r="G29" s="28">
        <f>SUM(G30:G31)</f>
        <v>1225994</v>
      </c>
      <c r="H29" s="28">
        <f>SUM(H30:H31)</f>
        <v>1257764.3815058987</v>
      </c>
      <c r="I29" s="28">
        <f>432865+692486</f>
        <v>1125351</v>
      </c>
      <c r="J29" s="28">
        <f>SUM(J30:J31)</f>
        <v>1157038.791748048</v>
      </c>
    </row>
    <row r="30" spans="1:11" s="45" customFormat="1" ht="12.75" hidden="1">
      <c r="A30" s="37" t="s">
        <v>85</v>
      </c>
      <c r="B30" s="43"/>
      <c r="C30" s="27" t="s">
        <v>113</v>
      </c>
      <c r="D30" s="27"/>
      <c r="E30" s="28">
        <f>'[8]PL-CM'!$P$30</f>
        <v>71412</v>
      </c>
      <c r="F30" s="28">
        <f>'[8]PL-CM'!$Q$30</f>
        <v>60227.982473526026</v>
      </c>
      <c r="G30" s="28">
        <f>'[8]PL-YTD'!$P$30</f>
        <v>450546</v>
      </c>
      <c r="H30" s="28">
        <f>'[8]PL-YTD'!$Q$30</f>
        <v>423047.15400079126</v>
      </c>
      <c r="I30" s="28"/>
      <c r="J30" s="28">
        <f>'[9]PL-YTD'!$Q$23</f>
        <v>367475.52986294276</v>
      </c>
      <c r="K30" s="186"/>
    </row>
    <row r="31" spans="1:11" s="45" customFormat="1" ht="12.75" hidden="1">
      <c r="A31" s="37"/>
      <c r="B31" s="43"/>
      <c r="C31" s="27" t="s">
        <v>114</v>
      </c>
      <c r="D31" s="27"/>
      <c r="E31" s="28">
        <f>'[8]PL-CM'!$P$31</f>
        <v>126749</v>
      </c>
      <c r="F31" s="28">
        <f>'[8]PL-CM'!$Q$31</f>
        <v>118836.24336693643</v>
      </c>
      <c r="G31" s="28">
        <f>'[8]PL-YTD'!$P$31</f>
        <v>775448</v>
      </c>
      <c r="H31" s="28">
        <f>'[8]PL-YTD'!$Q$31</f>
        <v>834717.2275051075</v>
      </c>
      <c r="I31" s="28"/>
      <c r="J31" s="28">
        <f>'[9]PL-YTD'!$Q$24</f>
        <v>789563.2618851053</v>
      </c>
      <c r="K31" s="186"/>
    </row>
    <row r="32" spans="1:11" s="45" customFormat="1" ht="12.75">
      <c r="A32" s="37"/>
      <c r="B32" s="43"/>
      <c r="C32" s="27" t="s">
        <v>115</v>
      </c>
      <c r="D32" s="27"/>
      <c r="E32" s="28">
        <f>SUM(E33:E34)</f>
        <v>0</v>
      </c>
      <c r="F32" s="28">
        <f>SUM(F33:F34)</f>
        <v>0</v>
      </c>
      <c r="G32" s="28">
        <f>SUM(G33:G34)</f>
        <v>0</v>
      </c>
      <c r="H32" s="28">
        <f>SUM(H33:H34)</f>
        <v>0</v>
      </c>
      <c r="I32" s="28"/>
      <c r="J32" s="28">
        <f>SUM(J33:J34)</f>
        <v>0</v>
      </c>
      <c r="K32" s="186"/>
    </row>
    <row r="33" spans="1:11" s="45" customFormat="1" ht="12.75" hidden="1">
      <c r="A33" s="37" t="s">
        <v>85</v>
      </c>
      <c r="B33" s="43"/>
      <c r="C33" s="27" t="s">
        <v>116</v>
      </c>
      <c r="D33" s="27"/>
      <c r="E33" s="28">
        <f>'[8]PL-CM'!$P$33</f>
        <v>0</v>
      </c>
      <c r="F33" s="28">
        <f>'[8]PL-CM'!$Q$33</f>
        <v>0</v>
      </c>
      <c r="G33" s="28">
        <f>'[8]PL-YTD'!$P$33</f>
        <v>0</v>
      </c>
      <c r="H33" s="28">
        <f>'[8]PL-YTD'!$Q$33</f>
        <v>0</v>
      </c>
      <c r="I33" s="28"/>
      <c r="J33" s="28">
        <f>'[9]PL-YTD'!$Q$25</f>
        <v>0</v>
      </c>
      <c r="K33" s="186"/>
    </row>
    <row r="34" spans="1:11" s="45" customFormat="1" ht="12.75" hidden="1">
      <c r="A34" s="37" t="s">
        <v>85</v>
      </c>
      <c r="B34" s="43"/>
      <c r="C34" s="27" t="s">
        <v>117</v>
      </c>
      <c r="D34" s="27"/>
      <c r="E34" s="28">
        <f>'[8]PL-CM'!$P$34</f>
        <v>0</v>
      </c>
      <c r="F34" s="28">
        <f>'[8]PL-CM'!$Q$34</f>
        <v>0</v>
      </c>
      <c r="G34" s="28">
        <f>'[8]PL-YTD'!$P$34</f>
        <v>0</v>
      </c>
      <c r="H34" s="28">
        <f>'[8]PL-YTD'!$Q$34</f>
        <v>0</v>
      </c>
      <c r="I34" s="28"/>
      <c r="J34" s="28">
        <f>'[9]PL-YTD'!$Q$26</f>
        <v>0</v>
      </c>
      <c r="K34" s="186"/>
    </row>
    <row r="35" spans="1:11" s="45" customFormat="1" ht="4.5" customHeight="1">
      <c r="A35" s="37"/>
      <c r="B35" s="43"/>
      <c r="C35" s="27"/>
      <c r="D35" s="27"/>
      <c r="E35" s="28"/>
      <c r="F35" s="28"/>
      <c r="G35" s="28"/>
      <c r="H35" s="28"/>
      <c r="I35" s="28"/>
      <c r="J35" s="28"/>
      <c r="K35" s="186"/>
    </row>
    <row r="36" spans="1:11" s="45" customFormat="1" ht="12.75">
      <c r="A36" s="37"/>
      <c r="B36" s="26" t="s">
        <v>118</v>
      </c>
      <c r="C36" s="26"/>
      <c r="D36" s="27"/>
      <c r="E36" s="40">
        <f>SUM(E25:E29)+E32</f>
        <v>1478479</v>
      </c>
      <c r="F36" s="40">
        <f>SUM(F25:F29)+F32</f>
        <v>1296769.7156426997</v>
      </c>
      <c r="G36" s="40">
        <f>SUM(G25:G29)+G32</f>
        <v>9407269</v>
      </c>
      <c r="H36" s="40">
        <f>SUM(H25:H29)+H32</f>
        <v>9109625.746261371</v>
      </c>
      <c r="I36" s="40">
        <f>SUM(I25:I29)</f>
        <v>7930168</v>
      </c>
      <c r="J36" s="40">
        <f>SUM(J25:J29)+J32</f>
        <v>8994153.674663313</v>
      </c>
      <c r="K36" s="51"/>
    </row>
    <row r="37" spans="1:11" s="45" customFormat="1" ht="4.5" customHeight="1">
      <c r="A37" s="37"/>
      <c r="B37" s="43"/>
      <c r="C37" s="27"/>
      <c r="D37" s="27"/>
      <c r="E37" s="28"/>
      <c r="F37" s="28"/>
      <c r="G37" s="28"/>
      <c r="H37" s="28"/>
      <c r="I37" s="28"/>
      <c r="J37" s="28"/>
      <c r="K37" s="186"/>
    </row>
    <row r="38" spans="1:11" s="45" customFormat="1" ht="12.75">
      <c r="A38" s="37"/>
      <c r="B38" s="26" t="s">
        <v>119</v>
      </c>
      <c r="C38" s="26"/>
      <c r="D38" s="27"/>
      <c r="E38" s="42"/>
      <c r="F38" s="42"/>
      <c r="G38" s="42"/>
      <c r="H38" s="42"/>
      <c r="I38" s="42"/>
      <c r="J38" s="42"/>
      <c r="K38" s="186"/>
    </row>
    <row r="39" spans="1:11" s="45" customFormat="1" ht="12.75">
      <c r="A39" s="37"/>
      <c r="B39" s="26"/>
      <c r="C39" s="29" t="s">
        <v>120</v>
      </c>
      <c r="D39" s="27"/>
      <c r="E39" s="42">
        <f>SUM(E40:E43)</f>
        <v>1496879</v>
      </c>
      <c r="F39" s="42">
        <f>SUM(F40:F43)</f>
        <v>1561180.0178194414</v>
      </c>
      <c r="G39" s="42">
        <f>SUM(G40:G43)</f>
        <v>10623588</v>
      </c>
      <c r="H39" s="42">
        <f>SUM(H40:H43)</f>
        <v>10928473.719479747</v>
      </c>
      <c r="I39" s="42">
        <f>6748017+1450816+521090+933417</f>
        <v>9653340</v>
      </c>
      <c r="J39" s="42">
        <f>SUM(J40:J43)</f>
        <v>9690712.638695274</v>
      </c>
      <c r="K39" s="186"/>
    </row>
    <row r="40" spans="1:11" s="45" customFormat="1" ht="12.75" hidden="1">
      <c r="A40" s="37"/>
      <c r="B40" s="30"/>
      <c r="C40" s="27" t="s">
        <v>121</v>
      </c>
      <c r="D40" s="27"/>
      <c r="E40" s="28">
        <f>'[8]PL-CM'!$P$40</f>
        <v>1253237</v>
      </c>
      <c r="F40" s="28">
        <f>'[8]PL-CM'!$Q$40</f>
        <v>1330706.8503583334</v>
      </c>
      <c r="G40" s="28">
        <f>'[8]PL-YTD'!$P$40</f>
        <v>8829704</v>
      </c>
      <c r="H40" s="28">
        <f>'[8]PL-YTD'!$Q$40</f>
        <v>9314947.952508336</v>
      </c>
      <c r="I40" s="28"/>
      <c r="J40" s="28">
        <f>'[9]PL-YTD'!$Q$31</f>
        <v>6960248.399999999</v>
      </c>
      <c r="K40" s="186"/>
    </row>
    <row r="41" spans="1:11" s="45" customFormat="1" ht="12.75" hidden="1">
      <c r="A41" s="37"/>
      <c r="B41" s="30"/>
      <c r="C41" s="27" t="s">
        <v>122</v>
      </c>
      <c r="D41" s="27"/>
      <c r="E41" s="28">
        <f>'[8]PL-CM'!$P$41</f>
        <v>0</v>
      </c>
      <c r="F41" s="28">
        <f>'[8]PL-CM'!$Q$41</f>
        <v>0</v>
      </c>
      <c r="G41" s="28">
        <f>'[8]PL-YTD'!$P$41</f>
        <v>0</v>
      </c>
      <c r="H41" s="28">
        <f>'[8]PL-YTD'!$Q$41</f>
        <v>0</v>
      </c>
      <c r="I41" s="28"/>
      <c r="J41" s="28">
        <f>'[9]PL-YTD'!$Q$32</f>
        <v>1301307.0653333333</v>
      </c>
      <c r="K41" s="186"/>
    </row>
    <row r="42" spans="1:11" s="45" customFormat="1" ht="12.75" hidden="1">
      <c r="A42" s="37"/>
      <c r="B42" s="30"/>
      <c r="C42" s="27" t="s">
        <v>123</v>
      </c>
      <c r="D42" s="27"/>
      <c r="E42" s="28">
        <f>'[8]PL-CM'!$P$42</f>
        <v>94254</v>
      </c>
      <c r="F42" s="28">
        <f>'[8]PL-CM'!$Q$42</f>
        <v>89396.53436177445</v>
      </c>
      <c r="G42" s="28">
        <f>'[8]PL-YTD'!$P$42</f>
        <v>736557</v>
      </c>
      <c r="H42" s="28">
        <f>'[8]PL-YTD'!$Q$42</f>
        <v>625989.3352760784</v>
      </c>
      <c r="I42" s="28"/>
      <c r="J42" s="28">
        <f>'[9]PL-YTD'!$Q$33</f>
        <v>485662.8691619415</v>
      </c>
      <c r="K42" s="186"/>
    </row>
    <row r="43" spans="1:11" s="45" customFormat="1" ht="12.75" hidden="1">
      <c r="A43" s="37"/>
      <c r="B43" s="30"/>
      <c r="C43" s="27" t="s">
        <v>124</v>
      </c>
      <c r="D43" s="27"/>
      <c r="E43" s="28">
        <f>'[8]PL-CM'!$P$43</f>
        <v>149388</v>
      </c>
      <c r="F43" s="28">
        <f>'[8]PL-CM'!$Q$43</f>
        <v>141076.63309933332</v>
      </c>
      <c r="G43" s="28">
        <f>'[8]PL-YTD'!$P$43</f>
        <v>1057327</v>
      </c>
      <c r="H43" s="28">
        <f>'[8]PL-YTD'!$Q$43</f>
        <v>987536.4316953334</v>
      </c>
      <c r="I43" s="28"/>
      <c r="J43" s="28">
        <f>'[9]PL-YTD'!$Q$34</f>
        <v>943494.3042000001</v>
      </c>
      <c r="K43" s="186"/>
    </row>
    <row r="44" spans="1:11" s="45" customFormat="1" ht="12.75">
      <c r="A44" s="37"/>
      <c r="B44" s="26"/>
      <c r="C44" s="27" t="s">
        <v>125</v>
      </c>
      <c r="D44" s="27"/>
      <c r="E44" s="28">
        <f>'[8]PL-CM'!$P$44</f>
        <v>302638</v>
      </c>
      <c r="F44" s="28">
        <f>'[8]PL-CM'!$Q$44</f>
        <v>344226.4374271736</v>
      </c>
      <c r="G44" s="28">
        <f>'[8]PL-YTD'!$P$44</f>
        <v>2101785</v>
      </c>
      <c r="H44" s="28">
        <f>'[8]PL-YTD'!$Q$44</f>
        <v>2409739.955402115</v>
      </c>
      <c r="I44" s="28">
        <v>2147757</v>
      </c>
      <c r="J44" s="28">
        <f>'[9]PL-YTD'!$Q$35</f>
        <v>2137127.393930214</v>
      </c>
      <c r="K44" s="186"/>
    </row>
    <row r="45" spans="1:11" s="45" customFormat="1" ht="12.75">
      <c r="A45" s="37"/>
      <c r="B45" s="26"/>
      <c r="C45" s="27" t="s">
        <v>126</v>
      </c>
      <c r="D45" s="27"/>
      <c r="E45" s="28">
        <f>'[8]PL-CM'!$P$45</f>
        <v>121196</v>
      </c>
      <c r="F45" s="28">
        <f>'[8]PL-CM'!$Q$45</f>
        <v>141403.71583333332</v>
      </c>
      <c r="G45" s="28">
        <f>'[8]PL-YTD'!$P$45</f>
        <v>733869</v>
      </c>
      <c r="H45" s="28">
        <f>'[8]PL-YTD'!$Q$45</f>
        <v>989826.0108333334</v>
      </c>
      <c r="I45" s="28">
        <v>725621</v>
      </c>
      <c r="J45" s="28">
        <f>'[9]PL-YTD'!$Q$36</f>
        <v>880680.2599999999</v>
      </c>
      <c r="K45" s="186"/>
    </row>
    <row r="46" spans="1:11" s="45" customFormat="1" ht="12.75">
      <c r="A46" s="37"/>
      <c r="B46" s="26"/>
      <c r="C46" s="27" t="s">
        <v>127</v>
      </c>
      <c r="D46" s="27"/>
      <c r="E46" s="28">
        <f>'[8]PL-CM'!$P$46</f>
        <v>59562</v>
      </c>
      <c r="F46" s="28">
        <f>'[8]PL-CM'!$Q$46</f>
        <v>26213.870833333334</v>
      </c>
      <c r="G46" s="28">
        <f>'[8]PL-YTD'!$P$46</f>
        <v>433965</v>
      </c>
      <c r="H46" s="28">
        <f>'[8]PL-YTD'!$Q$46</f>
        <v>183497.09583333333</v>
      </c>
      <c r="I46" s="28">
        <v>189024</v>
      </c>
      <c r="J46" s="28">
        <f>'[9]PL-YTD'!$Q$37</f>
        <v>404849.48000000004</v>
      </c>
      <c r="K46" s="186"/>
    </row>
    <row r="47" spans="1:11" s="45" customFormat="1" ht="12.75">
      <c r="A47" s="37"/>
      <c r="B47" s="26"/>
      <c r="C47" s="27" t="s">
        <v>128</v>
      </c>
      <c r="D47" s="27"/>
      <c r="E47" s="28">
        <f>'[8]PL-CM'!$P$47</f>
        <v>6934</v>
      </c>
      <c r="F47" s="28">
        <f>'[8]PL-CM'!$Q$47</f>
        <v>5402.5125</v>
      </c>
      <c r="G47" s="28">
        <f>'[8]PL-YTD'!$P$47</f>
        <v>68550</v>
      </c>
      <c r="H47" s="28">
        <f>'[8]PL-YTD'!$Q$47</f>
        <v>37817.5875</v>
      </c>
      <c r="I47" s="28">
        <v>42285</v>
      </c>
      <c r="J47" s="28">
        <f>'[9]PL-YTD'!$Q$38</f>
        <v>30443.694166666664</v>
      </c>
      <c r="K47" s="186"/>
    </row>
    <row r="48" spans="1:11" s="45" customFormat="1" ht="12.75">
      <c r="A48" s="37"/>
      <c r="B48" s="26"/>
      <c r="C48" s="27" t="s">
        <v>129</v>
      </c>
      <c r="D48" s="27"/>
      <c r="E48" s="28">
        <f>'[8]PL-CM'!$P$48</f>
        <v>69</v>
      </c>
      <c r="F48" s="28">
        <f>'[8]PL-CM'!$Q$48</f>
        <v>631.75</v>
      </c>
      <c r="G48" s="28">
        <f>'[8]PL-YTD'!$P$48</f>
        <v>57889</v>
      </c>
      <c r="H48" s="28">
        <f>'[8]PL-YTD'!$Q$48</f>
        <v>4422.25</v>
      </c>
      <c r="I48" s="28">
        <v>5275</v>
      </c>
      <c r="J48" s="28">
        <f>'[9]PL-YTD'!$Q$39</f>
        <v>2360.61</v>
      </c>
      <c r="K48" s="186"/>
    </row>
    <row r="49" spans="1:11" s="45" customFormat="1" ht="4.5" customHeight="1">
      <c r="A49" s="37"/>
      <c r="B49" s="26"/>
      <c r="C49" s="26"/>
      <c r="D49" s="27"/>
      <c r="E49" s="42"/>
      <c r="F49" s="42"/>
      <c r="G49" s="42"/>
      <c r="H49" s="42"/>
      <c r="I49" s="42"/>
      <c r="J49" s="42"/>
      <c r="K49" s="186"/>
    </row>
    <row r="50" spans="1:11" s="45" customFormat="1" ht="12.75">
      <c r="A50" s="37"/>
      <c r="B50" s="26" t="s">
        <v>130</v>
      </c>
      <c r="C50" s="26"/>
      <c r="D50" s="27"/>
      <c r="E50" s="40">
        <f>SUM(E40:E48)</f>
        <v>1987278</v>
      </c>
      <c r="F50" s="40">
        <f>SUM(F40:F48)</f>
        <v>2079058.3044132816</v>
      </c>
      <c r="G50" s="40">
        <f>SUM(G40:G48)</f>
        <v>14019646</v>
      </c>
      <c r="H50" s="40">
        <f>SUM(H40:H48)</f>
        <v>14553776.61904853</v>
      </c>
      <c r="I50" s="40">
        <f>SUM(I44:I48)+I39</f>
        <v>12763302</v>
      </c>
      <c r="J50" s="40">
        <f>SUM(J40:J48)</f>
        <v>13146174.076792153</v>
      </c>
      <c r="K50" s="51"/>
    </row>
    <row r="51" spans="1:11" s="45" customFormat="1" ht="4.5" customHeight="1">
      <c r="A51" s="37"/>
      <c r="B51" s="43"/>
      <c r="C51" s="27"/>
      <c r="D51" s="27"/>
      <c r="E51" s="28"/>
      <c r="F51" s="28"/>
      <c r="G51" s="28"/>
      <c r="H51" s="28"/>
      <c r="I51" s="28"/>
      <c r="J51" s="28"/>
      <c r="K51" s="186"/>
    </row>
    <row r="52" spans="1:11" ht="12.75">
      <c r="A52" s="23" t="s">
        <v>131</v>
      </c>
      <c r="B52" s="26"/>
      <c r="C52" s="26"/>
      <c r="D52" s="24"/>
      <c r="E52" s="40">
        <f aca="true" t="shared" si="1" ref="E52:J52">+E36+E50</f>
        <v>3465757</v>
      </c>
      <c r="F52" s="40">
        <f t="shared" si="1"/>
        <v>3375828.0200559814</v>
      </c>
      <c r="G52" s="40">
        <f t="shared" si="1"/>
        <v>23426915</v>
      </c>
      <c r="H52" s="40">
        <f t="shared" si="1"/>
        <v>23663402.3653099</v>
      </c>
      <c r="I52" s="40">
        <f t="shared" si="1"/>
        <v>20693470</v>
      </c>
      <c r="J52" s="40">
        <f t="shared" si="1"/>
        <v>22140327.751455463</v>
      </c>
      <c r="K52" s="51"/>
    </row>
    <row r="53" spans="1:10" ht="4.5" customHeight="1">
      <c r="A53" s="38"/>
      <c r="B53" s="24"/>
      <c r="C53" s="24"/>
      <c r="D53" s="24"/>
      <c r="E53" s="47"/>
      <c r="F53" s="47"/>
      <c r="G53" s="47"/>
      <c r="H53" s="47"/>
      <c r="I53" s="47"/>
      <c r="J53" s="47"/>
    </row>
    <row r="54" spans="1:11" ht="12.75">
      <c r="A54" s="23" t="s">
        <v>132</v>
      </c>
      <c r="B54" s="26"/>
      <c r="C54" s="26"/>
      <c r="D54" s="27"/>
      <c r="E54" s="48">
        <f aca="true" t="shared" si="2" ref="E54:J54">E56/E21*100</f>
        <v>37.45500699237442</v>
      </c>
      <c r="F54" s="48">
        <f t="shared" si="2"/>
        <v>41.8531365873329</v>
      </c>
      <c r="G54" s="48">
        <f t="shared" si="2"/>
        <v>36.337908773353725</v>
      </c>
      <c r="H54" s="48">
        <f t="shared" si="2"/>
        <v>41.98988658557325</v>
      </c>
      <c r="I54" s="48">
        <f t="shared" si="2"/>
        <v>39.671707612232545</v>
      </c>
      <c r="J54" s="48">
        <f t="shared" si="2"/>
        <v>42.35760699931092</v>
      </c>
      <c r="K54" s="177"/>
    </row>
    <row r="55" spans="1:10" ht="4.5" customHeight="1">
      <c r="A55" s="20"/>
      <c r="B55" s="21"/>
      <c r="C55" s="21"/>
      <c r="D55" s="24"/>
      <c r="E55" s="49"/>
      <c r="F55" s="49"/>
      <c r="G55" s="49"/>
      <c r="H55" s="49"/>
      <c r="I55" s="49"/>
      <c r="J55" s="49"/>
    </row>
    <row r="56" spans="1:11" s="45" customFormat="1" ht="12.75">
      <c r="A56" s="23" t="s">
        <v>133</v>
      </c>
      <c r="B56" s="26"/>
      <c r="C56" s="26"/>
      <c r="D56" s="27"/>
      <c r="E56" s="28">
        <f aca="true" t="shared" si="3" ref="E56:J56">E21-E52</f>
        <v>2075465.1399999997</v>
      </c>
      <c r="F56" s="28">
        <f t="shared" si="3"/>
        <v>2429864.3628637968</v>
      </c>
      <c r="G56" s="28">
        <f t="shared" si="3"/>
        <v>13371931.14</v>
      </c>
      <c r="H56" s="28">
        <f t="shared" si="3"/>
        <v>17128454.38604229</v>
      </c>
      <c r="I56" s="28">
        <f t="shared" si="3"/>
        <v>13607965</v>
      </c>
      <c r="J56" s="28">
        <f t="shared" si="3"/>
        <v>16269472.048477873</v>
      </c>
      <c r="K56" s="177"/>
    </row>
    <row r="57" spans="1:10" ht="4.5" customHeight="1">
      <c r="A57" s="38"/>
      <c r="B57" s="24"/>
      <c r="C57" s="24"/>
      <c r="D57" s="24"/>
      <c r="E57" s="39"/>
      <c r="F57" s="39"/>
      <c r="G57" s="39"/>
      <c r="H57" s="39"/>
      <c r="I57" s="39"/>
      <c r="J57" s="39"/>
    </row>
    <row r="58" spans="1:11" s="45" customFormat="1" ht="12.75">
      <c r="A58" s="23" t="s">
        <v>134</v>
      </c>
      <c r="B58" s="26"/>
      <c r="C58" s="26"/>
      <c r="D58" s="27"/>
      <c r="E58" s="42"/>
      <c r="F58" s="42"/>
      <c r="G58" s="42"/>
      <c r="H58" s="42"/>
      <c r="I58" s="42"/>
      <c r="J58" s="42"/>
      <c r="K58" s="186"/>
    </row>
    <row r="59" spans="1:10" ht="12.75">
      <c r="A59" s="23" t="s">
        <v>85</v>
      </c>
      <c r="B59" s="26" t="s">
        <v>135</v>
      </c>
      <c r="C59" s="26"/>
      <c r="D59" s="27"/>
      <c r="E59" s="28"/>
      <c r="F59" s="28"/>
      <c r="G59" s="28"/>
      <c r="H59" s="28"/>
      <c r="I59" s="28"/>
      <c r="J59" s="28"/>
    </row>
    <row r="60" spans="1:10" ht="12.75">
      <c r="A60" s="23"/>
      <c r="B60" s="26"/>
      <c r="C60" s="29" t="s">
        <v>120</v>
      </c>
      <c r="D60" s="27"/>
      <c r="E60" s="28">
        <f>SUM(E61:E64)</f>
        <v>97830</v>
      </c>
      <c r="F60" s="28">
        <f>SUM(F61:F64)</f>
        <v>120281.19710991633</v>
      </c>
      <c r="G60" s="28">
        <f>SUM(G61:G64)</f>
        <v>644884</v>
      </c>
      <c r="H60" s="28">
        <f>SUM(H61:H64)</f>
        <v>841968.3797694144</v>
      </c>
      <c r="I60" s="28">
        <f>512867+124110+91+68733</f>
        <v>705801</v>
      </c>
      <c r="J60" s="28">
        <f>SUM(J61:J64)</f>
        <v>743272.4603266667</v>
      </c>
    </row>
    <row r="61" spans="1:10" ht="12.75" hidden="1">
      <c r="A61" s="37"/>
      <c r="B61" s="30"/>
      <c r="C61" s="27" t="s">
        <v>121</v>
      </c>
      <c r="D61" s="27"/>
      <c r="E61" s="28">
        <f>'[8]PL-CM'!$P$61</f>
        <v>87652</v>
      </c>
      <c r="F61" s="28">
        <f>'[8]PL-CM'!$Q$61</f>
        <v>108502.97355</v>
      </c>
      <c r="G61" s="28">
        <f>'[8]PL-YTD'!$P$61</f>
        <v>575712</v>
      </c>
      <c r="H61" s="28">
        <f>'[8]PL-YTD'!$Q$61</f>
        <v>759520.8148500001</v>
      </c>
      <c r="I61" s="28"/>
      <c r="J61" s="28">
        <f>'[9]PL-YTD'!$Q$51</f>
        <v>564859.4</v>
      </c>
    </row>
    <row r="62" spans="1:10" ht="12.75" hidden="1">
      <c r="A62" s="37"/>
      <c r="B62" s="30"/>
      <c r="C62" s="27" t="s">
        <v>136</v>
      </c>
      <c r="D62" s="27"/>
      <c r="E62" s="28">
        <f>'[8]PL-CM'!$P$62</f>
        <v>0</v>
      </c>
      <c r="F62" s="28">
        <f>'[8]PL-CM'!$Q$62</f>
        <v>0</v>
      </c>
      <c r="G62" s="28">
        <f>'[8]PL-YTD'!$P$62</f>
        <v>0</v>
      </c>
      <c r="H62" s="28">
        <f>'[8]PL-YTD'!$Q$62</f>
        <v>0</v>
      </c>
      <c r="I62" s="28"/>
      <c r="J62" s="28">
        <f>'[9]PL-YTD'!$Q$52</f>
        <v>102559.56666666668</v>
      </c>
    </row>
    <row r="63" spans="1:10" ht="12.75" hidden="1">
      <c r="A63" s="37"/>
      <c r="B63" s="30"/>
      <c r="C63" s="27" t="s">
        <v>123</v>
      </c>
      <c r="D63" s="27"/>
      <c r="E63" s="28">
        <f>'[8]PL-CM'!$P$63</f>
        <v>0</v>
      </c>
      <c r="F63" s="28">
        <f>'[8]PL-CM'!$Q$63</f>
        <v>11.227495916330774</v>
      </c>
      <c r="G63" s="28">
        <f>'[8]PL-YTD'!$P$63</f>
        <v>0</v>
      </c>
      <c r="H63" s="28">
        <f>'[8]PL-YTD'!$Q$63</f>
        <v>78.59247141431541</v>
      </c>
      <c r="I63" s="28"/>
      <c r="J63" s="28">
        <f>'[9]PL-YTD'!$Q$53</f>
        <v>2367.00366</v>
      </c>
    </row>
    <row r="64" spans="1:10" ht="12.75" hidden="1">
      <c r="A64" s="37"/>
      <c r="B64" s="30"/>
      <c r="C64" s="27" t="s">
        <v>124</v>
      </c>
      <c r="D64" s="27"/>
      <c r="E64" s="28">
        <f>'[8]PL-CM'!$P$64</f>
        <v>10178</v>
      </c>
      <c r="F64" s="28">
        <f>'[8]PL-CM'!$Q$64</f>
        <v>11766.996064</v>
      </c>
      <c r="G64" s="28">
        <f>'[8]PL-YTD'!$P$64</f>
        <v>69172</v>
      </c>
      <c r="H64" s="28">
        <f>'[8]PL-YTD'!$Q$64</f>
        <v>82368.97244799999</v>
      </c>
      <c r="I64" s="28"/>
      <c r="J64" s="28">
        <f>'[9]PL-YTD'!$Q$54</f>
        <v>73486.48999999999</v>
      </c>
    </row>
    <row r="65" spans="1:11" ht="12.75">
      <c r="A65" s="37"/>
      <c r="B65" s="30"/>
      <c r="C65" s="27" t="s">
        <v>137</v>
      </c>
      <c r="D65" s="27"/>
      <c r="E65" s="28">
        <f>'[8]PL-CM'!$P$65</f>
        <v>15761</v>
      </c>
      <c r="F65" s="28">
        <f>'[8]PL-CM'!$Q$65</f>
        <v>16379.571249999999</v>
      </c>
      <c r="G65" s="28">
        <f>'[8]PL-YTD'!$P$65</f>
        <v>92397</v>
      </c>
      <c r="H65" s="28">
        <f>'[8]PL-YTD'!$Q$65</f>
        <v>114671.64624999999</v>
      </c>
      <c r="I65" s="28">
        <v>105917</v>
      </c>
      <c r="J65" s="28">
        <f>'[9]PL-YTD'!$Q$55</f>
        <v>115252.90333333332</v>
      </c>
      <c r="K65" s="177"/>
    </row>
    <row r="66" spans="1:11" ht="12.75">
      <c r="A66" s="37"/>
      <c r="B66" s="30"/>
      <c r="C66" s="27" t="s">
        <v>138</v>
      </c>
      <c r="D66" s="27"/>
      <c r="E66" s="28">
        <f>'[8]PL-CM'!$P$66</f>
        <v>557</v>
      </c>
      <c r="F66" s="28">
        <f>'[8]PL-CM'!$Q$66</f>
        <v>1874.5125</v>
      </c>
      <c r="G66" s="28">
        <f>'[8]PL-YTD'!$P$66</f>
        <v>10918</v>
      </c>
      <c r="H66" s="28">
        <f>'[8]PL-YTD'!$Q$66</f>
        <v>13121.587500000001</v>
      </c>
      <c r="I66" s="28">
        <v>12323</v>
      </c>
      <c r="J66" s="28">
        <f>'[9]PL-YTD'!$Q$56</f>
        <v>14367.5</v>
      </c>
      <c r="K66" s="177"/>
    </row>
    <row r="67" spans="1:11" ht="12.75">
      <c r="A67" s="37"/>
      <c r="B67" s="30"/>
      <c r="C67" s="27" t="s">
        <v>139</v>
      </c>
      <c r="D67" s="27"/>
      <c r="E67" s="28">
        <f>'[8]PL-CM'!$P$67</f>
        <v>5000</v>
      </c>
      <c r="F67" s="28">
        <f>'[8]PL-CM'!$Q$67</f>
        <v>12500</v>
      </c>
      <c r="G67" s="28">
        <f>'[8]PL-YTD'!$P$67</f>
        <v>-11000</v>
      </c>
      <c r="H67" s="28">
        <f>'[8]PL-YTD'!$Q$67</f>
        <v>87500</v>
      </c>
      <c r="I67" s="28">
        <v>89650</v>
      </c>
      <c r="J67" s="28">
        <f>'[9]PL-YTD'!$Q$57</f>
        <v>87500</v>
      </c>
      <c r="K67" s="177"/>
    </row>
    <row r="68" spans="1:11" ht="12.75">
      <c r="A68" s="37"/>
      <c r="B68" s="30"/>
      <c r="C68" s="27" t="s">
        <v>140</v>
      </c>
      <c r="D68" s="27"/>
      <c r="E68" s="28">
        <f>'[8]PL-CM'!$P$68</f>
        <v>8544</v>
      </c>
      <c r="F68" s="28">
        <f>'[8]PL-CM'!$Q$68</f>
        <v>33870.583333333336</v>
      </c>
      <c r="G68" s="28">
        <f>'[8]PL-YTD'!$P$68</f>
        <v>93215</v>
      </c>
      <c r="H68" s="28">
        <f>'[8]PL-YTD'!$Q$68</f>
        <v>237094.0833333333</v>
      </c>
      <c r="I68" s="28">
        <v>90503</v>
      </c>
      <c r="J68" s="28">
        <f>'[9]PL-YTD'!$Q$58</f>
        <v>60931.4</v>
      </c>
      <c r="K68" s="177"/>
    </row>
    <row r="69" spans="1:10" ht="4.5" customHeight="1">
      <c r="A69" s="38"/>
      <c r="B69" s="24"/>
      <c r="C69" s="24"/>
      <c r="D69" s="24"/>
      <c r="E69" s="39"/>
      <c r="F69" s="39"/>
      <c r="G69" s="39"/>
      <c r="H69" s="39"/>
      <c r="I69" s="39"/>
      <c r="J69" s="39"/>
    </row>
    <row r="70" spans="1:11" ht="12.75">
      <c r="A70" s="52"/>
      <c r="B70" s="26" t="s">
        <v>141</v>
      </c>
      <c r="C70" s="26"/>
      <c r="D70" s="27"/>
      <c r="E70" s="40">
        <f>SUM(E61:E68)</f>
        <v>127692</v>
      </c>
      <c r="F70" s="40">
        <f>SUM(F61:F68)</f>
        <v>184905.8641932497</v>
      </c>
      <c r="G70" s="40">
        <f>SUM(G61:G68)</f>
        <v>830414</v>
      </c>
      <c r="H70" s="40">
        <f>SUM(H61:H68)</f>
        <v>1294355.6968527476</v>
      </c>
      <c r="I70" s="40">
        <f>SUM(I65:I68)+I60</f>
        <v>1004194</v>
      </c>
      <c r="J70" s="40">
        <f>SUM(J61:J68)</f>
        <v>1021324.26366</v>
      </c>
      <c r="K70" s="177"/>
    </row>
    <row r="71" spans="1:10" ht="4.5" customHeight="1">
      <c r="A71" s="20"/>
      <c r="B71" s="21"/>
      <c r="C71" s="21"/>
      <c r="D71" s="24"/>
      <c r="E71" s="39"/>
      <c r="F71" s="39"/>
      <c r="G71" s="39"/>
      <c r="H71" s="39"/>
      <c r="I71" s="39"/>
      <c r="J71" s="39"/>
    </row>
    <row r="72" spans="1:10" ht="12.75">
      <c r="A72" s="52"/>
      <c r="B72" s="26" t="s">
        <v>142</v>
      </c>
      <c r="C72" s="26"/>
      <c r="D72" s="27"/>
      <c r="E72" s="42"/>
      <c r="F72" s="42"/>
      <c r="G72" s="42"/>
      <c r="H72" s="42"/>
      <c r="I72" s="42"/>
      <c r="J72" s="42"/>
    </row>
    <row r="73" spans="1:10" ht="12.75">
      <c r="A73" s="52"/>
      <c r="B73" s="26"/>
      <c r="C73" s="29" t="s">
        <v>120</v>
      </c>
      <c r="D73" s="27"/>
      <c r="E73" s="42">
        <f>SUM(E74:E78)</f>
        <v>468871</v>
      </c>
      <c r="F73" s="42">
        <f>SUM(F74:F78)</f>
        <v>536695.8500966986</v>
      </c>
      <c r="G73" s="42">
        <f>SUM(G74:G78)</f>
        <v>3394568.9</v>
      </c>
      <c r="H73" s="42">
        <f>SUM(H74:H78)</f>
        <v>3756890.300256699</v>
      </c>
      <c r="I73" s="42">
        <f>1998916+491045+109240+355395+161028</f>
        <v>3115624</v>
      </c>
      <c r="J73" s="42">
        <f>SUM(J74:J78)</f>
        <v>3120869.9130972223</v>
      </c>
    </row>
    <row r="74" spans="1:10" ht="12.75" hidden="1">
      <c r="A74" s="52"/>
      <c r="B74" s="27"/>
      <c r="C74" s="27" t="s">
        <v>121</v>
      </c>
      <c r="D74" s="30"/>
      <c r="E74" s="28">
        <f>'[8]PL-CM'!$P$74</f>
        <v>363922</v>
      </c>
      <c r="F74" s="28">
        <f>'[8]PL-CM'!$Q$74</f>
        <v>402045.11706666666</v>
      </c>
      <c r="G74" s="28">
        <f>'[8]PL-YTD'!$P$74</f>
        <v>2609363.9</v>
      </c>
      <c r="H74" s="28">
        <f>'[8]PL-YTD'!$Q$74</f>
        <v>2814315.819466667</v>
      </c>
      <c r="I74" s="28"/>
      <c r="J74" s="28">
        <f>'[9]PL-YTD'!$Q$63</f>
        <v>2040673.2208333334</v>
      </c>
    </row>
    <row r="75" spans="1:10" ht="12.75" hidden="1">
      <c r="A75" s="52"/>
      <c r="B75" s="27"/>
      <c r="C75" s="27" t="s">
        <v>136</v>
      </c>
      <c r="D75" s="30"/>
      <c r="E75" s="28">
        <f>'[8]PL-CM'!$P$75</f>
        <v>0</v>
      </c>
      <c r="F75" s="28">
        <f>'[8]PL-CM'!$Q$75</f>
        <v>0</v>
      </c>
      <c r="G75" s="28">
        <f>'[8]PL-YTD'!$P$75</f>
        <v>0</v>
      </c>
      <c r="H75" s="28">
        <f>'[8]PL-YTD'!$Q$75</f>
        <v>0</v>
      </c>
      <c r="I75" s="28"/>
      <c r="J75" s="28">
        <f>'[9]PL-YTD'!$Q$64</f>
        <v>380916.77322222234</v>
      </c>
    </row>
    <row r="76" spans="1:10" ht="12.75" hidden="1">
      <c r="A76" s="52"/>
      <c r="B76" s="27"/>
      <c r="C76" s="27" t="s">
        <v>123</v>
      </c>
      <c r="D76" s="30"/>
      <c r="E76" s="28">
        <f>'[8]PL-CM'!$P$76</f>
        <v>10017</v>
      </c>
      <c r="F76" s="28">
        <f>'[8]PL-CM'!$Q$76</f>
        <v>22990.550895365337</v>
      </c>
      <c r="G76" s="28">
        <f>'[8]PL-YTD'!$P$76</f>
        <v>90113</v>
      </c>
      <c r="H76" s="28">
        <f>'[8]PL-YTD'!$Q$76</f>
        <v>160953.20584736535</v>
      </c>
      <c r="I76" s="28"/>
      <c r="J76" s="28">
        <f>'[9]PL-YTD'!$Q$65</f>
        <v>134913.3769958333</v>
      </c>
    </row>
    <row r="77" spans="1:10" ht="12.75" hidden="1">
      <c r="A77" s="52"/>
      <c r="B77" s="27"/>
      <c r="C77" s="27" t="s">
        <v>143</v>
      </c>
      <c r="D77" s="30"/>
      <c r="E77" s="28">
        <f>'[8]PL-CM'!$P$77</f>
        <v>55895</v>
      </c>
      <c r="F77" s="28">
        <f>'[8]PL-CM'!$Q$77</f>
        <v>59699.732134666665</v>
      </c>
      <c r="G77" s="28">
        <f>'[8]PL-YTD'!$P$77</f>
        <v>421913</v>
      </c>
      <c r="H77" s="28">
        <f>'[8]PL-YTD'!$Q$77</f>
        <v>417898.1249426667</v>
      </c>
      <c r="I77" s="28"/>
      <c r="J77" s="28">
        <f>'[9]PL-YTD'!$Q$66</f>
        <v>362850.54204583337</v>
      </c>
    </row>
    <row r="78" spans="1:11" ht="12.75" hidden="1">
      <c r="A78" s="52"/>
      <c r="B78" s="27"/>
      <c r="C78" s="27" t="s">
        <v>144</v>
      </c>
      <c r="D78" s="30"/>
      <c r="E78" s="28">
        <f>'[8]PL-CM'!$P$78</f>
        <v>39037</v>
      </c>
      <c r="F78" s="28">
        <f>'[8]PL-CM'!$Q$78</f>
        <v>51960.45</v>
      </c>
      <c r="G78" s="28">
        <f>'[8]PL-YTD'!$P$78</f>
        <v>273179</v>
      </c>
      <c r="H78" s="28">
        <f>'[8]PL-YTD'!$Q$78</f>
        <v>363723.15</v>
      </c>
      <c r="I78" s="28"/>
      <c r="J78" s="28">
        <f>'[9]PL-YTD'!$Q$67</f>
        <v>201516</v>
      </c>
      <c r="K78" s="177"/>
    </row>
    <row r="79" spans="1:10" ht="12.75">
      <c r="A79" s="52"/>
      <c r="B79" s="27"/>
      <c r="C79" s="27" t="s">
        <v>145</v>
      </c>
      <c r="D79" s="30"/>
      <c r="E79" s="28">
        <f>'[8]PL-CM'!$P$79</f>
        <v>4720</v>
      </c>
      <c r="F79" s="28">
        <f>'[8]PL-CM'!$Q$79</f>
        <v>4063.6358333333337</v>
      </c>
      <c r="G79" s="28">
        <f>'[8]PL-YTD'!$P$79</f>
        <v>20501</v>
      </c>
      <c r="H79" s="28">
        <f>'[8]PL-YTD'!$Q$79</f>
        <v>28445.450833333332</v>
      </c>
      <c r="I79" s="28">
        <v>18275</v>
      </c>
      <c r="J79" s="28">
        <f>'[9]PL-YTD'!$Q$68</f>
        <v>6204.333333333333</v>
      </c>
    </row>
    <row r="80" spans="1:10" ht="12.75">
      <c r="A80" s="52"/>
      <c r="B80" s="27"/>
      <c r="C80" s="27" t="s">
        <v>146</v>
      </c>
      <c r="D80" s="30"/>
      <c r="E80" s="28">
        <f>'[8]PL-CM'!$P$80</f>
        <v>40546</v>
      </c>
      <c r="F80" s="28">
        <f>'[8]PL-CM'!$Q$80</f>
        <v>34833.607461116226</v>
      </c>
      <c r="G80" s="28">
        <f>'[8]PL-YTD'!$P$80</f>
        <v>300814</v>
      </c>
      <c r="H80" s="28">
        <f>'[8]PL-YTD'!$Q$80</f>
        <v>243835.2522278136</v>
      </c>
      <c r="I80" s="28">
        <v>222988</v>
      </c>
      <c r="J80" s="28">
        <f>'[9]PL-YTD'!$Q$69</f>
        <v>143476.45783333335</v>
      </c>
    </row>
    <row r="81" spans="1:10" ht="12.75">
      <c r="A81" s="52"/>
      <c r="B81" s="27"/>
      <c r="C81" s="27" t="s">
        <v>147</v>
      </c>
      <c r="D81" s="30"/>
      <c r="E81" s="28">
        <f>'[8]PL-CM'!$P$81</f>
        <v>10712</v>
      </c>
      <c r="F81" s="28">
        <f>'[8]PL-CM'!$Q$81</f>
        <v>15678.264166666668</v>
      </c>
      <c r="G81" s="28">
        <f>'[8]PL-YTD'!$P$81</f>
        <v>122765</v>
      </c>
      <c r="H81" s="28">
        <f>'[8]PL-YTD'!$Q$81</f>
        <v>108700.01916666667</v>
      </c>
      <c r="I81" s="28">
        <v>107331</v>
      </c>
      <c r="J81" s="28">
        <f>'[9]PL-YTD'!$Q$70</f>
        <v>114830.18008097073</v>
      </c>
    </row>
    <row r="82" spans="1:10" ht="12.75">
      <c r="A82" s="52"/>
      <c r="B82" s="27"/>
      <c r="C82" s="27" t="s">
        <v>148</v>
      </c>
      <c r="D82" s="30"/>
      <c r="E82" s="28">
        <f>'[8]PL-CM'!$P$82</f>
        <v>2910</v>
      </c>
      <c r="F82" s="28">
        <f>'[8]PL-CM'!$Q$82</f>
        <v>2458.333333333333</v>
      </c>
      <c r="G82" s="28">
        <f>'[8]PL-YTD'!$P$82</f>
        <v>28302</v>
      </c>
      <c r="H82" s="28">
        <f>'[8]PL-YTD'!$Q$82</f>
        <v>17208.333333333336</v>
      </c>
      <c r="I82" s="28">
        <v>21628</v>
      </c>
      <c r="J82" s="28">
        <f>'[9]PL-YTD'!$Q$71</f>
        <v>14000</v>
      </c>
    </row>
    <row r="83" spans="1:10" ht="12.75">
      <c r="A83" s="52"/>
      <c r="B83" s="27"/>
      <c r="C83" s="27" t="s">
        <v>149</v>
      </c>
      <c r="D83" s="30"/>
      <c r="E83" s="28">
        <f>'[8]PL-CM'!$P$83</f>
        <v>44174</v>
      </c>
      <c r="F83" s="28">
        <f>'[8]PL-CM'!$Q$83</f>
        <v>39296.325</v>
      </c>
      <c r="G83" s="28">
        <f>'[8]PL-YTD'!$P$83</f>
        <v>261326</v>
      </c>
      <c r="H83" s="28">
        <f>'[8]PL-YTD'!$Q$83</f>
        <v>275074.275</v>
      </c>
      <c r="I83" s="28">
        <v>212012</v>
      </c>
      <c r="J83" s="28">
        <f>'[9]PL-YTD'!$Q$72</f>
        <v>162351.25083333332</v>
      </c>
    </row>
    <row r="84" spans="1:10" ht="12.75">
      <c r="A84" s="52"/>
      <c r="B84" s="27"/>
      <c r="C84" s="27" t="s">
        <v>150</v>
      </c>
      <c r="D84" s="30"/>
      <c r="E84" s="28">
        <f>'[8]PL-CM'!$P$84</f>
        <v>119301</v>
      </c>
      <c r="F84" s="28">
        <f>'[8]PL-CM'!$Q$84</f>
        <v>120340.87172333334</v>
      </c>
      <c r="G84" s="28">
        <f>'[8]PL-YTD'!$P$84</f>
        <v>825982</v>
      </c>
      <c r="H84" s="28">
        <f>'[8]PL-YTD'!$Q$84</f>
        <v>842518.6817233334</v>
      </c>
      <c r="I84" s="28">
        <v>752345</v>
      </c>
      <c r="J84" s="28">
        <f>'[9]PL-YTD'!$Q$73</f>
        <v>712779.0775</v>
      </c>
    </row>
    <row r="85" spans="1:10" ht="12.75">
      <c r="A85" s="52"/>
      <c r="B85" s="27"/>
      <c r="C85" s="27" t="s">
        <v>151</v>
      </c>
      <c r="D85" s="30"/>
      <c r="E85" s="28">
        <f>'[8]PL-CM'!$P$85</f>
        <v>41560</v>
      </c>
      <c r="F85" s="28">
        <f>'[8]PL-CM'!$Q$85</f>
        <v>37659.31833333333</v>
      </c>
      <c r="G85" s="28">
        <f>'[8]PL-YTD'!$P$85</f>
        <v>277007</v>
      </c>
      <c r="H85" s="28">
        <f>'[8]PL-YTD'!$Q$85</f>
        <v>263654.03833333333</v>
      </c>
      <c r="I85" s="28">
        <v>244126</v>
      </c>
      <c r="J85" s="28">
        <f>'[9]PL-YTD'!$Q$74</f>
        <v>213621.46575</v>
      </c>
    </row>
    <row r="86" spans="1:10" ht="12.75">
      <c r="A86" s="52"/>
      <c r="B86" s="27"/>
      <c r="C86" s="27" t="s">
        <v>152</v>
      </c>
      <c r="D86" s="30"/>
      <c r="E86" s="28">
        <f>'[8]PL-CM'!$P$86</f>
        <v>10465</v>
      </c>
      <c r="F86" s="28">
        <f>'[8]PL-CM'!$Q$86</f>
        <v>12235.366666666667</v>
      </c>
      <c r="G86" s="28">
        <f>'[8]PL-YTD'!$P$86</f>
        <v>84851</v>
      </c>
      <c r="H86" s="28">
        <f>'[8]PL-YTD'!$Q$86</f>
        <v>85647.56666666667</v>
      </c>
      <c r="I86" s="28">
        <v>80055</v>
      </c>
      <c r="J86" s="28">
        <f>'[9]PL-YTD'!$Q$75</f>
        <v>75706.40583333334</v>
      </c>
    </row>
    <row r="87" spans="1:10" ht="12.75">
      <c r="A87" s="52"/>
      <c r="B87" s="27"/>
      <c r="C87" s="27" t="s">
        <v>153</v>
      </c>
      <c r="D87" s="30"/>
      <c r="E87" s="28">
        <f>'[8]PL-CM'!$P$87</f>
        <v>153290</v>
      </c>
      <c r="F87" s="28">
        <f>'[8]PL-CM'!$Q$87</f>
        <v>256765.42839499662</v>
      </c>
      <c r="G87" s="28">
        <f>'[8]PL-YTD'!$P$87</f>
        <v>1044049</v>
      </c>
      <c r="H87" s="28">
        <f>'[8]PL-YTD'!$Q$87</f>
        <v>1632935.392717529</v>
      </c>
      <c r="I87" s="28">
        <v>948926</v>
      </c>
      <c r="J87" s="28">
        <f>'[9]PL-YTD'!$Q$76</f>
        <v>1222721.59</v>
      </c>
    </row>
    <row r="88" spans="1:10" ht="12.75">
      <c r="A88" s="52"/>
      <c r="B88" s="27"/>
      <c r="C88" s="27" t="s">
        <v>154</v>
      </c>
      <c r="D88" s="30"/>
      <c r="E88" s="28">
        <f>'[8]PL-CM'!$P$88</f>
        <v>118169</v>
      </c>
      <c r="F88" s="28">
        <f>'[8]PL-CM'!$Q$88</f>
        <v>116181.1722222222</v>
      </c>
      <c r="G88" s="28">
        <f>'[8]PL-YTD'!$P$88</f>
        <v>816921</v>
      </c>
      <c r="H88" s="28">
        <f>'[8]PL-YTD'!$Q$88</f>
        <v>813268.2055555556</v>
      </c>
      <c r="I88" s="28">
        <v>802774</v>
      </c>
      <c r="J88" s="28">
        <f>'[9]PL-YTD'!$Q$77</f>
        <v>782232.4933333334</v>
      </c>
    </row>
    <row r="89" spans="1:10" ht="12.75">
      <c r="A89" s="52"/>
      <c r="B89" s="27"/>
      <c r="C89" s="27" t="s">
        <v>155</v>
      </c>
      <c r="D89" s="30"/>
      <c r="E89" s="28">
        <f>'[8]PL-CM'!$P$89</f>
        <v>11054</v>
      </c>
      <c r="F89" s="28">
        <f>'[8]PL-CM'!$Q$89</f>
        <v>10186.075</v>
      </c>
      <c r="G89" s="28">
        <f>'[8]PL-YTD'!$P$89</f>
        <v>78142</v>
      </c>
      <c r="H89" s="28">
        <f>'[8]PL-YTD'!$Q$89</f>
        <v>71302.525</v>
      </c>
      <c r="I89" s="28">
        <v>69356</v>
      </c>
      <c r="J89" s="28">
        <f>'[9]PL-YTD'!$Q$78</f>
        <v>55793.045000000006</v>
      </c>
    </row>
    <row r="90" spans="1:10" ht="12.75">
      <c r="A90" s="52"/>
      <c r="B90" s="27"/>
      <c r="C90" s="27" t="s">
        <v>156</v>
      </c>
      <c r="D90" s="30"/>
      <c r="E90" s="28">
        <f>'[8]PL-CM'!$P$90</f>
        <v>54971</v>
      </c>
      <c r="F90" s="28">
        <f>'[8]PL-CM'!$Q$90</f>
        <v>40129.36815416667</v>
      </c>
      <c r="G90" s="28">
        <f>'[8]PL-YTD'!$P$90</f>
        <v>276484</v>
      </c>
      <c r="H90" s="28">
        <f>'[8]PL-YTD'!$Q$90</f>
        <v>280929.4994041667</v>
      </c>
      <c r="I90" s="28">
        <v>273188</v>
      </c>
      <c r="J90" s="28">
        <f>'[9]PL-YTD'!$Q$79</f>
        <v>206370.61666666667</v>
      </c>
    </row>
    <row r="91" spans="1:10" ht="12.75">
      <c r="A91" s="52"/>
      <c r="B91" s="27"/>
      <c r="C91" s="27" t="s">
        <v>157</v>
      </c>
      <c r="D91" s="30"/>
      <c r="E91" s="28">
        <f>'[8]PL-CM'!$P$91</f>
        <v>6305</v>
      </c>
      <c r="F91" s="28">
        <f>'[8]PL-CM'!$Q$91</f>
        <v>6523.362499999999</v>
      </c>
      <c r="G91" s="28">
        <f>'[8]PL-YTD'!$P$91</f>
        <v>41535</v>
      </c>
      <c r="H91" s="28">
        <f>'[8]PL-YTD'!$Q$91</f>
        <v>45663.537500000006</v>
      </c>
      <c r="I91" s="28">
        <v>44944</v>
      </c>
      <c r="J91" s="28">
        <f>'[9]PL-YTD'!$Q$80</f>
        <v>45699.278333333335</v>
      </c>
    </row>
    <row r="92" spans="1:10" ht="12.75">
      <c r="A92" s="52"/>
      <c r="B92" s="27"/>
      <c r="C92" s="27" t="s">
        <v>158</v>
      </c>
      <c r="D92" s="43"/>
      <c r="E92" s="28">
        <f>'[8]PL-CM'!$P$92</f>
        <v>0</v>
      </c>
      <c r="F92" s="28">
        <f>'[8]PL-CM'!$Q$92</f>
        <v>0</v>
      </c>
      <c r="G92" s="28">
        <f>'[8]PL-YTD'!$P$92</f>
        <v>0</v>
      </c>
      <c r="H92" s="28">
        <f>'[8]PL-YTD'!$Q$92</f>
        <v>0</v>
      </c>
      <c r="I92" s="28">
        <v>0</v>
      </c>
      <c r="J92" s="28">
        <f>'[9]PL-YTD'!$Q$81</f>
        <v>0</v>
      </c>
    </row>
    <row r="93" spans="1:10" ht="12.75">
      <c r="A93" s="52"/>
      <c r="B93" s="27"/>
      <c r="C93" s="27" t="s">
        <v>159</v>
      </c>
      <c r="D93" s="43"/>
      <c r="E93" s="28">
        <f>'[8]PL-CM'!$P$93</f>
        <v>24327</v>
      </c>
      <c r="F93" s="28">
        <f>'[8]PL-CM'!$Q$93</f>
        <v>39042.68836456666</v>
      </c>
      <c r="G93" s="28">
        <f>'[8]PL-YTD'!$P$93</f>
        <v>77574</v>
      </c>
      <c r="H93" s="28">
        <f>'[8]PL-YTD'!$Q$93</f>
        <v>273694.3091551289</v>
      </c>
      <c r="I93" s="28">
        <v>-175793</v>
      </c>
      <c r="J93" s="28">
        <f>'[9]PL-YTD'!$Q$82</f>
        <v>156588.12416761264</v>
      </c>
    </row>
    <row r="94" spans="1:10" ht="12.75">
      <c r="A94" s="52"/>
      <c r="B94" s="27"/>
      <c r="C94" s="27" t="s">
        <v>160</v>
      </c>
      <c r="D94" s="43"/>
      <c r="E94" s="28">
        <f>'[8]PL-CM'!$P$94</f>
        <v>0</v>
      </c>
      <c r="F94" s="28">
        <f>'[8]PL-CM'!$Q$94</f>
        <v>-6250</v>
      </c>
      <c r="G94" s="28">
        <f>'[8]PL-YTD'!$P$94</f>
        <v>-11437</v>
      </c>
      <c r="H94" s="28">
        <f>'[8]PL-YTD'!$Q$94</f>
        <v>-43750</v>
      </c>
      <c r="I94" s="28">
        <v>-74830</v>
      </c>
      <c r="J94" s="28">
        <f>'[9]PL-YTD'!$Q$83</f>
        <v>0</v>
      </c>
    </row>
    <row r="95" spans="1:10" ht="12.75">
      <c r="A95" s="52"/>
      <c r="B95" s="27"/>
      <c r="C95" s="29" t="s">
        <v>161</v>
      </c>
      <c r="D95" s="53"/>
      <c r="E95" s="28">
        <f>'[8]PL-CM'!$P$95</f>
        <v>1631</v>
      </c>
      <c r="F95" s="28">
        <f>'[8]PL-CM'!$Q$95</f>
        <v>4388.9158333333335</v>
      </c>
      <c r="G95" s="28">
        <f>'[8]PL-YTD'!$P$95</f>
        <v>13970</v>
      </c>
      <c r="H95" s="28">
        <f>'[8]PL-YTD'!$Q$95</f>
        <v>30722.410833333328</v>
      </c>
      <c r="I95" s="28">
        <v>40865</v>
      </c>
      <c r="J95" s="28">
        <f>'[9]PL-YTD'!$Q$84</f>
        <v>6815.964166666667</v>
      </c>
    </row>
    <row r="96" spans="1:10" ht="12.75">
      <c r="A96" s="52"/>
      <c r="B96" s="27"/>
      <c r="C96" s="27" t="s">
        <v>162</v>
      </c>
      <c r="D96" s="43"/>
      <c r="E96" s="28">
        <f>'[8]PL-CM'!$P$96</f>
        <v>60115.14</v>
      </c>
      <c r="F96" s="28">
        <f>'[8]PL-CM'!$Q$96</f>
        <v>0</v>
      </c>
      <c r="G96" s="28">
        <f>'[8]PL-YTD'!$P$96</f>
        <v>29348.14</v>
      </c>
      <c r="H96" s="28">
        <f>'[8]PL-YTD'!$Q$96</f>
        <v>0</v>
      </c>
      <c r="I96" s="28">
        <v>54163</v>
      </c>
      <c r="J96" s="28">
        <f>'[9]PL-YTD'!$Q$85</f>
        <v>0</v>
      </c>
    </row>
    <row r="97" spans="1:10" ht="12.75">
      <c r="A97" s="52"/>
      <c r="B97" s="27"/>
      <c r="C97" s="27" t="s">
        <v>163</v>
      </c>
      <c r="D97" s="43"/>
      <c r="E97" s="28">
        <f>'[8]PL-CM'!$P$97</f>
        <v>0</v>
      </c>
      <c r="F97" s="28">
        <f>'[8]PL-CM'!$Q$97</f>
        <v>0</v>
      </c>
      <c r="G97" s="28">
        <f>'[8]PL-YTD'!$P$97</f>
        <v>0</v>
      </c>
      <c r="H97" s="28">
        <f>'[8]PL-YTD'!$Q$97</f>
        <v>0</v>
      </c>
      <c r="I97" s="28">
        <v>1</v>
      </c>
      <c r="J97" s="28">
        <f>'[9]PL-YTD'!$Q$85</f>
        <v>0</v>
      </c>
    </row>
    <row r="98" spans="1:10" ht="4.5" customHeight="1">
      <c r="A98" s="38"/>
      <c r="B98" s="24"/>
      <c r="C98" s="24"/>
      <c r="D98" s="24"/>
      <c r="E98" s="39"/>
      <c r="F98" s="39"/>
      <c r="G98" s="39"/>
      <c r="H98" s="39"/>
      <c r="I98" s="39"/>
      <c r="J98" s="39"/>
    </row>
    <row r="99" spans="1:11" ht="12.75">
      <c r="A99" s="52"/>
      <c r="B99" s="26" t="s">
        <v>164</v>
      </c>
      <c r="C99" s="26"/>
      <c r="D99" s="27"/>
      <c r="E99" s="40">
        <f>SUM(E74:E97)</f>
        <v>1173121.14</v>
      </c>
      <c r="F99" s="40">
        <f>SUM(F74:F97)</f>
        <v>1270228.5830837672</v>
      </c>
      <c r="G99" s="40">
        <f>SUM(G74:G97)</f>
        <v>7682703.04</v>
      </c>
      <c r="H99" s="40">
        <f>SUM(H74:H97)</f>
        <v>8726739.79770689</v>
      </c>
      <c r="I99" s="40">
        <f>SUM(I79:I97)+I73</f>
        <v>6757978</v>
      </c>
      <c r="J99" s="40">
        <f>SUM(J74:J97)</f>
        <v>7040060.195929139</v>
      </c>
      <c r="K99" s="177"/>
    </row>
    <row r="100" spans="1:10" ht="4.5" customHeight="1">
      <c r="A100" s="38"/>
      <c r="B100" s="24"/>
      <c r="C100" s="24"/>
      <c r="D100" s="24"/>
      <c r="E100" s="39"/>
      <c r="F100" s="39"/>
      <c r="G100" s="39"/>
      <c r="H100" s="39"/>
      <c r="I100" s="39"/>
      <c r="J100" s="39"/>
    </row>
    <row r="101" spans="1:10" ht="12.75">
      <c r="A101" s="23" t="s">
        <v>165</v>
      </c>
      <c r="B101" s="26"/>
      <c r="C101" s="26"/>
      <c r="D101" s="27"/>
      <c r="E101" s="28">
        <f aca="true" t="shared" si="4" ref="E101:J101">E99+E70</f>
        <v>1300813.14</v>
      </c>
      <c r="F101" s="28">
        <f t="shared" si="4"/>
        <v>1455134.447277017</v>
      </c>
      <c r="G101" s="28">
        <f t="shared" si="4"/>
        <v>8513117.04</v>
      </c>
      <c r="H101" s="28">
        <f t="shared" si="4"/>
        <v>10021095.494559638</v>
      </c>
      <c r="I101" s="28">
        <f t="shared" si="4"/>
        <v>7762172</v>
      </c>
      <c r="J101" s="28">
        <f t="shared" si="4"/>
        <v>8061384.459589139</v>
      </c>
    </row>
    <row r="102" spans="1:10" ht="4.5" customHeight="1">
      <c r="A102" s="38"/>
      <c r="B102" s="24"/>
      <c r="C102" s="24"/>
      <c r="D102" s="24"/>
      <c r="E102" s="39"/>
      <c r="F102" s="39"/>
      <c r="G102" s="39"/>
      <c r="H102" s="39"/>
      <c r="I102" s="39"/>
      <c r="J102" s="39"/>
    </row>
    <row r="103" spans="1:10" ht="12.75">
      <c r="A103" s="23" t="s">
        <v>166</v>
      </c>
      <c r="B103" s="24"/>
      <c r="C103" s="24"/>
      <c r="D103" s="24"/>
      <c r="E103" s="39">
        <f aca="true" t="shared" si="5" ref="E103:J103">+E36+E50+E70+E99</f>
        <v>4766570.14</v>
      </c>
      <c r="F103" s="39">
        <f t="shared" si="5"/>
        <v>4830962.467332998</v>
      </c>
      <c r="G103" s="39">
        <f t="shared" si="5"/>
        <v>31940032.04</v>
      </c>
      <c r="H103" s="39">
        <f t="shared" si="5"/>
        <v>33684497.85986954</v>
      </c>
      <c r="I103" s="39">
        <f t="shared" si="5"/>
        <v>28455642</v>
      </c>
      <c r="J103" s="39">
        <f t="shared" si="5"/>
        <v>30201712.211044602</v>
      </c>
    </row>
    <row r="104" spans="1:10" ht="4.5" customHeight="1">
      <c r="A104" s="38"/>
      <c r="B104" s="24"/>
      <c r="C104" s="24"/>
      <c r="D104" s="24"/>
      <c r="E104" s="39"/>
      <c r="F104" s="39"/>
      <c r="G104" s="39"/>
      <c r="H104" s="39"/>
      <c r="I104" s="39"/>
      <c r="J104" s="39"/>
    </row>
    <row r="105" spans="1:10" ht="12.75">
      <c r="A105" s="23" t="s">
        <v>167</v>
      </c>
      <c r="B105" s="26"/>
      <c r="C105" s="26"/>
      <c r="D105" s="27"/>
      <c r="E105" s="28">
        <f aca="true" t="shared" si="6" ref="E105:J105">E21-E103</f>
        <v>774652</v>
      </c>
      <c r="F105" s="28">
        <f t="shared" si="6"/>
        <v>974729.9155867798</v>
      </c>
      <c r="G105" s="28">
        <f t="shared" si="6"/>
        <v>4858814.1000000015</v>
      </c>
      <c r="H105" s="28">
        <f t="shared" si="6"/>
        <v>7107358.891482651</v>
      </c>
      <c r="I105" s="28">
        <f t="shared" si="6"/>
        <v>5845793</v>
      </c>
      <c r="J105" s="28">
        <f t="shared" si="6"/>
        <v>8208087.588888735</v>
      </c>
    </row>
    <row r="106" spans="1:10" ht="12.75">
      <c r="A106" s="54"/>
      <c r="B106" s="27"/>
      <c r="C106" s="27" t="s">
        <v>168</v>
      </c>
      <c r="D106" s="27"/>
      <c r="E106" s="28">
        <f>'[8]PL-CM'!$P$106</f>
        <v>29334</v>
      </c>
      <c r="F106" s="28">
        <f>'[8]PL-CM'!$Q$106</f>
        <v>47711.2926</v>
      </c>
      <c r="G106" s="28">
        <f>'[8]PL-YTD'!$P$106</f>
        <v>279259</v>
      </c>
      <c r="H106" s="28">
        <f>'[8]PL-YTD'!$Q$106</f>
        <v>257357.60892</v>
      </c>
      <c r="I106" s="28">
        <v>343991</v>
      </c>
      <c r="J106" s="28">
        <f>'[9]PL-YTD'!$Q$95</f>
        <v>129616.37581666667</v>
      </c>
    </row>
    <row r="107" spans="1:10" ht="4.5" customHeight="1">
      <c r="A107" s="38"/>
      <c r="B107" s="24"/>
      <c r="C107" s="24"/>
      <c r="D107" s="24"/>
      <c r="E107" s="39"/>
      <c r="F107" s="39"/>
      <c r="G107" s="39"/>
      <c r="H107" s="39"/>
      <c r="I107" s="39"/>
      <c r="J107" s="39"/>
    </row>
    <row r="108" spans="1:11" ht="13.5" thickBot="1">
      <c r="A108" s="23" t="s">
        <v>169</v>
      </c>
      <c r="B108" s="26"/>
      <c r="C108" s="26"/>
      <c r="D108" s="27"/>
      <c r="E108" s="55">
        <f aca="true" t="shared" si="7" ref="E108:J108">E105+E106</f>
        <v>803986</v>
      </c>
      <c r="F108" s="55">
        <f t="shared" si="7"/>
        <v>1022441.2081867799</v>
      </c>
      <c r="G108" s="55">
        <f t="shared" si="7"/>
        <v>5138073.1000000015</v>
      </c>
      <c r="H108" s="56">
        <f t="shared" si="7"/>
        <v>7364716.500402651</v>
      </c>
      <c r="I108" s="55">
        <f t="shared" si="7"/>
        <v>6189784</v>
      </c>
      <c r="J108" s="56">
        <f t="shared" si="7"/>
        <v>8337703.964705401</v>
      </c>
      <c r="K108" s="177"/>
    </row>
    <row r="109" spans="1:10" ht="4.5" customHeight="1" thickTop="1">
      <c r="A109" s="52"/>
      <c r="B109" s="30"/>
      <c r="C109" s="30"/>
      <c r="D109" s="30"/>
      <c r="E109" s="57"/>
      <c r="F109" s="57"/>
      <c r="G109" s="57"/>
      <c r="H109" s="57"/>
      <c r="I109" s="57"/>
      <c r="J109" s="57"/>
    </row>
    <row r="110" spans="1:10" ht="12.75">
      <c r="A110" s="52"/>
      <c r="C110" s="27" t="s">
        <v>11</v>
      </c>
      <c r="E110" s="28">
        <f>'[8]PL-CM'!$P$110</f>
        <v>0</v>
      </c>
      <c r="F110" s="28">
        <f>'[8]PL-CM'!$Q$110</f>
        <v>292466.5</v>
      </c>
      <c r="G110" s="28">
        <f>'[8]PL-YTD'!$P$110</f>
        <v>1722155</v>
      </c>
      <c r="H110" s="28">
        <f>'[8]PL-YTD'!$Q$110</f>
        <v>2047265.5</v>
      </c>
      <c r="I110" s="188">
        <f>254833.25*7</f>
        <v>1783832.75</v>
      </c>
      <c r="J110" s="28" t="e">
        <f>'[9]PL-YTD'!$Q$110</f>
        <v>#REF!</v>
      </c>
    </row>
    <row r="111" spans="1:10" ht="4.5" customHeight="1">
      <c r="A111" s="52"/>
      <c r="E111" s="59"/>
      <c r="F111" s="60"/>
      <c r="G111" s="60"/>
      <c r="H111" s="60"/>
      <c r="I111" s="60"/>
      <c r="J111" s="60"/>
    </row>
    <row r="112" spans="1:10" ht="13.5" thickBot="1">
      <c r="A112" s="23" t="s">
        <v>170</v>
      </c>
      <c r="E112" s="55">
        <f aca="true" t="shared" si="8" ref="E112:J112">E108-E110</f>
        <v>803986</v>
      </c>
      <c r="F112" s="55">
        <f t="shared" si="8"/>
        <v>729974.7081867799</v>
      </c>
      <c r="G112" s="55">
        <f t="shared" si="8"/>
        <v>3415918.1000000015</v>
      </c>
      <c r="H112" s="56">
        <f t="shared" si="8"/>
        <v>5317451.000402651</v>
      </c>
      <c r="I112" s="55">
        <f t="shared" si="8"/>
        <v>4405951.25</v>
      </c>
      <c r="J112" s="56" t="e">
        <f t="shared" si="8"/>
        <v>#REF!</v>
      </c>
    </row>
    <row r="113" spans="1:11" ht="4.5" customHeight="1" thickTop="1">
      <c r="A113" s="23"/>
      <c r="E113" s="61"/>
      <c r="F113" s="61"/>
      <c r="G113" s="61"/>
      <c r="H113" s="61"/>
      <c r="I113" s="62"/>
      <c r="J113" s="63"/>
      <c r="K113" s="3"/>
    </row>
    <row r="114" spans="1:11" ht="12.75">
      <c r="A114" s="52"/>
      <c r="C114" s="27" t="s">
        <v>171</v>
      </c>
      <c r="E114" s="28">
        <f>'[8]PL-CM'!$P$114</f>
        <v>0</v>
      </c>
      <c r="F114" s="28">
        <f>'[8]PL-CM'!$Q$114</f>
        <v>0</v>
      </c>
      <c r="G114" s="28">
        <f>'[8]PL-YTD'!$P$114</f>
        <v>1914879</v>
      </c>
      <c r="H114" s="28">
        <f>'[8]PL-YTD'!$Q$114</f>
        <v>0</v>
      </c>
      <c r="I114" s="73">
        <v>0</v>
      </c>
      <c r="J114" s="65">
        <v>0</v>
      </c>
      <c r="K114" s="3"/>
    </row>
    <row r="115" spans="1:11" ht="4.5" customHeight="1">
      <c r="A115" s="52"/>
      <c r="E115" s="59"/>
      <c r="F115" s="60"/>
      <c r="G115" s="60"/>
      <c r="H115" s="60"/>
      <c r="I115" s="66"/>
      <c r="J115" s="67"/>
      <c r="K115" s="3"/>
    </row>
    <row r="116" spans="1:11" ht="13.5" thickBot="1">
      <c r="A116" s="68" t="s">
        <v>172</v>
      </c>
      <c r="E116" s="55">
        <f aca="true" t="shared" si="9" ref="E116:J116">E112-E114</f>
        <v>803986</v>
      </c>
      <c r="F116" s="55">
        <f t="shared" si="9"/>
        <v>729974.7081867799</v>
      </c>
      <c r="G116" s="55">
        <f t="shared" si="9"/>
        <v>1501039.1000000015</v>
      </c>
      <c r="H116" s="56">
        <f t="shared" si="9"/>
        <v>5317451.000402651</v>
      </c>
      <c r="I116" s="56">
        <f t="shared" si="9"/>
        <v>4405951.25</v>
      </c>
      <c r="J116" s="56" t="e">
        <f t="shared" si="9"/>
        <v>#REF!</v>
      </c>
      <c r="K116" s="3"/>
    </row>
    <row r="117" spans="1:11" ht="4.5" customHeight="1" thickTop="1">
      <c r="A117" s="69"/>
      <c r="B117" s="17"/>
      <c r="C117" s="17"/>
      <c r="D117" s="17"/>
      <c r="E117" s="17"/>
      <c r="F117" s="17"/>
      <c r="G117" s="17"/>
      <c r="H117" s="70"/>
      <c r="I117" s="70"/>
      <c r="J117" s="71"/>
      <c r="K117" s="189"/>
    </row>
  </sheetData>
  <mergeCells count="7">
    <mergeCell ref="I5:J5"/>
    <mergeCell ref="G7:H7"/>
    <mergeCell ref="I7:J7"/>
    <mergeCell ref="A1:H1"/>
    <mergeCell ref="A2:H2"/>
    <mergeCell ref="A3:H3"/>
    <mergeCell ref="G5:H5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7"/>
  <sheetViews>
    <sheetView workbookViewId="0" topLeftCell="E100">
      <selection activeCell="K106" sqref="K106"/>
    </sheetView>
  </sheetViews>
  <sheetFormatPr defaultColWidth="9.140625" defaultRowHeight="12.75" outlineLevelRow="1"/>
  <cols>
    <col min="1" max="1" width="1.7109375" style="3" customWidth="1"/>
    <col min="2" max="2" width="2.7109375" style="3" customWidth="1"/>
    <col min="3" max="3" width="1.7109375" style="3" customWidth="1"/>
    <col min="4" max="4" width="40.7109375" style="3" customWidth="1"/>
    <col min="5" max="10" width="10.7109375" style="3" customWidth="1"/>
    <col min="11" max="11" width="15.140625" style="2" bestFit="1" customWidth="1"/>
    <col min="12" max="16384" width="9.140625" style="3" customWidth="1"/>
  </cols>
  <sheetData>
    <row r="1" spans="1:10" ht="12.75">
      <c r="A1" s="353" t="s">
        <v>82</v>
      </c>
      <c r="B1" s="353"/>
      <c r="C1" s="353"/>
      <c r="D1" s="353"/>
      <c r="E1" s="353"/>
      <c r="F1" s="353"/>
      <c r="G1" s="353"/>
      <c r="H1" s="353"/>
      <c r="I1" s="187"/>
      <c r="J1" s="187"/>
    </row>
    <row r="2" spans="1:10" ht="12.75">
      <c r="A2" s="353" t="s">
        <v>84</v>
      </c>
      <c r="B2" s="353"/>
      <c r="C2" s="353"/>
      <c r="D2" s="353"/>
      <c r="E2" s="353"/>
      <c r="F2" s="353"/>
      <c r="G2" s="353"/>
      <c r="H2" s="353"/>
      <c r="I2" s="187"/>
      <c r="J2" s="187"/>
    </row>
    <row r="3" spans="1:10" ht="12.75">
      <c r="A3" s="353" t="str">
        <f>'[10]PL-YTD'!A3</f>
        <v>FOR THE PERIOD ENDED 30 NOVEMBER 2001</v>
      </c>
      <c r="B3" s="353"/>
      <c r="C3" s="353"/>
      <c r="D3" s="353"/>
      <c r="E3" s="353"/>
      <c r="F3" s="353"/>
      <c r="G3" s="353"/>
      <c r="H3" s="353"/>
      <c r="I3" s="187"/>
      <c r="J3" s="187"/>
    </row>
    <row r="4" spans="1:4" ht="12.75">
      <c r="A4" s="4" t="s">
        <v>85</v>
      </c>
      <c r="B4" s="2"/>
      <c r="C4" s="2"/>
      <c r="D4" s="5"/>
    </row>
    <row r="5" spans="1:10" ht="12.75">
      <c r="A5" s="6"/>
      <c r="B5" s="7"/>
      <c r="C5" s="7"/>
      <c r="D5" s="7"/>
      <c r="E5" s="8" t="s">
        <v>86</v>
      </c>
      <c r="F5" s="9"/>
      <c r="G5" s="354" t="s">
        <v>86</v>
      </c>
      <c r="H5" s="355"/>
      <c r="I5" s="354" t="s">
        <v>86</v>
      </c>
      <c r="J5" s="355"/>
    </row>
    <row r="6" spans="1:10" ht="12.75">
      <c r="A6" s="11" t="s">
        <v>87</v>
      </c>
      <c r="B6" s="12"/>
      <c r="C6" s="12"/>
      <c r="D6" s="12"/>
      <c r="E6" s="13" t="s">
        <v>2</v>
      </c>
      <c r="F6" s="14" t="s">
        <v>88</v>
      </c>
      <c r="G6" s="15" t="s">
        <v>2</v>
      </c>
      <c r="H6" s="14" t="s">
        <v>88</v>
      </c>
      <c r="I6" s="15" t="s">
        <v>2</v>
      </c>
      <c r="J6" s="14" t="s">
        <v>88</v>
      </c>
    </row>
    <row r="7" spans="1:10" ht="12.75">
      <c r="A7" s="16"/>
      <c r="B7" s="17"/>
      <c r="C7" s="17"/>
      <c r="D7" s="17"/>
      <c r="E7" s="18" t="s">
        <v>2</v>
      </c>
      <c r="F7" s="9"/>
      <c r="G7" s="351" t="s">
        <v>91</v>
      </c>
      <c r="H7" s="352"/>
      <c r="I7" s="351" t="s">
        <v>244</v>
      </c>
      <c r="J7" s="352"/>
    </row>
    <row r="8" spans="1:10" ht="4.5" customHeight="1">
      <c r="A8" s="20"/>
      <c r="B8" s="21"/>
      <c r="C8" s="21"/>
      <c r="D8" s="21"/>
      <c r="E8" s="22"/>
      <c r="F8" s="22"/>
      <c r="G8" s="22"/>
      <c r="H8" s="22"/>
      <c r="I8" s="22"/>
      <c r="J8" s="22"/>
    </row>
    <row r="9" spans="1:10" ht="12.75">
      <c r="A9" s="23" t="s">
        <v>92</v>
      </c>
      <c r="B9" s="24"/>
      <c r="C9" s="24"/>
      <c r="D9" s="24"/>
      <c r="E9" s="25"/>
      <c r="F9" s="25"/>
      <c r="G9" s="25"/>
      <c r="H9" s="25"/>
      <c r="I9" s="25"/>
      <c r="J9" s="25"/>
    </row>
    <row r="10" spans="1:10" ht="12.75">
      <c r="A10" s="23"/>
      <c r="B10" s="26"/>
      <c r="C10" s="27" t="s">
        <v>93</v>
      </c>
      <c r="D10" s="30"/>
      <c r="E10" s="28">
        <f>'[10]PL-CM'!$P$10</f>
        <v>4923651</v>
      </c>
      <c r="F10" s="28">
        <f>'[10]PL-CM'!$Q$10</f>
        <v>5752065.079572824</v>
      </c>
      <c r="G10" s="28">
        <f>'[10]PL-YTD'!$P$10</f>
        <v>40171652.14</v>
      </c>
      <c r="H10" s="28">
        <f>'[10]PL-YTD'!$Q$10</f>
        <v>44303900.44544588</v>
      </c>
      <c r="I10" s="28">
        <f>38789859+I13-1</f>
        <v>38639094</v>
      </c>
      <c r="J10" s="28">
        <f>'[11]PL-YTD'!$Q$10+J13+1</f>
        <v>43177862.981289856</v>
      </c>
    </row>
    <row r="11" spans="1:10" ht="12.75">
      <c r="A11" s="23"/>
      <c r="B11" s="26"/>
      <c r="C11" s="29" t="s">
        <v>94</v>
      </c>
      <c r="D11" s="30"/>
      <c r="E11" s="28">
        <f>+'[10]PL-CM'!P11</f>
        <v>140727</v>
      </c>
      <c r="F11" s="28">
        <f>+'[10]PL-CM'!Q11</f>
        <v>0</v>
      </c>
      <c r="G11" s="28">
        <f>'[10]PL-YTD'!$P$11</f>
        <v>512165</v>
      </c>
      <c r="H11" s="28">
        <f>'[10]PL-YTD'!$Q$11</f>
        <v>0</v>
      </c>
      <c r="I11" s="28"/>
      <c r="J11" s="28"/>
    </row>
    <row r="12" spans="1:10" ht="12.75" outlineLevel="1">
      <c r="A12" s="23"/>
      <c r="B12" s="26"/>
      <c r="C12" s="29" t="s">
        <v>95</v>
      </c>
      <c r="D12" s="30"/>
      <c r="E12" s="28">
        <f>+'[10]PL-CM'!P12</f>
        <v>75986</v>
      </c>
      <c r="F12" s="28">
        <f>+'[10]PL-CM'!Q12</f>
        <v>67369.67717441452</v>
      </c>
      <c r="G12" s="28">
        <f>'[10]PL-YTD'!$P$12</f>
        <v>452712</v>
      </c>
      <c r="H12" s="28">
        <f>'[10]PL-YTD'!$Q$12</f>
        <v>518823.9506535372</v>
      </c>
      <c r="I12" s="28"/>
      <c r="J12" s="28"/>
    </row>
    <row r="13" spans="1:10" ht="13.5" customHeight="1" hidden="1" outlineLevel="1">
      <c r="A13" s="23"/>
      <c r="B13" s="26"/>
      <c r="C13" s="29" t="s">
        <v>96</v>
      </c>
      <c r="D13" s="30"/>
      <c r="E13" s="28">
        <f>+'[10]PL-CM'!P13</f>
        <v>-4299</v>
      </c>
      <c r="F13" s="28">
        <f>+'[10]PL-CM'!Q13</f>
        <v>-3151.5750511768274</v>
      </c>
      <c r="G13" s="28">
        <f>'[10]PL-YTD'!$P$13</f>
        <v>-28019.85999999987</v>
      </c>
      <c r="H13" s="28">
        <f>'[10]PL-YTD'!$Q$13</f>
        <v>-24270.75039411895</v>
      </c>
      <c r="I13" s="28">
        <f>1252386-108297-1294853</f>
        <v>-150764</v>
      </c>
      <c r="J13" s="28">
        <f>1580183-146313-1580183</f>
        <v>-146313</v>
      </c>
    </row>
    <row r="14" spans="1:10" ht="12.75" outlineLevel="1">
      <c r="A14" s="23"/>
      <c r="B14" s="26"/>
      <c r="C14" s="29" t="s">
        <v>98</v>
      </c>
      <c r="D14" s="30"/>
      <c r="E14" s="28">
        <f>+'[10]PL-CM'!P14</f>
        <v>37598</v>
      </c>
      <c r="F14" s="28">
        <f>+'[10]PL-CM'!Q14</f>
        <v>0</v>
      </c>
      <c r="G14" s="28">
        <f>'[10]PL-YTD'!$P$14</f>
        <v>323309</v>
      </c>
      <c r="H14" s="28">
        <f>'[10]PL-YTD'!$Q$14</f>
        <v>0</v>
      </c>
      <c r="I14" s="28">
        <v>108297</v>
      </c>
      <c r="J14" s="28">
        <v>146313</v>
      </c>
    </row>
    <row r="15" spans="1:10" ht="12.75" outlineLevel="1">
      <c r="A15" s="23"/>
      <c r="B15" s="26"/>
      <c r="C15" s="29" t="s">
        <v>99</v>
      </c>
      <c r="D15" s="30"/>
      <c r="E15" s="28">
        <f>+'[10]PL-CM'!P15</f>
        <v>84446</v>
      </c>
      <c r="F15" s="28">
        <f>+'[10]PL-CM'!Q15</f>
        <v>259800</v>
      </c>
      <c r="G15" s="28">
        <f>'[10]PL-YTD'!$P$15</f>
        <v>615545</v>
      </c>
      <c r="H15" s="28">
        <f>'[10]PL-YTD'!$Q$15</f>
        <v>2013000</v>
      </c>
      <c r="I15" s="28">
        <f>243066+454187</f>
        <v>697253</v>
      </c>
      <c r="J15" s="28">
        <f>302505+566143</f>
        <v>868648</v>
      </c>
    </row>
    <row r="16" spans="1:10" ht="12.75" hidden="1">
      <c r="A16" s="37"/>
      <c r="B16" s="27"/>
      <c r="C16" s="27" t="s">
        <v>100</v>
      </c>
      <c r="D16" s="30"/>
      <c r="E16" s="28">
        <f>+'[10]PL-CM'!P16</f>
        <v>24706</v>
      </c>
      <c r="F16" s="28">
        <f>+'[10]PL-CM'!Q16</f>
        <v>-292360.4814</v>
      </c>
      <c r="G16" s="28">
        <f>'[10]PL-YTD'!$P$11</f>
        <v>512165</v>
      </c>
      <c r="H16" s="28">
        <f>'[10]PL-YTD'!$Q$11</f>
        <v>0</v>
      </c>
      <c r="I16" s="28"/>
      <c r="J16" s="28"/>
    </row>
    <row r="17" spans="1:10" ht="12.75" hidden="1">
      <c r="A17" s="37"/>
      <c r="B17" s="27"/>
      <c r="C17" s="27" t="s">
        <v>101</v>
      </c>
      <c r="D17" s="30"/>
      <c r="E17" s="28">
        <f>+'[10]PL-CM'!P17</f>
        <v>-82760</v>
      </c>
      <c r="F17" s="28">
        <f>+'[10]PL-CM'!Q17</f>
        <v>-65085.08975999997</v>
      </c>
      <c r="G17" s="28">
        <f>'[10]PL-YTD'!$P$11</f>
        <v>512165</v>
      </c>
      <c r="H17" s="28">
        <f>'[10]PL-YTD'!$Q$11</f>
        <v>0</v>
      </c>
      <c r="I17" s="28"/>
      <c r="J17" s="28"/>
    </row>
    <row r="18" spans="1:10" ht="12" customHeight="1">
      <c r="A18" s="37"/>
      <c r="B18" s="27"/>
      <c r="C18" s="27" t="s">
        <v>102</v>
      </c>
      <c r="D18" s="30"/>
      <c r="E18" s="28">
        <f>+'[10]PL-CM'!P18</f>
        <v>1678</v>
      </c>
      <c r="F18" s="28">
        <f>+'[10]PL-CM'!Q18</f>
        <v>5277.767999999999</v>
      </c>
      <c r="G18" s="28">
        <f>'[10]PL-YTD'!$P$18</f>
        <v>13424</v>
      </c>
      <c r="H18" s="28">
        <f>'[10]PL-YTD'!$Q$18</f>
        <v>40644.87999999999</v>
      </c>
      <c r="I18" s="28">
        <v>82847</v>
      </c>
      <c r="J18" s="28">
        <v>0</v>
      </c>
    </row>
    <row r="19" spans="1:10" ht="12.75">
      <c r="A19" s="37"/>
      <c r="B19" s="27"/>
      <c r="C19" s="27" t="s">
        <v>103</v>
      </c>
      <c r="D19" s="30"/>
      <c r="E19" s="28">
        <f>+'[10]PL-CM'!P19</f>
        <v>-4499</v>
      </c>
      <c r="F19" s="28">
        <f>+'[10]PL-CM'!Q19</f>
        <v>0</v>
      </c>
      <c r="G19" s="28">
        <f>'[10]PL-YTD'!$P$19</f>
        <v>-30374</v>
      </c>
      <c r="H19" s="28">
        <f>'[10]PL-YTD'!$Q$19</f>
        <v>0</v>
      </c>
      <c r="I19" s="28">
        <v>0</v>
      </c>
      <c r="J19" s="28">
        <v>0</v>
      </c>
    </row>
    <row r="20" spans="1:10" ht="4.5" customHeight="1">
      <c r="A20" s="38"/>
      <c r="B20" s="24"/>
      <c r="C20" s="24"/>
      <c r="D20" s="24"/>
      <c r="E20" s="39"/>
      <c r="F20" s="39"/>
      <c r="G20" s="39"/>
      <c r="H20" s="39"/>
      <c r="I20" s="39"/>
      <c r="J20" s="39"/>
    </row>
    <row r="21" spans="1:11" ht="12.75">
      <c r="A21" s="23" t="s">
        <v>104</v>
      </c>
      <c r="B21" s="26"/>
      <c r="C21" s="26"/>
      <c r="D21" s="27"/>
      <c r="E21" s="40">
        <f aca="true" t="shared" si="0" ref="E21:J21">+E10+E11+E12+E14+E15+E18+E19</f>
        <v>5259587</v>
      </c>
      <c r="F21" s="40">
        <f t="shared" si="0"/>
        <v>6084512.5247472385</v>
      </c>
      <c r="G21" s="40">
        <f t="shared" si="0"/>
        <v>42058433.14</v>
      </c>
      <c r="H21" s="40">
        <f t="shared" si="0"/>
        <v>46876369.27609942</v>
      </c>
      <c r="I21" s="40">
        <f t="shared" si="0"/>
        <v>39527491</v>
      </c>
      <c r="J21" s="40">
        <f t="shared" si="0"/>
        <v>44192823.981289856</v>
      </c>
      <c r="K21" s="51"/>
    </row>
    <row r="22" spans="1:10" ht="4.5" customHeight="1">
      <c r="A22" s="20"/>
      <c r="B22" s="21"/>
      <c r="C22" s="21"/>
      <c r="D22" s="24"/>
      <c r="E22" s="39"/>
      <c r="F22" s="39"/>
      <c r="G22" s="39"/>
      <c r="H22" s="39"/>
      <c r="I22" s="39"/>
      <c r="J22" s="39"/>
    </row>
    <row r="23" spans="1:10" ht="12.75">
      <c r="A23" s="23" t="s">
        <v>105</v>
      </c>
      <c r="B23" s="26"/>
      <c r="C23" s="26"/>
      <c r="D23" s="27"/>
      <c r="E23" s="42">
        <f>+E10+E12+E14+E18+E19</f>
        <v>5034414</v>
      </c>
      <c r="F23" s="42"/>
      <c r="G23" s="42"/>
      <c r="H23" s="42"/>
      <c r="I23" s="42"/>
      <c r="J23" s="42"/>
    </row>
    <row r="24" spans="1:10" ht="12.75">
      <c r="A24" s="23"/>
      <c r="B24" s="26" t="s">
        <v>106</v>
      </c>
      <c r="C24" s="26"/>
      <c r="D24" s="27"/>
      <c r="E24" s="42"/>
      <c r="F24" s="42"/>
      <c r="G24" s="42"/>
      <c r="H24" s="42"/>
      <c r="I24" s="42"/>
      <c r="J24" s="42"/>
    </row>
    <row r="25" spans="1:10" ht="12.75">
      <c r="A25" s="37" t="s">
        <v>85</v>
      </c>
      <c r="B25" s="43"/>
      <c r="C25" s="27" t="s">
        <v>107</v>
      </c>
      <c r="D25" s="27"/>
      <c r="E25" s="28">
        <f>'[10]PL-CM'!$P$25</f>
        <v>279230</v>
      </c>
      <c r="F25" s="28">
        <f>'[10]PL-CM'!$Q$25</f>
        <v>477062.092444971</v>
      </c>
      <c r="G25" s="28">
        <f>'[10]PL-YTD'!$P$25</f>
        <v>2232749</v>
      </c>
      <c r="H25" s="28">
        <f>'[10]PL-YTD'!$Q$25</f>
        <v>3674258.631472765</v>
      </c>
      <c r="I25" s="28">
        <v>2198882</v>
      </c>
      <c r="J25" s="28">
        <f>'[11]PL-YTD'!$Q$20</f>
        <v>2791951.240564062</v>
      </c>
    </row>
    <row r="26" spans="1:10" ht="12.75">
      <c r="A26" s="37" t="s">
        <v>85</v>
      </c>
      <c r="B26" s="43"/>
      <c r="C26" s="27" t="s">
        <v>108</v>
      </c>
      <c r="D26" s="27"/>
      <c r="E26" s="28">
        <f>'[10]PL-CM'!$P$26</f>
        <v>795434</v>
      </c>
      <c r="F26" s="28">
        <f>'[10]PL-CM'!$Q$26</f>
        <v>637079.3678851632</v>
      </c>
      <c r="G26" s="28">
        <f>'[10]PL-YTD'!$P$26</f>
        <v>6537955</v>
      </c>
      <c r="H26" s="28">
        <f>'[10]PL-YTD'!$Q$26</f>
        <v>4907675.173828268</v>
      </c>
      <c r="I26" s="28">
        <v>5442523</v>
      </c>
      <c r="J26" s="28">
        <f>'[11]PL-YTD'!$Q$21</f>
        <v>5836679.4732570825</v>
      </c>
    </row>
    <row r="27" spans="1:10" ht="12.75">
      <c r="A27" s="37"/>
      <c r="B27" s="43"/>
      <c r="C27" s="27" t="s">
        <v>110</v>
      </c>
      <c r="D27" s="27"/>
      <c r="E27" s="28">
        <f>+'[10]PL-CM'!P27</f>
        <v>62293</v>
      </c>
      <c r="F27" s="28">
        <f>'[10]PL-CM'!$Q$27</f>
        <v>0</v>
      </c>
      <c r="G27" s="28">
        <f>'[10]PL-YTD'!$P$27</f>
        <v>247969</v>
      </c>
      <c r="H27" s="28">
        <f>'[10]PL-YTD'!$Q$27</f>
        <v>0</v>
      </c>
      <c r="I27" s="28">
        <v>0</v>
      </c>
      <c r="J27" s="28">
        <v>0</v>
      </c>
    </row>
    <row r="28" spans="1:10" ht="12.75">
      <c r="A28" s="37" t="s">
        <v>85</v>
      </c>
      <c r="B28" s="43"/>
      <c r="C28" s="27" t="s">
        <v>111</v>
      </c>
      <c r="D28" s="27"/>
      <c r="E28" s="28">
        <f>'[10]PL-CM'!$P$28</f>
        <v>30466</v>
      </c>
      <c r="F28" s="28">
        <f>'[10]PL-CM'!$Q$28</f>
        <v>57313.901751728714</v>
      </c>
      <c r="G28" s="28">
        <f>'[10]PL-YTD'!$P$28</f>
        <v>330025</v>
      </c>
      <c r="H28" s="28">
        <f>'[10]PL-YTD'!$Q$28</f>
        <v>441382.92153630167</v>
      </c>
      <c r="I28" s="28">
        <v>266142</v>
      </c>
      <c r="J28" s="28">
        <f>'[11]PL-YTD'!$Q$22</f>
        <v>388343.2546410299</v>
      </c>
    </row>
    <row r="29" spans="1:10" ht="12.75">
      <c r="A29" s="37"/>
      <c r="B29" s="43"/>
      <c r="C29" s="27" t="s">
        <v>112</v>
      </c>
      <c r="D29" s="27"/>
      <c r="E29" s="28">
        <f>SUM(E30:E31)</f>
        <v>144751</v>
      </c>
      <c r="F29" s="28">
        <f>SUM(F30:F31)</f>
        <v>187693.82708578592</v>
      </c>
      <c r="G29" s="28">
        <f>SUM(G30:G31)</f>
        <v>1370745</v>
      </c>
      <c r="H29" s="28">
        <f>SUM(H30:H31)</f>
        <v>1445458.208591685</v>
      </c>
      <c r="I29" s="28">
        <f>493534+810527</f>
        <v>1304061</v>
      </c>
      <c r="J29" s="28">
        <f>SUM(J30:J31)</f>
        <v>1329205.25500377</v>
      </c>
    </row>
    <row r="30" spans="1:11" s="45" customFormat="1" ht="12.75" hidden="1">
      <c r="A30" s="37" t="s">
        <v>85</v>
      </c>
      <c r="B30" s="43"/>
      <c r="C30" s="27" t="s">
        <v>113</v>
      </c>
      <c r="D30" s="27"/>
      <c r="E30" s="28">
        <f>'[10]PL-CM'!$P$30</f>
        <v>57840</v>
      </c>
      <c r="F30" s="28">
        <f>'[10]PL-CM'!$Q$30</f>
        <v>63130.53584574414</v>
      </c>
      <c r="G30" s="28">
        <f>'[10]PL-YTD'!$P$30</f>
        <v>508386</v>
      </c>
      <c r="H30" s="28">
        <f>'[10]PL-YTD'!$Q$30</f>
        <v>486177.6898465354</v>
      </c>
      <c r="I30" s="28"/>
      <c r="J30" s="28">
        <f>'[11]PL-YTD'!$Q$23</f>
        <v>422218.31468574377</v>
      </c>
      <c r="K30" s="186"/>
    </row>
    <row r="31" spans="1:11" s="45" customFormat="1" ht="12.75" hidden="1">
      <c r="A31" s="37"/>
      <c r="B31" s="43"/>
      <c r="C31" s="27" t="s">
        <v>114</v>
      </c>
      <c r="D31" s="27"/>
      <c r="E31" s="28">
        <f>'[10]PL-CM'!$P$31</f>
        <v>86911</v>
      </c>
      <c r="F31" s="28">
        <f>'[10]PL-CM'!$Q$31</f>
        <v>124563.29124004178</v>
      </c>
      <c r="G31" s="28">
        <f>'[10]PL-YTD'!$P$31</f>
        <v>862359</v>
      </c>
      <c r="H31" s="28">
        <f>'[10]PL-YTD'!$Q$31</f>
        <v>959280.5187451495</v>
      </c>
      <c r="I31" s="28"/>
      <c r="J31" s="28">
        <f>'[11]PL-YTD'!$Q$24</f>
        <v>906986.9403180263</v>
      </c>
      <c r="K31" s="186"/>
    </row>
    <row r="32" spans="1:11" s="45" customFormat="1" ht="12.75">
      <c r="A32" s="37"/>
      <c r="B32" s="43"/>
      <c r="C32" s="27" t="s">
        <v>115</v>
      </c>
      <c r="D32" s="27"/>
      <c r="E32" s="28">
        <f>SUM(E33:E34)</f>
        <v>0</v>
      </c>
      <c r="F32" s="28">
        <f>SUM(F33:F34)</f>
        <v>0</v>
      </c>
      <c r="G32" s="28">
        <f>SUM(G33:G34)</f>
        <v>0</v>
      </c>
      <c r="H32" s="28">
        <f>SUM(H33:H34)</f>
        <v>0</v>
      </c>
      <c r="I32" s="28">
        <v>0</v>
      </c>
      <c r="J32" s="28">
        <f>SUM(J33:J34)</f>
        <v>0</v>
      </c>
      <c r="K32" s="186"/>
    </row>
    <row r="33" spans="1:11" s="45" customFormat="1" ht="12.75" hidden="1">
      <c r="A33" s="37" t="s">
        <v>85</v>
      </c>
      <c r="B33" s="43"/>
      <c r="C33" s="27" t="s">
        <v>116</v>
      </c>
      <c r="D33" s="27"/>
      <c r="E33" s="28">
        <f>'[10]PL-CM'!$P$33</f>
        <v>0</v>
      </c>
      <c r="F33" s="28">
        <f>'[10]PL-CM'!$Q$33</f>
        <v>0</v>
      </c>
      <c r="G33" s="28">
        <f>'[10]PL-YTD'!$P$33</f>
        <v>0</v>
      </c>
      <c r="H33" s="28">
        <f>'[10]PL-YTD'!$Q$33</f>
        <v>0</v>
      </c>
      <c r="I33" s="28"/>
      <c r="J33" s="28">
        <f>'[11]PL-YTD'!$Q$25</f>
        <v>0</v>
      </c>
      <c r="K33" s="186"/>
    </row>
    <row r="34" spans="1:11" s="45" customFormat="1" ht="12.75" hidden="1">
      <c r="A34" s="37" t="s">
        <v>85</v>
      </c>
      <c r="B34" s="43"/>
      <c r="C34" s="27" t="s">
        <v>117</v>
      </c>
      <c r="D34" s="27"/>
      <c r="E34" s="28">
        <f>'[10]PL-CM'!$P$34</f>
        <v>0</v>
      </c>
      <c r="F34" s="28">
        <f>'[10]PL-CM'!$Q$34</f>
        <v>0</v>
      </c>
      <c r="G34" s="28">
        <f>'[10]PL-YTD'!$P$34</f>
        <v>0</v>
      </c>
      <c r="H34" s="28">
        <f>'[10]PL-YTD'!$Q$34</f>
        <v>0</v>
      </c>
      <c r="I34" s="28"/>
      <c r="J34" s="28">
        <f>'[11]PL-YTD'!$Q$26</f>
        <v>0</v>
      </c>
      <c r="K34" s="186"/>
    </row>
    <row r="35" spans="1:11" s="45" customFormat="1" ht="4.5" customHeight="1">
      <c r="A35" s="37"/>
      <c r="B35" s="43"/>
      <c r="C35" s="27"/>
      <c r="D35" s="27"/>
      <c r="E35" s="28"/>
      <c r="F35" s="28"/>
      <c r="G35" s="28"/>
      <c r="H35" s="28"/>
      <c r="I35" s="28"/>
      <c r="J35" s="28"/>
      <c r="K35" s="186"/>
    </row>
    <row r="36" spans="1:11" s="45" customFormat="1" ht="12.75">
      <c r="A36" s="37"/>
      <c r="B36" s="26" t="s">
        <v>118</v>
      </c>
      <c r="C36" s="26"/>
      <c r="D36" s="27"/>
      <c r="E36" s="40">
        <f>SUM(E25:E29)+E32</f>
        <v>1312174</v>
      </c>
      <c r="F36" s="40">
        <f>SUM(F25:F29)+F32</f>
        <v>1359149.189167649</v>
      </c>
      <c r="G36" s="40">
        <f>SUM(G25:G29)+G32</f>
        <v>10719443</v>
      </c>
      <c r="H36" s="40">
        <f>SUM(H25:H29)+H32</f>
        <v>10468774.93542902</v>
      </c>
      <c r="I36" s="40">
        <f>SUM(I25:I29)</f>
        <v>9211608</v>
      </c>
      <c r="J36" s="40">
        <f>SUM(J25:J29)+J32</f>
        <v>10346179.223465946</v>
      </c>
      <c r="K36" s="51"/>
    </row>
    <row r="37" spans="1:11" s="45" customFormat="1" ht="4.5" customHeight="1">
      <c r="A37" s="37"/>
      <c r="B37" s="43"/>
      <c r="C37" s="27"/>
      <c r="D37" s="27"/>
      <c r="E37" s="28"/>
      <c r="F37" s="28"/>
      <c r="G37" s="28"/>
      <c r="H37" s="28"/>
      <c r="I37" s="28"/>
      <c r="J37" s="28"/>
      <c r="K37" s="186"/>
    </row>
    <row r="38" spans="1:11" s="45" customFormat="1" ht="12.75">
      <c r="A38" s="37"/>
      <c r="B38" s="26" t="s">
        <v>119</v>
      </c>
      <c r="C38" s="26"/>
      <c r="D38" s="27"/>
      <c r="E38" s="42"/>
      <c r="F38" s="42"/>
      <c r="G38" s="42"/>
      <c r="H38" s="42"/>
      <c r="I38" s="42"/>
      <c r="J38" s="42"/>
      <c r="K38" s="186"/>
    </row>
    <row r="39" spans="1:11" s="45" customFormat="1" ht="12.75">
      <c r="A39" s="37"/>
      <c r="B39" s="26"/>
      <c r="C39" s="29" t="s">
        <v>120</v>
      </c>
      <c r="D39" s="27"/>
      <c r="E39" s="42">
        <f>SUM(E40:E43)</f>
        <v>1485270</v>
      </c>
      <c r="F39" s="42">
        <f>SUM(F40:F43)</f>
        <v>1561607.2073067557</v>
      </c>
      <c r="G39" s="42">
        <f>SUM(G40:G43)</f>
        <v>12108858</v>
      </c>
      <c r="H39" s="42">
        <f>SUM(H40:H43)</f>
        <v>12490080.926786501</v>
      </c>
      <c r="I39" s="42">
        <f>7730017+1744717+612834+1069479</f>
        <v>11157047</v>
      </c>
      <c r="J39" s="42">
        <f>SUM(J40:J43)</f>
        <v>11075560.653787656</v>
      </c>
      <c r="K39" s="186"/>
    </row>
    <row r="40" spans="1:11" s="45" customFormat="1" ht="12.75" hidden="1">
      <c r="A40" s="37"/>
      <c r="B40" s="30"/>
      <c r="C40" s="27" t="s">
        <v>121</v>
      </c>
      <c r="D40" s="27"/>
      <c r="E40" s="28">
        <f>'[10]PL-CM'!$P$40</f>
        <v>1232249</v>
      </c>
      <c r="F40" s="28">
        <f>'[10]PL-CM'!$Q$40</f>
        <v>1330706.8503583334</v>
      </c>
      <c r="G40" s="28">
        <f>'[10]PL-YTD'!$P$40</f>
        <v>10061953</v>
      </c>
      <c r="H40" s="28">
        <f>'[10]PL-YTD'!$Q$40</f>
        <v>10645654.802866668</v>
      </c>
      <c r="I40" s="28"/>
      <c r="J40" s="28">
        <f>'[11]PL-YTD'!$Q$31</f>
        <v>7954569.6</v>
      </c>
      <c r="K40" s="186"/>
    </row>
    <row r="41" spans="1:11" s="45" customFormat="1" ht="12.75" hidden="1">
      <c r="A41" s="37"/>
      <c r="B41" s="30"/>
      <c r="C41" s="27" t="s">
        <v>122</v>
      </c>
      <c r="D41" s="27"/>
      <c r="E41" s="28">
        <f>'[10]PL-CM'!$P$41</f>
        <v>0</v>
      </c>
      <c r="F41" s="28">
        <f>'[10]PL-CM'!$Q$41</f>
        <v>0</v>
      </c>
      <c r="G41" s="28">
        <f>'[10]PL-YTD'!$P$41</f>
        <v>0</v>
      </c>
      <c r="H41" s="28">
        <f>'[10]PL-YTD'!$Q$41</f>
        <v>0</v>
      </c>
      <c r="I41" s="28"/>
      <c r="J41" s="28">
        <f>'[11]PL-YTD'!$Q$32</f>
        <v>1487208.0746666668</v>
      </c>
      <c r="K41" s="186"/>
    </row>
    <row r="42" spans="1:11" s="45" customFormat="1" ht="12.75" hidden="1">
      <c r="A42" s="37"/>
      <c r="B42" s="30"/>
      <c r="C42" s="27" t="s">
        <v>123</v>
      </c>
      <c r="D42" s="27"/>
      <c r="E42" s="28">
        <f>'[10]PL-CM'!$P$42</f>
        <v>105104</v>
      </c>
      <c r="F42" s="28">
        <f>'[10]PL-CM'!$Q$42</f>
        <v>89823.72384908888</v>
      </c>
      <c r="G42" s="28">
        <f>'[10]PL-YTD'!$P$42</f>
        <v>841661</v>
      </c>
      <c r="H42" s="28">
        <f>'[10]PL-YTD'!$Q$42</f>
        <v>715813.0591251673</v>
      </c>
      <c r="I42" s="28"/>
      <c r="J42" s="28">
        <f>'[11]PL-YTD'!$Q$33</f>
        <v>555503.7743209904</v>
      </c>
      <c r="K42" s="186"/>
    </row>
    <row r="43" spans="1:11" s="45" customFormat="1" ht="12.75" hidden="1">
      <c r="A43" s="37"/>
      <c r="B43" s="30"/>
      <c r="C43" s="27" t="s">
        <v>124</v>
      </c>
      <c r="D43" s="27"/>
      <c r="E43" s="28">
        <f>'[10]PL-CM'!$P$43</f>
        <v>147917</v>
      </c>
      <c r="F43" s="28">
        <f>'[10]PL-CM'!$Q$43</f>
        <v>141076.63309933332</v>
      </c>
      <c r="G43" s="28">
        <f>'[10]PL-YTD'!$P$43</f>
        <v>1205244</v>
      </c>
      <c r="H43" s="28">
        <f>'[10]PL-YTD'!$Q$43</f>
        <v>1128613.0647946668</v>
      </c>
      <c r="I43" s="28"/>
      <c r="J43" s="28">
        <f>'[11]PL-YTD'!$Q$34</f>
        <v>1078279.2048000002</v>
      </c>
      <c r="K43" s="186"/>
    </row>
    <row r="44" spans="1:11" s="45" customFormat="1" ht="12.75">
      <c r="A44" s="37"/>
      <c r="B44" s="26"/>
      <c r="C44" s="27" t="s">
        <v>125</v>
      </c>
      <c r="D44" s="27"/>
      <c r="E44" s="28">
        <f>'[10]PL-CM'!$P$44</f>
        <v>270992</v>
      </c>
      <c r="F44" s="28">
        <f>'[10]PL-CM'!$Q$44</f>
        <v>344536.2242509731</v>
      </c>
      <c r="G44" s="28">
        <f>'[10]PL-YTD'!$P$44</f>
        <v>2372777</v>
      </c>
      <c r="H44" s="28">
        <f>'[10]PL-YTD'!$Q$44</f>
        <v>2754276.1796530876</v>
      </c>
      <c r="I44" s="28">
        <v>2468254</v>
      </c>
      <c r="J44" s="28">
        <f>'[11]PL-YTD'!$Q$35</f>
        <v>2442160.0591960726</v>
      </c>
      <c r="K44" s="186"/>
    </row>
    <row r="45" spans="1:11" s="45" customFormat="1" ht="12.75">
      <c r="A45" s="37"/>
      <c r="B45" s="26"/>
      <c r="C45" s="27" t="s">
        <v>126</v>
      </c>
      <c r="D45" s="27"/>
      <c r="E45" s="28">
        <f>'[10]PL-CM'!$P$45</f>
        <v>117080</v>
      </c>
      <c r="F45" s="28">
        <f>'[10]PL-CM'!$Q$45</f>
        <v>141403.71583333332</v>
      </c>
      <c r="G45" s="28">
        <f>'[10]PL-YTD'!$P$45</f>
        <v>850949</v>
      </c>
      <c r="H45" s="28">
        <f>'[10]PL-YTD'!$Q$45</f>
        <v>1131229.7266666666</v>
      </c>
      <c r="I45" s="28">
        <v>826569</v>
      </c>
      <c r="J45" s="28">
        <f>'[11]PL-YTD'!$Q$36</f>
        <v>1012111.6799999999</v>
      </c>
      <c r="K45" s="186"/>
    </row>
    <row r="46" spans="1:11" s="45" customFormat="1" ht="12.75">
      <c r="A46" s="37"/>
      <c r="B46" s="26"/>
      <c r="C46" s="27" t="s">
        <v>127</v>
      </c>
      <c r="D46" s="27"/>
      <c r="E46" s="28">
        <f>'[10]PL-CM'!$P$46</f>
        <v>58332</v>
      </c>
      <c r="F46" s="28">
        <f>'[10]PL-CM'!$Q$46</f>
        <v>26213.870833333334</v>
      </c>
      <c r="G46" s="28">
        <f>'[10]PL-YTD'!$P$46</f>
        <v>492297</v>
      </c>
      <c r="H46" s="28">
        <f>'[10]PL-YTD'!$Q$46</f>
        <v>209710.96666666667</v>
      </c>
      <c r="I46" s="28">
        <v>206772</v>
      </c>
      <c r="J46" s="28">
        <f>'[11]PL-YTD'!$Q$37</f>
        <v>477329.6100000001</v>
      </c>
      <c r="K46" s="186"/>
    </row>
    <row r="47" spans="1:11" s="45" customFormat="1" ht="12.75">
      <c r="A47" s="37"/>
      <c r="B47" s="26"/>
      <c r="C47" s="27" t="s">
        <v>128</v>
      </c>
      <c r="D47" s="27"/>
      <c r="E47" s="28">
        <f>'[10]PL-CM'!$P$47</f>
        <v>6047</v>
      </c>
      <c r="F47" s="28">
        <f>'[10]PL-CM'!$Q$47</f>
        <v>5402.5125</v>
      </c>
      <c r="G47" s="28">
        <f>'[10]PL-YTD'!$P$47</f>
        <v>74597</v>
      </c>
      <c r="H47" s="28">
        <f>'[10]PL-YTD'!$Q$47</f>
        <v>43220.1</v>
      </c>
      <c r="I47" s="28">
        <v>47971</v>
      </c>
      <c r="J47" s="28">
        <f>'[11]PL-YTD'!$Q$38</f>
        <v>34792.79333333333</v>
      </c>
      <c r="K47" s="186"/>
    </row>
    <row r="48" spans="1:11" s="45" customFormat="1" ht="12.75">
      <c r="A48" s="37"/>
      <c r="B48" s="26"/>
      <c r="C48" s="27" t="s">
        <v>129</v>
      </c>
      <c r="D48" s="27"/>
      <c r="E48" s="28">
        <f>'[10]PL-CM'!$P$48</f>
        <v>3056</v>
      </c>
      <c r="F48" s="28">
        <f>'[10]PL-CM'!$Q$48</f>
        <v>631.75</v>
      </c>
      <c r="G48" s="28">
        <f>'[10]PL-YTD'!$P$48</f>
        <v>60945</v>
      </c>
      <c r="H48" s="28">
        <f>'[10]PL-YTD'!$Q$48</f>
        <v>5054</v>
      </c>
      <c r="I48" s="28">
        <v>6221</v>
      </c>
      <c r="J48" s="28">
        <f>'[11]PL-YTD'!$Q$39</f>
        <v>2697.84</v>
      </c>
      <c r="K48" s="186"/>
    </row>
    <row r="49" spans="1:11" s="45" customFormat="1" ht="4.5" customHeight="1">
      <c r="A49" s="37"/>
      <c r="B49" s="26"/>
      <c r="C49" s="26"/>
      <c r="D49" s="27"/>
      <c r="E49" s="42"/>
      <c r="F49" s="42"/>
      <c r="G49" s="42"/>
      <c r="H49" s="42"/>
      <c r="I49" s="42"/>
      <c r="J49" s="42"/>
      <c r="K49" s="186"/>
    </row>
    <row r="50" spans="1:11" s="45" customFormat="1" ht="12.75">
      <c r="A50" s="37"/>
      <c r="B50" s="26" t="s">
        <v>130</v>
      </c>
      <c r="C50" s="26"/>
      <c r="D50" s="27"/>
      <c r="E50" s="40">
        <f>SUM(E40:E48)</f>
        <v>1940777</v>
      </c>
      <c r="F50" s="40">
        <f>SUM(F40:F48)</f>
        <v>2079795.2807243955</v>
      </c>
      <c r="G50" s="40">
        <f>SUM(G40:G48)</f>
        <v>15960423</v>
      </c>
      <c r="H50" s="40">
        <f>SUM(H40:H48)</f>
        <v>16633571.899772922</v>
      </c>
      <c r="I50" s="40">
        <f>SUM(I44:I48)+I39</f>
        <v>14712834</v>
      </c>
      <c r="J50" s="40">
        <f>SUM(J40:J48)</f>
        <v>15044652.63631706</v>
      </c>
      <c r="K50" s="51"/>
    </row>
    <row r="51" spans="1:11" s="45" customFormat="1" ht="4.5" customHeight="1">
      <c r="A51" s="37"/>
      <c r="B51" s="43"/>
      <c r="C51" s="27"/>
      <c r="D51" s="27"/>
      <c r="E51" s="28"/>
      <c r="F51" s="28"/>
      <c r="G51" s="28"/>
      <c r="H51" s="28"/>
      <c r="I51" s="28"/>
      <c r="J51" s="28"/>
      <c r="K51" s="186"/>
    </row>
    <row r="52" spans="1:11" ht="12.75">
      <c r="A52" s="23" t="s">
        <v>131</v>
      </c>
      <c r="B52" s="26"/>
      <c r="C52" s="26"/>
      <c r="D52" s="24"/>
      <c r="E52" s="40">
        <f aca="true" t="shared" si="1" ref="E52:J52">+E36+E50</f>
        <v>3252951</v>
      </c>
      <c r="F52" s="40">
        <f t="shared" si="1"/>
        <v>3438944.4698920446</v>
      </c>
      <c r="G52" s="40">
        <f t="shared" si="1"/>
        <v>26679866</v>
      </c>
      <c r="H52" s="40">
        <f t="shared" si="1"/>
        <v>27102346.83520194</v>
      </c>
      <c r="I52" s="40">
        <f t="shared" si="1"/>
        <v>23924442</v>
      </c>
      <c r="J52" s="40">
        <f t="shared" si="1"/>
        <v>25390831.859783005</v>
      </c>
      <c r="K52" s="51"/>
    </row>
    <row r="53" spans="1:10" ht="4.5" customHeight="1">
      <c r="A53" s="38"/>
      <c r="B53" s="24"/>
      <c r="C53" s="24"/>
      <c r="D53" s="24"/>
      <c r="E53" s="47"/>
      <c r="F53" s="47"/>
      <c r="G53" s="47"/>
      <c r="H53" s="47"/>
      <c r="I53" s="47"/>
      <c r="J53" s="47"/>
    </row>
    <row r="54" spans="1:11" ht="12.75">
      <c r="A54" s="23" t="s">
        <v>132</v>
      </c>
      <c r="B54" s="26"/>
      <c r="C54" s="26"/>
      <c r="D54" s="27"/>
      <c r="E54" s="48">
        <f aca="true" t="shared" si="2" ref="E54:J54">E56/E21*100</f>
        <v>38.15196896638462</v>
      </c>
      <c r="F54" s="48">
        <f t="shared" si="2"/>
        <v>43.48036172322771</v>
      </c>
      <c r="G54" s="48">
        <f t="shared" si="2"/>
        <v>36.56476476146729</v>
      </c>
      <c r="H54" s="48">
        <f t="shared" si="2"/>
        <v>42.18334898001485</v>
      </c>
      <c r="I54" s="48">
        <f t="shared" si="2"/>
        <v>39.473917026506946</v>
      </c>
      <c r="J54" s="48">
        <f t="shared" si="2"/>
        <v>42.54535109470974</v>
      </c>
      <c r="K54" s="177"/>
    </row>
    <row r="55" spans="1:10" ht="4.5" customHeight="1">
      <c r="A55" s="20"/>
      <c r="B55" s="21"/>
      <c r="C55" s="21"/>
      <c r="D55" s="24"/>
      <c r="E55" s="49"/>
      <c r="F55" s="49"/>
      <c r="G55" s="49"/>
      <c r="H55" s="49"/>
      <c r="I55" s="49"/>
      <c r="J55" s="49"/>
    </row>
    <row r="56" spans="1:11" s="45" customFormat="1" ht="12.75">
      <c r="A56" s="23" t="s">
        <v>133</v>
      </c>
      <c r="B56" s="26"/>
      <c r="C56" s="26"/>
      <c r="D56" s="27"/>
      <c r="E56" s="28">
        <f aca="true" t="shared" si="3" ref="E56:J56">E21-E52</f>
        <v>2006636</v>
      </c>
      <c r="F56" s="28">
        <f t="shared" si="3"/>
        <v>2645568.054855194</v>
      </c>
      <c r="G56" s="28">
        <f t="shared" si="3"/>
        <v>15378567.14</v>
      </c>
      <c r="H56" s="28">
        <f t="shared" si="3"/>
        <v>19774022.44089748</v>
      </c>
      <c r="I56" s="28">
        <f t="shared" si="3"/>
        <v>15603049</v>
      </c>
      <c r="J56" s="28">
        <f t="shared" si="3"/>
        <v>18801992.12150685</v>
      </c>
      <c r="K56" s="177"/>
    </row>
    <row r="57" spans="1:10" ht="4.5" customHeight="1">
      <c r="A57" s="38"/>
      <c r="B57" s="24"/>
      <c r="C57" s="24"/>
      <c r="D57" s="24"/>
      <c r="E57" s="39"/>
      <c r="F57" s="39"/>
      <c r="G57" s="39"/>
      <c r="H57" s="39"/>
      <c r="I57" s="39"/>
      <c r="J57" s="39"/>
    </row>
    <row r="58" spans="1:11" s="45" customFormat="1" ht="12.75">
      <c r="A58" s="23" t="s">
        <v>134</v>
      </c>
      <c r="B58" s="26"/>
      <c r="C58" s="26"/>
      <c r="D58" s="27"/>
      <c r="E58" s="42"/>
      <c r="F58" s="42"/>
      <c r="G58" s="42"/>
      <c r="H58" s="42"/>
      <c r="I58" s="42"/>
      <c r="J58" s="42"/>
      <c r="K58" s="186"/>
    </row>
    <row r="59" spans="1:10" ht="12.75">
      <c r="A59" s="23" t="s">
        <v>85</v>
      </c>
      <c r="B59" s="26" t="s">
        <v>135</v>
      </c>
      <c r="C59" s="26"/>
      <c r="D59" s="27"/>
      <c r="E59" s="28"/>
      <c r="F59" s="28"/>
      <c r="G59" s="28"/>
      <c r="H59" s="28"/>
      <c r="I59" s="28"/>
      <c r="J59" s="28"/>
    </row>
    <row r="60" spans="1:10" ht="12.75">
      <c r="A60" s="23"/>
      <c r="B60" s="26"/>
      <c r="C60" s="29" t="s">
        <v>120</v>
      </c>
      <c r="D60" s="27"/>
      <c r="E60" s="28">
        <f>SUM(E61:E64)</f>
        <v>94971</v>
      </c>
      <c r="F60" s="28">
        <f>SUM(F61:F64)</f>
        <v>120281.19710991633</v>
      </c>
      <c r="G60" s="28">
        <f>SUM(G61:G64)</f>
        <v>739855</v>
      </c>
      <c r="H60" s="28">
        <f>SUM(H61:H64)</f>
        <v>962249.5768793307</v>
      </c>
      <c r="I60" s="28">
        <f>584180+147984+91+78334</f>
        <v>810589</v>
      </c>
      <c r="J60" s="28">
        <f>SUM(J61:J64)</f>
        <v>849454.2403733332</v>
      </c>
    </row>
    <row r="61" spans="1:10" ht="12.75" hidden="1">
      <c r="A61" s="37"/>
      <c r="B61" s="30"/>
      <c r="C61" s="27" t="s">
        <v>121</v>
      </c>
      <c r="D61" s="27"/>
      <c r="E61" s="28">
        <f>'[10]PL-CM'!$P$61</f>
        <v>84563</v>
      </c>
      <c r="F61" s="28">
        <f>'[10]PL-CM'!$Q$61</f>
        <v>108502.97355</v>
      </c>
      <c r="G61" s="28">
        <f>'[10]PL-YTD'!$P$61</f>
        <v>660275</v>
      </c>
      <c r="H61" s="28">
        <f>'[10]PL-YTD'!$Q$61</f>
        <v>868023.7884</v>
      </c>
      <c r="I61" s="28"/>
      <c r="J61" s="28">
        <f>'[11]PL-YTD'!$Q$51</f>
        <v>645553.6</v>
      </c>
    </row>
    <row r="62" spans="1:10" ht="12.75" hidden="1">
      <c r="A62" s="37"/>
      <c r="B62" s="30"/>
      <c r="C62" s="27" t="s">
        <v>136</v>
      </c>
      <c r="D62" s="27"/>
      <c r="E62" s="28">
        <f>'[10]PL-CM'!$P$62</f>
        <v>0</v>
      </c>
      <c r="F62" s="28">
        <f>'[10]PL-CM'!$Q$62</f>
        <v>0</v>
      </c>
      <c r="G62" s="28">
        <f>'[10]PL-YTD'!$P$62</f>
        <v>0</v>
      </c>
      <c r="H62" s="28">
        <f>'[10]PL-YTD'!$Q$62</f>
        <v>0</v>
      </c>
      <c r="I62" s="28"/>
      <c r="J62" s="28">
        <f>'[11]PL-YTD'!$Q$52</f>
        <v>117210.93333333336</v>
      </c>
    </row>
    <row r="63" spans="1:10" ht="12.75" hidden="1">
      <c r="A63" s="37"/>
      <c r="B63" s="30"/>
      <c r="C63" s="27" t="s">
        <v>123</v>
      </c>
      <c r="D63" s="27"/>
      <c r="E63" s="28">
        <f>'[10]PL-CM'!$P$63</f>
        <v>0</v>
      </c>
      <c r="F63" s="28">
        <f>'[10]PL-CM'!$Q$63</f>
        <v>11.227495916330774</v>
      </c>
      <c r="G63" s="28">
        <f>'[10]PL-YTD'!$P$63</f>
        <v>0</v>
      </c>
      <c r="H63" s="28">
        <f>'[10]PL-YTD'!$Q$63</f>
        <v>89.8199673306462</v>
      </c>
      <c r="I63" s="28"/>
      <c r="J63" s="28">
        <f>'[11]PL-YTD'!$Q$53</f>
        <v>2705.14704</v>
      </c>
    </row>
    <row r="64" spans="1:10" ht="12.75" hidden="1">
      <c r="A64" s="37"/>
      <c r="B64" s="30"/>
      <c r="C64" s="27" t="s">
        <v>124</v>
      </c>
      <c r="D64" s="27"/>
      <c r="E64" s="28">
        <f>'[10]PL-CM'!$P$64</f>
        <v>10408</v>
      </c>
      <c r="F64" s="28">
        <f>'[10]PL-CM'!$Q$64</f>
        <v>11766.996064</v>
      </c>
      <c r="G64" s="28">
        <f>'[10]PL-YTD'!$P$64</f>
        <v>79580</v>
      </c>
      <c r="H64" s="28">
        <f>'[10]PL-YTD'!$Q$64</f>
        <v>94135.968512</v>
      </c>
      <c r="I64" s="28"/>
      <c r="J64" s="28">
        <f>'[11]PL-YTD'!$Q$54</f>
        <v>83984.56</v>
      </c>
    </row>
    <row r="65" spans="1:11" ht="12.75">
      <c r="A65" s="37"/>
      <c r="B65" s="30"/>
      <c r="C65" s="27" t="s">
        <v>137</v>
      </c>
      <c r="D65" s="27"/>
      <c r="E65" s="28">
        <f>'[10]PL-CM'!$P$65</f>
        <v>14273</v>
      </c>
      <c r="F65" s="28">
        <f>'[10]PL-CM'!$Q$65</f>
        <v>16408.86625</v>
      </c>
      <c r="G65" s="28">
        <f>'[10]PL-YTD'!$P$65</f>
        <v>106670</v>
      </c>
      <c r="H65" s="28">
        <f>'[10]PL-YTD'!$Q$65</f>
        <v>131080.51249999998</v>
      </c>
      <c r="I65" s="28">
        <v>119809</v>
      </c>
      <c r="J65" s="28">
        <f>'[11]PL-YTD'!$Q$55</f>
        <v>132154.74666666664</v>
      </c>
      <c r="K65" s="177"/>
    </row>
    <row r="66" spans="1:11" ht="12.75">
      <c r="A66" s="37"/>
      <c r="B66" s="30"/>
      <c r="C66" s="27" t="s">
        <v>138</v>
      </c>
      <c r="D66" s="27"/>
      <c r="E66" s="28">
        <f>'[10]PL-CM'!$P$66</f>
        <v>0</v>
      </c>
      <c r="F66" s="28">
        <f>'[10]PL-CM'!$Q$66</f>
        <v>1874.5125</v>
      </c>
      <c r="G66" s="28">
        <f>'[10]PL-YTD'!$P$66</f>
        <v>10918</v>
      </c>
      <c r="H66" s="28">
        <f>'[10]PL-YTD'!$Q$66</f>
        <v>14996.100000000002</v>
      </c>
      <c r="I66" s="28">
        <v>12604</v>
      </c>
      <c r="J66" s="28">
        <f>'[11]PL-YTD'!$Q$56</f>
        <v>16420</v>
      </c>
      <c r="K66" s="177"/>
    </row>
    <row r="67" spans="1:11" ht="12.75">
      <c r="A67" s="37"/>
      <c r="B67" s="30"/>
      <c r="C67" s="27" t="s">
        <v>139</v>
      </c>
      <c r="D67" s="27"/>
      <c r="E67" s="28">
        <f>'[10]PL-CM'!$P$67</f>
        <v>5000</v>
      </c>
      <c r="F67" s="28">
        <f>'[10]PL-CM'!$Q$67</f>
        <v>12500</v>
      </c>
      <c r="G67" s="28">
        <f>'[10]PL-YTD'!$P$67</f>
        <v>-6000</v>
      </c>
      <c r="H67" s="28">
        <f>'[10]PL-YTD'!$Q$67</f>
        <v>100000</v>
      </c>
      <c r="I67" s="28">
        <v>102150</v>
      </c>
      <c r="J67" s="28">
        <f>'[11]PL-YTD'!$Q$57</f>
        <v>100000</v>
      </c>
      <c r="K67" s="177"/>
    </row>
    <row r="68" spans="1:11" ht="12.75">
      <c r="A68" s="37"/>
      <c r="B68" s="30"/>
      <c r="C68" s="27" t="s">
        <v>140</v>
      </c>
      <c r="D68" s="27"/>
      <c r="E68" s="28">
        <f>'[10]PL-CM'!$P$68</f>
        <v>34143</v>
      </c>
      <c r="F68" s="28">
        <f>'[10]PL-CM'!$Q$68</f>
        <v>33870.583333333336</v>
      </c>
      <c r="G68" s="28">
        <f>'[10]PL-YTD'!$P$68</f>
        <v>127358</v>
      </c>
      <c r="H68" s="28">
        <f>'[10]PL-YTD'!$Q$68</f>
        <v>270964.6666666666</v>
      </c>
      <c r="I68" s="28">
        <v>100982</v>
      </c>
      <c r="J68" s="28">
        <f>'[11]PL-YTD'!$Q$58</f>
        <v>69264.4</v>
      </c>
      <c r="K68" s="177"/>
    </row>
    <row r="69" spans="1:10" ht="4.5" customHeight="1">
      <c r="A69" s="38"/>
      <c r="B69" s="24"/>
      <c r="C69" s="24"/>
      <c r="D69" s="24"/>
      <c r="E69" s="39"/>
      <c r="F69" s="39"/>
      <c r="G69" s="39"/>
      <c r="H69" s="39"/>
      <c r="I69" s="39"/>
      <c r="J69" s="39"/>
    </row>
    <row r="70" spans="1:11" ht="12.75">
      <c r="A70" s="52"/>
      <c r="B70" s="26" t="s">
        <v>141</v>
      </c>
      <c r="C70" s="26"/>
      <c r="D70" s="27"/>
      <c r="E70" s="40">
        <f>SUM(E61:E68)</f>
        <v>148387</v>
      </c>
      <c r="F70" s="40">
        <f>SUM(F61:F68)</f>
        <v>184935.15919324968</v>
      </c>
      <c r="G70" s="40">
        <f>SUM(G61:G68)</f>
        <v>978801</v>
      </c>
      <c r="H70" s="40">
        <f>SUM(H61:H68)</f>
        <v>1479290.8560459972</v>
      </c>
      <c r="I70" s="40">
        <f>SUM(I65:I68)+I60</f>
        <v>1146134</v>
      </c>
      <c r="J70" s="40">
        <f>SUM(J61:J68)</f>
        <v>1167293.3870399997</v>
      </c>
      <c r="K70" s="177"/>
    </row>
    <row r="71" spans="1:10" ht="4.5" customHeight="1">
      <c r="A71" s="20"/>
      <c r="B71" s="21"/>
      <c r="C71" s="21"/>
      <c r="D71" s="24"/>
      <c r="E71" s="39"/>
      <c r="F71" s="39"/>
      <c r="G71" s="39"/>
      <c r="H71" s="39"/>
      <c r="I71" s="39"/>
      <c r="J71" s="39"/>
    </row>
    <row r="72" spans="1:10" ht="12.75">
      <c r="A72" s="52"/>
      <c r="B72" s="26" t="s">
        <v>142</v>
      </c>
      <c r="C72" s="26"/>
      <c r="D72" s="27"/>
      <c r="E72" s="42"/>
      <c r="F72" s="42"/>
      <c r="G72" s="42"/>
      <c r="H72" s="42"/>
      <c r="I72" s="42"/>
      <c r="J72" s="42"/>
    </row>
    <row r="73" spans="1:10" ht="12.75">
      <c r="A73" s="52"/>
      <c r="B73" s="26"/>
      <c r="C73" s="29" t="s">
        <v>120</v>
      </c>
      <c r="D73" s="27"/>
      <c r="E73" s="42">
        <f>SUM(E74:E78)</f>
        <v>458565</v>
      </c>
      <c r="F73" s="42">
        <f>SUM(F74:F78)</f>
        <v>536734.5492563146</v>
      </c>
      <c r="G73" s="42">
        <f>SUM(G74:G78)</f>
        <v>3853133.9</v>
      </c>
      <c r="H73" s="42">
        <f>SUM(H74:H78)</f>
        <v>4293624.849513013</v>
      </c>
      <c r="I73" s="42">
        <f>2284425+590348+122787+407938+191990</f>
        <v>3597488</v>
      </c>
      <c r="J73" s="42">
        <f>SUM(J74:J78)</f>
        <v>3566708.472111111</v>
      </c>
    </row>
    <row r="74" spans="1:10" ht="12.75" hidden="1">
      <c r="A74" s="52"/>
      <c r="B74" s="27"/>
      <c r="C74" s="27" t="s">
        <v>121</v>
      </c>
      <c r="D74" s="30"/>
      <c r="E74" s="28">
        <f>'[10]PL-CM'!$P$74</f>
        <v>357465</v>
      </c>
      <c r="F74" s="28">
        <f>'[10]PL-CM'!$Q$74</f>
        <v>402045.11706666666</v>
      </c>
      <c r="G74" s="28">
        <f>'[10]PL-YTD'!$P$74</f>
        <v>2966828.9</v>
      </c>
      <c r="H74" s="28">
        <f>'[10]PL-YTD'!$Q$74</f>
        <v>3216360.9365333333</v>
      </c>
      <c r="I74" s="28"/>
      <c r="J74" s="28">
        <f>'[11]PL-YTD'!$Q$63</f>
        <v>2332197.966666667</v>
      </c>
    </row>
    <row r="75" spans="1:10" ht="12.75" hidden="1">
      <c r="A75" s="52"/>
      <c r="B75" s="27"/>
      <c r="C75" s="27" t="s">
        <v>136</v>
      </c>
      <c r="D75" s="30"/>
      <c r="E75" s="28">
        <f>'[10]PL-CM'!$P$75</f>
        <v>0</v>
      </c>
      <c r="F75" s="28">
        <f>'[10]PL-CM'!$Q$75</f>
        <v>0</v>
      </c>
      <c r="G75" s="28">
        <f>'[10]PL-YTD'!$P$75</f>
        <v>0</v>
      </c>
      <c r="H75" s="28">
        <f>'[10]PL-YTD'!$Q$75</f>
        <v>0</v>
      </c>
      <c r="I75" s="28"/>
      <c r="J75" s="28">
        <f>'[11]PL-YTD'!$Q$64</f>
        <v>435333.4551111112</v>
      </c>
    </row>
    <row r="76" spans="1:10" ht="12.75" hidden="1">
      <c r="A76" s="52"/>
      <c r="B76" s="27"/>
      <c r="C76" s="27" t="s">
        <v>123</v>
      </c>
      <c r="D76" s="30"/>
      <c r="E76" s="28">
        <f>'[10]PL-CM'!$P$76</f>
        <v>9387</v>
      </c>
      <c r="F76" s="28">
        <f>'[10]PL-CM'!$Q$76</f>
        <v>23029.250054981334</v>
      </c>
      <c r="G76" s="28">
        <f>'[10]PL-YTD'!$P$76</f>
        <v>99500</v>
      </c>
      <c r="H76" s="28">
        <f>'[10]PL-YTD'!$Q$76</f>
        <v>183982.45590234667</v>
      </c>
      <c r="I76" s="28"/>
      <c r="J76" s="28">
        <f>'[11]PL-YTD'!$Q$65</f>
        <v>154186.71656666664</v>
      </c>
    </row>
    <row r="77" spans="1:10" ht="12.75" hidden="1">
      <c r="A77" s="52"/>
      <c r="B77" s="27"/>
      <c r="C77" s="27" t="s">
        <v>143</v>
      </c>
      <c r="D77" s="30"/>
      <c r="E77" s="28">
        <f>'[10]PL-CM'!$P$77</f>
        <v>52571</v>
      </c>
      <c r="F77" s="28">
        <f>'[10]PL-CM'!$Q$77</f>
        <v>59699.732134666665</v>
      </c>
      <c r="G77" s="28">
        <f>'[10]PL-YTD'!$P$77</f>
        <v>474484</v>
      </c>
      <c r="H77" s="28">
        <f>'[10]PL-YTD'!$Q$77</f>
        <v>477597.8570773333</v>
      </c>
      <c r="I77" s="28"/>
      <c r="J77" s="28">
        <f>'[11]PL-YTD'!$Q$66</f>
        <v>414686.33376666665</v>
      </c>
    </row>
    <row r="78" spans="1:11" ht="12.75" hidden="1">
      <c r="A78" s="52"/>
      <c r="B78" s="27"/>
      <c r="C78" s="27" t="s">
        <v>144</v>
      </c>
      <c r="D78" s="30"/>
      <c r="E78" s="28">
        <f>'[10]PL-CM'!$P$78</f>
        <v>39142</v>
      </c>
      <c r="F78" s="28">
        <f>'[10]PL-CM'!$Q$78</f>
        <v>51960.45</v>
      </c>
      <c r="G78" s="28">
        <f>'[10]PL-YTD'!$P$78</f>
        <v>312321</v>
      </c>
      <c r="H78" s="28">
        <f>'[10]PL-YTD'!$Q$78</f>
        <v>415683.60000000003</v>
      </c>
      <c r="I78" s="28"/>
      <c r="J78" s="28">
        <f>'[11]PL-YTD'!$Q$67</f>
        <v>230304</v>
      </c>
      <c r="K78" s="177"/>
    </row>
    <row r="79" spans="1:10" ht="12.75">
      <c r="A79" s="52"/>
      <c r="B79" s="27"/>
      <c r="C79" s="27" t="s">
        <v>145</v>
      </c>
      <c r="D79" s="30"/>
      <c r="E79" s="28">
        <f>'[10]PL-CM'!$P$79</f>
        <v>2933</v>
      </c>
      <c r="F79" s="28">
        <f>'[10]PL-CM'!$Q$79</f>
        <v>4063.6358333333337</v>
      </c>
      <c r="G79" s="28">
        <f>'[10]PL-YTD'!$P$79</f>
        <v>23434</v>
      </c>
      <c r="H79" s="28">
        <f>'[10]PL-YTD'!$Q$79</f>
        <v>32509.08666666667</v>
      </c>
      <c r="I79" s="28">
        <v>22438</v>
      </c>
      <c r="J79" s="28">
        <f>'[11]PL-YTD'!$Q$68</f>
        <v>7090.666666666666</v>
      </c>
    </row>
    <row r="80" spans="1:10" ht="12.75">
      <c r="A80" s="52"/>
      <c r="B80" s="27"/>
      <c r="C80" s="27" t="s">
        <v>146</v>
      </c>
      <c r="D80" s="30"/>
      <c r="E80" s="28">
        <f>'[10]PL-CM'!$P$80</f>
        <v>12155</v>
      </c>
      <c r="F80" s="28">
        <f>'[10]PL-CM'!$Q$80</f>
        <v>34833.607461116226</v>
      </c>
      <c r="G80" s="28">
        <f>'[10]PL-YTD'!$P$80</f>
        <v>312969</v>
      </c>
      <c r="H80" s="28">
        <f>'[10]PL-YTD'!$Q$80</f>
        <v>278668.85968892975</v>
      </c>
      <c r="I80" s="28">
        <v>233066</v>
      </c>
      <c r="J80" s="28">
        <f>'[11]PL-YTD'!$Q$69</f>
        <v>163973.09466666667</v>
      </c>
    </row>
    <row r="81" spans="1:10" ht="12.75">
      <c r="A81" s="52"/>
      <c r="B81" s="27"/>
      <c r="C81" s="27" t="s">
        <v>147</v>
      </c>
      <c r="D81" s="30"/>
      <c r="E81" s="28">
        <f>'[10]PL-CM'!$P$81</f>
        <v>18234</v>
      </c>
      <c r="F81" s="28">
        <f>'[10]PL-CM'!$Q$81</f>
        <v>15678.264166666668</v>
      </c>
      <c r="G81" s="28">
        <f>'[10]PL-YTD'!$P$81</f>
        <v>140999</v>
      </c>
      <c r="H81" s="28">
        <f>'[10]PL-YTD'!$Q$81</f>
        <v>124378.28333333335</v>
      </c>
      <c r="I81" s="28">
        <v>119191</v>
      </c>
      <c r="J81" s="28">
        <f>'[11]PL-YTD'!$Q$70</f>
        <v>131464.7391604952</v>
      </c>
    </row>
    <row r="82" spans="1:10" ht="12.75">
      <c r="A82" s="52"/>
      <c r="B82" s="27"/>
      <c r="C82" s="27" t="s">
        <v>148</v>
      </c>
      <c r="D82" s="30"/>
      <c r="E82" s="28">
        <f>'[10]PL-CM'!$P$82</f>
        <v>2500</v>
      </c>
      <c r="F82" s="28">
        <f>'[10]PL-CM'!$Q$82</f>
        <v>2458.333333333333</v>
      </c>
      <c r="G82" s="28">
        <f>'[10]PL-YTD'!$P$82</f>
        <v>30802</v>
      </c>
      <c r="H82" s="28">
        <f>'[10]PL-YTD'!$Q$82</f>
        <v>19666.666666666664</v>
      </c>
      <c r="I82" s="28">
        <v>24322</v>
      </c>
      <c r="J82" s="28">
        <f>'[11]PL-YTD'!$Q$71</f>
        <v>16000</v>
      </c>
    </row>
    <row r="83" spans="1:10" ht="12.75">
      <c r="A83" s="52"/>
      <c r="B83" s="27"/>
      <c r="C83" s="27" t="s">
        <v>149</v>
      </c>
      <c r="D83" s="30"/>
      <c r="E83" s="28">
        <f>'[10]PL-CM'!$P$83</f>
        <v>64416</v>
      </c>
      <c r="F83" s="28">
        <f>'[10]PL-CM'!$Q$83</f>
        <v>39296.325</v>
      </c>
      <c r="G83" s="28">
        <f>'[10]PL-YTD'!$P$83</f>
        <v>325742</v>
      </c>
      <c r="H83" s="28">
        <f>'[10]PL-YTD'!$Q$83</f>
        <v>314370.60000000003</v>
      </c>
      <c r="I83" s="28">
        <v>238101</v>
      </c>
      <c r="J83" s="28">
        <f>'[11]PL-YTD'!$Q$72</f>
        <v>185544.28666666665</v>
      </c>
    </row>
    <row r="84" spans="1:10" ht="12.75">
      <c r="A84" s="52"/>
      <c r="B84" s="27"/>
      <c r="C84" s="27" t="s">
        <v>150</v>
      </c>
      <c r="D84" s="30"/>
      <c r="E84" s="28">
        <f>'[10]PL-CM'!$P$84</f>
        <v>109199</v>
      </c>
      <c r="F84" s="28">
        <f>'[10]PL-CM'!$Q$84</f>
        <v>120606.03104333334</v>
      </c>
      <c r="G84" s="28">
        <f>'[10]PL-YTD'!$P$84</f>
        <v>935181</v>
      </c>
      <c r="H84" s="28">
        <f>'[10]PL-YTD'!$Q$84</f>
        <v>963124.7127666668</v>
      </c>
      <c r="I84" s="28">
        <v>864079</v>
      </c>
      <c r="J84" s="28">
        <f>'[11]PL-YTD'!$Q$73</f>
        <v>814604.66</v>
      </c>
    </row>
    <row r="85" spans="1:10" ht="12.75">
      <c r="A85" s="52"/>
      <c r="B85" s="27"/>
      <c r="C85" s="27" t="s">
        <v>151</v>
      </c>
      <c r="D85" s="30"/>
      <c r="E85" s="28">
        <f>'[10]PL-CM'!$P$85</f>
        <v>39268</v>
      </c>
      <c r="F85" s="28">
        <f>'[10]PL-CM'!$Q$85</f>
        <v>37736.93833333333</v>
      </c>
      <c r="G85" s="28">
        <f>'[10]PL-YTD'!$P$85</f>
        <v>316275</v>
      </c>
      <c r="H85" s="28">
        <f>'[10]PL-YTD'!$Q$85</f>
        <v>301390.9766666666</v>
      </c>
      <c r="I85" s="28">
        <v>282215</v>
      </c>
      <c r="J85" s="28">
        <f>'[11]PL-YTD'!$Q$74</f>
        <v>244138.818</v>
      </c>
    </row>
    <row r="86" spans="1:10" ht="12.75">
      <c r="A86" s="52"/>
      <c r="B86" s="27"/>
      <c r="C86" s="27" t="s">
        <v>152</v>
      </c>
      <c r="D86" s="30"/>
      <c r="E86" s="28">
        <f>'[10]PL-CM'!$P$86</f>
        <v>10885</v>
      </c>
      <c r="F86" s="28">
        <f>'[10]PL-CM'!$Q$86</f>
        <v>12235.366666666667</v>
      </c>
      <c r="G86" s="28">
        <f>'[10]PL-YTD'!$P$86</f>
        <v>95736</v>
      </c>
      <c r="H86" s="28">
        <f>'[10]PL-YTD'!$Q$86</f>
        <v>97882.93333333333</v>
      </c>
      <c r="I86" s="28">
        <v>95550</v>
      </c>
      <c r="J86" s="28">
        <f>'[11]PL-YTD'!$Q$75</f>
        <v>86521.60666666667</v>
      </c>
    </row>
    <row r="87" spans="1:10" ht="12.75">
      <c r="A87" s="52"/>
      <c r="B87" s="27"/>
      <c r="C87" s="27" t="s">
        <v>153</v>
      </c>
      <c r="D87" s="30"/>
      <c r="E87" s="28">
        <f>'[10]PL-CM'!$P$87</f>
        <v>152941</v>
      </c>
      <c r="F87" s="28">
        <f>'[10]PL-CM'!$Q$87</f>
        <v>257804.41692499665</v>
      </c>
      <c r="G87" s="28">
        <f>'[10]PL-YTD'!$P$87</f>
        <v>1196990</v>
      </c>
      <c r="H87" s="28">
        <f>'[10]PL-YTD'!$Q$87</f>
        <v>1890739.8096425259</v>
      </c>
      <c r="I87" s="28">
        <v>1083519</v>
      </c>
      <c r="J87" s="28">
        <f>'[11]PL-YTD'!$Q$76</f>
        <v>1413189.3800000001</v>
      </c>
    </row>
    <row r="88" spans="1:10" ht="12.75">
      <c r="A88" s="52"/>
      <c r="B88" s="27"/>
      <c r="C88" s="27" t="s">
        <v>154</v>
      </c>
      <c r="D88" s="30"/>
      <c r="E88" s="28">
        <f>'[10]PL-CM'!$P$88</f>
        <v>123963</v>
      </c>
      <c r="F88" s="28">
        <f>'[10]PL-CM'!$Q$88</f>
        <v>116181.1722222222</v>
      </c>
      <c r="G88" s="28">
        <f>'[10]PL-YTD'!$P$88</f>
        <v>940884</v>
      </c>
      <c r="H88" s="28">
        <f>'[10]PL-YTD'!$Q$88</f>
        <v>929449.3777777778</v>
      </c>
      <c r="I88" s="28">
        <v>919247</v>
      </c>
      <c r="J88" s="28">
        <f>'[11]PL-YTD'!$Q$77</f>
        <v>890585.7066666665</v>
      </c>
    </row>
    <row r="89" spans="1:10" ht="12.75">
      <c r="A89" s="52"/>
      <c r="B89" s="27"/>
      <c r="C89" s="27" t="s">
        <v>155</v>
      </c>
      <c r="D89" s="30"/>
      <c r="E89" s="28">
        <f>'[10]PL-CM'!$P$89</f>
        <v>11049</v>
      </c>
      <c r="F89" s="28">
        <f>'[10]PL-CM'!$Q$89</f>
        <v>10186.075</v>
      </c>
      <c r="G89" s="28">
        <f>'[10]PL-YTD'!$P$89</f>
        <v>89191</v>
      </c>
      <c r="H89" s="28">
        <f>'[10]PL-YTD'!$Q$89</f>
        <v>81488.6</v>
      </c>
      <c r="I89" s="28">
        <v>78456</v>
      </c>
      <c r="J89" s="28">
        <f>'[11]PL-YTD'!$Q$78</f>
        <v>63763.48</v>
      </c>
    </row>
    <row r="90" spans="1:10" ht="12.75">
      <c r="A90" s="52"/>
      <c r="B90" s="27"/>
      <c r="C90" s="27" t="s">
        <v>156</v>
      </c>
      <c r="D90" s="30"/>
      <c r="E90" s="28">
        <f>'[10]PL-CM'!$P$90</f>
        <v>41317</v>
      </c>
      <c r="F90" s="28">
        <f>'[10]PL-CM'!$Q$90</f>
        <v>40177.212804166666</v>
      </c>
      <c r="G90" s="28">
        <f>'[10]PL-YTD'!$P$90</f>
        <v>317801</v>
      </c>
      <c r="H90" s="28">
        <f>'[10]PL-YTD'!$Q$90</f>
        <v>321106.7122083333</v>
      </c>
      <c r="I90" s="28">
        <v>303963</v>
      </c>
      <c r="J90" s="28">
        <f>'[11]PL-YTD'!$Q$79</f>
        <v>235852.13333333336</v>
      </c>
    </row>
    <row r="91" spans="1:10" ht="12.75">
      <c r="A91" s="52"/>
      <c r="B91" s="27"/>
      <c r="C91" s="27" t="s">
        <v>157</v>
      </c>
      <c r="D91" s="30"/>
      <c r="E91" s="28">
        <f>'[10]PL-CM'!$P$91</f>
        <v>6119</v>
      </c>
      <c r="F91" s="28">
        <f>'[10]PL-CM'!$Q$91</f>
        <v>6523.362499999999</v>
      </c>
      <c r="G91" s="28">
        <f>'[10]PL-YTD'!$P$91</f>
        <v>47654</v>
      </c>
      <c r="H91" s="28">
        <f>'[10]PL-YTD'!$Q$91</f>
        <v>52186.899999999994</v>
      </c>
      <c r="I91" s="28">
        <v>51044</v>
      </c>
      <c r="J91" s="28">
        <f>'[11]PL-YTD'!$Q$80</f>
        <v>52227.746666666666</v>
      </c>
    </row>
    <row r="92" spans="1:10" ht="12.75">
      <c r="A92" s="52"/>
      <c r="B92" s="27"/>
      <c r="C92" s="27" t="s">
        <v>158</v>
      </c>
      <c r="D92" s="43"/>
      <c r="E92" s="28">
        <f>'[10]PL-CM'!$P$92</f>
        <v>0</v>
      </c>
      <c r="F92" s="28">
        <f>'[10]PL-CM'!$Q$92</f>
        <v>0</v>
      </c>
      <c r="G92" s="28">
        <f>'[10]PL-YTD'!$P$92</f>
        <v>0</v>
      </c>
      <c r="H92" s="28">
        <f>'[10]PL-YTD'!$Q$92</f>
        <v>0</v>
      </c>
      <c r="I92" s="28">
        <v>0</v>
      </c>
      <c r="J92" s="28">
        <f>'[11]PL-YTD'!$Q$81</f>
        <v>0</v>
      </c>
    </row>
    <row r="93" spans="1:10" ht="12.75">
      <c r="A93" s="52"/>
      <c r="B93" s="27"/>
      <c r="C93" s="27" t="s">
        <v>159</v>
      </c>
      <c r="D93" s="43"/>
      <c r="E93" s="28">
        <f>'[10]PL-CM'!$P$93</f>
        <v>23128</v>
      </c>
      <c r="F93" s="28">
        <f>'[10]PL-CM'!$Q$93</f>
        <v>39833.66957089116</v>
      </c>
      <c r="G93" s="28">
        <f>'[10]PL-YTD'!$P$93</f>
        <v>100702</v>
      </c>
      <c r="H93" s="28">
        <f>'[10]PL-YTD'!$Q$93</f>
        <v>313527.97872602</v>
      </c>
      <c r="I93" s="28">
        <v>-162499</v>
      </c>
      <c r="J93" s="28">
        <f>'[11]PL-YTD'!$Q$82</f>
        <v>92353.88174810556</v>
      </c>
    </row>
    <row r="94" spans="1:10" ht="12.75">
      <c r="A94" s="52"/>
      <c r="B94" s="27"/>
      <c r="C94" s="27" t="s">
        <v>160</v>
      </c>
      <c r="D94" s="43"/>
      <c r="E94" s="28">
        <f>'[10]PL-CM'!$P$94</f>
        <v>0</v>
      </c>
      <c r="F94" s="28">
        <f>'[10]PL-CM'!$Q$94</f>
        <v>-6250</v>
      </c>
      <c r="G94" s="28">
        <f>'[10]PL-YTD'!$P$94</f>
        <v>-11437</v>
      </c>
      <c r="H94" s="28">
        <f>'[10]PL-YTD'!$Q$94</f>
        <v>-50000</v>
      </c>
      <c r="I94" s="28">
        <v>-80673</v>
      </c>
      <c r="J94" s="28">
        <f>'[11]PL-YTD'!$Q$83</f>
        <v>0</v>
      </c>
    </row>
    <row r="95" spans="1:10" ht="12.75">
      <c r="A95" s="52"/>
      <c r="B95" s="27"/>
      <c r="C95" s="29" t="s">
        <v>161</v>
      </c>
      <c r="D95" s="53"/>
      <c r="E95" s="28">
        <f>'[10]PL-CM'!$P$95</f>
        <v>2439</v>
      </c>
      <c r="F95" s="28">
        <f>'[10]PL-CM'!$Q$95</f>
        <v>4388.9158333333335</v>
      </c>
      <c r="G95" s="28">
        <f>'[10]PL-YTD'!$P$95</f>
        <v>16409</v>
      </c>
      <c r="H95" s="28">
        <f>'[10]PL-YTD'!$Q$95</f>
        <v>35111.32666666666</v>
      </c>
      <c r="I95" s="28">
        <v>42266</v>
      </c>
      <c r="J95" s="28">
        <f>'[11]PL-YTD'!$Q$84</f>
        <v>7789.673333333333</v>
      </c>
    </row>
    <row r="96" spans="1:10" ht="12.75">
      <c r="A96" s="52"/>
      <c r="B96" s="27"/>
      <c r="C96" s="27" t="s">
        <v>162</v>
      </c>
      <c r="D96" s="43"/>
      <c r="E96" s="28">
        <f>'[10]PL-CM'!$P$96</f>
        <v>9793</v>
      </c>
      <c r="F96" s="28">
        <f>'[10]PL-CM'!$Q$96</f>
        <v>0</v>
      </c>
      <c r="G96" s="28">
        <f>'[10]PL-YTD'!$P$96</f>
        <v>39141.14</v>
      </c>
      <c r="H96" s="28">
        <f>'[10]PL-YTD'!$Q$96</f>
        <v>0</v>
      </c>
      <c r="I96" s="28">
        <v>57457</v>
      </c>
      <c r="J96" s="28">
        <f>'[11]PL-YTD'!$Q$85</f>
        <v>0</v>
      </c>
    </row>
    <row r="97" spans="1:10" ht="12.75">
      <c r="A97" s="52"/>
      <c r="B97" s="27"/>
      <c r="C97" s="27" t="s">
        <v>163</v>
      </c>
      <c r="D97" s="43"/>
      <c r="E97" s="28">
        <f>'[10]PL-CM'!$P$97</f>
        <v>0</v>
      </c>
      <c r="F97" s="28">
        <f>'[10]PL-CM'!$Q$97</f>
        <v>0</v>
      </c>
      <c r="G97" s="28">
        <f>'[10]PL-YTD'!$P$97</f>
        <v>0</v>
      </c>
      <c r="H97" s="28">
        <f>'[10]PL-YTD'!$Q$97</f>
        <v>0</v>
      </c>
      <c r="I97" s="28">
        <v>1</v>
      </c>
      <c r="J97" s="28">
        <f>'[11]PL-YTD'!$Q$85</f>
        <v>0</v>
      </c>
    </row>
    <row r="98" spans="1:10" ht="4.5" customHeight="1">
      <c r="A98" s="38"/>
      <c r="B98" s="24"/>
      <c r="C98" s="24"/>
      <c r="D98" s="24"/>
      <c r="E98" s="39"/>
      <c r="F98" s="39"/>
      <c r="G98" s="39"/>
      <c r="H98" s="39"/>
      <c r="I98" s="39"/>
      <c r="J98" s="39"/>
    </row>
    <row r="99" spans="1:11" ht="12.75">
      <c r="A99" s="52"/>
      <c r="B99" s="26" t="s">
        <v>164</v>
      </c>
      <c r="C99" s="26"/>
      <c r="D99" s="27"/>
      <c r="E99" s="40">
        <f>SUM(E74:E97)</f>
        <v>1088904</v>
      </c>
      <c r="F99" s="40">
        <f>SUM(F74:F97)</f>
        <v>1272487.8759497076</v>
      </c>
      <c r="G99" s="40">
        <f>SUM(G74:G97)</f>
        <v>8771607.040000001</v>
      </c>
      <c r="H99" s="40">
        <f>SUM(H74:H97)</f>
        <v>9999227.673656598</v>
      </c>
      <c r="I99" s="40">
        <f>SUM(I79:I97)+I73</f>
        <v>7769231</v>
      </c>
      <c r="J99" s="40">
        <f>SUM(J74:J97)</f>
        <v>7971808.345686378</v>
      </c>
      <c r="K99" s="177"/>
    </row>
    <row r="100" spans="1:10" ht="4.5" customHeight="1">
      <c r="A100" s="38"/>
      <c r="B100" s="24"/>
      <c r="C100" s="24"/>
      <c r="D100" s="24"/>
      <c r="E100" s="39"/>
      <c r="F100" s="39"/>
      <c r="G100" s="39"/>
      <c r="H100" s="39"/>
      <c r="I100" s="39"/>
      <c r="J100" s="39"/>
    </row>
    <row r="101" spans="1:10" ht="12.75">
      <c r="A101" s="23" t="s">
        <v>165</v>
      </c>
      <c r="B101" s="26"/>
      <c r="C101" s="26"/>
      <c r="D101" s="27"/>
      <c r="E101" s="28">
        <f aca="true" t="shared" si="4" ref="E101:J101">E99+E70</f>
        <v>1237291</v>
      </c>
      <c r="F101" s="28">
        <f t="shared" si="4"/>
        <v>1457423.0351429572</v>
      </c>
      <c r="G101" s="28">
        <f t="shared" si="4"/>
        <v>9750408.040000001</v>
      </c>
      <c r="H101" s="28">
        <f t="shared" si="4"/>
        <v>11478518.529702595</v>
      </c>
      <c r="I101" s="28">
        <f t="shared" si="4"/>
        <v>8915365</v>
      </c>
      <c r="J101" s="28">
        <f t="shared" si="4"/>
        <v>9139101.732726378</v>
      </c>
    </row>
    <row r="102" spans="1:10" ht="4.5" customHeight="1">
      <c r="A102" s="38"/>
      <c r="B102" s="24"/>
      <c r="C102" s="24"/>
      <c r="D102" s="24"/>
      <c r="E102" s="39"/>
      <c r="F102" s="39"/>
      <c r="G102" s="39"/>
      <c r="H102" s="39"/>
      <c r="I102" s="39"/>
      <c r="J102" s="39"/>
    </row>
    <row r="103" spans="1:10" ht="12.75">
      <c r="A103" s="23" t="s">
        <v>166</v>
      </c>
      <c r="B103" s="24"/>
      <c r="C103" s="24"/>
      <c r="D103" s="24"/>
      <c r="E103" s="39">
        <f aca="true" t="shared" si="5" ref="E103:J103">+E36+E50+E70+E99</f>
        <v>4490242</v>
      </c>
      <c r="F103" s="39">
        <f t="shared" si="5"/>
        <v>4896367.505035002</v>
      </c>
      <c r="G103" s="39">
        <f t="shared" si="5"/>
        <v>36430274.04</v>
      </c>
      <c r="H103" s="39">
        <f t="shared" si="5"/>
        <v>38580865.36490454</v>
      </c>
      <c r="I103" s="39">
        <f t="shared" si="5"/>
        <v>32839807</v>
      </c>
      <c r="J103" s="39">
        <f t="shared" si="5"/>
        <v>34529933.59250938</v>
      </c>
    </row>
    <row r="104" spans="1:10" ht="4.5" customHeight="1">
      <c r="A104" s="38"/>
      <c r="B104" s="24"/>
      <c r="C104" s="24"/>
      <c r="D104" s="24"/>
      <c r="E104" s="39"/>
      <c r="F104" s="39"/>
      <c r="G104" s="39"/>
      <c r="H104" s="39"/>
      <c r="I104" s="39"/>
      <c r="J104" s="39"/>
    </row>
    <row r="105" spans="1:10" ht="12.75">
      <c r="A105" s="23" t="s">
        <v>167</v>
      </c>
      <c r="B105" s="26"/>
      <c r="C105" s="26"/>
      <c r="D105" s="27"/>
      <c r="E105" s="28">
        <f aca="true" t="shared" si="6" ref="E105:J105">E21-E103</f>
        <v>769345</v>
      </c>
      <c r="F105" s="28">
        <f t="shared" si="6"/>
        <v>1188145.0197122367</v>
      </c>
      <c r="G105" s="28">
        <f t="shared" si="6"/>
        <v>5628159.1000000015</v>
      </c>
      <c r="H105" s="28">
        <f t="shared" si="6"/>
        <v>8295503.911194883</v>
      </c>
      <c r="I105" s="28">
        <f t="shared" si="6"/>
        <v>6687684</v>
      </c>
      <c r="J105" s="28">
        <f t="shared" si="6"/>
        <v>9662890.388780475</v>
      </c>
    </row>
    <row r="106" spans="1:10" ht="12.75">
      <c r="A106" s="54"/>
      <c r="B106" s="27"/>
      <c r="C106" s="27" t="s">
        <v>168</v>
      </c>
      <c r="D106" s="27"/>
      <c r="E106" s="28">
        <f>'[10]PL-CM'!$P$106</f>
        <v>38138</v>
      </c>
      <c r="F106" s="28">
        <f>'[10]PL-CM'!$Q$106</f>
        <v>53262.7882</v>
      </c>
      <c r="G106" s="28">
        <f>'[10]PL-YTD'!$P$106</f>
        <v>317397</v>
      </c>
      <c r="H106" s="28">
        <f>'[10]PL-YTD'!$Q$106</f>
        <v>310620.39712000004</v>
      </c>
      <c r="I106" s="28">
        <v>393767</v>
      </c>
      <c r="J106" s="28">
        <f>'[11]PL-YTD'!$Q$95</f>
        <v>156524.6676</v>
      </c>
    </row>
    <row r="107" spans="1:10" ht="4.5" customHeight="1">
      <c r="A107" s="38"/>
      <c r="B107" s="24"/>
      <c r="C107" s="24"/>
      <c r="D107" s="24"/>
      <c r="E107" s="39"/>
      <c r="F107" s="39"/>
      <c r="G107" s="39"/>
      <c r="H107" s="39"/>
      <c r="I107" s="39"/>
      <c r="J107" s="39"/>
    </row>
    <row r="108" spans="1:11" ht="13.5" thickBot="1">
      <c r="A108" s="23" t="s">
        <v>169</v>
      </c>
      <c r="B108" s="26"/>
      <c r="C108" s="26"/>
      <c r="D108" s="27"/>
      <c r="E108" s="55">
        <f aca="true" t="shared" si="7" ref="E108:J108">E105+E106</f>
        <v>807483</v>
      </c>
      <c r="F108" s="55">
        <f t="shared" si="7"/>
        <v>1241407.8079122368</v>
      </c>
      <c r="G108" s="55">
        <f t="shared" si="7"/>
        <v>5945556.1000000015</v>
      </c>
      <c r="H108" s="56">
        <f t="shared" si="7"/>
        <v>8606124.308314884</v>
      </c>
      <c r="I108" s="55">
        <f t="shared" si="7"/>
        <v>7081451</v>
      </c>
      <c r="J108" s="56">
        <f t="shared" si="7"/>
        <v>9819415.056380475</v>
      </c>
      <c r="K108" s="177"/>
    </row>
    <row r="109" spans="1:10" ht="4.5" customHeight="1" thickTop="1">
      <c r="A109" s="52"/>
      <c r="B109" s="30"/>
      <c r="C109" s="30"/>
      <c r="D109" s="30"/>
      <c r="E109" s="57"/>
      <c r="F109" s="57"/>
      <c r="G109" s="57"/>
      <c r="H109" s="57"/>
      <c r="I109" s="57"/>
      <c r="J109" s="57"/>
    </row>
    <row r="110" spans="1:10" ht="12.75">
      <c r="A110" s="52"/>
      <c r="C110" s="27" t="s">
        <v>11</v>
      </c>
      <c r="E110" s="28">
        <f>'[10]PL-CM'!$P$110</f>
        <v>239090</v>
      </c>
      <c r="F110" s="28">
        <f>'[10]PL-CM'!$Q$110</f>
        <v>292466.5</v>
      </c>
      <c r="G110" s="28">
        <f>'[10]PL-YTD'!$P$110</f>
        <v>1961245</v>
      </c>
      <c r="H110" s="28">
        <f>'[10]PL-YTD'!$Q$110</f>
        <v>2339732</v>
      </c>
      <c r="I110" s="188">
        <f>254833.25*8</f>
        <v>2038666</v>
      </c>
      <c r="J110" s="28" t="e">
        <f>'[11]PL-YTD'!$Q$110</f>
        <v>#REF!</v>
      </c>
    </row>
    <row r="111" spans="1:10" ht="4.5" customHeight="1">
      <c r="A111" s="52"/>
      <c r="E111" s="59"/>
      <c r="F111" s="60"/>
      <c r="G111" s="60"/>
      <c r="H111" s="60"/>
      <c r="I111" s="60"/>
      <c r="J111" s="60"/>
    </row>
    <row r="112" spans="1:10" ht="13.5" thickBot="1">
      <c r="A112" s="23" t="s">
        <v>170</v>
      </c>
      <c r="E112" s="55">
        <f aca="true" t="shared" si="8" ref="E112:J112">E108-E110</f>
        <v>568393</v>
      </c>
      <c r="F112" s="55">
        <f t="shared" si="8"/>
        <v>948941.3079122368</v>
      </c>
      <c r="G112" s="55">
        <f t="shared" si="8"/>
        <v>3984311.1000000015</v>
      </c>
      <c r="H112" s="56">
        <f t="shared" si="8"/>
        <v>6266392.308314884</v>
      </c>
      <c r="I112" s="55">
        <f t="shared" si="8"/>
        <v>5042785</v>
      </c>
      <c r="J112" s="56" t="e">
        <f t="shared" si="8"/>
        <v>#REF!</v>
      </c>
    </row>
    <row r="113" spans="1:11" ht="4.5" customHeight="1" thickTop="1">
      <c r="A113" s="23"/>
      <c r="E113" s="61"/>
      <c r="F113" s="61"/>
      <c r="G113" s="61"/>
      <c r="H113" s="61"/>
      <c r="I113" s="62"/>
      <c r="J113" s="63"/>
      <c r="K113" s="3"/>
    </row>
    <row r="114" spans="1:11" ht="12.75">
      <c r="A114" s="52"/>
      <c r="C114" s="27" t="s">
        <v>171</v>
      </c>
      <c r="E114" s="28">
        <f>'[10]PL-CM'!$P$114</f>
        <v>0</v>
      </c>
      <c r="F114" s="28">
        <f>'[10]PL-CM'!$Q$114</f>
        <v>0</v>
      </c>
      <c r="G114" s="28">
        <f>'[10]PL-YTD'!$P$114</f>
        <v>1914879</v>
      </c>
      <c r="H114" s="28">
        <f>'[10]PL-YTD'!$Q$114</f>
        <v>0</v>
      </c>
      <c r="I114" s="73">
        <v>0</v>
      </c>
      <c r="J114" s="65">
        <v>0</v>
      </c>
      <c r="K114" s="3"/>
    </row>
    <row r="115" spans="1:11" ht="4.5" customHeight="1">
      <c r="A115" s="52"/>
      <c r="E115" s="59"/>
      <c r="F115" s="60"/>
      <c r="G115" s="60"/>
      <c r="H115" s="60"/>
      <c r="I115" s="66"/>
      <c r="J115" s="67"/>
      <c r="K115" s="3"/>
    </row>
    <row r="116" spans="1:11" ht="13.5" thickBot="1">
      <c r="A116" s="68" t="s">
        <v>172</v>
      </c>
      <c r="E116" s="55">
        <f aca="true" t="shared" si="9" ref="E116:J116">E112-E114</f>
        <v>568393</v>
      </c>
      <c r="F116" s="55">
        <f t="shared" si="9"/>
        <v>948941.3079122368</v>
      </c>
      <c r="G116" s="55">
        <f t="shared" si="9"/>
        <v>2069432.1000000015</v>
      </c>
      <c r="H116" s="56">
        <f t="shared" si="9"/>
        <v>6266392.308314884</v>
      </c>
      <c r="I116" s="56">
        <f t="shared" si="9"/>
        <v>5042785</v>
      </c>
      <c r="J116" s="56" t="e">
        <f t="shared" si="9"/>
        <v>#REF!</v>
      </c>
      <c r="K116" s="3"/>
    </row>
    <row r="117" spans="1:11" ht="4.5" customHeight="1" thickTop="1">
      <c r="A117" s="69"/>
      <c r="B117" s="17"/>
      <c r="C117" s="17"/>
      <c r="D117" s="17"/>
      <c r="E117" s="17"/>
      <c r="F117" s="17"/>
      <c r="G117" s="17"/>
      <c r="H117" s="70"/>
      <c r="I117" s="70"/>
      <c r="J117" s="71"/>
      <c r="K117" s="189"/>
    </row>
  </sheetData>
  <mergeCells count="7">
    <mergeCell ref="I5:J5"/>
    <mergeCell ref="G7:H7"/>
    <mergeCell ref="I7:J7"/>
    <mergeCell ref="A1:H1"/>
    <mergeCell ref="A2:H2"/>
    <mergeCell ref="A3:H3"/>
    <mergeCell ref="G5:H5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1"/>
  <sheetViews>
    <sheetView workbookViewId="0" topLeftCell="G89">
      <selection activeCell="K95" sqref="K95"/>
    </sheetView>
  </sheetViews>
  <sheetFormatPr defaultColWidth="9.140625" defaultRowHeight="12.75" outlineLevelRow="1"/>
  <cols>
    <col min="1" max="1" width="1.7109375" style="3" customWidth="1"/>
    <col min="2" max="2" width="2.7109375" style="3" customWidth="1"/>
    <col min="3" max="3" width="1.7109375" style="3" customWidth="1"/>
    <col min="4" max="4" width="40.7109375" style="3" customWidth="1"/>
    <col min="5" max="10" width="10.7109375" style="3" customWidth="1"/>
    <col min="11" max="11" width="15.140625" style="2" bestFit="1" customWidth="1"/>
    <col min="12" max="16384" width="9.140625" style="3" customWidth="1"/>
  </cols>
  <sheetData>
    <row r="1" spans="1:10" ht="12.75">
      <c r="A1" s="353" t="s">
        <v>82</v>
      </c>
      <c r="B1" s="353"/>
      <c r="C1" s="353"/>
      <c r="D1" s="353"/>
      <c r="E1" s="353"/>
      <c r="F1" s="353"/>
      <c r="G1" s="353"/>
      <c r="H1" s="353"/>
      <c r="I1" s="187"/>
      <c r="J1" s="187"/>
    </row>
    <row r="2" spans="1:10" ht="12.75">
      <c r="A2" s="353" t="s">
        <v>84</v>
      </c>
      <c r="B2" s="353"/>
      <c r="C2" s="353"/>
      <c r="D2" s="353"/>
      <c r="E2" s="353"/>
      <c r="F2" s="353"/>
      <c r="G2" s="353"/>
      <c r="H2" s="353"/>
      <c r="I2" s="187"/>
      <c r="J2" s="187"/>
    </row>
    <row r="3" spans="1:10" ht="12.75">
      <c r="A3" s="353" t="str">
        <f>'[12]PL-YTD'!A3</f>
        <v>FOR THE PERIOD ENDED 31 DECEMBER 2001</v>
      </c>
      <c r="B3" s="353"/>
      <c r="C3" s="353"/>
      <c r="D3" s="353"/>
      <c r="E3" s="353"/>
      <c r="F3" s="353"/>
      <c r="G3" s="353"/>
      <c r="H3" s="353"/>
      <c r="I3" s="187"/>
      <c r="J3" s="187"/>
    </row>
    <row r="4" spans="1:4" ht="12.75">
      <c r="A4" s="4" t="s">
        <v>85</v>
      </c>
      <c r="B4" s="2"/>
      <c r="C4" s="2"/>
      <c r="D4" s="5"/>
    </row>
    <row r="5" spans="1:10" ht="12.75">
      <c r="A5" s="6"/>
      <c r="B5" s="7"/>
      <c r="C5" s="7"/>
      <c r="D5" s="7"/>
      <c r="E5" s="8" t="s">
        <v>86</v>
      </c>
      <c r="F5" s="9"/>
      <c r="G5" s="354" t="s">
        <v>86</v>
      </c>
      <c r="H5" s="355"/>
      <c r="I5" s="354" t="s">
        <v>86</v>
      </c>
      <c r="J5" s="355"/>
    </row>
    <row r="6" spans="1:10" ht="12.75">
      <c r="A6" s="11" t="s">
        <v>87</v>
      </c>
      <c r="B6" s="12"/>
      <c r="C6" s="12"/>
      <c r="D6" s="12"/>
      <c r="E6" s="13" t="s">
        <v>2</v>
      </c>
      <c r="F6" s="14" t="s">
        <v>88</v>
      </c>
      <c r="G6" s="15" t="s">
        <v>2</v>
      </c>
      <c r="H6" s="14" t="s">
        <v>88</v>
      </c>
      <c r="I6" s="15" t="s">
        <v>2</v>
      </c>
      <c r="J6" s="14" t="s">
        <v>88</v>
      </c>
    </row>
    <row r="7" spans="1:10" ht="12.75">
      <c r="A7" s="16"/>
      <c r="B7" s="17"/>
      <c r="C7" s="17"/>
      <c r="D7" s="17"/>
      <c r="E7" s="18" t="s">
        <v>2</v>
      </c>
      <c r="F7" s="9"/>
      <c r="G7" s="351" t="s">
        <v>91</v>
      </c>
      <c r="H7" s="352"/>
      <c r="I7" s="351" t="s">
        <v>244</v>
      </c>
      <c r="J7" s="352"/>
    </row>
    <row r="8" spans="1:10" ht="4.5" customHeight="1">
      <c r="A8" s="20"/>
      <c r="B8" s="21"/>
      <c r="C8" s="21"/>
      <c r="D8" s="21"/>
      <c r="E8" s="22"/>
      <c r="F8" s="22"/>
      <c r="G8" s="22"/>
      <c r="H8" s="22"/>
      <c r="I8" s="22"/>
      <c r="J8" s="22"/>
    </row>
    <row r="9" spans="1:10" ht="12.75">
      <c r="A9" s="23" t="s">
        <v>92</v>
      </c>
      <c r="B9" s="24"/>
      <c r="C9" s="24"/>
      <c r="D9" s="24"/>
      <c r="E9" s="25"/>
      <c r="F9" s="25"/>
      <c r="G9" s="25"/>
      <c r="H9" s="25"/>
      <c r="I9" s="25"/>
      <c r="J9" s="25"/>
    </row>
    <row r="10" spans="1:12" ht="12.75">
      <c r="A10" s="23"/>
      <c r="B10" s="26"/>
      <c r="C10" s="27" t="s">
        <v>93</v>
      </c>
      <c r="D10" s="30"/>
      <c r="E10" s="28">
        <f>'[12]PL-CM'!$P$10</f>
        <v>4525645</v>
      </c>
      <c r="F10" s="28">
        <f>'[12]PL-CM'!$Q$10</f>
        <v>5554455.057518588</v>
      </c>
      <c r="G10" s="28">
        <f>'[12]PL-YTD'!$P$10</f>
        <v>44697297.14</v>
      </c>
      <c r="H10" s="28">
        <f>'[12]PL-YTD'!$Q$10</f>
        <v>49858355.502964474</v>
      </c>
      <c r="I10" s="28">
        <f>43306614+262872+449911-I14-I15</f>
        <v>43716496</v>
      </c>
      <c r="J10" s="28">
        <f>+'[13]PL-YTD'!$F$10+'[13]PL-YTD'!$F$12+'[13]PL-YTD'!$F$13+'[13]PL-YTD'!$J$10+'[13]PL-YTD'!$J$13+'[13]PL-YTD'!$O$12+'[13]PL-YTD'!$O$13</f>
        <v>48698026.908015996</v>
      </c>
      <c r="L10" s="41"/>
    </row>
    <row r="11" spans="1:11" ht="12.75">
      <c r="A11" s="23"/>
      <c r="B11" s="26"/>
      <c r="C11" s="29" t="s">
        <v>94</v>
      </c>
      <c r="D11" s="30"/>
      <c r="E11" s="28">
        <f>+'[12]PL-CM'!P11</f>
        <v>128981</v>
      </c>
      <c r="F11" s="28">
        <f>+'[12]PL-CM'!Q11</f>
        <v>0</v>
      </c>
      <c r="G11" s="28">
        <f>'[12]PL-YTD'!$P$11</f>
        <v>641146</v>
      </c>
      <c r="H11" s="28">
        <f>'[12]PL-YTD'!$Q$11</f>
        <v>0</v>
      </c>
      <c r="I11" s="28"/>
      <c r="J11" s="28"/>
      <c r="K11" s="51"/>
    </row>
    <row r="12" spans="1:10" ht="12.75" outlineLevel="1">
      <c r="A12" s="23"/>
      <c r="B12" s="26"/>
      <c r="C12" s="29" t="s">
        <v>95</v>
      </c>
      <c r="D12" s="30"/>
      <c r="E12" s="28">
        <f>+'[12]PL-CM'!P12</f>
        <v>86630</v>
      </c>
      <c r="F12" s="28">
        <f>+'[12]PL-CM'!Q12</f>
        <v>65046.584858055416</v>
      </c>
      <c r="G12" s="28">
        <f>'[12]PL-YTD'!$P$12</f>
        <v>539342</v>
      </c>
      <c r="H12" s="28">
        <f>'[12]PL-YTD'!$Q$12</f>
        <v>583870.5355115926</v>
      </c>
      <c r="I12" s="28"/>
      <c r="J12" s="28"/>
    </row>
    <row r="13" spans="1:10" ht="12.75" customHeight="1" outlineLevel="1">
      <c r="A13" s="23"/>
      <c r="B13" s="26"/>
      <c r="C13" s="29" t="s">
        <v>96</v>
      </c>
      <c r="D13" s="30"/>
      <c r="E13" s="28">
        <f>+'[12]PL-CM'!P13</f>
        <v>-3704</v>
      </c>
      <c r="F13" s="28">
        <f>+'[12]PL-CM'!Q13</f>
        <v>-3042.900049412274</v>
      </c>
      <c r="G13" s="28">
        <f>'[12]PL-YTD'!$P$13</f>
        <v>-31723.85999999987</v>
      </c>
      <c r="H13" s="28">
        <f>'[12]PL-YTD'!$Q$13</f>
        <v>-27313.650443532504</v>
      </c>
      <c r="I13" s="28">
        <f>1391963-121229-1439141</f>
        <v>-168407</v>
      </c>
      <c r="J13" s="28">
        <f>1778117-164640-1778117</f>
        <v>-164640</v>
      </c>
    </row>
    <row r="14" spans="1:11" ht="12.75" outlineLevel="1">
      <c r="A14" s="23"/>
      <c r="B14" s="26"/>
      <c r="C14" s="29" t="s">
        <v>98</v>
      </c>
      <c r="D14" s="30"/>
      <c r="E14" s="28">
        <f>+'[12]PL-CM'!P14</f>
        <v>64854</v>
      </c>
      <c r="F14" s="28">
        <f>+'[12]PL-CM'!Q14</f>
        <v>0</v>
      </c>
      <c r="G14" s="28">
        <f>'[12]PL-YTD'!$P$14</f>
        <v>388163</v>
      </c>
      <c r="H14" s="28">
        <f>'[12]PL-YTD'!$Q$14</f>
        <v>0</v>
      </c>
      <c r="I14" s="28">
        <v>121228</v>
      </c>
      <c r="J14" s="28">
        <v>164640</v>
      </c>
      <c r="K14" s="28"/>
    </row>
    <row r="15" spans="1:11" ht="12.75" outlineLevel="1">
      <c r="A15" s="23"/>
      <c r="B15" s="26"/>
      <c r="C15" s="29" t="s">
        <v>99</v>
      </c>
      <c r="D15" s="30"/>
      <c r="E15" s="28">
        <f>+'[12]PL-CM'!P15</f>
        <v>73642</v>
      </c>
      <c r="F15" s="28">
        <f>+'[12]PL-CM'!Q15</f>
        <v>250800</v>
      </c>
      <c r="G15" s="28">
        <f>'[12]PL-YTD'!$P$15</f>
        <v>689187</v>
      </c>
      <c r="H15" s="28">
        <f>'[12]PL-YTD'!$Q$15</f>
        <v>2263800</v>
      </c>
      <c r="I15" s="28">
        <v>181673</v>
      </c>
      <c r="J15" s="28">
        <v>950003</v>
      </c>
      <c r="K15" s="28"/>
    </row>
    <row r="16" spans="1:11" ht="12.75">
      <c r="A16" s="37"/>
      <c r="B16" s="27"/>
      <c r="C16" s="27" t="s">
        <v>100</v>
      </c>
      <c r="D16" s="30"/>
      <c r="E16" s="28">
        <f>+'[12]PL-CM'!P16</f>
        <v>20506</v>
      </c>
      <c r="F16" s="28">
        <f>+'[12]PL-CM'!Q16</f>
        <v>-282320.4648000001</v>
      </c>
      <c r="G16" s="28">
        <f>'[12]PL-YTD'!$P$11</f>
        <v>641146</v>
      </c>
      <c r="H16" s="28">
        <f>'[12]PL-YTD'!$Q$11</f>
        <v>0</v>
      </c>
      <c r="I16" s="28"/>
      <c r="J16" s="28"/>
      <c r="K16" s="28"/>
    </row>
    <row r="17" spans="1:11" ht="12.75">
      <c r="A17" s="37"/>
      <c r="B17" s="27"/>
      <c r="C17" s="27" t="s">
        <v>101</v>
      </c>
      <c r="D17" s="30"/>
      <c r="E17" s="28">
        <f>+'[12]PL-CM'!P17</f>
        <v>-69303</v>
      </c>
      <c r="F17" s="28">
        <f>+'[12]PL-CM'!Q17</f>
        <v>-62840.776320000004</v>
      </c>
      <c r="G17" s="28">
        <f>'[12]PL-YTD'!$P$11</f>
        <v>641146</v>
      </c>
      <c r="H17" s="28">
        <f>'[12]PL-YTD'!$Q$11</f>
        <v>0</v>
      </c>
      <c r="I17" s="28"/>
      <c r="J17" s="28"/>
      <c r="K17" s="28"/>
    </row>
    <row r="18" spans="1:11" ht="12" customHeight="1">
      <c r="A18" s="37"/>
      <c r="B18" s="27"/>
      <c r="C18" s="27" t="s">
        <v>102</v>
      </c>
      <c r="D18" s="30"/>
      <c r="E18" s="28">
        <f>+'[12]PL-CM'!P18</f>
        <v>1678</v>
      </c>
      <c r="F18" s="28">
        <f>+'[12]PL-CM'!Q18</f>
        <v>5095.776</v>
      </c>
      <c r="G18" s="28">
        <f>'[12]PL-YTD'!$P$18</f>
        <v>15102</v>
      </c>
      <c r="H18" s="28">
        <f>'[12]PL-YTD'!$Q$18</f>
        <v>45740.65599999999</v>
      </c>
      <c r="I18" s="28">
        <v>113606</v>
      </c>
      <c r="J18" s="28">
        <v>0</v>
      </c>
      <c r="K18" s="28"/>
    </row>
    <row r="19" spans="1:10" ht="12.75">
      <c r="A19" s="37"/>
      <c r="B19" s="27"/>
      <c r="C19" s="27" t="s">
        <v>103</v>
      </c>
      <c r="D19" s="30"/>
      <c r="E19" s="28">
        <f>+'[12]PL-CM'!P19</f>
        <v>-3694</v>
      </c>
      <c r="F19" s="28">
        <f>+'[12]PL-CM'!Q19</f>
        <v>0</v>
      </c>
      <c r="G19" s="28">
        <f>'[12]PL-YTD'!$P$19</f>
        <v>-34068</v>
      </c>
      <c r="H19" s="28">
        <f>'[12]PL-YTD'!$Q$19</f>
        <v>0</v>
      </c>
      <c r="I19" s="28">
        <v>0</v>
      </c>
      <c r="J19" s="28">
        <v>0</v>
      </c>
    </row>
    <row r="20" spans="1:10" ht="4.5" customHeight="1">
      <c r="A20" s="38"/>
      <c r="B20" s="24"/>
      <c r="C20" s="24"/>
      <c r="D20" s="24"/>
      <c r="E20" s="39"/>
      <c r="F20" s="39"/>
      <c r="G20" s="39"/>
      <c r="H20" s="39"/>
      <c r="I20" s="39"/>
      <c r="J20" s="39"/>
    </row>
    <row r="21" spans="1:11" ht="12.75">
      <c r="A21" s="23" t="s">
        <v>104</v>
      </c>
      <c r="B21" s="26"/>
      <c r="C21" s="26"/>
      <c r="D21" s="27"/>
      <c r="E21" s="40">
        <f aca="true" t="shared" si="0" ref="E21:J21">+E10+E11+E12+E14+E15+E18+E19</f>
        <v>4877736</v>
      </c>
      <c r="F21" s="40">
        <f t="shared" si="0"/>
        <v>5875397.418376643</v>
      </c>
      <c r="G21" s="40">
        <f t="shared" si="0"/>
        <v>46936169.14</v>
      </c>
      <c r="H21" s="40">
        <f t="shared" si="0"/>
        <v>52751766.69447607</v>
      </c>
      <c r="I21" s="40">
        <f t="shared" si="0"/>
        <v>44133003</v>
      </c>
      <c r="J21" s="40">
        <f t="shared" si="0"/>
        <v>49812669.908015996</v>
      </c>
      <c r="K21" s="51"/>
    </row>
    <row r="22" spans="1:10" ht="4.5" customHeight="1">
      <c r="A22" s="20"/>
      <c r="B22" s="21"/>
      <c r="C22" s="21"/>
      <c r="D22" s="24"/>
      <c r="E22" s="39"/>
      <c r="F22" s="39"/>
      <c r="G22" s="39"/>
      <c r="H22" s="39"/>
      <c r="I22" s="39"/>
      <c r="J22" s="39"/>
    </row>
    <row r="23" spans="1:11" ht="12.75">
      <c r="A23" s="23" t="s">
        <v>105</v>
      </c>
      <c r="B23" s="26"/>
      <c r="C23" s="26"/>
      <c r="D23" s="27"/>
      <c r="E23" s="42">
        <f>+E10+E12+E14+E18+E19</f>
        <v>4675113</v>
      </c>
      <c r="F23" s="42"/>
      <c r="G23" s="42"/>
      <c r="H23" s="42"/>
      <c r="I23" s="42"/>
      <c r="J23" s="42"/>
      <c r="K23" s="51"/>
    </row>
    <row r="24" spans="1:10" ht="12.75">
      <c r="A24" s="23"/>
      <c r="B24" s="26" t="s">
        <v>106</v>
      </c>
      <c r="C24" s="26"/>
      <c r="D24" s="27"/>
      <c r="E24" s="42"/>
      <c r="F24" s="42"/>
      <c r="G24" s="42"/>
      <c r="H24" s="42"/>
      <c r="I24" s="42"/>
      <c r="J24" s="42"/>
    </row>
    <row r="25" spans="1:10" ht="12.75">
      <c r="A25" s="37" t="s">
        <v>85</v>
      </c>
      <c r="B25" s="43"/>
      <c r="C25" s="27" t="s">
        <v>107</v>
      </c>
      <c r="D25" s="27"/>
      <c r="E25" s="28">
        <f>'[12]PL-CM'!$P$25</f>
        <v>280914</v>
      </c>
      <c r="F25" s="28">
        <f>'[12]PL-CM'!$Q$25</f>
        <v>460650.0030503169</v>
      </c>
      <c r="G25" s="28">
        <f>'[12]PL-YTD'!$P$25</f>
        <v>2513663</v>
      </c>
      <c r="H25" s="28">
        <f>'[12]PL-YTD'!$Q$25</f>
        <v>4134908.634523082</v>
      </c>
      <c r="I25" s="28">
        <v>2444964</v>
      </c>
      <c r="J25" s="28">
        <f>'[13]PL-YTD'!$Q$20</f>
        <v>3154367.767558761</v>
      </c>
    </row>
    <row r="26" spans="1:10" ht="12.75">
      <c r="A26" s="37" t="s">
        <v>85</v>
      </c>
      <c r="B26" s="43"/>
      <c r="C26" s="27" t="s">
        <v>108</v>
      </c>
      <c r="D26" s="27"/>
      <c r="E26" s="28">
        <f>'[12]PL-CM'!$P$26</f>
        <v>937739</v>
      </c>
      <c r="F26" s="28">
        <f>'[12]PL-CM'!$Q$26</f>
        <v>615155.3945098128</v>
      </c>
      <c r="G26" s="28">
        <f>'[12]PL-YTD'!$P$26</f>
        <v>7475694</v>
      </c>
      <c r="H26" s="28">
        <f>'[12]PL-YTD'!$Q$26</f>
        <v>5522830.568338081</v>
      </c>
      <c r="I26" s="28">
        <v>6196113</v>
      </c>
      <c r="J26" s="28">
        <f>'[13]PL-YTD'!$Q$21</f>
        <v>6571829.357966157</v>
      </c>
    </row>
    <row r="27" spans="1:10" ht="12.75">
      <c r="A27" s="37"/>
      <c r="B27" s="43"/>
      <c r="C27" s="27" t="s">
        <v>110</v>
      </c>
      <c r="D27" s="27"/>
      <c r="E27" s="28">
        <f>+'[12]PL-CM'!P27</f>
        <v>92364</v>
      </c>
      <c r="F27" s="28">
        <f>'[12]PL-CM'!$Q$27</f>
        <v>0</v>
      </c>
      <c r="G27" s="28">
        <f>'[12]PL-YTD'!$P$27</f>
        <v>340333</v>
      </c>
      <c r="H27" s="28">
        <f>'[12]PL-YTD'!$Q$27</f>
        <v>0</v>
      </c>
      <c r="I27" s="28">
        <v>0</v>
      </c>
      <c r="J27" s="28">
        <v>0</v>
      </c>
    </row>
    <row r="28" spans="1:10" ht="12.75">
      <c r="A28" s="37" t="s">
        <v>85</v>
      </c>
      <c r="B28" s="43"/>
      <c r="C28" s="27" t="s">
        <v>111</v>
      </c>
      <c r="D28" s="27"/>
      <c r="E28" s="28">
        <f>'[12]PL-CM'!$P$28</f>
        <v>2682</v>
      </c>
      <c r="F28" s="28">
        <f>'[12]PL-CM'!$Q$28</f>
        <v>55337.56031201394</v>
      </c>
      <c r="G28" s="28">
        <f>'[12]PL-YTD'!$P$28</f>
        <v>332707</v>
      </c>
      <c r="H28" s="28">
        <f>'[12]PL-YTD'!$Q$28</f>
        <v>496720.48184831557</v>
      </c>
      <c r="I28" s="28">
        <v>297276</v>
      </c>
      <c r="J28" s="28">
        <f>'[13]PL-YTD'!$Q$22</f>
        <v>437350.34534694493</v>
      </c>
    </row>
    <row r="29" spans="1:10" ht="12.75">
      <c r="A29" s="37"/>
      <c r="B29" s="43"/>
      <c r="C29" s="27" t="s">
        <v>112</v>
      </c>
      <c r="D29" s="27"/>
      <c r="E29" s="28">
        <f>SUM(E30:E31)</f>
        <v>150158</v>
      </c>
      <c r="F29" s="28">
        <f>SUM(F30:F31)</f>
        <v>181221.62615179332</v>
      </c>
      <c r="G29" s="28">
        <f>SUM(G30:G31)</f>
        <v>1520903</v>
      </c>
      <c r="H29" s="28">
        <f>SUM(H30:H31)</f>
        <v>1626679.8347434783</v>
      </c>
      <c r="I29" s="28">
        <f>548210+899042</f>
        <v>1447252</v>
      </c>
      <c r="J29" s="28">
        <f>SUM(J30:J31)</f>
        <v>1495721.8589705038</v>
      </c>
    </row>
    <row r="30" spans="1:11" s="45" customFormat="1" ht="12.75">
      <c r="A30" s="37" t="s">
        <v>85</v>
      </c>
      <c r="B30" s="43"/>
      <c r="C30" s="27" t="s">
        <v>113</v>
      </c>
      <c r="D30" s="27"/>
      <c r="E30" s="28">
        <f>'[12]PL-CM'!$P$30</f>
        <v>40833</v>
      </c>
      <c r="F30" s="28">
        <f>'[12]PL-CM'!$Q$30</f>
        <v>60953.62081658055</v>
      </c>
      <c r="G30" s="28">
        <f>'[12]PL-YTD'!$P$30</f>
        <v>549219</v>
      </c>
      <c r="H30" s="28">
        <f>'[12]PL-YTD'!$Q$30</f>
        <v>547131.3106631159</v>
      </c>
      <c r="I30" s="28"/>
      <c r="J30" s="28">
        <f>'[13]PL-YTD'!$Q$23</f>
        <v>475105.2295142614</v>
      </c>
      <c r="K30" s="186"/>
    </row>
    <row r="31" spans="1:11" s="45" customFormat="1" ht="12.75">
      <c r="A31" s="37"/>
      <c r="B31" s="43"/>
      <c r="C31" s="27" t="s">
        <v>114</v>
      </c>
      <c r="D31" s="27"/>
      <c r="E31" s="28">
        <f>'[12]PL-CM'!$P$31</f>
        <v>109325</v>
      </c>
      <c r="F31" s="28">
        <f>'[12]PL-CM'!$Q$31</f>
        <v>120268.00533521277</v>
      </c>
      <c r="G31" s="28">
        <f>'[12]PL-YTD'!$P$31</f>
        <v>971684</v>
      </c>
      <c r="H31" s="28">
        <f>'[12]PL-YTD'!$Q$31</f>
        <v>1079548.5240803624</v>
      </c>
      <c r="I31" s="28"/>
      <c r="J31" s="28">
        <f>'[13]PL-YTD'!$Q$24</f>
        <v>1020616.6294562423</v>
      </c>
      <c r="K31" s="186"/>
    </row>
    <row r="32" spans="1:11" s="45" customFormat="1" ht="12.75">
      <c r="A32" s="37"/>
      <c r="B32" s="43"/>
      <c r="C32" s="27" t="s">
        <v>115</v>
      </c>
      <c r="D32" s="27"/>
      <c r="E32" s="28">
        <f>SUM(E33:E34)</f>
        <v>0</v>
      </c>
      <c r="F32" s="28">
        <f>SUM(F33:F34)</f>
        <v>0</v>
      </c>
      <c r="G32" s="28">
        <f>SUM(G33:G34)</f>
        <v>0</v>
      </c>
      <c r="H32" s="28">
        <f>SUM(H33:H34)</f>
        <v>0</v>
      </c>
      <c r="I32" s="28">
        <v>0</v>
      </c>
      <c r="J32" s="28">
        <f>SUM(J33:J34)</f>
        <v>0</v>
      </c>
      <c r="K32" s="186"/>
    </row>
    <row r="33" spans="1:11" s="45" customFormat="1" ht="12.75">
      <c r="A33" s="37" t="s">
        <v>85</v>
      </c>
      <c r="B33" s="43"/>
      <c r="C33" s="27" t="s">
        <v>116</v>
      </c>
      <c r="D33" s="27"/>
      <c r="E33" s="28">
        <f>'[12]PL-CM'!$P$33</f>
        <v>0</v>
      </c>
      <c r="F33" s="28">
        <f>'[12]PL-CM'!$Q$33</f>
        <v>0</v>
      </c>
      <c r="G33" s="28">
        <f>'[12]PL-YTD'!$P$33</f>
        <v>0</v>
      </c>
      <c r="H33" s="28">
        <f>'[12]PL-YTD'!$Q$33</f>
        <v>0</v>
      </c>
      <c r="I33" s="28"/>
      <c r="J33" s="28">
        <f>'[13]PL-YTD'!$Q$25</f>
        <v>0</v>
      </c>
      <c r="K33" s="186"/>
    </row>
    <row r="34" spans="1:11" s="45" customFormat="1" ht="12.75">
      <c r="A34" s="37" t="s">
        <v>85</v>
      </c>
      <c r="B34" s="43"/>
      <c r="C34" s="27" t="s">
        <v>117</v>
      </c>
      <c r="D34" s="27"/>
      <c r="E34" s="28">
        <f>'[12]PL-CM'!$P$34</f>
        <v>0</v>
      </c>
      <c r="F34" s="28">
        <f>'[12]PL-CM'!$Q$34</f>
        <v>0</v>
      </c>
      <c r="G34" s="28">
        <f>'[12]PL-YTD'!$P$34</f>
        <v>0</v>
      </c>
      <c r="H34" s="28">
        <f>'[12]PL-YTD'!$Q$34</f>
        <v>0</v>
      </c>
      <c r="I34" s="28"/>
      <c r="J34" s="28">
        <f>'[13]PL-YTD'!$Q$26</f>
        <v>0</v>
      </c>
      <c r="K34" s="186"/>
    </row>
    <row r="35" spans="1:11" s="45" customFormat="1" ht="4.5" customHeight="1">
      <c r="A35" s="37"/>
      <c r="B35" s="43"/>
      <c r="C35" s="27"/>
      <c r="D35" s="27"/>
      <c r="E35" s="28"/>
      <c r="F35" s="28"/>
      <c r="G35" s="28"/>
      <c r="H35" s="28"/>
      <c r="I35" s="28"/>
      <c r="J35" s="28"/>
      <c r="K35" s="186"/>
    </row>
    <row r="36" spans="1:11" s="45" customFormat="1" ht="12.75">
      <c r="A36" s="37"/>
      <c r="B36" s="26" t="s">
        <v>118</v>
      </c>
      <c r="C36" s="26"/>
      <c r="D36" s="27"/>
      <c r="E36" s="40">
        <f>SUM(E25:E29)+E32</f>
        <v>1463857</v>
      </c>
      <c r="F36" s="40">
        <f>SUM(F25:F29)+F32</f>
        <v>1312364.584023937</v>
      </c>
      <c r="G36" s="40">
        <f>SUM(G25:G29)+G32</f>
        <v>12183300</v>
      </c>
      <c r="H36" s="40">
        <f>SUM(H25:H29)+H32</f>
        <v>11781139.51945296</v>
      </c>
      <c r="I36" s="40">
        <f>SUM(I25:I29)</f>
        <v>10385605</v>
      </c>
      <c r="J36" s="40">
        <f>SUM(J25:J29)+J32</f>
        <v>11659269.329842366</v>
      </c>
      <c r="K36" s="51"/>
    </row>
    <row r="37" spans="1:11" s="45" customFormat="1" ht="4.5" customHeight="1">
      <c r="A37" s="37"/>
      <c r="B37" s="43"/>
      <c r="C37" s="27"/>
      <c r="D37" s="27"/>
      <c r="E37" s="28"/>
      <c r="F37" s="28"/>
      <c r="G37" s="28"/>
      <c r="H37" s="28"/>
      <c r="I37" s="28"/>
      <c r="J37" s="28"/>
      <c r="K37" s="186"/>
    </row>
    <row r="38" spans="1:11" s="45" customFormat="1" ht="12.75">
      <c r="A38" s="37"/>
      <c r="B38" s="26" t="s">
        <v>119</v>
      </c>
      <c r="C38" s="26"/>
      <c r="D38" s="27"/>
      <c r="E38" s="42"/>
      <c r="F38" s="42"/>
      <c r="G38" s="42"/>
      <c r="H38" s="42"/>
      <c r="I38" s="42"/>
      <c r="J38" s="42"/>
      <c r="K38" s="186"/>
    </row>
    <row r="39" spans="1:11" s="45" customFormat="1" ht="12.75">
      <c r="A39" s="37"/>
      <c r="B39" s="26"/>
      <c r="C39" s="29" t="s">
        <v>120</v>
      </c>
      <c r="D39" s="27"/>
      <c r="E39" s="42">
        <f>SUM(E40:E43)</f>
        <v>1495869</v>
      </c>
      <c r="F39" s="42">
        <f>SUM(F40:F43)</f>
        <v>1561286.8151912699</v>
      </c>
      <c r="G39" s="42">
        <f>SUM(G40:G43)</f>
        <v>13604727</v>
      </c>
      <c r="H39" s="42">
        <f>SUM(H40:H43)</f>
        <v>14051367.741977772</v>
      </c>
      <c r="I39" s="42">
        <f>8740919+1899954+705493+1209513</f>
        <v>12555879</v>
      </c>
      <c r="J39" s="42">
        <f>SUM(J40:J43)</f>
        <v>12460449.37518208</v>
      </c>
      <c r="K39" s="186"/>
    </row>
    <row r="40" spans="1:11" s="45" customFormat="1" ht="12.75">
      <c r="A40" s="37"/>
      <c r="B40" s="30"/>
      <c r="C40" s="27" t="s">
        <v>121</v>
      </c>
      <c r="D40" s="27"/>
      <c r="E40" s="28">
        <f>'[12]PL-CM'!$P$40</f>
        <v>1248494</v>
      </c>
      <c r="F40" s="28">
        <f>'[12]PL-CM'!$Q$40</f>
        <v>1330706.8503583334</v>
      </c>
      <c r="G40" s="28">
        <f>'[12]PL-YTD'!$P$40</f>
        <v>11310447</v>
      </c>
      <c r="H40" s="28">
        <f>'[12]PL-YTD'!$Q$40</f>
        <v>11976361.653225001</v>
      </c>
      <c r="I40" s="28"/>
      <c r="J40" s="28">
        <f>'[13]PL-YTD'!$Q$31</f>
        <v>8948890.799999999</v>
      </c>
      <c r="K40" s="186"/>
    </row>
    <row r="41" spans="1:11" s="45" customFormat="1" ht="12.75">
      <c r="A41" s="37"/>
      <c r="B41" s="30"/>
      <c r="C41" s="27" t="s">
        <v>122</v>
      </c>
      <c r="D41" s="27"/>
      <c r="E41" s="28">
        <f>'[12]PL-CM'!$P$41</f>
        <v>0</v>
      </c>
      <c r="F41" s="28">
        <f>'[12]PL-CM'!$Q$41</f>
        <v>0</v>
      </c>
      <c r="G41" s="28">
        <f>'[12]PL-YTD'!$P$41</f>
        <v>0</v>
      </c>
      <c r="H41" s="28">
        <f>'[12]PL-YTD'!$Q$41</f>
        <v>0</v>
      </c>
      <c r="I41" s="28"/>
      <c r="J41" s="28">
        <f>'[13]PL-YTD'!$Q$32</f>
        <v>1673109.084</v>
      </c>
      <c r="K41" s="186"/>
    </row>
    <row r="42" spans="1:11" s="45" customFormat="1" ht="12.75">
      <c r="A42" s="37"/>
      <c r="B42" s="30"/>
      <c r="C42" s="27" t="s">
        <v>123</v>
      </c>
      <c r="D42" s="27"/>
      <c r="E42" s="28">
        <f>'[12]PL-CM'!$P$42</f>
        <v>97995</v>
      </c>
      <c r="F42" s="28">
        <f>'[12]PL-CM'!$Q$42</f>
        <v>89503.33173360307</v>
      </c>
      <c r="G42" s="28">
        <f>'[12]PL-YTD'!$P$42</f>
        <v>939656</v>
      </c>
      <c r="H42" s="28">
        <f>'[12]PL-YTD'!$Q$42</f>
        <v>805316.3908587705</v>
      </c>
      <c r="I42" s="28"/>
      <c r="J42" s="28">
        <f>'[13]PL-YTD'!$Q$33</f>
        <v>625385.385782079</v>
      </c>
      <c r="K42" s="186"/>
    </row>
    <row r="43" spans="1:11" s="45" customFormat="1" ht="12.75">
      <c r="A43" s="37"/>
      <c r="B43" s="30"/>
      <c r="C43" s="27" t="s">
        <v>124</v>
      </c>
      <c r="D43" s="27"/>
      <c r="E43" s="28">
        <f>'[12]PL-CM'!$P$43</f>
        <v>149380</v>
      </c>
      <c r="F43" s="28">
        <f>'[12]PL-CM'!$Q$43</f>
        <v>141076.63309933332</v>
      </c>
      <c r="G43" s="28">
        <f>'[12]PL-YTD'!$P$43</f>
        <v>1354624</v>
      </c>
      <c r="H43" s="28">
        <f>'[12]PL-YTD'!$Q$43</f>
        <v>1269689.697894</v>
      </c>
      <c r="I43" s="28"/>
      <c r="J43" s="28">
        <f>'[13]PL-YTD'!$Q$34</f>
        <v>1213064.1054000002</v>
      </c>
      <c r="K43" s="186"/>
    </row>
    <row r="44" spans="1:11" s="45" customFormat="1" ht="12.75">
      <c r="A44" s="37"/>
      <c r="B44" s="26"/>
      <c r="C44" s="27" t="s">
        <v>125</v>
      </c>
      <c r="D44" s="27"/>
      <c r="E44" s="28">
        <f>'[12]PL-CM'!$P$44</f>
        <v>272945</v>
      </c>
      <c r="F44" s="28">
        <f>'[12]PL-CM'!$Q$44</f>
        <v>344303.88413312344</v>
      </c>
      <c r="G44" s="28">
        <f>'[12]PL-YTD'!$P$44</f>
        <v>2645722</v>
      </c>
      <c r="H44" s="28">
        <f>'[12]PL-YTD'!$Q$44</f>
        <v>3098580.063786212</v>
      </c>
      <c r="I44" s="28">
        <v>2769488</v>
      </c>
      <c r="J44" s="28">
        <f>'[13]PL-YTD'!$Q$35</f>
        <v>2742468.8643251047</v>
      </c>
      <c r="K44" s="186"/>
    </row>
    <row r="45" spans="1:11" s="45" customFormat="1" ht="12.75">
      <c r="A45" s="37"/>
      <c r="B45" s="26"/>
      <c r="C45" s="27" t="s">
        <v>126</v>
      </c>
      <c r="D45" s="27"/>
      <c r="E45" s="28">
        <f>'[12]PL-CM'!$P$45</f>
        <v>114293</v>
      </c>
      <c r="F45" s="28">
        <f>'[12]PL-CM'!$Q$45</f>
        <v>141403.71583333332</v>
      </c>
      <c r="G45" s="28">
        <f>'[12]PL-YTD'!$P$45</f>
        <v>965242</v>
      </c>
      <c r="H45" s="28">
        <f>'[12]PL-YTD'!$Q$45</f>
        <v>1272633.4425000001</v>
      </c>
      <c r="I45" s="28">
        <v>919435</v>
      </c>
      <c r="J45" s="28">
        <f>'[13]PL-YTD'!$Q$36</f>
        <v>1144391.35</v>
      </c>
      <c r="K45" s="186"/>
    </row>
    <row r="46" spans="1:11" s="45" customFormat="1" ht="12.75">
      <c r="A46" s="37"/>
      <c r="B46" s="26"/>
      <c r="C46" s="27" t="s">
        <v>127</v>
      </c>
      <c r="D46" s="27"/>
      <c r="E46" s="28">
        <f>'[12]PL-CM'!$P$46</f>
        <v>43350</v>
      </c>
      <c r="F46" s="28">
        <f>'[12]PL-CM'!$Q$46</f>
        <v>26213.870833333334</v>
      </c>
      <c r="G46" s="28">
        <f>'[12]PL-YTD'!$P$46</f>
        <v>535647</v>
      </c>
      <c r="H46" s="28">
        <f>'[12]PL-YTD'!$Q$46</f>
        <v>235924.8375</v>
      </c>
      <c r="I46" s="28">
        <v>215963</v>
      </c>
      <c r="J46" s="28">
        <f>'[13]PL-YTD'!$Q$37</f>
        <v>549809.7400000001</v>
      </c>
      <c r="K46" s="186"/>
    </row>
    <row r="47" spans="1:11" s="45" customFormat="1" ht="12.75">
      <c r="A47" s="37"/>
      <c r="B47" s="26"/>
      <c r="C47" s="27" t="s">
        <v>128</v>
      </c>
      <c r="D47" s="27"/>
      <c r="E47" s="28">
        <f>'[12]PL-CM'!$P$47</f>
        <v>6448</v>
      </c>
      <c r="F47" s="28">
        <f>'[12]PL-CM'!$Q$47</f>
        <v>5493.8625</v>
      </c>
      <c r="G47" s="28">
        <f>'[12]PL-YTD'!$P$47</f>
        <v>81045</v>
      </c>
      <c r="H47" s="28">
        <f>'[12]PL-YTD'!$Q$47</f>
        <v>48713.962499999994</v>
      </c>
      <c r="I47" s="28">
        <v>51330</v>
      </c>
      <c r="J47" s="28">
        <f>'[13]PL-YTD'!$Q$38</f>
        <v>39141.892499999994</v>
      </c>
      <c r="K47" s="186"/>
    </row>
    <row r="48" spans="1:11" s="45" customFormat="1" ht="12.75">
      <c r="A48" s="37"/>
      <c r="B48" s="26"/>
      <c r="C48" s="27" t="s">
        <v>129</v>
      </c>
      <c r="D48" s="27"/>
      <c r="E48" s="28">
        <f>'[12]PL-CM'!$P$48</f>
        <v>1639</v>
      </c>
      <c r="F48" s="28">
        <f>'[12]PL-CM'!$Q$48</f>
        <v>1095.75</v>
      </c>
      <c r="G48" s="28">
        <f>'[12]PL-YTD'!$P$48</f>
        <v>62584</v>
      </c>
      <c r="H48" s="28">
        <f>'[12]PL-YTD'!$Q$48</f>
        <v>6149.75</v>
      </c>
      <c r="I48" s="28">
        <v>6421</v>
      </c>
      <c r="J48" s="28">
        <f>'[13]PL-YTD'!$Q$39</f>
        <v>3035.07</v>
      </c>
      <c r="K48" s="186"/>
    </row>
    <row r="49" spans="1:11" s="45" customFormat="1" ht="4.5" customHeight="1">
      <c r="A49" s="37"/>
      <c r="B49" s="26"/>
      <c r="C49" s="26"/>
      <c r="D49" s="27"/>
      <c r="E49" s="42"/>
      <c r="F49" s="42"/>
      <c r="G49" s="42"/>
      <c r="H49" s="42"/>
      <c r="I49" s="42"/>
      <c r="J49" s="42"/>
      <c r="K49" s="186"/>
    </row>
    <row r="50" spans="1:11" s="45" customFormat="1" ht="12.75">
      <c r="A50" s="37"/>
      <c r="B50" s="26" t="s">
        <v>130</v>
      </c>
      <c r="C50" s="26"/>
      <c r="D50" s="27"/>
      <c r="E50" s="40">
        <f>SUM(E40:E48)</f>
        <v>1934544</v>
      </c>
      <c r="F50" s="40">
        <f>SUM(F40:F48)</f>
        <v>2079797.89849106</v>
      </c>
      <c r="G50" s="40">
        <f>SUM(G40:G48)</f>
        <v>17894967</v>
      </c>
      <c r="H50" s="40">
        <f>SUM(H40:H48)</f>
        <v>18713369.79826398</v>
      </c>
      <c r="I50" s="40">
        <f>SUM(I44:I48)+I39</f>
        <v>16518516</v>
      </c>
      <c r="J50" s="40">
        <f>SUM(J40:J48)</f>
        <v>16939296.29200718</v>
      </c>
      <c r="K50" s="51"/>
    </row>
    <row r="51" spans="1:11" s="45" customFormat="1" ht="4.5" customHeight="1">
      <c r="A51" s="37"/>
      <c r="B51" s="43"/>
      <c r="C51" s="27"/>
      <c r="D51" s="27"/>
      <c r="E51" s="28"/>
      <c r="F51" s="28"/>
      <c r="G51" s="28"/>
      <c r="H51" s="28"/>
      <c r="I51" s="28"/>
      <c r="J51" s="28"/>
      <c r="K51" s="186"/>
    </row>
    <row r="52" spans="1:11" ht="12.75">
      <c r="A52" s="23" t="s">
        <v>131</v>
      </c>
      <c r="B52" s="26"/>
      <c r="C52" s="26"/>
      <c r="D52" s="24"/>
      <c r="E52" s="40">
        <f aca="true" t="shared" si="1" ref="E52:J52">+E36+E50</f>
        <v>3398401</v>
      </c>
      <c r="F52" s="40">
        <f t="shared" si="1"/>
        <v>3392162.482514997</v>
      </c>
      <c r="G52" s="40">
        <f t="shared" si="1"/>
        <v>30078267</v>
      </c>
      <c r="H52" s="40">
        <f t="shared" si="1"/>
        <v>30494509.317716938</v>
      </c>
      <c r="I52" s="40">
        <f t="shared" si="1"/>
        <v>26904121</v>
      </c>
      <c r="J52" s="40">
        <f t="shared" si="1"/>
        <v>28598565.621849548</v>
      </c>
      <c r="K52" s="51"/>
    </row>
    <row r="53" spans="1:10" ht="4.5" customHeight="1">
      <c r="A53" s="38"/>
      <c r="B53" s="24"/>
      <c r="C53" s="24"/>
      <c r="D53" s="24"/>
      <c r="E53" s="47"/>
      <c r="F53" s="47"/>
      <c r="G53" s="47"/>
      <c r="H53" s="47"/>
      <c r="I53" s="47"/>
      <c r="J53" s="47"/>
    </row>
    <row r="54" spans="1:11" ht="12.75">
      <c r="A54" s="23" t="s">
        <v>132</v>
      </c>
      <c r="B54" s="26"/>
      <c r="C54" s="26"/>
      <c r="D54" s="27"/>
      <c r="E54" s="48">
        <f aca="true" t="shared" si="2" ref="E54:J54">E56/E21*100</f>
        <v>30.328312151375147</v>
      </c>
      <c r="F54" s="48">
        <f t="shared" si="2"/>
        <v>42.264969652857246</v>
      </c>
      <c r="G54" s="48">
        <f t="shared" si="2"/>
        <v>35.91665542562002</v>
      </c>
      <c r="H54" s="48">
        <f t="shared" si="2"/>
        <v>42.19243974456274</v>
      </c>
      <c r="I54" s="48">
        <f t="shared" si="2"/>
        <v>39.03854446523841</v>
      </c>
      <c r="J54" s="48">
        <f t="shared" si="2"/>
        <v>42.587767982202884</v>
      </c>
      <c r="K54" s="177"/>
    </row>
    <row r="55" spans="1:10" ht="4.5" customHeight="1">
      <c r="A55" s="20"/>
      <c r="B55" s="21"/>
      <c r="C55" s="21"/>
      <c r="D55" s="24"/>
      <c r="E55" s="49"/>
      <c r="F55" s="49"/>
      <c r="G55" s="49"/>
      <c r="H55" s="49"/>
      <c r="I55" s="49"/>
      <c r="J55" s="49"/>
    </row>
    <row r="56" spans="1:11" s="45" customFormat="1" ht="12.75">
      <c r="A56" s="23" t="s">
        <v>133</v>
      </c>
      <c r="B56" s="26"/>
      <c r="C56" s="26"/>
      <c r="D56" s="27"/>
      <c r="E56" s="28">
        <f aca="true" t="shared" si="3" ref="E56:J56">E21-E52</f>
        <v>1479335</v>
      </c>
      <c r="F56" s="28">
        <f t="shared" si="3"/>
        <v>2483234.935861646</v>
      </c>
      <c r="G56" s="28">
        <f t="shared" si="3"/>
        <v>16857902.14</v>
      </c>
      <c r="H56" s="28">
        <f t="shared" si="3"/>
        <v>22257257.37675913</v>
      </c>
      <c r="I56" s="28">
        <f t="shared" si="3"/>
        <v>17228882</v>
      </c>
      <c r="J56" s="28">
        <f t="shared" si="3"/>
        <v>21214104.28616645</v>
      </c>
      <c r="K56" s="177"/>
    </row>
    <row r="57" spans="1:10" ht="4.5" customHeight="1">
      <c r="A57" s="38"/>
      <c r="B57" s="24"/>
      <c r="C57" s="24"/>
      <c r="D57" s="24"/>
      <c r="E57" s="39"/>
      <c r="F57" s="39"/>
      <c r="G57" s="39"/>
      <c r="H57" s="39"/>
      <c r="I57" s="39"/>
      <c r="J57" s="39"/>
    </row>
    <row r="58" spans="1:11" s="45" customFormat="1" ht="12.75">
      <c r="A58" s="23" t="s">
        <v>134</v>
      </c>
      <c r="B58" s="26"/>
      <c r="C58" s="26"/>
      <c r="D58" s="27"/>
      <c r="E58" s="42"/>
      <c r="F58" s="42"/>
      <c r="G58" s="42"/>
      <c r="H58" s="42"/>
      <c r="I58" s="42"/>
      <c r="J58" s="42"/>
      <c r="K58" s="186"/>
    </row>
    <row r="59" spans="1:10" ht="12.75">
      <c r="A59" s="23" t="s">
        <v>85</v>
      </c>
      <c r="B59" s="26" t="s">
        <v>135</v>
      </c>
      <c r="C59" s="26"/>
      <c r="D59" s="27"/>
      <c r="E59" s="28"/>
      <c r="F59" s="28"/>
      <c r="G59" s="28"/>
      <c r="H59" s="28"/>
      <c r="I59" s="28"/>
      <c r="J59" s="28"/>
    </row>
    <row r="60" spans="1:10" ht="12.75">
      <c r="A60" s="23"/>
      <c r="B60" s="26"/>
      <c r="C60" s="29" t="s">
        <v>120</v>
      </c>
      <c r="D60" s="27"/>
      <c r="E60" s="28">
        <f>SUM(E61:E64)</f>
        <v>103077</v>
      </c>
      <c r="F60" s="28">
        <f>SUM(F61:F64)</f>
        <v>120281.19710991633</v>
      </c>
      <c r="G60" s="28">
        <f>SUM(G61:G64)</f>
        <v>842932</v>
      </c>
      <c r="H60" s="28">
        <f>SUM(H61:H64)</f>
        <v>1082530.773989247</v>
      </c>
      <c r="I60" s="28">
        <f>663698+161067+91+89000</f>
        <v>913856</v>
      </c>
      <c r="J60" s="28">
        <f>SUM(J61:J64)</f>
        <v>955636.0204200001</v>
      </c>
    </row>
    <row r="61" spans="1:10" ht="12.75">
      <c r="A61" s="37"/>
      <c r="B61" s="30"/>
      <c r="C61" s="27" t="s">
        <v>121</v>
      </c>
      <c r="D61" s="27"/>
      <c r="E61" s="28">
        <f>'[12]PL-CM'!$P$61</f>
        <v>91916</v>
      </c>
      <c r="F61" s="28">
        <f>'[12]PL-CM'!$Q$61</f>
        <v>108502.97355</v>
      </c>
      <c r="G61" s="28">
        <f>'[12]PL-YTD'!$P$61</f>
        <v>752191</v>
      </c>
      <c r="H61" s="28">
        <f>'[12]PL-YTD'!$Q$61</f>
        <v>976526.76195</v>
      </c>
      <c r="I61" s="28"/>
      <c r="J61" s="28">
        <f>'[13]PL-YTD'!$Q$51</f>
        <v>726247.8</v>
      </c>
    </row>
    <row r="62" spans="1:10" ht="12.75">
      <c r="A62" s="37"/>
      <c r="B62" s="30"/>
      <c r="C62" s="27" t="s">
        <v>136</v>
      </c>
      <c r="D62" s="27"/>
      <c r="E62" s="28">
        <f>'[12]PL-CM'!$P$62</f>
        <v>0</v>
      </c>
      <c r="F62" s="28">
        <f>'[12]PL-CM'!$Q$62</f>
        <v>0</v>
      </c>
      <c r="G62" s="28">
        <f>'[12]PL-YTD'!$P$62</f>
        <v>0</v>
      </c>
      <c r="H62" s="28">
        <f>'[12]PL-YTD'!$Q$62</f>
        <v>0</v>
      </c>
      <c r="I62" s="28"/>
      <c r="J62" s="28">
        <f>'[13]PL-YTD'!$Q$52</f>
        <v>131862.30000000005</v>
      </c>
    </row>
    <row r="63" spans="1:10" ht="12.75">
      <c r="A63" s="37"/>
      <c r="B63" s="30"/>
      <c r="C63" s="27" t="s">
        <v>123</v>
      </c>
      <c r="D63" s="27"/>
      <c r="E63" s="28">
        <f>'[12]PL-CM'!$P$63</f>
        <v>0</v>
      </c>
      <c r="F63" s="28">
        <f>'[12]PL-CM'!$Q$63</f>
        <v>11.227495916330774</v>
      </c>
      <c r="G63" s="28">
        <f>'[12]PL-YTD'!$P$63</f>
        <v>0</v>
      </c>
      <c r="H63" s="28">
        <f>'[12]PL-YTD'!$Q$63</f>
        <v>101.04746324697697</v>
      </c>
      <c r="I63" s="28"/>
      <c r="J63" s="28">
        <f>'[13]PL-YTD'!$Q$53</f>
        <v>3043.29042</v>
      </c>
    </row>
    <row r="64" spans="1:10" ht="12.75">
      <c r="A64" s="37"/>
      <c r="B64" s="30"/>
      <c r="C64" s="27" t="s">
        <v>124</v>
      </c>
      <c r="D64" s="27"/>
      <c r="E64" s="28">
        <f>'[12]PL-CM'!$P$64</f>
        <v>11161</v>
      </c>
      <c r="F64" s="28">
        <f>'[12]PL-CM'!$Q$64</f>
        <v>11766.996064</v>
      </c>
      <c r="G64" s="28">
        <f>'[12]PL-YTD'!$P$64</f>
        <v>90741</v>
      </c>
      <c r="H64" s="28">
        <f>'[12]PL-YTD'!$Q$64</f>
        <v>105902.96457600001</v>
      </c>
      <c r="I64" s="28"/>
      <c r="J64" s="28">
        <f>'[13]PL-YTD'!$Q$54</f>
        <v>94482.62999999999</v>
      </c>
    </row>
    <row r="65" spans="1:11" ht="12.75">
      <c r="A65" s="37"/>
      <c r="B65" s="30"/>
      <c r="C65" s="27" t="s">
        <v>137</v>
      </c>
      <c r="D65" s="27"/>
      <c r="E65" s="28">
        <f>'[12]PL-CM'!$P$65</f>
        <v>13150</v>
      </c>
      <c r="F65" s="28">
        <f>'[12]PL-CM'!$Q$65</f>
        <v>16386.895</v>
      </c>
      <c r="G65" s="28">
        <f>'[12]PL-YTD'!$P$65</f>
        <v>119820</v>
      </c>
      <c r="H65" s="28">
        <f>'[12]PL-YTD'!$Q$65</f>
        <v>147467.4075</v>
      </c>
      <c r="I65" s="28">
        <v>136673</v>
      </c>
      <c r="J65" s="28">
        <f>'[13]PL-YTD'!$Q$55</f>
        <v>149116.59</v>
      </c>
      <c r="K65" s="177"/>
    </row>
    <row r="66" spans="1:11" ht="12.75">
      <c r="A66" s="37"/>
      <c r="B66" s="30"/>
      <c r="C66" s="27" t="s">
        <v>138</v>
      </c>
      <c r="D66" s="27"/>
      <c r="E66" s="28">
        <f>'[12]PL-CM'!$P$66</f>
        <v>0</v>
      </c>
      <c r="F66" s="28">
        <f>'[12]PL-CM'!$Q$66</f>
        <v>1972.5125</v>
      </c>
      <c r="G66" s="28">
        <f>'[12]PL-YTD'!$P$66</f>
        <v>10918</v>
      </c>
      <c r="H66" s="28">
        <f>'[12]PL-YTD'!$Q$66</f>
        <v>16968.612500000003</v>
      </c>
      <c r="I66" s="28">
        <v>13923</v>
      </c>
      <c r="J66" s="28">
        <f>'[13]PL-YTD'!$Q$56</f>
        <v>18472.5</v>
      </c>
      <c r="K66" s="177"/>
    </row>
    <row r="67" spans="1:11" ht="12.75">
      <c r="A67" s="37"/>
      <c r="B67" s="30"/>
      <c r="C67" s="27" t="s">
        <v>139</v>
      </c>
      <c r="D67" s="27"/>
      <c r="E67" s="28">
        <f>'[12]PL-CM'!$P$67</f>
        <v>5000</v>
      </c>
      <c r="F67" s="28">
        <f>'[12]PL-CM'!$Q$67</f>
        <v>12500</v>
      </c>
      <c r="G67" s="28">
        <f>'[12]PL-YTD'!$P$67</f>
        <v>-1000</v>
      </c>
      <c r="H67" s="28">
        <f>'[12]PL-YTD'!$Q$67</f>
        <v>112500</v>
      </c>
      <c r="I67" s="28">
        <v>107150</v>
      </c>
      <c r="J67" s="28">
        <f>'[13]PL-YTD'!$Q$57</f>
        <v>112500</v>
      </c>
      <c r="K67" s="177"/>
    </row>
    <row r="68" spans="1:11" ht="12.75">
      <c r="A68" s="37"/>
      <c r="B68" s="30"/>
      <c r="C68" s="27" t="s">
        <v>140</v>
      </c>
      <c r="D68" s="27"/>
      <c r="E68" s="28">
        <f>'[12]PL-CM'!$P$68</f>
        <v>5100</v>
      </c>
      <c r="F68" s="28">
        <f>'[12]PL-CM'!$Q$68</f>
        <v>33870.583333333336</v>
      </c>
      <c r="G68" s="28">
        <f>'[12]PL-YTD'!$P$68</f>
        <v>132458</v>
      </c>
      <c r="H68" s="28">
        <f>'[12]PL-YTD'!$Q$68</f>
        <v>304835.25</v>
      </c>
      <c r="I68" s="28">
        <v>106232</v>
      </c>
      <c r="J68" s="28">
        <f>'[13]PL-YTD'!$Q$58</f>
        <v>77597.4</v>
      </c>
      <c r="K68" s="177"/>
    </row>
    <row r="69" spans="1:10" ht="4.5" customHeight="1">
      <c r="A69" s="38"/>
      <c r="B69" s="24"/>
      <c r="C69" s="24"/>
      <c r="D69" s="24"/>
      <c r="E69" s="39"/>
      <c r="F69" s="39"/>
      <c r="G69" s="39"/>
      <c r="H69" s="39"/>
      <c r="I69" s="39"/>
      <c r="J69" s="39"/>
    </row>
    <row r="70" spans="1:11" ht="12.75">
      <c r="A70" s="52"/>
      <c r="B70" s="26" t="s">
        <v>141</v>
      </c>
      <c r="C70" s="26"/>
      <c r="D70" s="27"/>
      <c r="E70" s="40">
        <f>SUM(E61:E68)</f>
        <v>126327</v>
      </c>
      <c r="F70" s="40">
        <f>SUM(F61:F68)</f>
        <v>185011.18794324968</v>
      </c>
      <c r="G70" s="40">
        <f>SUM(G61:G68)</f>
        <v>1105128</v>
      </c>
      <c r="H70" s="40">
        <f>SUM(H61:H68)</f>
        <v>1664302.043989247</v>
      </c>
      <c r="I70" s="40">
        <f>SUM(I65:I68)+I60</f>
        <v>1277834</v>
      </c>
      <c r="J70" s="40">
        <f>SUM(J61:J68)</f>
        <v>1313322.51042</v>
      </c>
      <c r="K70" s="177"/>
    </row>
    <row r="71" spans="1:10" ht="4.5" customHeight="1">
      <c r="A71" s="20"/>
      <c r="B71" s="21"/>
      <c r="C71" s="21"/>
      <c r="D71" s="24"/>
      <c r="E71" s="39"/>
      <c r="F71" s="39"/>
      <c r="G71" s="39"/>
      <c r="H71" s="39"/>
      <c r="I71" s="39"/>
      <c r="J71" s="39"/>
    </row>
    <row r="72" spans="1:10" ht="12.75">
      <c r="A72" s="52"/>
      <c r="B72" s="26" t="s">
        <v>142</v>
      </c>
      <c r="C72" s="26"/>
      <c r="D72" s="27"/>
      <c r="E72" s="42"/>
      <c r="F72" s="42"/>
      <c r="G72" s="42"/>
      <c r="H72" s="42"/>
      <c r="I72" s="42"/>
      <c r="J72" s="42"/>
    </row>
    <row r="73" spans="1:10" ht="12.75">
      <c r="A73" s="52"/>
      <c r="B73" s="26"/>
      <c r="C73" s="29" t="s">
        <v>120</v>
      </c>
      <c r="D73" s="27"/>
      <c r="E73" s="42">
        <f>SUM(E74:E78)</f>
        <v>474244</v>
      </c>
      <c r="F73" s="42">
        <f>SUM(F74:F78)</f>
        <v>536705.5248866027</v>
      </c>
      <c r="G73" s="42">
        <f>SUM(G74:G78)</f>
        <v>4327377.9</v>
      </c>
      <c r="H73" s="42">
        <f>SUM(H74:H78)</f>
        <v>4830330.374399616</v>
      </c>
      <c r="I73" s="42">
        <f>2571470+641024+135275+468764+226110</f>
        <v>4042643</v>
      </c>
      <c r="J73" s="42">
        <f>SUM(J74:J78)</f>
        <v>4012547.0311249997</v>
      </c>
    </row>
    <row r="74" spans="1:10" ht="12.75">
      <c r="A74" s="52"/>
      <c r="B74" s="27"/>
      <c r="C74" s="27" t="s">
        <v>121</v>
      </c>
      <c r="D74" s="30"/>
      <c r="E74" s="28">
        <f>'[12]PL-CM'!$P$74</f>
        <v>357359</v>
      </c>
      <c r="F74" s="28">
        <f>'[12]PL-CM'!$Q$74</f>
        <v>402045.11706666666</v>
      </c>
      <c r="G74" s="28">
        <f>'[12]PL-YTD'!$P$74</f>
        <v>3324187.9</v>
      </c>
      <c r="H74" s="28">
        <f>'[12]PL-YTD'!$Q$74</f>
        <v>3618406.0536</v>
      </c>
      <c r="I74" s="28"/>
      <c r="J74" s="28">
        <f>'[13]PL-YTD'!$Q$63</f>
        <v>2623722.7125</v>
      </c>
    </row>
    <row r="75" spans="1:10" ht="12.75">
      <c r="A75" s="52"/>
      <c r="B75" s="27"/>
      <c r="C75" s="27" t="s">
        <v>136</v>
      </c>
      <c r="D75" s="30"/>
      <c r="E75" s="28">
        <f>'[12]PL-CM'!$P$75</f>
        <v>0</v>
      </c>
      <c r="F75" s="28">
        <f>'[12]PL-CM'!$Q$75</f>
        <v>0</v>
      </c>
      <c r="G75" s="28">
        <f>'[12]PL-YTD'!$P$75</f>
        <v>0</v>
      </c>
      <c r="H75" s="28">
        <f>'[12]PL-YTD'!$Q$75</f>
        <v>0</v>
      </c>
      <c r="I75" s="28"/>
      <c r="J75" s="28">
        <f>'[13]PL-YTD'!$Q$64</f>
        <v>489750.13700000016</v>
      </c>
    </row>
    <row r="76" spans="1:10" ht="12.75">
      <c r="A76" s="52"/>
      <c r="B76" s="27"/>
      <c r="C76" s="27" t="s">
        <v>123</v>
      </c>
      <c r="D76" s="30"/>
      <c r="E76" s="28">
        <f>'[12]PL-CM'!$P$76</f>
        <v>10622</v>
      </c>
      <c r="F76" s="28">
        <f>'[12]PL-CM'!$Q$76</f>
        <v>23000.225685269335</v>
      </c>
      <c r="G76" s="28">
        <f>'[12]PL-YTD'!$P$76</f>
        <v>110122</v>
      </c>
      <c r="H76" s="28">
        <f>'[12]PL-YTD'!$Q$76</f>
        <v>206982.681587616</v>
      </c>
      <c r="I76" s="28"/>
      <c r="J76" s="28">
        <f>'[13]PL-YTD'!$Q$65</f>
        <v>173460.05613749995</v>
      </c>
    </row>
    <row r="77" spans="1:10" ht="12.75">
      <c r="A77" s="52"/>
      <c r="B77" s="27"/>
      <c r="C77" s="27" t="s">
        <v>143</v>
      </c>
      <c r="D77" s="30"/>
      <c r="E77" s="28">
        <f>'[12]PL-CM'!$P$77</f>
        <v>64575</v>
      </c>
      <c r="F77" s="28">
        <f>'[12]PL-CM'!$Q$77</f>
        <v>59699.732134666665</v>
      </c>
      <c r="G77" s="28">
        <f>'[12]PL-YTD'!$P$77</f>
        <v>539059</v>
      </c>
      <c r="H77" s="28">
        <f>'[12]PL-YTD'!$Q$77</f>
        <v>537297.589212</v>
      </c>
      <c r="I77" s="28"/>
      <c r="J77" s="28">
        <f>'[13]PL-YTD'!$Q$66</f>
        <v>466522.1254875</v>
      </c>
    </row>
    <row r="78" spans="1:11" ht="12.75">
      <c r="A78" s="52"/>
      <c r="B78" s="27"/>
      <c r="C78" s="27" t="s">
        <v>144</v>
      </c>
      <c r="D78" s="30"/>
      <c r="E78" s="28">
        <f>'[12]PL-CM'!$P$78</f>
        <v>41688</v>
      </c>
      <c r="F78" s="28">
        <f>'[12]PL-CM'!$Q$78</f>
        <v>51960.45</v>
      </c>
      <c r="G78" s="28">
        <f>'[12]PL-YTD'!$P$78</f>
        <v>354009</v>
      </c>
      <c r="H78" s="28">
        <f>'[12]PL-YTD'!$Q$78</f>
        <v>467644.05000000005</v>
      </c>
      <c r="I78" s="28"/>
      <c r="J78" s="28">
        <f>'[13]PL-YTD'!$Q$67</f>
        <v>259092</v>
      </c>
      <c r="K78" s="177"/>
    </row>
    <row r="79" spans="1:10" ht="12.75">
      <c r="A79" s="52"/>
      <c r="B79" s="27"/>
      <c r="C79" s="27" t="s">
        <v>145</v>
      </c>
      <c r="D79" s="30"/>
      <c r="E79" s="28">
        <f>'[12]PL-CM'!$P$79</f>
        <v>0</v>
      </c>
      <c r="F79" s="28">
        <f>'[12]PL-CM'!$Q$79</f>
        <v>4063.6358333333337</v>
      </c>
      <c r="G79" s="28">
        <f>'[12]PL-YTD'!$P$79</f>
        <v>23434</v>
      </c>
      <c r="H79" s="28">
        <f>'[12]PL-YTD'!$Q$79</f>
        <v>36572.7225</v>
      </c>
      <c r="I79" s="28">
        <v>22638</v>
      </c>
      <c r="J79" s="28">
        <f>'[13]PL-YTD'!$Q$68</f>
        <v>7976.999999999999</v>
      </c>
    </row>
    <row r="80" spans="1:10" ht="12.75">
      <c r="A80" s="52"/>
      <c r="B80" s="27"/>
      <c r="C80" s="27" t="s">
        <v>146</v>
      </c>
      <c r="D80" s="30"/>
      <c r="E80" s="28">
        <f>'[12]PL-CM'!$P$80</f>
        <v>-6068</v>
      </c>
      <c r="F80" s="28">
        <f>'[12]PL-CM'!$Q$80</f>
        <v>34833.607461116226</v>
      </c>
      <c r="G80" s="28">
        <f>'[12]PL-YTD'!$P$80</f>
        <v>306901</v>
      </c>
      <c r="H80" s="28">
        <f>'[12]PL-YTD'!$Q$80</f>
        <v>313502.467150046</v>
      </c>
      <c r="I80" s="28">
        <v>260160</v>
      </c>
      <c r="J80" s="28">
        <f>'[13]PL-YTD'!$Q$69</f>
        <v>184469.7315</v>
      </c>
    </row>
    <row r="81" spans="1:10" ht="12.75">
      <c r="A81" s="52"/>
      <c r="B81" s="27"/>
      <c r="C81" s="27" t="s">
        <v>147</v>
      </c>
      <c r="D81" s="30"/>
      <c r="E81" s="28">
        <f>'[12]PL-CM'!$P$81</f>
        <v>13026</v>
      </c>
      <c r="F81" s="28">
        <f>'[12]PL-CM'!$Q$81</f>
        <v>15678.264166666668</v>
      </c>
      <c r="G81" s="28">
        <f>'[12]PL-YTD'!$P$81</f>
        <v>154025</v>
      </c>
      <c r="H81" s="28">
        <f>'[12]PL-YTD'!$Q$81</f>
        <v>140056.54750000002</v>
      </c>
      <c r="I81" s="28">
        <v>130010</v>
      </c>
      <c r="J81" s="28">
        <f>'[13]PL-YTD'!$Q$70</f>
        <v>148119.6513910395</v>
      </c>
    </row>
    <row r="82" spans="1:10" ht="12.75">
      <c r="A82" s="52"/>
      <c r="B82" s="27"/>
      <c r="C82" s="27" t="s">
        <v>148</v>
      </c>
      <c r="D82" s="30"/>
      <c r="E82" s="28">
        <f>'[12]PL-CM'!$P$82</f>
        <v>2500</v>
      </c>
      <c r="F82" s="28">
        <f>'[12]PL-CM'!$Q$82</f>
        <v>2458.333333333333</v>
      </c>
      <c r="G82" s="28">
        <f>'[12]PL-YTD'!$P$82</f>
        <v>33302</v>
      </c>
      <c r="H82" s="28">
        <f>'[12]PL-YTD'!$Q$82</f>
        <v>22125</v>
      </c>
      <c r="I82" s="28">
        <v>26822</v>
      </c>
      <c r="J82" s="28">
        <f>'[13]PL-YTD'!$Q$71</f>
        <v>18000</v>
      </c>
    </row>
    <row r="83" spans="1:10" ht="12.75">
      <c r="A83" s="52"/>
      <c r="B83" s="27"/>
      <c r="C83" s="27" t="s">
        <v>149</v>
      </c>
      <c r="D83" s="30"/>
      <c r="E83" s="28">
        <f>'[12]PL-CM'!$P$83</f>
        <v>31626</v>
      </c>
      <c r="F83" s="28">
        <f>'[12]PL-CM'!$Q$83</f>
        <v>39296.325</v>
      </c>
      <c r="G83" s="28">
        <f>'[12]PL-YTD'!$P$83</f>
        <v>357368</v>
      </c>
      <c r="H83" s="28">
        <f>'[12]PL-YTD'!$Q$83</f>
        <v>353666.925</v>
      </c>
      <c r="I83" s="28">
        <v>316749</v>
      </c>
      <c r="J83" s="28">
        <f>'[13]PL-YTD'!$Q$72</f>
        <v>208737.32249999998</v>
      </c>
    </row>
    <row r="84" spans="1:10" ht="12.75">
      <c r="A84" s="52"/>
      <c r="B84" s="27"/>
      <c r="C84" s="27" t="s">
        <v>150</v>
      </c>
      <c r="D84" s="30"/>
      <c r="E84" s="28">
        <f>'[12]PL-CM'!$P$84</f>
        <v>109232</v>
      </c>
      <c r="F84" s="28">
        <f>'[12]PL-CM'!$Q$84</f>
        <v>120407.16155333334</v>
      </c>
      <c r="G84" s="28">
        <f>'[12]PL-YTD'!$P$84</f>
        <v>1044413</v>
      </c>
      <c r="H84" s="28">
        <f>'[12]PL-YTD'!$Q$84</f>
        <v>1083531.87432</v>
      </c>
      <c r="I84" s="28">
        <v>979140</v>
      </c>
      <c r="J84" s="28">
        <f>'[13]PL-YTD'!$Q$73</f>
        <v>916430.2424999999</v>
      </c>
    </row>
    <row r="85" spans="1:10" ht="12.75">
      <c r="A85" s="52"/>
      <c r="B85" s="27"/>
      <c r="C85" s="27" t="s">
        <v>151</v>
      </c>
      <c r="D85" s="30"/>
      <c r="E85" s="28">
        <f>'[12]PL-CM'!$P$85</f>
        <v>39959</v>
      </c>
      <c r="F85" s="28">
        <f>'[12]PL-CM'!$Q$85</f>
        <v>37678.72333333333</v>
      </c>
      <c r="G85" s="28">
        <f>'[12]PL-YTD'!$P$85</f>
        <v>356234</v>
      </c>
      <c r="H85" s="28">
        <f>'[12]PL-YTD'!$Q$85</f>
        <v>339069.69999999995</v>
      </c>
      <c r="I85" s="28">
        <v>318988</v>
      </c>
      <c r="J85" s="28">
        <f>'[13]PL-YTD'!$Q$74</f>
        <v>274656.17025</v>
      </c>
    </row>
    <row r="86" spans="1:10" ht="12.75">
      <c r="A86" s="52"/>
      <c r="B86" s="27"/>
      <c r="C86" s="27" t="s">
        <v>152</v>
      </c>
      <c r="D86" s="30"/>
      <c r="E86" s="28">
        <f>'[12]PL-CM'!$P$86</f>
        <v>11507</v>
      </c>
      <c r="F86" s="28">
        <f>'[12]PL-CM'!$Q$86</f>
        <v>12235.366666666667</v>
      </c>
      <c r="G86" s="28">
        <f>'[12]PL-YTD'!$P$86</f>
        <v>107243</v>
      </c>
      <c r="H86" s="28">
        <f>'[12]PL-YTD'!$Q$86</f>
        <v>110118.3</v>
      </c>
      <c r="I86" s="28">
        <v>110690</v>
      </c>
      <c r="J86" s="28">
        <f>'[13]PL-YTD'!$Q$75</f>
        <v>97336.80750000001</v>
      </c>
    </row>
    <row r="87" spans="1:10" ht="12.75">
      <c r="A87" s="52"/>
      <c r="B87" s="27"/>
      <c r="C87" s="27" t="s">
        <v>153</v>
      </c>
      <c r="D87" s="30"/>
      <c r="E87" s="28">
        <f>'[12]PL-CM'!$P$87</f>
        <v>152058</v>
      </c>
      <c r="F87" s="28">
        <f>'[12]PL-CM'!$Q$87</f>
        <v>259798.25261186855</v>
      </c>
      <c r="G87" s="28">
        <f>'[12]PL-YTD'!$P$87</f>
        <v>1349048</v>
      </c>
      <c r="H87" s="28">
        <f>'[12]PL-YTD'!$Q$87</f>
        <v>2150538.0622543944</v>
      </c>
      <c r="I87" s="28">
        <v>1217609</v>
      </c>
      <c r="J87" s="28">
        <f>'[13]PL-YTD'!$Q$76</f>
        <v>1606061.4700000002</v>
      </c>
    </row>
    <row r="88" spans="1:10" ht="12.75">
      <c r="A88" s="52"/>
      <c r="B88" s="27"/>
      <c r="C88" s="27" t="s">
        <v>154</v>
      </c>
      <c r="D88" s="30"/>
      <c r="E88" s="28">
        <f>'[12]PL-CM'!$P$88</f>
        <v>117493</v>
      </c>
      <c r="F88" s="28">
        <f>'[12]PL-CM'!$Q$88</f>
        <v>116181.1722222222</v>
      </c>
      <c r="G88" s="28">
        <f>'[12]PL-YTD'!$P$88</f>
        <v>1058377</v>
      </c>
      <c r="H88" s="28">
        <f>'[12]PL-YTD'!$Q$88</f>
        <v>1045630.5500000002</v>
      </c>
      <c r="I88" s="28">
        <v>1032360</v>
      </c>
      <c r="J88" s="28">
        <f>'[13]PL-YTD'!$Q$77</f>
        <v>998938.9199999999</v>
      </c>
    </row>
    <row r="89" spans="1:10" ht="12.75">
      <c r="A89" s="52"/>
      <c r="B89" s="27"/>
      <c r="C89" s="27" t="s">
        <v>155</v>
      </c>
      <c r="D89" s="30"/>
      <c r="E89" s="28">
        <f>'[12]PL-CM'!$P$89</f>
        <v>11039</v>
      </c>
      <c r="F89" s="28">
        <f>'[12]PL-CM'!$Q$89</f>
        <v>10186.075</v>
      </c>
      <c r="G89" s="28">
        <f>'[12]PL-YTD'!$P$89</f>
        <v>100230</v>
      </c>
      <c r="H89" s="28">
        <f>'[12]PL-YTD'!$Q$89</f>
        <v>91674.67500000002</v>
      </c>
      <c r="I89" s="28">
        <v>87562</v>
      </c>
      <c r="J89" s="28">
        <f>'[13]PL-YTD'!$Q$78</f>
        <v>71733.91500000001</v>
      </c>
    </row>
    <row r="90" spans="1:10" ht="12.75">
      <c r="A90" s="52"/>
      <c r="B90" s="27"/>
      <c r="C90" s="27" t="s">
        <v>156</v>
      </c>
      <c r="D90" s="30"/>
      <c r="E90" s="28">
        <f>'[12]PL-CM'!$P$90</f>
        <v>31363</v>
      </c>
      <c r="F90" s="28">
        <f>'[12]PL-CM'!$Q$90</f>
        <v>40141.32931666667</v>
      </c>
      <c r="G90" s="28">
        <f>'[12]PL-YTD'!$P$90</f>
        <v>349164</v>
      </c>
      <c r="H90" s="28">
        <f>'[12]PL-YTD'!$Q$90</f>
        <v>361248.0415250001</v>
      </c>
      <c r="I90" s="28">
        <v>340389</v>
      </c>
      <c r="J90" s="28">
        <f>'[13]PL-YTD'!$Q$79</f>
        <v>265333.65</v>
      </c>
    </row>
    <row r="91" spans="1:10" ht="12.75">
      <c r="A91" s="52"/>
      <c r="B91" s="27"/>
      <c r="C91" s="27" t="s">
        <v>157</v>
      </c>
      <c r="D91" s="30"/>
      <c r="E91" s="28">
        <f>'[12]PL-CM'!$P$91</f>
        <v>6422</v>
      </c>
      <c r="F91" s="28">
        <f>'[12]PL-CM'!$Q$91</f>
        <v>6523.362499999999</v>
      </c>
      <c r="G91" s="28">
        <f>'[12]PL-YTD'!$P$91</f>
        <v>54076</v>
      </c>
      <c r="H91" s="28">
        <f>'[12]PL-YTD'!$Q$91</f>
        <v>58710.2625</v>
      </c>
      <c r="I91" s="28">
        <v>57097</v>
      </c>
      <c r="J91" s="28">
        <f>'[13]PL-YTD'!$Q$80</f>
        <v>58756.215000000004</v>
      </c>
    </row>
    <row r="92" spans="1:10" ht="12.75">
      <c r="A92" s="52"/>
      <c r="B92" s="27"/>
      <c r="C92" s="27" t="s">
        <v>158</v>
      </c>
      <c r="D92" s="43"/>
      <c r="E92" s="28">
        <f>'[12]PL-CM'!$P$92</f>
        <v>0</v>
      </c>
      <c r="F92" s="28">
        <f>'[12]PL-CM'!$Q$92</f>
        <v>0</v>
      </c>
      <c r="G92" s="28">
        <f>'[12]PL-YTD'!$P$92</f>
        <v>0</v>
      </c>
      <c r="H92" s="28">
        <f>'[12]PL-YTD'!$Q$92</f>
        <v>0</v>
      </c>
      <c r="I92" s="28">
        <v>0</v>
      </c>
      <c r="J92" s="28">
        <f>'[13]PL-YTD'!$Q$81</f>
        <v>0</v>
      </c>
    </row>
    <row r="93" spans="1:10" ht="12.75">
      <c r="A93" s="52"/>
      <c r="B93" s="27"/>
      <c r="C93" s="27" t="s">
        <v>159</v>
      </c>
      <c r="D93" s="43"/>
      <c r="E93" s="28">
        <f>'[12]PL-CM'!$P$93</f>
        <v>42795</v>
      </c>
      <c r="F93" s="28">
        <f>'[12]PL-CM'!$Q$93</f>
        <v>39240.43366614779</v>
      </c>
      <c r="G93" s="28">
        <f>'[12]PL-YTD'!$P$93</f>
        <v>143497</v>
      </c>
      <c r="H93" s="28">
        <f>'[12]PL-YTD'!$Q$93</f>
        <v>352768.41239216784</v>
      </c>
      <c r="I93" s="28">
        <v>-154443</v>
      </c>
      <c r="J93" s="28">
        <f>'[13]PL-YTD'!$Q$82</f>
        <v>72706.37819082545</v>
      </c>
    </row>
    <row r="94" spans="1:10" ht="12.75">
      <c r="A94" s="52"/>
      <c r="B94" s="27"/>
      <c r="C94" s="27" t="s">
        <v>160</v>
      </c>
      <c r="D94" s="43"/>
      <c r="E94" s="28">
        <f>'[12]PL-CM'!$P$94</f>
        <v>0</v>
      </c>
      <c r="F94" s="28">
        <f>'[12]PL-CM'!$Q$94</f>
        <v>-6250</v>
      </c>
      <c r="G94" s="28">
        <f>'[12]PL-YTD'!$P$94</f>
        <v>-11437</v>
      </c>
      <c r="H94" s="28">
        <f>'[12]PL-YTD'!$Q$94</f>
        <v>-56250</v>
      </c>
      <c r="I94" s="28">
        <v>-80673</v>
      </c>
      <c r="J94" s="28">
        <f>'[13]PL-YTD'!$Q$83</f>
        <v>0</v>
      </c>
    </row>
    <row r="95" spans="1:10" ht="12.75">
      <c r="A95" s="52"/>
      <c r="B95" s="27"/>
      <c r="C95" s="29" t="s">
        <v>161</v>
      </c>
      <c r="D95" s="53"/>
      <c r="E95" s="28">
        <f>'[12]PL-CM'!$P$95</f>
        <v>2206</v>
      </c>
      <c r="F95" s="28">
        <f>'[12]PL-CM'!$Q$95</f>
        <v>4388.9158333333335</v>
      </c>
      <c r="G95" s="28">
        <f>'[12]PL-YTD'!$P$95</f>
        <v>18615</v>
      </c>
      <c r="H95" s="28">
        <f>'[12]PL-YTD'!$Q$95</f>
        <v>39500.242499999986</v>
      </c>
      <c r="I95" s="28">
        <v>49889</v>
      </c>
      <c r="J95" s="28">
        <f>'[13]PL-YTD'!$Q$84</f>
        <v>8763.3825</v>
      </c>
    </row>
    <row r="96" spans="1:10" ht="12.75">
      <c r="A96" s="52"/>
      <c r="B96" s="27"/>
      <c r="C96" s="27" t="s">
        <v>162</v>
      </c>
      <c r="D96" s="43"/>
      <c r="E96" s="28">
        <f>'[12]PL-CM'!$P$96</f>
        <v>27154</v>
      </c>
      <c r="F96" s="28">
        <f>'[12]PL-CM'!$Q$96</f>
        <v>0</v>
      </c>
      <c r="G96" s="28">
        <f>'[12]PL-YTD'!$P$96</f>
        <v>66295.14</v>
      </c>
      <c r="H96" s="28">
        <f>'[12]PL-YTD'!$Q$96</f>
        <v>0</v>
      </c>
      <c r="I96" s="28">
        <v>25808</v>
      </c>
      <c r="J96" s="28">
        <f>'[13]PL-YTD'!$Q$85</f>
        <v>0</v>
      </c>
    </row>
    <row r="97" spans="1:10" ht="12.75">
      <c r="A97" s="52"/>
      <c r="B97" s="27"/>
      <c r="C97" s="27" t="s">
        <v>163</v>
      </c>
      <c r="D97" s="43"/>
      <c r="E97" s="28">
        <f>'[12]PL-CM'!$P$97</f>
        <v>0</v>
      </c>
      <c r="F97" s="28">
        <f>'[12]PL-CM'!$Q$97</f>
        <v>0</v>
      </c>
      <c r="G97" s="28">
        <f>'[12]PL-YTD'!$P$97</f>
        <v>0</v>
      </c>
      <c r="H97" s="28">
        <f>'[12]PL-YTD'!$Q$97</f>
        <v>0</v>
      </c>
      <c r="I97" s="28">
        <v>1</v>
      </c>
      <c r="J97" s="28">
        <f>'[13]PL-YTD'!$Q$85</f>
        <v>0</v>
      </c>
    </row>
    <row r="98" spans="1:10" ht="4.5" customHeight="1">
      <c r="A98" s="38"/>
      <c r="B98" s="24"/>
      <c r="C98" s="24"/>
      <c r="D98" s="24"/>
      <c r="E98" s="39"/>
      <c r="F98" s="39"/>
      <c r="G98" s="39"/>
      <c r="H98" s="39"/>
      <c r="I98" s="39"/>
      <c r="J98" s="39"/>
    </row>
    <row r="99" spans="1:11" ht="12.75">
      <c r="A99" s="52"/>
      <c r="B99" s="26" t="s">
        <v>164</v>
      </c>
      <c r="C99" s="26"/>
      <c r="D99" s="27"/>
      <c r="E99" s="40">
        <f>SUM(E74:E97)</f>
        <v>1066556</v>
      </c>
      <c r="F99" s="40">
        <f>SUM(F74:F97)</f>
        <v>1273566.4833846241</v>
      </c>
      <c r="G99" s="40">
        <f>SUM(G74:G97)</f>
        <v>9838163.040000001</v>
      </c>
      <c r="H99" s="40">
        <f>SUM(H74:H97)</f>
        <v>11272794.157041226</v>
      </c>
      <c r="I99" s="40">
        <f>SUM(I79:I97)+I73</f>
        <v>8783439</v>
      </c>
      <c r="J99" s="40">
        <f>SUM(J74:J97)</f>
        <v>8950567.887456864</v>
      </c>
      <c r="K99" s="177"/>
    </row>
    <row r="100" spans="1:10" ht="4.5" customHeight="1">
      <c r="A100" s="38"/>
      <c r="B100" s="24"/>
      <c r="C100" s="24"/>
      <c r="D100" s="24"/>
      <c r="E100" s="39"/>
      <c r="F100" s="39"/>
      <c r="G100" s="39"/>
      <c r="H100" s="39"/>
      <c r="I100" s="39"/>
      <c r="J100" s="39"/>
    </row>
    <row r="101" spans="1:10" ht="12.75">
      <c r="A101" s="23" t="s">
        <v>165</v>
      </c>
      <c r="B101" s="26"/>
      <c r="C101" s="26"/>
      <c r="D101" s="27"/>
      <c r="E101" s="28">
        <f aca="true" t="shared" si="4" ref="E101:J101">E99+E70</f>
        <v>1192883</v>
      </c>
      <c r="F101" s="28">
        <f t="shared" si="4"/>
        <v>1458577.6713278738</v>
      </c>
      <c r="G101" s="28">
        <f t="shared" si="4"/>
        <v>10943291.040000001</v>
      </c>
      <c r="H101" s="28">
        <f t="shared" si="4"/>
        <v>12937096.201030472</v>
      </c>
      <c r="I101" s="28">
        <f t="shared" si="4"/>
        <v>10061273</v>
      </c>
      <c r="J101" s="28">
        <f t="shared" si="4"/>
        <v>10263890.397876864</v>
      </c>
    </row>
    <row r="102" spans="1:10" ht="4.5" customHeight="1">
      <c r="A102" s="38"/>
      <c r="B102" s="24"/>
      <c r="C102" s="24"/>
      <c r="D102" s="24"/>
      <c r="E102" s="39"/>
      <c r="F102" s="39"/>
      <c r="G102" s="39"/>
      <c r="H102" s="39"/>
      <c r="I102" s="39"/>
      <c r="J102" s="39"/>
    </row>
    <row r="103" spans="1:10" ht="12.75">
      <c r="A103" s="23" t="s">
        <v>166</v>
      </c>
      <c r="B103" s="24"/>
      <c r="C103" s="24"/>
      <c r="D103" s="24"/>
      <c r="E103" s="39">
        <f aca="true" t="shared" si="5" ref="E103:J103">+E36+E50+E70+E99</f>
        <v>4591284</v>
      </c>
      <c r="F103" s="39">
        <f t="shared" si="5"/>
        <v>4850740.15384287</v>
      </c>
      <c r="G103" s="39">
        <f t="shared" si="5"/>
        <v>41021558.04</v>
      </c>
      <c r="H103" s="39">
        <f t="shared" si="5"/>
        <v>43431605.51874741</v>
      </c>
      <c r="I103" s="39">
        <f t="shared" si="5"/>
        <v>36965394</v>
      </c>
      <c r="J103" s="39">
        <f t="shared" si="5"/>
        <v>38862456.01972641</v>
      </c>
    </row>
    <row r="104" spans="1:10" ht="4.5" customHeight="1">
      <c r="A104" s="38"/>
      <c r="B104" s="24"/>
      <c r="C104" s="24"/>
      <c r="D104" s="24"/>
      <c r="E104" s="39"/>
      <c r="F104" s="39"/>
      <c r="G104" s="39"/>
      <c r="H104" s="39"/>
      <c r="I104" s="39"/>
      <c r="J104" s="39"/>
    </row>
    <row r="105" spans="1:10" ht="12.75">
      <c r="A105" s="23" t="s">
        <v>167</v>
      </c>
      <c r="B105" s="26"/>
      <c r="C105" s="26"/>
      <c r="D105" s="27"/>
      <c r="E105" s="28">
        <f aca="true" t="shared" si="6" ref="E105:J105">E21-E103</f>
        <v>286452</v>
      </c>
      <c r="F105" s="28">
        <f t="shared" si="6"/>
        <v>1024657.2645337731</v>
      </c>
      <c r="G105" s="28">
        <f t="shared" si="6"/>
        <v>5914611.1000000015</v>
      </c>
      <c r="H105" s="28">
        <f t="shared" si="6"/>
        <v>9320161.175728656</v>
      </c>
      <c r="I105" s="28">
        <f t="shared" si="6"/>
        <v>7167609</v>
      </c>
      <c r="J105" s="28">
        <f t="shared" si="6"/>
        <v>10950213.888289586</v>
      </c>
    </row>
    <row r="106" spans="1:10" ht="12.75">
      <c r="A106" s="54"/>
      <c r="B106" s="27"/>
      <c r="C106" s="27" t="s">
        <v>168</v>
      </c>
      <c r="D106" s="27"/>
      <c r="E106" s="28">
        <f>'[12]PL-CM'!$P$106</f>
        <v>34413</v>
      </c>
      <c r="F106" s="28">
        <f>'[12]PL-CM'!$Q$106</f>
        <v>59924.28292</v>
      </c>
      <c r="G106" s="28">
        <f>'[12]PL-YTD'!$P$106</f>
        <v>351810</v>
      </c>
      <c r="H106" s="28">
        <f>'[12]PL-YTD'!$Q$106</f>
        <v>370544.68004</v>
      </c>
      <c r="I106" s="28">
        <v>441576</v>
      </c>
      <c r="J106" s="28">
        <f>'[13]PL-YTD'!$Q$95</f>
        <v>186757.9593833333</v>
      </c>
    </row>
    <row r="107" spans="1:10" ht="4.5" customHeight="1">
      <c r="A107" s="38"/>
      <c r="B107" s="24"/>
      <c r="C107" s="24"/>
      <c r="D107" s="24"/>
      <c r="E107" s="39"/>
      <c r="F107" s="39"/>
      <c r="G107" s="39"/>
      <c r="H107" s="39"/>
      <c r="I107" s="39"/>
      <c r="J107" s="39"/>
    </row>
    <row r="108" spans="1:11" ht="13.5" thickBot="1">
      <c r="A108" s="23" t="s">
        <v>169</v>
      </c>
      <c r="B108" s="26"/>
      <c r="C108" s="26"/>
      <c r="D108" s="27"/>
      <c r="E108" s="55">
        <f aca="true" t="shared" si="7" ref="E108:J108">E105+E106</f>
        <v>320865</v>
      </c>
      <c r="F108" s="55">
        <f t="shared" si="7"/>
        <v>1084581.547453773</v>
      </c>
      <c r="G108" s="55">
        <f t="shared" si="7"/>
        <v>6266421.1000000015</v>
      </c>
      <c r="H108" s="56">
        <f t="shared" si="7"/>
        <v>9690705.855768656</v>
      </c>
      <c r="I108" s="55">
        <f t="shared" si="7"/>
        <v>7609185</v>
      </c>
      <c r="J108" s="56">
        <f t="shared" si="7"/>
        <v>11136971.847672919</v>
      </c>
      <c r="K108" s="177"/>
    </row>
    <row r="109" spans="1:10" ht="4.5" customHeight="1" thickTop="1">
      <c r="A109" s="52"/>
      <c r="B109" s="30"/>
      <c r="C109" s="30"/>
      <c r="D109" s="30"/>
      <c r="E109" s="57"/>
      <c r="F109" s="57"/>
      <c r="G109" s="57"/>
      <c r="H109" s="57"/>
      <c r="I109" s="57"/>
      <c r="J109" s="57"/>
    </row>
    <row r="110" spans="1:10" ht="12.75">
      <c r="A110" s="52"/>
      <c r="C110" s="27" t="s">
        <v>11</v>
      </c>
      <c r="E110" s="28">
        <f>'[12]PL-CM'!$P$110</f>
        <v>301964</v>
      </c>
      <c r="F110" s="28">
        <f>'[12]PL-CM'!$Q$110</f>
        <v>292466.5</v>
      </c>
      <c r="G110" s="28">
        <f>'[12]PL-YTD'!$P$110</f>
        <v>1754598</v>
      </c>
      <c r="H110" s="28">
        <f>'[12]PL-YTD'!$Q$110</f>
        <v>2632198.5</v>
      </c>
      <c r="I110" s="58">
        <f>254833.25*9</f>
        <v>2293499.25</v>
      </c>
      <c r="J110" s="28" t="e">
        <f>'[13]PL-YTD'!$Q$110</f>
        <v>#REF!</v>
      </c>
    </row>
    <row r="111" spans="1:10" ht="4.5" customHeight="1">
      <c r="A111" s="52"/>
      <c r="E111" s="59"/>
      <c r="F111" s="60"/>
      <c r="G111" s="60"/>
      <c r="H111" s="60"/>
      <c r="I111" s="60"/>
      <c r="J111" s="60"/>
    </row>
    <row r="112" spans="1:10" ht="13.5" thickBot="1">
      <c r="A112" s="23" t="s">
        <v>170</v>
      </c>
      <c r="E112" s="55">
        <f aca="true" t="shared" si="8" ref="E112:J112">E108-E110</f>
        <v>18901</v>
      </c>
      <c r="F112" s="55">
        <f t="shared" si="8"/>
        <v>792115.047453773</v>
      </c>
      <c r="G112" s="55">
        <f t="shared" si="8"/>
        <v>4511823.1000000015</v>
      </c>
      <c r="H112" s="56">
        <f t="shared" si="8"/>
        <v>7058507.355768656</v>
      </c>
      <c r="I112" s="55">
        <f t="shared" si="8"/>
        <v>5315685.75</v>
      </c>
      <c r="J112" s="56" t="e">
        <f t="shared" si="8"/>
        <v>#REF!</v>
      </c>
    </row>
    <row r="113" spans="1:11" ht="4.5" customHeight="1" thickTop="1">
      <c r="A113" s="23"/>
      <c r="E113" s="61"/>
      <c r="F113" s="61"/>
      <c r="G113" s="61"/>
      <c r="H113" s="61"/>
      <c r="I113" s="62"/>
      <c r="J113" s="63"/>
      <c r="K113" s="3"/>
    </row>
    <row r="114" spans="1:11" ht="12.75">
      <c r="A114" s="52"/>
      <c r="C114" s="27" t="s">
        <v>171</v>
      </c>
      <c r="E114" s="28">
        <f>'[12]PL-CM'!$P$114</f>
        <v>0</v>
      </c>
      <c r="F114" s="28">
        <f>'[12]PL-CM'!$Q$114</f>
        <v>0</v>
      </c>
      <c r="G114" s="28">
        <f>'[12]PL-YTD'!$P$114</f>
        <v>1914879</v>
      </c>
      <c r="H114" s="28">
        <f>'[12]PL-YTD'!$Q$114</f>
        <v>0</v>
      </c>
      <c r="I114" s="73">
        <v>0</v>
      </c>
      <c r="J114" s="65">
        <v>0</v>
      </c>
      <c r="K114" s="3"/>
    </row>
    <row r="115" spans="1:11" ht="4.5" customHeight="1">
      <c r="A115" s="52"/>
      <c r="E115" s="59"/>
      <c r="F115" s="60"/>
      <c r="G115" s="60"/>
      <c r="H115" s="60"/>
      <c r="I115" s="66"/>
      <c r="J115" s="67"/>
      <c r="K115" s="3"/>
    </row>
    <row r="116" spans="1:11" ht="13.5" thickBot="1">
      <c r="A116" s="68" t="s">
        <v>172</v>
      </c>
      <c r="E116" s="55">
        <f aca="true" t="shared" si="9" ref="E116:J116">E112-E114</f>
        <v>18901</v>
      </c>
      <c r="F116" s="55">
        <f t="shared" si="9"/>
        <v>792115.047453773</v>
      </c>
      <c r="G116" s="55">
        <f t="shared" si="9"/>
        <v>2596944.1000000015</v>
      </c>
      <c r="H116" s="56">
        <f t="shared" si="9"/>
        <v>7058507.355768656</v>
      </c>
      <c r="I116" s="56">
        <f t="shared" si="9"/>
        <v>5315685.75</v>
      </c>
      <c r="J116" s="56" t="e">
        <f t="shared" si="9"/>
        <v>#REF!</v>
      </c>
      <c r="K116" s="3"/>
    </row>
    <row r="117" spans="1:11" ht="4.5" customHeight="1" thickTop="1">
      <c r="A117" s="69"/>
      <c r="B117" s="17"/>
      <c r="C117" s="17"/>
      <c r="D117" s="17"/>
      <c r="E117" s="17"/>
      <c r="F117" s="17"/>
      <c r="G117" s="17"/>
      <c r="H117" s="70"/>
      <c r="I117" s="70"/>
      <c r="J117" s="71"/>
      <c r="K117" s="189"/>
    </row>
    <row r="151" ht="12.75">
      <c r="I151" s="3" t="s">
        <v>85</v>
      </c>
    </row>
  </sheetData>
  <mergeCells count="7">
    <mergeCell ref="I5:J5"/>
    <mergeCell ref="G7:H7"/>
    <mergeCell ref="I7:J7"/>
    <mergeCell ref="A1:H1"/>
    <mergeCell ref="A2:H2"/>
    <mergeCell ref="A3:H3"/>
    <mergeCell ref="G5:H5"/>
  </mergeCells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KUMPULAN FIMA BERHAD</cp:lastModifiedBy>
  <cp:lastPrinted>2003-02-14T08:32:06Z</cp:lastPrinted>
  <dcterms:created xsi:type="dcterms:W3CDTF">2002-10-11T01:52:42Z</dcterms:created>
  <dcterms:modified xsi:type="dcterms:W3CDTF">2003-02-26T05:53:12Z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