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7290" tabRatio="583" activeTab="5"/>
  </bookViews>
  <sheets>
    <sheet name="adj" sheetId="1" r:id="rId1"/>
    <sheet name="conbs" sheetId="2" r:id="rId2"/>
    <sheet name="conpl" sheetId="3" r:id="rId3"/>
    <sheet name="ahsb" sheetId="4" r:id="rId4"/>
    <sheet name="qtrconpl" sheetId="5" r:id="rId5"/>
    <sheet name="Q1PL" sheetId="6" r:id="rId6"/>
    <sheet name="Q1BS" sheetId="7" r:id="rId7"/>
  </sheets>
  <definedNames/>
  <calcPr fullCalcOnLoad="1"/>
</workbook>
</file>

<file path=xl/sharedStrings.xml><?xml version="1.0" encoding="utf-8"?>
<sst xmlns="http://schemas.openxmlformats.org/spreadsheetml/2006/main" count="862" uniqueCount="355">
  <si>
    <t>Hirotako Holdings Berhad</t>
  </si>
  <si>
    <t>DR</t>
  </si>
  <si>
    <t>CR</t>
  </si>
  <si>
    <t>Share Capital</t>
  </si>
  <si>
    <t xml:space="preserve">  Interest in sub co.</t>
  </si>
  <si>
    <t xml:space="preserve">   Minority Interest (B/S)</t>
  </si>
  <si>
    <t>(Elimination of investment in DSB)</t>
  </si>
  <si>
    <t>Merger Debit Arising an Consolidation</t>
  </si>
  <si>
    <t>(Elimination of Investments in HASB &amp; PDSB)</t>
  </si>
  <si>
    <t>Revaluation Reserve</t>
  </si>
  <si>
    <t>Unappropriated Profit B/F</t>
  </si>
  <si>
    <t xml:space="preserve">   Merger Debit Arising on Consolidation</t>
  </si>
  <si>
    <t>(Being W/O of merger debit arising on conso)</t>
  </si>
  <si>
    <t xml:space="preserve">   Unappropriated Profit B/F</t>
  </si>
  <si>
    <t>Goodwill Arising on Consolidation</t>
  </si>
  <si>
    <t>(Elimination of  70%  Investment in HMSB)</t>
  </si>
  <si>
    <t>Unappropriated Profit B/F (38,490+45,607)</t>
  </si>
  <si>
    <t>(Elimination of  30%  Investment in HMSB)</t>
  </si>
  <si>
    <t>Profit Before Taxation</t>
  </si>
  <si>
    <t xml:space="preserve">   Goodwill Arising on Consolidation</t>
  </si>
  <si>
    <t>(Being Amortisation of G/will Arising on Investment in HMSB)</t>
  </si>
  <si>
    <t>G/will Arising on Consolidation</t>
  </si>
  <si>
    <t>(Elimination of Investment in SSB)</t>
  </si>
  <si>
    <t>Unapproprited Profit B/F</t>
  </si>
  <si>
    <t xml:space="preserve">   G/will Arising on Consolidation</t>
  </si>
  <si>
    <t>(Being Amortisation of G/will Arising on Investment in SSB)</t>
  </si>
  <si>
    <t>(Elimination of Investment in HTSB)</t>
  </si>
  <si>
    <t>(Elimination of Investment in HVSB)</t>
  </si>
  <si>
    <t>(Elimination of Investment in HESB)</t>
  </si>
  <si>
    <t>Amount due to related companies</t>
  </si>
  <si>
    <t>Amount due to ultimate holding company</t>
  </si>
  <si>
    <t>Amount due to holding company</t>
  </si>
  <si>
    <t>Other debtors</t>
  </si>
  <si>
    <t xml:space="preserve">  Amount due from subsidiary companies</t>
  </si>
  <si>
    <t xml:space="preserve">  Amount due from holding company</t>
  </si>
  <si>
    <t>(Elimination of inter-co balances)</t>
  </si>
  <si>
    <t>Turnover</t>
  </si>
  <si>
    <t xml:space="preserve">  Profit before taxation</t>
  </si>
  <si>
    <t>No double entry</t>
  </si>
  <si>
    <t>(Being elimination of Hirotako Acoustics rental payable to Sariha)</t>
  </si>
  <si>
    <t>(Being elimination of PDSB dividend payable to HHB)</t>
  </si>
  <si>
    <t>Unappropriated profit b/f</t>
  </si>
  <si>
    <t xml:space="preserve">  Stocks</t>
  </si>
  <si>
    <t>(Being prior year adjustment taken up at group level only)</t>
  </si>
  <si>
    <t>Other creditor</t>
  </si>
  <si>
    <t>Provision for taxation</t>
  </si>
  <si>
    <t xml:space="preserve">  Unappropriated profit b/f</t>
  </si>
  <si>
    <t xml:space="preserve">  Deferred taxation</t>
  </si>
  <si>
    <t>Interest In Sub</t>
  </si>
  <si>
    <t>G/will arising on Consol</t>
  </si>
  <si>
    <t xml:space="preserve">Profit before taxation </t>
  </si>
  <si>
    <t xml:space="preserve">  Provision for taxation (B/S)</t>
  </si>
  <si>
    <t>(Auditor's adjustment)</t>
  </si>
  <si>
    <t>(Elimination of Investment in GCRSB)</t>
  </si>
  <si>
    <t xml:space="preserve">  Taxation</t>
  </si>
  <si>
    <t>(Being tax recoverable from PDSB's dividend)</t>
  </si>
  <si>
    <t xml:space="preserve">  Profit Before Taxation</t>
  </si>
  <si>
    <t>(Elimination of investment in HPI)</t>
  </si>
  <si>
    <t>Interest in sub co.</t>
  </si>
  <si>
    <t xml:space="preserve">  Share Capital</t>
  </si>
  <si>
    <t>(HHB disposal of HESB)</t>
  </si>
  <si>
    <t>(Elimination of  Investment in Ecocool)</t>
  </si>
  <si>
    <t>(Elimination of  Investment in HESB)</t>
  </si>
  <si>
    <t xml:space="preserve">   Other Debtor</t>
  </si>
  <si>
    <t>(Reversal of HHB entry - disposal of PDSB)</t>
  </si>
  <si>
    <t>Consolidation Reserve</t>
  </si>
  <si>
    <t xml:space="preserve">  Capital Reserve</t>
  </si>
  <si>
    <t xml:space="preserve">  Unappropriated Profit B/F</t>
  </si>
  <si>
    <t>(HHB group loss on disposal of PDSB)</t>
  </si>
  <si>
    <t>(Being disposal of GCRSB)</t>
  </si>
  <si>
    <t xml:space="preserve">  Consolidation Reserve</t>
  </si>
  <si>
    <t xml:space="preserve">  Minority Interest (B/S)</t>
  </si>
  <si>
    <t>(Elimination of Investment in IGSB)</t>
  </si>
  <si>
    <t>(Elimination of Investment in PCV)</t>
  </si>
  <si>
    <t>Dividend Income</t>
  </si>
  <si>
    <t>Minority Interest (B/S)</t>
  </si>
  <si>
    <t xml:space="preserve">  Dividend Proposed (P/L)</t>
  </si>
  <si>
    <t xml:space="preserve">  Provision For Tax</t>
  </si>
  <si>
    <t>(Being elimination of PCV dividend payable to HHB &amp; Plastic Centre)</t>
  </si>
  <si>
    <t>(Being minority share of PCV profit)</t>
  </si>
  <si>
    <t>Dividend Proposed (B/S)</t>
  </si>
  <si>
    <t xml:space="preserve">  Other Debtor</t>
  </si>
  <si>
    <t>(Being minority share of AHSB profit)</t>
  </si>
  <si>
    <t>(Being AHSB cost of investment capitalised now w/off)</t>
  </si>
  <si>
    <t xml:space="preserve">  Provision For Taxation</t>
  </si>
  <si>
    <t>(Being elimination of HASB dividend payable to HHB)</t>
  </si>
  <si>
    <t>(Being minority share of Eco and Ecocool yr 2000 losses)</t>
  </si>
  <si>
    <t>HIROTAKO HOLDINGS BERHAD</t>
  </si>
  <si>
    <t>*</t>
  </si>
  <si>
    <t>COMPANY</t>
  </si>
  <si>
    <t>AUTOLIV</t>
  </si>
  <si>
    <t>SRS</t>
  </si>
  <si>
    <t>ACOUSTICS</t>
  </si>
  <si>
    <t>SARIHA</t>
  </si>
  <si>
    <t>VENTURES</t>
  </si>
  <si>
    <t>TECNOLOGIES</t>
  </si>
  <si>
    <t>DURALUX</t>
  </si>
  <si>
    <t>MARKETING</t>
  </si>
  <si>
    <t>PCV</t>
  </si>
  <si>
    <t>ECO</t>
  </si>
  <si>
    <t>ECOCOOL</t>
  </si>
  <si>
    <t>HPI</t>
  </si>
  <si>
    <t>HIROTAKO</t>
  </si>
  <si>
    <t>CONSO ADJ</t>
  </si>
  <si>
    <t>CONSO.</t>
  </si>
  <si>
    <t>FIXED ASSETS</t>
  </si>
  <si>
    <t>INVESTMENT</t>
  </si>
  <si>
    <t>PRELIMINARY EXPENSES</t>
  </si>
  <si>
    <t>RESEARCH &amp; DEVELOPMENT</t>
  </si>
  <si>
    <t>GOODWILL</t>
  </si>
  <si>
    <t>CURRENT ASSETS</t>
  </si>
  <si>
    <t xml:space="preserve">  CLOSING STOCK</t>
  </si>
  <si>
    <t xml:space="preserve">  TRADE DEBTORS</t>
  </si>
  <si>
    <t xml:space="preserve">  OTHER DEBTORS/DEPOSIT</t>
  </si>
  <si>
    <t xml:space="preserve">  RE/FIXED DEPOSIT</t>
  </si>
  <si>
    <t xml:space="preserve">  CASH &amp; BANK BALANCES</t>
  </si>
  <si>
    <t xml:space="preserve">  SHORT TERM INVESTMENT</t>
  </si>
  <si>
    <t xml:space="preserve">  SUBSIDIARY ACCOUNT</t>
  </si>
  <si>
    <t xml:space="preserve">  HOLDING CO</t>
  </si>
  <si>
    <t>CURRENT LIABILITIES</t>
  </si>
  <si>
    <t xml:space="preserve">  TRADE/SUNDRY CREDITORS</t>
  </si>
  <si>
    <t xml:space="preserve">  LOAN/HP CREDITORS</t>
  </si>
  <si>
    <t xml:space="preserve">  ULTIMATE HOLDING CO</t>
  </si>
  <si>
    <t xml:space="preserve">  ACCRUALS</t>
  </si>
  <si>
    <t xml:space="preserve">  PROPOSED DIVIDEND</t>
  </si>
  <si>
    <t xml:space="preserve">  PROVISION FOR TAX</t>
  </si>
  <si>
    <t>WORKING CAPITAL</t>
  </si>
  <si>
    <t>TOTAL NET ASSETS</t>
  </si>
  <si>
    <t>THIS IS FINANCED BY</t>
  </si>
  <si>
    <t>SHARE CAPITAL</t>
  </si>
  <si>
    <t>SHARE PREMIUM</t>
  </si>
  <si>
    <t>CAPITAL REVALUATION</t>
  </si>
  <si>
    <t>CONSOLIDATION RESERVE</t>
  </si>
  <si>
    <t>FOREX REVALUATION RESERVE</t>
  </si>
  <si>
    <t>ACCUMULATED PROFIT</t>
  </si>
  <si>
    <t>PROFIT FOR THE YEAR</t>
  </si>
  <si>
    <t>DEFERRED TAX</t>
  </si>
  <si>
    <t>LONG TERM LIABILITIES</t>
  </si>
  <si>
    <t>MINORITY INTEREST</t>
  </si>
  <si>
    <t>AUTOLIV HIROTAKO</t>
  </si>
  <si>
    <t>CONSOLIDATED ACCOUNTS</t>
  </si>
  <si>
    <t>MAR</t>
  </si>
  <si>
    <t>YTD</t>
  </si>
  <si>
    <t>APR</t>
  </si>
  <si>
    <t>JAN</t>
  </si>
  <si>
    <t>ADJ</t>
  </si>
  <si>
    <t>RM</t>
  </si>
  <si>
    <t>SALES</t>
  </si>
  <si>
    <t xml:space="preserve"> </t>
  </si>
  <si>
    <t>COST OF SALES</t>
  </si>
  <si>
    <t>GROSS PROFIT</t>
  </si>
  <si>
    <t>GROSS PROFIT (%)</t>
  </si>
  <si>
    <t>ADMIN EXPENDITURE</t>
  </si>
  <si>
    <t>MARKETING EXPENDITURE</t>
  </si>
  <si>
    <t>PURCHASING/DISTRIBUTION</t>
  </si>
  <si>
    <t>FINANCIAL EXPENSES</t>
  </si>
  <si>
    <t>PROJECT DEVELOPMENT</t>
  </si>
  <si>
    <t>TOTAL OPERATING EXP</t>
  </si>
  <si>
    <t>NET PROFIT</t>
  </si>
  <si>
    <t>NET PROFIT (%)</t>
  </si>
  <si>
    <t>MISC INCOME</t>
  </si>
  <si>
    <t>PROFIT BEFORE TAX - GROUP</t>
  </si>
  <si>
    <t xml:space="preserve">PROFIT BEFORE TAX - TECK SEE </t>
  </si>
  <si>
    <t>TAXATION - GROUP</t>
  </si>
  <si>
    <t xml:space="preserve">TAXATION - TECK SEE </t>
  </si>
  <si>
    <t>PROFIT AFTER TAX</t>
  </si>
  <si>
    <t>ADJUSTMENT</t>
  </si>
  <si>
    <t>DIVIDEND PROPOSED</t>
  </si>
  <si>
    <t>SAFETY</t>
  </si>
  <si>
    <t>AUTOBELT</t>
  </si>
  <si>
    <t>AIRBAG</t>
  </si>
  <si>
    <t>AHSB</t>
  </si>
  <si>
    <t>RM'000</t>
  </si>
  <si>
    <t>CONSOLIDATED PROFIT AND LOSS ACCOUNT FOR THE PERIOD ENDED 30TH JUNE 2000</t>
  </si>
  <si>
    <t>DAPAT</t>
  </si>
  <si>
    <t>APR - JUNE</t>
  </si>
  <si>
    <t>FEB</t>
  </si>
  <si>
    <t>PROFIT BEFORE TAX</t>
  </si>
  <si>
    <t>TAXATION</t>
  </si>
  <si>
    <t>DIVIDENDS PROPOSED</t>
  </si>
  <si>
    <t>DEC</t>
  </si>
  <si>
    <t>MAY</t>
  </si>
  <si>
    <t>JUNE</t>
  </si>
  <si>
    <t>AUTOBELT SDN BHD</t>
  </si>
  <si>
    <t xml:space="preserve">     Sales</t>
  </si>
  <si>
    <t xml:space="preserve">     Profit before tax</t>
  </si>
  <si>
    <t>AIRBAG SYSTEMS (M) SDN BHD</t>
  </si>
  <si>
    <t>The figures have not been audited.</t>
  </si>
  <si>
    <t>CONSOLIDATED INCOME STATEMENT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</si>
  <si>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</si>
  <si>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</si>
  <si>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</si>
  <si>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</si>
  <si>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</si>
  <si>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</si>
  <si>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</si>
  <si>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 DATE</t>
  </si>
  <si>
    <t>PERIOD</t>
  </si>
  <si>
    <t>31/12/2000</t>
  </si>
  <si>
    <t>Investment Income</t>
  </si>
  <si>
    <t>depreciation and amortisation,</t>
  </si>
  <si>
    <t>exceptional items, income tax,</t>
  </si>
  <si>
    <t xml:space="preserve">minority interests and </t>
  </si>
  <si>
    <t>extraordinary items</t>
  </si>
  <si>
    <t>Depreciation and amortisation</t>
  </si>
  <si>
    <t>Exceptional items</t>
  </si>
  <si>
    <t>deducting minority interests</t>
  </si>
  <si>
    <t>company</t>
  </si>
  <si>
    <t>Extraordinary items</t>
  </si>
  <si>
    <t>Less : minority interests</t>
  </si>
  <si>
    <t>Extraordinary items attributable to</t>
  </si>
  <si>
    <t>members of the company</t>
  </si>
  <si>
    <t>(i) Basic (based on 19,855,000</t>
  </si>
  <si>
    <t xml:space="preserve">     ordinary shares) (sen)</t>
  </si>
  <si>
    <t xml:space="preserve">CONSOLIDATED BALANCE SHEET </t>
  </si>
  <si>
    <t>SHAREHOLDERS' FUNDS</t>
  </si>
  <si>
    <t>Other Debtor / Amt Due From Subsidiary</t>
  </si>
  <si>
    <t>(Elimination of Investment in AHSB)</t>
  </si>
  <si>
    <t>30/09/2000</t>
  </si>
  <si>
    <t>30/06/2001</t>
  </si>
  <si>
    <t>30/06/2000</t>
  </si>
  <si>
    <t>31/03/2001</t>
  </si>
  <si>
    <t>Revenue</t>
  </si>
  <si>
    <t>Other Income</t>
  </si>
  <si>
    <t>Profit / (loss) before finance cost,</t>
  </si>
  <si>
    <t>Finance cost</t>
  </si>
  <si>
    <t xml:space="preserve">Profit / (loss) before income tax, </t>
  </si>
  <si>
    <t xml:space="preserve">Share of profits and losses of </t>
  </si>
  <si>
    <t>associated companies</t>
  </si>
  <si>
    <t>Profit / (loss) before income tax,</t>
  </si>
  <si>
    <t>minority interests and</t>
  </si>
  <si>
    <t>Income tax</t>
  </si>
  <si>
    <t>Profit / (loss) after income tax  before</t>
  </si>
  <si>
    <t>Net profit / (loss) from ordinary</t>
  </si>
  <si>
    <t>activities attributable to members of the</t>
  </si>
  <si>
    <t xml:space="preserve">Net profit / (loss) attributable to </t>
  </si>
  <si>
    <t>Earnings per share based on net profit /</t>
  </si>
  <si>
    <t xml:space="preserve">(loss) attributable to members of the </t>
  </si>
  <si>
    <t>company after deducting any provision</t>
  </si>
  <si>
    <t>for preference dividends, if any :-</t>
  </si>
  <si>
    <t>(ii) Fully diluted (based on 19,855,000</t>
  </si>
  <si>
    <t>AS AT END</t>
  </si>
  <si>
    <t>OF CURRENT</t>
  </si>
  <si>
    <t>AS AT</t>
  </si>
  <si>
    <t>PRECEDING</t>
  </si>
  <si>
    <t>FINANCIAL</t>
  </si>
  <si>
    <t>YEAR END</t>
  </si>
  <si>
    <t>Property, plant and equipment</t>
  </si>
  <si>
    <t>Investment in associated companies</t>
  </si>
  <si>
    <t>Goodwill on consolidation</t>
  </si>
  <si>
    <t>Current assets</t>
  </si>
  <si>
    <t xml:space="preserve">  Inventories</t>
  </si>
  <si>
    <t xml:space="preserve">  Trade receivables</t>
  </si>
  <si>
    <t xml:space="preserve">  Short term investments</t>
  </si>
  <si>
    <t xml:space="preserve">  Cash</t>
  </si>
  <si>
    <t>Current liabilities</t>
  </si>
  <si>
    <t xml:space="preserve">  Other receivables, deposits and prepayments</t>
  </si>
  <si>
    <t xml:space="preserve">  Trade payables</t>
  </si>
  <si>
    <t xml:space="preserve">  Other payables</t>
  </si>
  <si>
    <t xml:space="preserve">  Short term borrowings</t>
  </si>
  <si>
    <t xml:space="preserve">  Provision for taxation</t>
  </si>
  <si>
    <t xml:space="preserve">  Proposed dividend</t>
  </si>
  <si>
    <t>Share capital</t>
  </si>
  <si>
    <t>Reserves</t>
  </si>
  <si>
    <t xml:space="preserve">  Share premium</t>
  </si>
  <si>
    <t xml:space="preserve">  Revaluation reserve</t>
  </si>
  <si>
    <t xml:space="preserve">  Consolidation reserve</t>
  </si>
  <si>
    <t xml:space="preserve">  Retained profit</t>
  </si>
  <si>
    <t>Minority interests</t>
  </si>
  <si>
    <t>Long term borrowings</t>
  </si>
  <si>
    <t>Deferred taxation</t>
  </si>
  <si>
    <t>Net tangible assets per share (RM)</t>
  </si>
  <si>
    <t>Net current assets</t>
  </si>
  <si>
    <t>Quarterly report on consolidated results for the second quarter ended 30/06/2001.</t>
  </si>
  <si>
    <t>Development cost</t>
  </si>
  <si>
    <t>(Reversal of HHB entry - disposal of EMSB)</t>
  </si>
  <si>
    <t xml:space="preserve">   Bank</t>
  </si>
  <si>
    <t>Bank</t>
  </si>
  <si>
    <t>(HHB group loss on disposal of EMSB)</t>
  </si>
  <si>
    <t>Unappropriated Profit B/F (EMSB)</t>
  </si>
  <si>
    <t xml:space="preserve">  Share Capital (EMSB)</t>
  </si>
  <si>
    <t>Share Capital (MI portion)</t>
  </si>
  <si>
    <t>Share of EMSB losses</t>
  </si>
  <si>
    <t>Minority Interest (B/S) *</t>
  </si>
  <si>
    <t xml:space="preserve">* Note : </t>
  </si>
  <si>
    <t>DIVIDEND PAID / PROPOSED</t>
  </si>
  <si>
    <t>AUTOLIV HIROTAKO SDN BHD</t>
  </si>
  <si>
    <t>Quarterly report on consolidated results for the third quarter ended 30/09/2001.</t>
  </si>
  <si>
    <t>30/09/2001</t>
  </si>
  <si>
    <t>Q4</t>
  </si>
  <si>
    <t>CONSOLIDATED PROFIT AND LOSS ACCOUNT FOR THE PERIOD ENDED 31ST DECEMBER 2001</t>
  </si>
  <si>
    <t>REDEEMABLE PREF SHARE</t>
  </si>
  <si>
    <t>Redeemable Preference Shares</t>
  </si>
  <si>
    <t>Share Premium</t>
  </si>
  <si>
    <t>(Being elimination of AHSB's RPS)</t>
  </si>
  <si>
    <t xml:space="preserve">  Other Creditor</t>
  </si>
  <si>
    <t>(Reversal of HHB entry - disposal of HPI)</t>
  </si>
  <si>
    <t xml:space="preserve">  Unappropriated Profit B/F - MI (101,214*30%)</t>
  </si>
  <si>
    <t>Unappropriated Profit B/F - Dividend Income</t>
  </si>
  <si>
    <t xml:space="preserve">  Unappropriated Profit B/F - Dividend Proposed (P/L)</t>
  </si>
  <si>
    <t>Unappropriated Profit B/F - Minority Interest (P/L)</t>
  </si>
  <si>
    <t>Profit After Taxation</t>
  </si>
  <si>
    <t>(Being elimination of PCV dividend payable to HHB &amp; Plastic Centre - pd in 2001)</t>
  </si>
  <si>
    <t>Unappropriated Profit B/F (HPI)</t>
  </si>
  <si>
    <t xml:space="preserve">  Share Capital (HPI)</t>
  </si>
  <si>
    <t>(Being MI share of Ecocool losses)</t>
  </si>
  <si>
    <t>Consolidated Balance Sheet @ 31/12/2001</t>
  </si>
  <si>
    <t>Quarterly report on consolidated results for the fourth quarter ended 31/12/2001.</t>
  </si>
  <si>
    <t>31/12/2001</t>
  </si>
  <si>
    <t>OTHER OPERATING EXPENSES</t>
  </si>
  <si>
    <t>OTHER OPERATING INCOME</t>
  </si>
  <si>
    <t>DISTRIBUTION EXPENDITURE</t>
  </si>
  <si>
    <t>INTEREST INCOME</t>
  </si>
  <si>
    <t>FINANCING COST</t>
  </si>
  <si>
    <t xml:space="preserve">  PROVISION FOR WARRANTIES</t>
  </si>
  <si>
    <t xml:space="preserve">  Cost of Sales</t>
  </si>
  <si>
    <t>(Being elimination of HASB rental payable to Sariha)</t>
  </si>
  <si>
    <t xml:space="preserve">  Other Creditor (Accruals - Bank i.e. RM7740 - RM2322)</t>
  </si>
  <si>
    <t>(HHB group - written off HPI)</t>
  </si>
  <si>
    <t>Revenue - management fees</t>
  </si>
  <si>
    <t>Revenue - sales of goods</t>
  </si>
  <si>
    <t xml:space="preserve">  Administration expenses</t>
  </si>
  <si>
    <t xml:space="preserve">  Purchases</t>
  </si>
  <si>
    <t>(Being elimination of inter-co transactions)</t>
  </si>
  <si>
    <t xml:space="preserve">  Property, plant &amp; equipment</t>
  </si>
  <si>
    <t>(Being elimination of gain on disposal from HHB to Safety - WGW1400)</t>
  </si>
  <si>
    <t xml:space="preserve">  Goodwill Arising on Consolidation</t>
  </si>
  <si>
    <t>(Being Amortisation of G/will Arising on Investment in PCV &amp; AHSB)</t>
  </si>
  <si>
    <t xml:space="preserve">  - PCV (RM545798/25)</t>
  </si>
  <si>
    <t xml:space="preserve">  - AHSB (RM2428365/25)</t>
  </si>
  <si>
    <t>(Being last year MI share of profit in PCV understated)</t>
  </si>
  <si>
    <t>(auditor said can't adj</t>
  </si>
  <si>
    <t>the cons res.)</t>
  </si>
  <si>
    <t>(Auditor adjustment)</t>
  </si>
  <si>
    <t>Provision For Taxation (B/S)</t>
  </si>
  <si>
    <t>Refer to audit adj no. 29 - auditor understated this figure</t>
  </si>
  <si>
    <r>
      <t xml:space="preserve">Minority Interest (B/S) - </t>
    </r>
    <r>
      <rPr>
        <i/>
        <sz val="10"/>
        <color indexed="10"/>
        <rFont val="Times New Roman"/>
        <family val="1"/>
      </rPr>
      <t>Should be</t>
    </r>
    <r>
      <rPr>
        <i/>
        <sz val="10"/>
        <rFont val="Times New Roman"/>
        <family val="1"/>
      </rPr>
      <t xml:space="preserve"> MI (P/L)</t>
    </r>
  </si>
  <si>
    <t>This adj is due to the fact that the auditor had adjusted AHSB's a/c on the amortisation</t>
  </si>
  <si>
    <t>Had confirmed with KPMG, will adjust accordingly in year 2002</t>
  </si>
  <si>
    <t>have to change every month</t>
  </si>
  <si>
    <t>change every mth</t>
  </si>
  <si>
    <t xml:space="preserve">  Unappropriated Profit B/F - Eco</t>
  </si>
  <si>
    <t xml:space="preserve">  Unappropriated Profit B/F - Ecocool</t>
  </si>
  <si>
    <t xml:space="preserve">   Unappropriated Profit B/F - Other Income</t>
  </si>
  <si>
    <t xml:space="preserve">  Unappropriated Profit B/F - Provision For Diminution In Value (P/L)</t>
  </si>
  <si>
    <t xml:space="preserve">  Unappropriated Profit B/F (EMSB)</t>
  </si>
  <si>
    <t>Unappropriated Profit B/F - Misc income - gain on disposal</t>
  </si>
  <si>
    <t>Unappropriated Profit B/F - HHB</t>
  </si>
  <si>
    <t>Unappropriated Profit B/F - AHSB</t>
  </si>
  <si>
    <t xml:space="preserve">  Unappropriated Profit B/F - Provision For Taxation (P/L)</t>
  </si>
  <si>
    <t>CONSOLIDATED BALANCE SHEET AS AT 31ST MARCH 2002</t>
  </si>
  <si>
    <t>CONSOLIDATED PROFIT AND LOSS ACCOUNT FOR THE PERIOD ENDED 31ST MARCH 2002</t>
  </si>
  <si>
    <t>Quarterly report on consolidated results for the first quarter ended 31/03/2002.</t>
  </si>
  <si>
    <t>31/03/2002</t>
  </si>
  <si>
    <t>31/3/2002</t>
  </si>
</sst>
</file>

<file path=xl/styles.xml><?xml version="1.0" encoding="utf-8"?>
<styleSheet xmlns="http://schemas.openxmlformats.org/spreadsheetml/2006/main">
  <numFmts count="28">
    <numFmt numFmtId="5" formatCode="&quot;RM &quot;#,##0_);\(&quot;RM &quot;#,##0\)"/>
    <numFmt numFmtId="6" formatCode="&quot;RM &quot;#,##0_);[Red]\(&quot;RM &quot;#,##0\)"/>
    <numFmt numFmtId="7" formatCode="&quot;RM &quot;#,##0.00_);\(&quot;RM &quot;#,##0.00\)"/>
    <numFmt numFmtId="8" formatCode="&quot;RM &quot;#,##0.00_);[Red]\(&quot;RM &quot;#,##0.00\)"/>
    <numFmt numFmtId="42" formatCode="_(&quot;RM &quot;* #,##0_);_(&quot;RM &quot;* \(#,##0\);_(&quot;RM &quot;* &quot;-&quot;_);_(@_)"/>
    <numFmt numFmtId="41" formatCode="_(* #,##0_);_(* \(#,##0\);_(* &quot;-&quot;_);_(@_)"/>
    <numFmt numFmtId="44" formatCode="_(&quot;RM &quot;* #,##0.00_);_(&quot;RM &quot;* \(#,##0.00\);_(&quot;RM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.0_);[Red]\(#,##0.0\)"/>
    <numFmt numFmtId="179" formatCode="#,##0.0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#,##0_ ;[Red]\-#,##0\ "/>
  </numFmts>
  <fonts count="18">
    <font>
      <sz val="10"/>
      <name val="Arial"/>
      <family val="0"/>
    </font>
    <font>
      <b/>
      <sz val="16"/>
      <name val="MS Sans Serif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"/>
      <family val="0"/>
    </font>
    <font>
      <b/>
      <sz val="10"/>
      <name val="times"/>
      <family val="0"/>
    </font>
    <font>
      <i/>
      <sz val="8"/>
      <name val="times"/>
      <family val="0"/>
    </font>
    <font>
      <sz val="10"/>
      <name val="Times New Roman"/>
      <family val="1"/>
    </font>
    <font>
      <strike/>
      <sz val="10"/>
      <name val="times"/>
      <family val="0"/>
    </font>
    <font>
      <strike/>
      <sz val="10"/>
      <name val="Arial"/>
      <family val="0"/>
    </font>
    <font>
      <i/>
      <sz val="7"/>
      <name val="Times New Roman"/>
      <family val="1"/>
    </font>
    <font>
      <i/>
      <sz val="7"/>
      <name val="Arial"/>
      <family val="0"/>
    </font>
    <font>
      <i/>
      <sz val="10"/>
      <color indexed="10"/>
      <name val="times"/>
      <family val="0"/>
    </font>
    <font>
      <i/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10"/>
      <name val="times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38" fontId="0" fillId="0" borderId="1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0" fillId="0" borderId="2" xfId="0" applyNumberFormat="1" applyBorder="1" applyAlignment="1">
      <alignment/>
    </xf>
    <xf numFmtId="38" fontId="0" fillId="0" borderId="3" xfId="0" applyNumberFormat="1" applyBorder="1" applyAlignment="1">
      <alignment/>
    </xf>
    <xf numFmtId="4" fontId="0" fillId="0" borderId="4" xfId="0" applyNumberFormat="1" applyBorder="1" applyAlignment="1">
      <alignment horizontal="center"/>
    </xf>
    <xf numFmtId="38" fontId="0" fillId="0" borderId="5" xfId="0" applyNumberFormat="1" applyBorder="1" applyAlignment="1">
      <alignment horizontal="right"/>
    </xf>
    <xf numFmtId="38" fontId="0" fillId="0" borderId="6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10" fontId="0" fillId="0" borderId="5" xfId="0" applyNumberFormat="1" applyBorder="1" applyAlignment="1">
      <alignment horizontal="right"/>
    </xf>
    <xf numFmtId="10" fontId="0" fillId="0" borderId="0" xfId="0" applyNumberFormat="1" applyBorder="1" applyAlignment="1">
      <alignment horizontal="right"/>
    </xf>
    <xf numFmtId="10" fontId="0" fillId="0" borderId="6" xfId="0" applyNumberFormat="1" applyBorder="1" applyAlignment="1">
      <alignment horizontal="right"/>
    </xf>
    <xf numFmtId="10" fontId="0" fillId="0" borderId="0" xfId="0" applyNumberFormat="1" applyAlignment="1">
      <alignment/>
    </xf>
    <xf numFmtId="38" fontId="0" fillId="0" borderId="7" xfId="0" applyNumberFormat="1" applyBorder="1" applyAlignment="1">
      <alignment horizontal="right"/>
    </xf>
    <xf numFmtId="38" fontId="0" fillId="0" borderId="4" xfId="0" applyNumberFormat="1" applyBorder="1" applyAlignment="1">
      <alignment horizontal="right"/>
    </xf>
    <xf numFmtId="38" fontId="0" fillId="0" borderId="4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0" fillId="0" borderId="0" xfId="0" applyNumberFormat="1" applyAlignment="1">
      <alignment/>
    </xf>
    <xf numFmtId="38" fontId="0" fillId="0" borderId="0" xfId="0" applyNumberFormat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4" xfId="0" applyNumberFormat="1" applyBorder="1" applyAlignment="1">
      <alignment/>
    </xf>
    <xf numFmtId="10" fontId="0" fillId="0" borderId="6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38" fontId="0" fillId="0" borderId="1" xfId="0" applyNumberFormat="1" applyBorder="1" applyAlignment="1">
      <alignment horizontal="right"/>
    </xf>
    <xf numFmtId="38" fontId="0" fillId="0" borderId="9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 horizontal="right"/>
    </xf>
    <xf numFmtId="38" fontId="0" fillId="0" borderId="14" xfId="0" applyNumberFormat="1" applyBorder="1" applyAlignment="1">
      <alignment horizontal="right"/>
    </xf>
    <xf numFmtId="10" fontId="0" fillId="0" borderId="14" xfId="0" applyNumberFormat="1" applyBorder="1" applyAlignment="1">
      <alignment horizontal="right"/>
    </xf>
    <xf numFmtId="10" fontId="0" fillId="0" borderId="15" xfId="0" applyNumberFormat="1" applyBorder="1" applyAlignment="1">
      <alignment horizontal="right"/>
    </xf>
    <xf numFmtId="38" fontId="0" fillId="0" borderId="12" xfId="0" applyNumberFormat="1" applyBorder="1" applyAlignment="1">
      <alignment/>
    </xf>
    <xf numFmtId="38" fontId="0" fillId="0" borderId="13" xfId="0" applyNumberFormat="1" applyBorder="1" applyAlignment="1">
      <alignment horizontal="right"/>
    </xf>
    <xf numFmtId="38" fontId="0" fillId="0" borderId="16" xfId="0" applyNumberFormat="1" applyBorder="1" applyAlignment="1">
      <alignment/>
    </xf>
    <xf numFmtId="38" fontId="0" fillId="0" borderId="17" xfId="0" applyNumberFormat="1" applyBorder="1" applyAlignment="1">
      <alignment/>
    </xf>
    <xf numFmtId="38" fontId="0" fillId="0" borderId="13" xfId="0" applyNumberFormat="1" applyBorder="1" applyAlignment="1">
      <alignment/>
    </xf>
    <xf numFmtId="38" fontId="0" fillId="0" borderId="18" xfId="0" applyNumberFormat="1" applyBorder="1" applyAlignment="1">
      <alignment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10" fontId="0" fillId="0" borderId="19" xfId="0" applyNumberFormat="1" applyBorder="1" applyAlignment="1">
      <alignment horizontal="right"/>
    </xf>
    <xf numFmtId="10" fontId="0" fillId="0" borderId="23" xfId="0" applyNumberFormat="1" applyBorder="1" applyAlignment="1">
      <alignment horizontal="right"/>
    </xf>
    <xf numFmtId="38" fontId="0" fillId="0" borderId="21" xfId="0" applyNumberFormat="1" applyBorder="1" applyAlignment="1">
      <alignment horizontal="right"/>
    </xf>
    <xf numFmtId="38" fontId="0" fillId="0" borderId="22" xfId="0" applyNumberFormat="1" applyBorder="1" applyAlignment="1">
      <alignment horizontal="right"/>
    </xf>
    <xf numFmtId="38" fontId="0" fillId="0" borderId="21" xfId="0" applyNumberFormat="1" applyBorder="1" applyAlignment="1">
      <alignment/>
    </xf>
    <xf numFmtId="38" fontId="0" fillId="0" borderId="22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2" xfId="0" applyNumberFormat="1" applyBorder="1" applyAlignment="1">
      <alignment horizontal="right"/>
    </xf>
    <xf numFmtId="38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38" fontId="0" fillId="0" borderId="26" xfId="0" applyNumberFormat="1" applyBorder="1" applyAlignment="1">
      <alignment horizontal="right"/>
    </xf>
    <xf numFmtId="10" fontId="0" fillId="0" borderId="26" xfId="0" applyNumberFormat="1" applyBorder="1" applyAlignment="1">
      <alignment horizontal="right"/>
    </xf>
    <xf numFmtId="38" fontId="0" fillId="0" borderId="27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center"/>
    </xf>
    <xf numFmtId="9" fontId="0" fillId="0" borderId="0" xfId="19" applyAlignment="1">
      <alignment/>
    </xf>
    <xf numFmtId="38" fontId="0" fillId="0" borderId="28" xfId="0" applyNumberFormat="1" applyBorder="1" applyAlignment="1">
      <alignment/>
    </xf>
    <xf numFmtId="38" fontId="0" fillId="0" borderId="0" xfId="0" applyNumberFormat="1" applyBorder="1" applyAlignment="1">
      <alignment/>
    </xf>
    <xf numFmtId="40" fontId="0" fillId="0" borderId="0" xfId="0" applyNumberFormat="1" applyAlignment="1">
      <alignment horizontal="center"/>
    </xf>
    <xf numFmtId="3" fontId="0" fillId="0" borderId="28" xfId="0" applyNumberFormat="1" applyBorder="1" applyAlignment="1">
      <alignment/>
    </xf>
    <xf numFmtId="4" fontId="3" fillId="0" borderId="0" xfId="0" applyNumberFormat="1" applyFont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4" xfId="0" applyNumberFormat="1" applyBorder="1" applyAlignment="1" quotePrefix="1">
      <alignment horizontal="center"/>
    </xf>
    <xf numFmtId="4" fontId="0" fillId="0" borderId="15" xfId="0" applyNumberFormat="1" applyBorder="1" applyAlignment="1" quotePrefix="1">
      <alignment horizontal="center"/>
    </xf>
    <xf numFmtId="38" fontId="0" fillId="0" borderId="29" xfId="0" applyNumberFormat="1" applyBorder="1" applyAlignment="1">
      <alignment horizontal="right"/>
    </xf>
    <xf numFmtId="38" fontId="0" fillId="0" borderId="30" xfId="0" applyNumberFormat="1" applyBorder="1" applyAlignment="1">
      <alignment horizontal="right"/>
    </xf>
    <xf numFmtId="38" fontId="0" fillId="0" borderId="31" xfId="0" applyNumberForma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178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0" fillId="0" borderId="32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0" fillId="0" borderId="33" xfId="0" applyNumberFormat="1" applyBorder="1" applyAlignment="1">
      <alignment horizontal="centerContinuous"/>
    </xf>
    <xf numFmtId="4" fontId="0" fillId="0" borderId="31" xfId="0" applyNumberFormat="1" applyBorder="1" applyAlignment="1">
      <alignment horizontal="centerContinuous"/>
    </xf>
    <xf numFmtId="4" fontId="0" fillId="0" borderId="2" xfId="0" applyNumberFormat="1" applyBorder="1" applyAlignment="1">
      <alignment horizontal="centerContinuous"/>
    </xf>
    <xf numFmtId="4" fontId="0" fillId="0" borderId="34" xfId="0" applyNumberFormat="1" applyBorder="1" applyAlignment="1">
      <alignment horizontal="centerContinuous"/>
    </xf>
    <xf numFmtId="4" fontId="0" fillId="0" borderId="11" xfId="0" applyNumberFormat="1" applyBorder="1" applyAlignment="1">
      <alignment horizontal="centerContinuous"/>
    </xf>
    <xf numFmtId="49" fontId="0" fillId="0" borderId="34" xfId="0" applyNumberFormat="1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" fontId="0" fillId="0" borderId="0" xfId="0" applyNumberFormat="1" applyBorder="1" applyAlignment="1">
      <alignment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38" fontId="0" fillId="0" borderId="35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6" fillId="0" borderId="8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6" xfId="0" applyFont="1" applyBorder="1" applyAlignment="1">
      <alignment horizontal="center"/>
    </xf>
    <xf numFmtId="3" fontId="6" fillId="0" borderId="32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9" fillId="0" borderId="0" xfId="0" applyFont="1" applyAlignment="1">
      <alignment/>
    </xf>
    <xf numFmtId="3" fontId="0" fillId="0" borderId="0" xfId="0" applyNumberFormat="1" applyAlignment="1" quotePrefix="1">
      <alignment horizontal="center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" fontId="6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82" fontId="9" fillId="0" borderId="0" xfId="15" applyNumberFormat="1" applyFont="1" applyAlignment="1">
      <alignment/>
    </xf>
    <xf numFmtId="182" fontId="9" fillId="0" borderId="3" xfId="15" applyNumberFormat="1" applyFont="1" applyBorder="1" applyAlignment="1">
      <alignment/>
    </xf>
    <xf numFmtId="4" fontId="0" fillId="0" borderId="29" xfId="0" applyNumberFormat="1" applyBorder="1" applyAlignment="1">
      <alignment horizontal="centerContinuous"/>
    </xf>
    <xf numFmtId="1" fontId="9" fillId="0" borderId="0" xfId="0" applyNumberFormat="1" applyFont="1" applyAlignment="1">
      <alignment/>
    </xf>
    <xf numFmtId="182" fontId="0" fillId="0" borderId="0" xfId="15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0" fillId="0" borderId="30" xfId="0" applyNumberFormat="1" applyBorder="1" applyAlignment="1">
      <alignment horizontal="centerContinuous"/>
    </xf>
    <xf numFmtId="183" fontId="6" fillId="0" borderId="0" xfId="0" applyNumberFormat="1" applyFont="1" applyAlignment="1">
      <alignment/>
    </xf>
    <xf numFmtId="183" fontId="17" fillId="0" borderId="0" xfId="0" applyNumberFormat="1" applyFont="1" applyAlignment="1">
      <alignment/>
    </xf>
    <xf numFmtId="0" fontId="17" fillId="0" borderId="0" xfId="0" applyFont="1" applyAlignment="1">
      <alignment/>
    </xf>
    <xf numFmtId="4" fontId="0" fillId="0" borderId="37" xfId="0" applyNumberFormat="1" applyBorder="1" applyAlignment="1">
      <alignment horizontal="center"/>
    </xf>
    <xf numFmtId="4" fontId="0" fillId="0" borderId="3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9"/>
  <sheetViews>
    <sheetView workbookViewId="0" topLeftCell="A267">
      <selection activeCell="E177" sqref="E177"/>
    </sheetView>
  </sheetViews>
  <sheetFormatPr defaultColWidth="9.140625" defaultRowHeight="12.75"/>
  <cols>
    <col min="1" max="1" width="4.421875" style="0" customWidth="1"/>
    <col min="2" max="2" width="36.28125" style="0" customWidth="1"/>
    <col min="4" max="5" width="10.00390625" style="0" bestFit="1" customWidth="1"/>
    <col min="6" max="6" width="9.7109375" style="0" bestFit="1" customWidth="1"/>
  </cols>
  <sheetData>
    <row r="1" spans="1:2" ht="12.75">
      <c r="A1" s="114"/>
      <c r="B1" s="115" t="s">
        <v>0</v>
      </c>
    </row>
    <row r="2" spans="1:24" ht="12.75">
      <c r="A2" s="114"/>
      <c r="B2" s="115" t="s">
        <v>306</v>
      </c>
      <c r="C2" s="114"/>
      <c r="D2" s="116" t="s">
        <v>1</v>
      </c>
      <c r="E2" s="116" t="s">
        <v>2</v>
      </c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</row>
    <row r="3" spans="1:24" ht="12.75">
      <c r="A3" s="114"/>
      <c r="B3" s="114"/>
      <c r="C3" s="114"/>
      <c r="D3" s="117"/>
      <c r="E3" s="117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</row>
    <row r="4" spans="1:24" ht="12.75">
      <c r="A4" s="114">
        <v>1</v>
      </c>
      <c r="B4" s="114" t="s">
        <v>3</v>
      </c>
      <c r="C4" s="114"/>
      <c r="D4" s="117">
        <v>1000002</v>
      </c>
      <c r="E4" s="117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</row>
    <row r="5" spans="1:24" ht="12.75">
      <c r="A5" s="114"/>
      <c r="B5" s="114" t="s">
        <v>4</v>
      </c>
      <c r="C5" s="114"/>
      <c r="D5" s="117"/>
      <c r="E5" s="117">
        <v>1000000</v>
      </c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</row>
    <row r="6" spans="1:24" ht="12.75">
      <c r="A6" s="114"/>
      <c r="B6" s="114" t="s">
        <v>5</v>
      </c>
      <c r="C6" s="114"/>
      <c r="D6" s="117"/>
      <c r="E6" s="117">
        <v>2</v>
      </c>
      <c r="F6" s="117">
        <f>D4-E5-E6</f>
        <v>0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</row>
    <row r="7" spans="1:24" ht="12.75">
      <c r="A7" s="114"/>
      <c r="B7" s="114" t="s">
        <v>6</v>
      </c>
      <c r="C7" s="114"/>
      <c r="D7" s="117"/>
      <c r="E7" s="117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</row>
    <row r="8" spans="1:24" ht="12.75">
      <c r="A8" s="114"/>
      <c r="B8" s="114"/>
      <c r="C8" s="114"/>
      <c r="D8" s="117"/>
      <c r="E8" s="117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</row>
    <row r="9" spans="1:24" ht="12.75">
      <c r="A9" s="114">
        <v>2</v>
      </c>
      <c r="B9" s="114" t="s">
        <v>3</v>
      </c>
      <c r="C9" s="114"/>
      <c r="D9" s="117">
        <v>4000000</v>
      </c>
      <c r="E9" s="117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" ht="12.75">
      <c r="A10" s="114"/>
      <c r="B10" s="114" t="s">
        <v>7</v>
      </c>
      <c r="C10" s="114"/>
      <c r="D10" s="117">
        <v>9236710</v>
      </c>
      <c r="E10" s="117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</row>
    <row r="11" spans="1:24" ht="12.75">
      <c r="A11" s="114"/>
      <c r="B11" s="114" t="s">
        <v>4</v>
      </c>
      <c r="C11" s="114"/>
      <c r="D11" s="117"/>
      <c r="E11" s="117">
        <v>13236710</v>
      </c>
      <c r="F11" s="117">
        <f>D9+D10-E11</f>
        <v>0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</row>
    <row r="12" spans="1:24" ht="12.75">
      <c r="A12" s="114"/>
      <c r="B12" s="114" t="s">
        <v>8</v>
      </c>
      <c r="C12" s="114"/>
      <c r="D12" s="117"/>
      <c r="E12" s="117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ht="12.75">
      <c r="A13" s="114"/>
      <c r="B13" s="114"/>
      <c r="C13" s="114"/>
      <c r="D13" s="117"/>
      <c r="E13" s="117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12.75">
      <c r="A14" s="114">
        <v>3</v>
      </c>
      <c r="B14" s="114" t="s">
        <v>9</v>
      </c>
      <c r="C14" s="114"/>
      <c r="D14" s="117">
        <v>1561726</v>
      </c>
      <c r="E14" s="117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</row>
    <row r="15" spans="1:24" ht="12.75">
      <c r="A15" s="114"/>
      <c r="B15" s="114" t="s">
        <v>10</v>
      </c>
      <c r="C15" s="114"/>
      <c r="D15" s="117">
        <v>7674984</v>
      </c>
      <c r="E15" s="117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</row>
    <row r="16" spans="1:24" ht="12.75">
      <c r="A16" s="114"/>
      <c r="B16" s="114" t="s">
        <v>11</v>
      </c>
      <c r="C16" s="114"/>
      <c r="D16" s="117"/>
      <c r="E16" s="117">
        <v>9236710</v>
      </c>
      <c r="F16" s="117">
        <f>D14+D15-E16</f>
        <v>0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</row>
    <row r="17" spans="1:24" ht="12.75">
      <c r="A17" s="114"/>
      <c r="B17" s="114" t="s">
        <v>12</v>
      </c>
      <c r="C17" s="114"/>
      <c r="D17" s="117"/>
      <c r="E17" s="117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</row>
    <row r="18" spans="1:24" ht="12.75">
      <c r="A18" s="114"/>
      <c r="B18" s="114"/>
      <c r="C18" s="114"/>
      <c r="D18" s="117"/>
      <c r="E18" s="117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</row>
    <row r="19" spans="1:24" ht="12.75">
      <c r="A19" s="114">
        <v>4</v>
      </c>
      <c r="B19" s="114" t="s">
        <v>3</v>
      </c>
      <c r="C19" s="114"/>
      <c r="D19" s="117">
        <v>350000</v>
      </c>
      <c r="E19" s="117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1:24" ht="12.75">
      <c r="A20" s="114"/>
      <c r="B20" s="114" t="s">
        <v>13</v>
      </c>
      <c r="C20" s="114"/>
      <c r="D20" s="117"/>
      <c r="E20" s="117">
        <v>2466</v>
      </c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</row>
    <row r="21" spans="1:24" ht="12.75">
      <c r="A21" s="114"/>
      <c r="B21" s="114" t="s">
        <v>14</v>
      </c>
      <c r="C21" s="114"/>
      <c r="D21" s="117">
        <v>247466</v>
      </c>
      <c r="E21" s="117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</row>
    <row r="22" spans="1:24" ht="12.75">
      <c r="A22" s="114"/>
      <c r="B22" s="114" t="s">
        <v>4</v>
      </c>
      <c r="C22" s="114"/>
      <c r="D22" s="117"/>
      <c r="E22" s="117">
        <v>595000</v>
      </c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</row>
    <row r="23" spans="1:24" ht="12.75">
      <c r="A23" s="114"/>
      <c r="B23" s="114" t="s">
        <v>15</v>
      </c>
      <c r="C23" s="114"/>
      <c r="D23" s="117"/>
      <c r="E23" s="117"/>
      <c r="F23" s="117">
        <f>D19+D21-E20-E22</f>
        <v>0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</row>
    <row r="24" spans="1:24" ht="12.75">
      <c r="A24" s="114"/>
      <c r="B24" s="114"/>
      <c r="C24" s="114"/>
      <c r="D24" s="117"/>
      <c r="E24" s="117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</row>
    <row r="25" spans="1:24" ht="12.75">
      <c r="A25" s="114">
        <v>5</v>
      </c>
      <c r="B25" s="114" t="s">
        <v>3</v>
      </c>
      <c r="C25" s="114"/>
      <c r="D25" s="117">
        <v>150000</v>
      </c>
      <c r="E25" s="117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</row>
    <row r="26" spans="1:24" ht="12.75">
      <c r="A26" s="114"/>
      <c r="B26" s="114" t="s">
        <v>16</v>
      </c>
      <c r="C26" s="114"/>
      <c r="D26" s="117">
        <v>84097</v>
      </c>
      <c r="E26" s="117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</row>
    <row r="27" spans="1:24" ht="12.75">
      <c r="A27" s="114"/>
      <c r="B27" s="114" t="s">
        <v>14</v>
      </c>
      <c r="C27" s="114"/>
      <c r="D27" s="117">
        <v>26269</v>
      </c>
      <c r="E27" s="117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</row>
    <row r="28" spans="1:24" ht="12.75">
      <c r="A28" s="114"/>
      <c r="B28" s="114" t="s">
        <v>297</v>
      </c>
      <c r="C28" s="114"/>
      <c r="D28" s="117"/>
      <c r="E28" s="117">
        <v>30366</v>
      </c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</row>
    <row r="29" spans="1:24" ht="12.75">
      <c r="A29" s="114"/>
      <c r="B29" s="114" t="s">
        <v>4</v>
      </c>
      <c r="C29" s="114"/>
      <c r="D29" s="117"/>
      <c r="E29" s="117">
        <v>230000</v>
      </c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</row>
    <row r="30" spans="1:24" ht="12.75">
      <c r="A30" s="114"/>
      <c r="B30" s="114" t="s">
        <v>17</v>
      </c>
      <c r="C30" s="114"/>
      <c r="D30" s="117"/>
      <c r="E30" s="117"/>
      <c r="F30" s="117">
        <f>D25+D26+D27-E28-E29</f>
        <v>0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</row>
    <row r="31" spans="1:24" ht="12.75">
      <c r="A31" s="114"/>
      <c r="B31" s="114"/>
      <c r="C31" s="114"/>
      <c r="D31" s="117"/>
      <c r="E31" s="117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</row>
    <row r="32" spans="1:24" ht="12.75">
      <c r="A32" s="114">
        <v>6</v>
      </c>
      <c r="B32" s="114" t="s">
        <v>18</v>
      </c>
      <c r="C32" s="114"/>
      <c r="D32" s="117">
        <v>0</v>
      </c>
      <c r="E32" s="117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</row>
    <row r="33" spans="1:24" ht="12.75">
      <c r="A33" s="114"/>
      <c r="B33" s="114" t="s">
        <v>10</v>
      </c>
      <c r="C33" s="114"/>
      <c r="D33" s="117">
        <f>51597+10950+10950</f>
        <v>73497</v>
      </c>
      <c r="E33" s="117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</row>
    <row r="34" spans="1:24" ht="12.75">
      <c r="A34" s="114"/>
      <c r="B34" s="114" t="s">
        <v>19</v>
      </c>
      <c r="C34" s="114"/>
      <c r="D34" s="117"/>
      <c r="E34" s="117">
        <f>10950+51597+10950</f>
        <v>73497</v>
      </c>
      <c r="F34" s="117">
        <f>+D32+D33-E34</f>
        <v>0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</row>
    <row r="35" spans="1:24" ht="12.75">
      <c r="A35" s="114"/>
      <c r="B35" s="114" t="s">
        <v>20</v>
      </c>
      <c r="C35" s="114"/>
      <c r="D35" s="117"/>
      <c r="E35" s="117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</row>
    <row r="36" spans="1:24" ht="12.75">
      <c r="A36" s="114"/>
      <c r="B36" s="114"/>
      <c r="C36" s="114"/>
      <c r="D36" s="117"/>
      <c r="E36" s="117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1:24" ht="12.75">
      <c r="A37" s="114">
        <v>7</v>
      </c>
      <c r="B37" s="114" t="s">
        <v>3</v>
      </c>
      <c r="C37" s="114"/>
      <c r="D37" s="117">
        <v>66000</v>
      </c>
      <c r="E37" s="117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</row>
    <row r="38" spans="1:24" ht="12.75">
      <c r="A38" s="114"/>
      <c r="B38" s="114" t="s">
        <v>21</v>
      </c>
      <c r="C38" s="114"/>
      <c r="D38" s="117">
        <v>524160</v>
      </c>
      <c r="E38" s="117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:24" ht="12.75">
      <c r="A39" s="114"/>
      <c r="B39" s="114" t="s">
        <v>4</v>
      </c>
      <c r="C39" s="114"/>
      <c r="D39" s="117"/>
      <c r="E39" s="117">
        <v>590160</v>
      </c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:24" ht="12.75">
      <c r="A40" s="114"/>
      <c r="B40" s="114" t="s">
        <v>22</v>
      </c>
      <c r="C40" s="114"/>
      <c r="D40" s="117"/>
      <c r="E40" s="117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:24" ht="12.75">
      <c r="A41" s="114"/>
      <c r="B41" s="114"/>
      <c r="C41" s="114"/>
      <c r="D41" s="117"/>
      <c r="E41" s="117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:24" ht="12.75">
      <c r="A42" s="114">
        <v>8</v>
      </c>
      <c r="B42" s="114" t="s">
        <v>18</v>
      </c>
      <c r="C42" s="114"/>
      <c r="D42" s="117">
        <v>0</v>
      </c>
      <c r="E42" s="117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</row>
    <row r="43" spans="1:24" ht="12.75">
      <c r="A43" s="114"/>
      <c r="B43" s="114" t="s">
        <v>23</v>
      </c>
      <c r="C43" s="114"/>
      <c r="D43" s="117">
        <f>356426+20966</f>
        <v>377392</v>
      </c>
      <c r="E43" s="117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:24" ht="12.75">
      <c r="A44" s="114"/>
      <c r="B44" s="114" t="s">
        <v>24</v>
      </c>
      <c r="C44" s="114"/>
      <c r="D44" s="117"/>
      <c r="E44" s="117">
        <f>20966+335460+20966</f>
        <v>377392</v>
      </c>
      <c r="F44" s="117">
        <f>+D42+D43-E44</f>
        <v>0</v>
      </c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:24" ht="12.75">
      <c r="A45" s="114"/>
      <c r="B45" s="114" t="s">
        <v>25</v>
      </c>
      <c r="C45" s="114"/>
      <c r="D45" s="117"/>
      <c r="E45" s="117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:24" ht="12.75">
      <c r="A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:24" ht="12.75">
      <c r="A47" s="114">
        <v>9</v>
      </c>
      <c r="B47" s="114" t="s">
        <v>3</v>
      </c>
      <c r="C47" s="114"/>
      <c r="D47" s="114">
        <v>100000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:24" ht="12.75">
      <c r="A48" s="114"/>
      <c r="B48" s="114" t="s">
        <v>4</v>
      </c>
      <c r="C48" s="114"/>
      <c r="D48" s="114"/>
      <c r="E48" s="114">
        <v>100000</v>
      </c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:24" ht="12.75">
      <c r="A49" s="114"/>
      <c r="B49" s="114" t="s">
        <v>26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:24" ht="12.75">
      <c r="A52" s="114">
        <v>10</v>
      </c>
      <c r="B52" s="114" t="s">
        <v>3</v>
      </c>
      <c r="C52" s="114"/>
      <c r="D52" s="114">
        <v>2</v>
      </c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:24" ht="12.75">
      <c r="A53" s="114"/>
      <c r="B53" s="114" t="s">
        <v>10</v>
      </c>
      <c r="C53" s="114"/>
      <c r="D53" s="117">
        <v>2398</v>
      </c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</row>
    <row r="54" spans="1:24" ht="12.75">
      <c r="A54" s="114"/>
      <c r="B54" s="114" t="s">
        <v>4</v>
      </c>
      <c r="C54" s="114"/>
      <c r="D54" s="114"/>
      <c r="E54" s="117">
        <v>2400</v>
      </c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:24" ht="12.75">
      <c r="A55" s="114"/>
      <c r="B55" s="114" t="s">
        <v>27</v>
      </c>
      <c r="C55" s="114"/>
      <c r="D55" s="117"/>
      <c r="E55" s="117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</row>
    <row r="56" spans="1:24" ht="12.75">
      <c r="A56" s="114"/>
      <c r="B56" s="114"/>
      <c r="C56" s="114"/>
      <c r="D56" s="117"/>
      <c r="E56" s="117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</row>
    <row r="57" spans="1:24" ht="12.75">
      <c r="A57" s="114"/>
      <c r="B57" s="114"/>
      <c r="C57" s="114"/>
      <c r="D57" s="117"/>
      <c r="E57" s="117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</row>
    <row r="58" spans="1:24" ht="12.75">
      <c r="A58" s="114">
        <v>11</v>
      </c>
      <c r="B58" s="114" t="s">
        <v>3</v>
      </c>
      <c r="C58" s="114"/>
      <c r="D58" s="132">
        <v>2</v>
      </c>
      <c r="E58" s="132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</row>
    <row r="59" spans="1:24" ht="12.75">
      <c r="A59" s="114"/>
      <c r="B59" s="114" t="s">
        <v>10</v>
      </c>
      <c r="C59" s="114"/>
      <c r="D59" s="132">
        <v>2098</v>
      </c>
      <c r="E59" s="132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</row>
    <row r="60" spans="1:24" ht="12.75">
      <c r="A60" s="114"/>
      <c r="B60" s="114" t="s">
        <v>4</v>
      </c>
      <c r="C60" s="114"/>
      <c r="D60" s="132"/>
      <c r="E60" s="133">
        <v>2100</v>
      </c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:24" ht="12.75">
      <c r="A61" s="114"/>
      <c r="B61" s="114" t="s">
        <v>28</v>
      </c>
      <c r="C61" s="114"/>
      <c r="D61" s="117"/>
      <c r="E61" s="117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:24" ht="12.75">
      <c r="A62" s="114"/>
      <c r="B62" s="114"/>
      <c r="C62" s="114"/>
      <c r="D62" s="117"/>
      <c r="E62" s="117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:24" ht="12.75">
      <c r="A63" s="114"/>
      <c r="B63" s="114"/>
      <c r="C63" s="114"/>
      <c r="D63" s="117"/>
      <c r="E63" s="117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:24" ht="12.75">
      <c r="A64" s="114">
        <v>12</v>
      </c>
      <c r="B64" s="114" t="s">
        <v>29</v>
      </c>
      <c r="C64" s="114"/>
      <c r="D64" s="117">
        <v>64253</v>
      </c>
      <c r="E64" s="114"/>
      <c r="F64" s="148" t="s">
        <v>339</v>
      </c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</row>
    <row r="65" spans="1:24" ht="12.75">
      <c r="A65" s="114"/>
      <c r="B65" s="114" t="s">
        <v>30</v>
      </c>
      <c r="C65" s="114"/>
      <c r="D65" s="114">
        <v>400</v>
      </c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:24" ht="12.75">
      <c r="A66" s="114"/>
      <c r="B66" s="114" t="s">
        <v>31</v>
      </c>
      <c r="C66" s="114"/>
      <c r="D66" s="117">
        <v>3959646</v>
      </c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:24" ht="12.75">
      <c r="A67" s="114"/>
      <c r="B67" s="114" t="s">
        <v>32</v>
      </c>
      <c r="C67" s="114"/>
      <c r="D67" s="117">
        <f>E70+E71-D64-D65-D66-D68+E69</f>
        <v>66669</v>
      </c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:24" ht="12.75">
      <c r="A68" s="114"/>
      <c r="B68" s="114" t="s">
        <v>31</v>
      </c>
      <c r="C68" s="114"/>
      <c r="D68" s="117">
        <v>0</v>
      </c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:24" ht="12.75">
      <c r="A69" s="114"/>
      <c r="B69" s="114" t="s">
        <v>33</v>
      </c>
      <c r="C69" s="114"/>
      <c r="D69" s="114"/>
      <c r="E69" s="117">
        <v>595237</v>
      </c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:24" ht="12.75">
      <c r="A70" s="114"/>
      <c r="B70" s="114" t="s">
        <v>34</v>
      </c>
      <c r="C70" s="114"/>
      <c r="D70" s="114"/>
      <c r="E70" s="117">
        <v>3495731</v>
      </c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:24" ht="12.75">
      <c r="A71" s="114"/>
      <c r="B71" s="114"/>
      <c r="C71" s="114"/>
      <c r="D71" s="117"/>
      <c r="E71" s="117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:24" ht="12.75">
      <c r="A72" s="114"/>
      <c r="B72" s="114"/>
      <c r="C72" s="114"/>
      <c r="D72" s="117">
        <f>SUM(D64:D71)</f>
        <v>4090968</v>
      </c>
      <c r="E72" s="117">
        <f>SUM(E64:E71)</f>
        <v>4090968</v>
      </c>
      <c r="F72" s="117">
        <f>D72-E72</f>
        <v>0</v>
      </c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:24" ht="12.75">
      <c r="A73" s="114"/>
      <c r="B73" s="114" t="s">
        <v>35</v>
      </c>
      <c r="C73" s="114"/>
      <c r="D73" s="117"/>
      <c r="E73" s="117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:24" ht="12.75">
      <c r="A74" s="114"/>
      <c r="B74" s="114"/>
      <c r="C74" s="114"/>
      <c r="D74" s="117"/>
      <c r="E74" s="117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</row>
    <row r="75" spans="1:24" ht="12.75">
      <c r="A75" s="114">
        <v>13</v>
      </c>
      <c r="B75" s="114" t="s">
        <v>36</v>
      </c>
      <c r="C75" s="114"/>
      <c r="D75" s="117">
        <v>24000</v>
      </c>
      <c r="E75" s="117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:24" ht="12.75">
      <c r="A76" s="114"/>
      <c r="B76" s="114" t="s">
        <v>37</v>
      </c>
      <c r="C76" s="114"/>
      <c r="D76" s="117"/>
      <c r="E76" s="117">
        <v>24000</v>
      </c>
      <c r="F76" s="118" t="s">
        <v>38</v>
      </c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</row>
    <row r="77" spans="1:24" ht="12.75">
      <c r="A77" s="114"/>
      <c r="B77" s="114" t="s">
        <v>39</v>
      </c>
      <c r="C77" s="114"/>
      <c r="D77" s="117"/>
      <c r="E77" s="117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</row>
    <row r="78" spans="1:24" ht="12.75">
      <c r="A78" s="114"/>
      <c r="B78" s="114"/>
      <c r="C78" s="114"/>
      <c r="D78" s="117"/>
      <c r="E78" s="117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</row>
    <row r="79" spans="1:24" ht="12.75">
      <c r="A79" s="114">
        <v>14</v>
      </c>
      <c r="B79" s="114" t="s">
        <v>36</v>
      </c>
      <c r="C79" s="114"/>
      <c r="D79" s="117">
        <v>2000000</v>
      </c>
      <c r="E79" s="117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</row>
    <row r="80" spans="1:24" ht="12.75">
      <c r="A80" s="114"/>
      <c r="B80" s="114" t="s">
        <v>37</v>
      </c>
      <c r="C80" s="114"/>
      <c r="D80" s="117"/>
      <c r="E80" s="117">
        <v>2000000</v>
      </c>
      <c r="F80" s="118" t="s">
        <v>38</v>
      </c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:24" ht="12.75">
      <c r="A81" s="114"/>
      <c r="B81" s="114" t="s">
        <v>40</v>
      </c>
      <c r="C81" s="114"/>
      <c r="D81" s="117"/>
      <c r="E81" s="117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</row>
    <row r="82" spans="1:24" ht="12.75">
      <c r="A82" s="114"/>
      <c r="B82" s="114"/>
      <c r="C82" s="114"/>
      <c r="D82" s="117"/>
      <c r="E82" s="117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</row>
    <row r="83" spans="1:24" ht="12.75">
      <c r="A83" s="114"/>
      <c r="B83" s="114"/>
      <c r="C83" s="114"/>
      <c r="D83" s="117"/>
      <c r="E83" s="117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:24" ht="12.75">
      <c r="A84" s="114">
        <v>15</v>
      </c>
      <c r="B84" s="114" t="s">
        <v>41</v>
      </c>
      <c r="C84" s="114"/>
      <c r="D84" s="117">
        <v>8570</v>
      </c>
      <c r="E84" s="117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ht="12.75">
      <c r="A85" s="114"/>
      <c r="B85" s="114" t="s">
        <v>42</v>
      </c>
      <c r="C85" s="114"/>
      <c r="D85" s="117"/>
      <c r="E85" s="117">
        <v>8570</v>
      </c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:24" ht="12.75">
      <c r="A86" s="114"/>
      <c r="B86" s="114" t="s">
        <v>43</v>
      </c>
      <c r="C86" s="114"/>
      <c r="D86" s="117"/>
      <c r="E86" s="117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ht="12.75">
      <c r="A87" s="114"/>
      <c r="B87" s="114"/>
      <c r="C87" s="114"/>
      <c r="D87" s="117"/>
      <c r="E87" s="117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:24" ht="12.75">
      <c r="A88" s="114"/>
      <c r="B88" s="114"/>
      <c r="C88" s="114"/>
      <c r="D88" s="117"/>
      <c r="E88" s="117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:24" ht="12.75">
      <c r="A89" s="114">
        <v>16</v>
      </c>
      <c r="B89" s="114" t="s">
        <v>44</v>
      </c>
      <c r="C89" s="114"/>
      <c r="D89" s="117">
        <v>5002</v>
      </c>
      <c r="E89" s="117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:24" ht="12.75">
      <c r="A90" s="114"/>
      <c r="B90" s="114" t="s">
        <v>45</v>
      </c>
      <c r="C90" s="114"/>
      <c r="D90" s="117">
        <v>118100</v>
      </c>
      <c r="E90" s="117"/>
      <c r="F90" s="114"/>
      <c r="G90" s="114"/>
      <c r="H90" s="114"/>
      <c r="I90" s="114"/>
      <c r="J90" s="114"/>
      <c r="K90" s="114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</row>
    <row r="91" spans="1:24" ht="12.75">
      <c r="A91" s="114"/>
      <c r="B91" s="114" t="s">
        <v>46</v>
      </c>
      <c r="C91" s="114"/>
      <c r="D91" s="117"/>
      <c r="E91" s="117">
        <v>24102</v>
      </c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</row>
    <row r="92" spans="1:24" ht="12.75">
      <c r="A92" s="114"/>
      <c r="B92" s="114" t="s">
        <v>47</v>
      </c>
      <c r="C92" s="114"/>
      <c r="D92" s="117"/>
      <c r="E92" s="117">
        <v>99000</v>
      </c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</row>
    <row r="93" spans="1:24" ht="12.75">
      <c r="A93" s="114"/>
      <c r="B93" s="114"/>
      <c r="C93" s="114"/>
      <c r="D93" s="117"/>
      <c r="E93" s="117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:24" ht="12.75">
      <c r="A94" s="114"/>
      <c r="B94" s="114"/>
      <c r="C94" s="114"/>
      <c r="D94" s="117">
        <f>SUM(D4:D92)</f>
        <v>35814411</v>
      </c>
      <c r="E94" s="117">
        <f>SUM(E4:E92)</f>
        <v>35814411</v>
      </c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</row>
    <row r="95" spans="1:24" ht="12.75">
      <c r="A95" s="114"/>
      <c r="B95" s="114"/>
      <c r="C95" s="114"/>
      <c r="D95" s="117"/>
      <c r="E95" s="117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</row>
    <row r="96" spans="1:24" ht="12.75">
      <c r="A96" s="119"/>
      <c r="B96" s="120"/>
      <c r="C96" s="121" t="s">
        <v>1</v>
      </c>
      <c r="D96" s="122" t="s">
        <v>2</v>
      </c>
      <c r="E96" s="117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</row>
    <row r="97" spans="1:24" ht="12.75">
      <c r="A97" s="123">
        <v>1</v>
      </c>
      <c r="B97" s="124" t="s">
        <v>3</v>
      </c>
      <c r="C97" s="125">
        <f>D4+D9+D19+D25+D37+D47+D52+D58</f>
        <v>5666006</v>
      </c>
      <c r="D97" s="126">
        <v>0</v>
      </c>
      <c r="E97" s="117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</row>
    <row r="98" spans="1:24" ht="12.75">
      <c r="A98" s="123">
        <v>2</v>
      </c>
      <c r="B98" s="124" t="s">
        <v>48</v>
      </c>
      <c r="C98" s="124">
        <v>0</v>
      </c>
      <c r="D98" s="126">
        <f>E5+E11+E22+E29+E39+E48+E54+E60+E71</f>
        <v>15756370</v>
      </c>
      <c r="E98" s="117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</row>
    <row r="99" spans="1:24" ht="12.75">
      <c r="A99" s="123">
        <v>3</v>
      </c>
      <c r="B99" s="124" t="s">
        <v>10</v>
      </c>
      <c r="C99" s="125">
        <f>D15+D26-E20+D33+D43+D53+D84-E91-E28</f>
        <v>8164004</v>
      </c>
      <c r="D99" s="126">
        <v>0</v>
      </c>
      <c r="E99" s="117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:24" ht="12.75">
      <c r="A100" s="123">
        <v>4</v>
      </c>
      <c r="B100" s="124" t="s">
        <v>49</v>
      </c>
      <c r="C100" s="125">
        <f>D21+D27-E34+D38-E44</f>
        <v>347006</v>
      </c>
      <c r="D100" s="126">
        <v>0</v>
      </c>
      <c r="E100" s="117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</row>
    <row r="101" spans="1:24" ht="12.75">
      <c r="A101" s="123">
        <v>5</v>
      </c>
      <c r="B101" s="124" t="s">
        <v>50</v>
      </c>
      <c r="C101" s="125">
        <f>D32+D42+D59</f>
        <v>2098</v>
      </c>
      <c r="D101" s="126">
        <v>0</v>
      </c>
      <c r="E101" s="117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</row>
    <row r="102" spans="1:24" ht="12.75">
      <c r="A102" s="123">
        <v>6</v>
      </c>
      <c r="B102" s="124" t="s">
        <v>32</v>
      </c>
      <c r="C102" s="125">
        <f>+D67</f>
        <v>66669</v>
      </c>
      <c r="D102" s="126">
        <v>0</v>
      </c>
      <c r="E102" s="117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:24" ht="12.75">
      <c r="A103" s="127"/>
      <c r="B103" s="128"/>
      <c r="C103" s="128"/>
      <c r="D103" s="129"/>
      <c r="E103" s="117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:24" ht="12.75">
      <c r="A104" s="114"/>
      <c r="B104" s="114"/>
      <c r="C104" s="114"/>
      <c r="D104" s="117"/>
      <c r="E104" s="117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:24" ht="12.75">
      <c r="A105" s="114">
        <v>17</v>
      </c>
      <c r="B105" s="114" t="s">
        <v>10</v>
      </c>
      <c r="C105" s="114"/>
      <c r="D105" s="117">
        <v>303208</v>
      </c>
      <c r="E105" s="117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</row>
    <row r="106" spans="1:24" ht="12.75">
      <c r="A106" s="114"/>
      <c r="B106" s="114" t="s">
        <v>51</v>
      </c>
      <c r="C106" s="114"/>
      <c r="D106" s="117"/>
      <c r="E106" s="117">
        <v>303208</v>
      </c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</row>
    <row r="107" spans="1:24" ht="12.75">
      <c r="A107" s="114"/>
      <c r="B107" s="114" t="s">
        <v>52</v>
      </c>
      <c r="C107" s="114"/>
      <c r="D107" s="117"/>
      <c r="E107" s="117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</row>
    <row r="108" spans="1:24" ht="12.75">
      <c r="A108" s="114"/>
      <c r="B108" s="114"/>
      <c r="C108" s="114"/>
      <c r="D108" s="117"/>
      <c r="E108" s="117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</row>
    <row r="109" spans="1:24" ht="12.75">
      <c r="A109" s="114">
        <v>18</v>
      </c>
      <c r="B109" s="114" t="s">
        <v>3</v>
      </c>
      <c r="C109" s="114"/>
      <c r="D109" s="117">
        <v>2</v>
      </c>
      <c r="E109" s="117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</row>
    <row r="110" spans="1:24" ht="12.75">
      <c r="A110" s="114"/>
      <c r="B110" s="114" t="s">
        <v>10</v>
      </c>
      <c r="C110" s="114"/>
      <c r="D110" s="117">
        <v>2100</v>
      </c>
      <c r="E110" s="117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:24" ht="12.75">
      <c r="A111" s="114"/>
      <c r="B111" s="114" t="s">
        <v>4</v>
      </c>
      <c r="C111" s="114"/>
      <c r="D111" s="117"/>
      <c r="E111" s="117">
        <v>2102</v>
      </c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:24" ht="12.75">
      <c r="A112" s="114"/>
      <c r="B112" s="114" t="s">
        <v>53</v>
      </c>
      <c r="C112" s="114"/>
      <c r="D112" s="117"/>
      <c r="E112" s="117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:24" ht="12.75">
      <c r="A113" s="114"/>
      <c r="B113" s="114"/>
      <c r="C113" s="114"/>
      <c r="D113" s="117"/>
      <c r="E113" s="117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:24" ht="12.75">
      <c r="A114" s="114">
        <v>19</v>
      </c>
      <c r="B114" s="114" t="s">
        <v>18</v>
      </c>
      <c r="C114" s="114"/>
      <c r="D114" s="117">
        <v>777778</v>
      </c>
      <c r="E114" s="117"/>
      <c r="F114" s="114"/>
      <c r="G114" s="114"/>
      <c r="H114" s="114"/>
      <c r="I114" s="114"/>
      <c r="J114" s="114"/>
      <c r="K114" s="114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</row>
    <row r="115" spans="1:24" ht="12.75">
      <c r="A115" s="114"/>
      <c r="B115" s="114" t="s">
        <v>54</v>
      </c>
      <c r="C115" s="114"/>
      <c r="D115" s="117"/>
      <c r="E115" s="117">
        <v>777778</v>
      </c>
      <c r="F115" s="118" t="s">
        <v>38</v>
      </c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:24" ht="12.75">
      <c r="A116" s="114"/>
      <c r="B116" s="114" t="s">
        <v>55</v>
      </c>
      <c r="C116" s="114"/>
      <c r="D116" s="117"/>
      <c r="E116" s="117"/>
      <c r="F116" s="114"/>
      <c r="G116" s="114"/>
      <c r="H116" s="114"/>
      <c r="I116" s="114"/>
      <c r="J116" s="114"/>
      <c r="K116" s="114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:24" ht="12.75">
      <c r="A117" s="114"/>
      <c r="B117" s="114"/>
      <c r="C117" s="114"/>
      <c r="D117" s="117"/>
      <c r="E117" s="117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</row>
    <row r="118" spans="1:24" ht="12.75">
      <c r="A118" s="114">
        <v>20</v>
      </c>
      <c r="B118" s="114" t="s">
        <v>3</v>
      </c>
      <c r="C118" s="114"/>
      <c r="D118" s="117">
        <v>2484139</v>
      </c>
      <c r="E118" s="117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:24" ht="12.75">
      <c r="A119" s="114"/>
      <c r="B119" s="114" t="s">
        <v>4</v>
      </c>
      <c r="C119" s="114"/>
      <c r="D119" s="117"/>
      <c r="E119" s="117">
        <v>560825</v>
      </c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:24" ht="12.75">
      <c r="A120" s="114"/>
      <c r="B120" s="114" t="s">
        <v>67</v>
      </c>
      <c r="C120" s="114"/>
      <c r="D120" s="117"/>
      <c r="E120" s="117">
        <v>1923284</v>
      </c>
      <c r="F120" s="114"/>
      <c r="G120" s="114"/>
      <c r="H120" s="114"/>
      <c r="I120" s="114"/>
      <c r="J120" s="114"/>
      <c r="K120" s="114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:24" ht="12.75">
      <c r="A121" s="114"/>
      <c r="B121" s="114" t="s">
        <v>5</v>
      </c>
      <c r="C121" s="114"/>
      <c r="D121" s="117"/>
      <c r="E121" s="117">
        <v>30</v>
      </c>
      <c r="F121" s="117">
        <f>D118-E119-E120-E121</f>
        <v>0</v>
      </c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:24" ht="12.75">
      <c r="A122" s="114"/>
      <c r="B122" s="114" t="s">
        <v>57</v>
      </c>
      <c r="C122" s="114"/>
      <c r="D122" s="117"/>
      <c r="E122" s="117"/>
      <c r="F122" s="114"/>
      <c r="G122" s="114"/>
      <c r="H122" s="114"/>
      <c r="I122" s="114"/>
      <c r="J122" s="114"/>
      <c r="K122" s="114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:24" ht="12.75">
      <c r="A123" s="114"/>
      <c r="B123" s="114"/>
      <c r="C123" s="114"/>
      <c r="D123" s="117"/>
      <c r="E123" s="117"/>
      <c r="F123" s="114"/>
      <c r="G123" s="114"/>
      <c r="H123" s="114"/>
      <c r="I123" s="114"/>
      <c r="J123" s="114"/>
      <c r="K123" s="114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</row>
    <row r="124" spans="1:24" ht="12.75">
      <c r="A124" s="114">
        <v>21</v>
      </c>
      <c r="B124" s="114" t="s">
        <v>58</v>
      </c>
      <c r="C124" s="114"/>
      <c r="D124" s="133">
        <v>2100</v>
      </c>
      <c r="E124" s="133"/>
      <c r="F124" s="114"/>
      <c r="G124" s="114"/>
      <c r="H124" s="114"/>
      <c r="I124" s="114"/>
      <c r="J124" s="114"/>
      <c r="K124" s="114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</row>
    <row r="125" spans="1:24" ht="12.75">
      <c r="A125" s="114"/>
      <c r="B125" s="114" t="s">
        <v>56</v>
      </c>
      <c r="C125" s="114"/>
      <c r="D125" s="134"/>
      <c r="E125" s="133">
        <v>2098</v>
      </c>
      <c r="F125" s="114"/>
      <c r="G125" s="114"/>
      <c r="H125" s="114"/>
      <c r="I125" s="114"/>
      <c r="J125" s="114"/>
      <c r="K125" s="114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</row>
    <row r="126" spans="1:24" ht="12.75">
      <c r="A126" s="114"/>
      <c r="B126" s="114" t="s">
        <v>59</v>
      </c>
      <c r="C126" s="114"/>
      <c r="D126" s="133"/>
      <c r="E126" s="133">
        <v>2</v>
      </c>
      <c r="F126" s="117">
        <f>D124-E125-E126</f>
        <v>0</v>
      </c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:24" ht="12.75">
      <c r="A127" s="114"/>
      <c r="B127" s="114" t="s">
        <v>60</v>
      </c>
      <c r="C127" s="114"/>
      <c r="D127" s="117"/>
      <c r="E127" s="117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:24" ht="12.75">
      <c r="A128" s="114"/>
      <c r="B128" s="114"/>
      <c r="C128" s="114"/>
      <c r="D128" s="117"/>
      <c r="E128" s="117"/>
      <c r="F128" s="114"/>
      <c r="G128" s="114"/>
      <c r="H128" s="114"/>
      <c r="I128" s="114"/>
      <c r="J128" s="114"/>
      <c r="K128" s="114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:24" ht="12.75">
      <c r="A129" s="114">
        <v>22</v>
      </c>
      <c r="B129" s="114" t="s">
        <v>3</v>
      </c>
      <c r="C129" s="114"/>
      <c r="D129" s="117">
        <v>200100</v>
      </c>
      <c r="E129" s="117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:24" ht="12.75">
      <c r="A130" s="114"/>
      <c r="B130" s="114" t="s">
        <v>5</v>
      </c>
      <c r="C130" s="114"/>
      <c r="D130" s="117"/>
      <c r="E130" s="117">
        <v>98049</v>
      </c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</row>
    <row r="131" spans="1:24" ht="12.75">
      <c r="A131" s="114"/>
      <c r="B131" s="114" t="s">
        <v>4</v>
      </c>
      <c r="C131" s="114"/>
      <c r="D131" s="117"/>
      <c r="E131" s="117">
        <v>102051</v>
      </c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:24" ht="12.75">
      <c r="A132" s="114"/>
      <c r="B132" s="114" t="s">
        <v>61</v>
      </c>
      <c r="C132" s="114"/>
      <c r="D132" s="117"/>
      <c r="E132" s="117"/>
      <c r="F132" s="117">
        <f>D129-E130-E131</f>
        <v>0</v>
      </c>
      <c r="G132" s="114"/>
      <c r="H132" s="114"/>
      <c r="I132" s="114"/>
      <c r="J132" s="114"/>
      <c r="K132" s="114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:24" ht="12.75">
      <c r="A133" s="114"/>
      <c r="B133" s="114"/>
      <c r="C133" s="114"/>
      <c r="D133" s="117"/>
      <c r="E133" s="117"/>
      <c r="F133" s="114"/>
      <c r="G133" s="114"/>
      <c r="H133" s="114"/>
      <c r="I133" s="114"/>
      <c r="J133" s="11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:24" ht="12.75">
      <c r="A134" s="114">
        <v>23</v>
      </c>
      <c r="B134" s="114" t="s">
        <v>3</v>
      </c>
      <c r="C134" s="114"/>
      <c r="D134" s="133">
        <v>200002</v>
      </c>
      <c r="E134" s="133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:24" ht="12.75">
      <c r="A135" s="114"/>
      <c r="B135" s="114" t="s">
        <v>4</v>
      </c>
      <c r="C135" s="114"/>
      <c r="D135" s="133"/>
      <c r="E135" s="133">
        <v>200002</v>
      </c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:24" ht="12.75">
      <c r="A136" s="114"/>
      <c r="B136" s="114" t="s">
        <v>62</v>
      </c>
      <c r="C136" s="114"/>
      <c r="D136" s="117"/>
      <c r="E136" s="117"/>
      <c r="F136" s="117">
        <f>+D134-E135</f>
        <v>0</v>
      </c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:24" ht="12.75">
      <c r="A137" s="114"/>
      <c r="B137" s="114"/>
      <c r="C137" s="114"/>
      <c r="D137" s="117"/>
      <c r="E137" s="117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spans="1:24" ht="12.75">
      <c r="A138" s="114">
        <v>24</v>
      </c>
      <c r="B138" s="114" t="s">
        <v>10</v>
      </c>
      <c r="C138" s="114"/>
      <c r="D138" s="117">
        <v>9802887</v>
      </c>
      <c r="E138" s="117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</row>
    <row r="139" spans="1:24" ht="12.75">
      <c r="A139" s="114"/>
      <c r="B139" s="114" t="s">
        <v>58</v>
      </c>
      <c r="C139" s="114"/>
      <c r="D139" s="117">
        <v>6834113</v>
      </c>
      <c r="E139" s="117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:24" ht="12.75">
      <c r="A140" s="114"/>
      <c r="B140" s="114" t="s">
        <v>63</v>
      </c>
      <c r="C140" s="114"/>
      <c r="D140" s="117"/>
      <c r="E140" s="117">
        <v>16637000</v>
      </c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:24" ht="12.75">
      <c r="A141" s="114"/>
      <c r="B141" s="114" t="s">
        <v>64</v>
      </c>
      <c r="C141" s="114"/>
      <c r="D141" s="117"/>
      <c r="E141" s="117"/>
      <c r="F141" s="114"/>
      <c r="G141" s="114"/>
      <c r="H141" s="114"/>
      <c r="I141" s="114"/>
      <c r="J141" s="11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:24" ht="12.75">
      <c r="A142" s="114"/>
      <c r="B142" s="114"/>
      <c r="C142" s="114"/>
      <c r="D142" s="117"/>
      <c r="E142" s="117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 ht="12.75">
      <c r="A143" s="114">
        <v>25</v>
      </c>
      <c r="B143" s="114" t="s">
        <v>216</v>
      </c>
      <c r="C143" s="114"/>
      <c r="D143" s="117">
        <v>16637000</v>
      </c>
      <c r="E143" s="117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:24" ht="12.75">
      <c r="A144" s="114"/>
      <c r="B144" s="114" t="s">
        <v>65</v>
      </c>
      <c r="C144" s="114"/>
      <c r="D144" s="117">
        <v>8617278</v>
      </c>
      <c r="E144" s="117"/>
      <c r="F144" s="114"/>
      <c r="G144" s="114"/>
      <c r="H144" s="114"/>
      <c r="I144" s="114"/>
      <c r="J144" s="11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</row>
    <row r="145" spans="1:24" ht="12.75">
      <c r="A145" s="114"/>
      <c r="B145" s="114" t="s">
        <v>59</v>
      </c>
      <c r="C145" s="114"/>
      <c r="D145" s="117"/>
      <c r="E145" s="117">
        <v>2000000</v>
      </c>
      <c r="F145" s="114"/>
      <c r="G145" s="114"/>
      <c r="H145" s="114"/>
      <c r="I145" s="114"/>
      <c r="J145" s="11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:24" ht="12.75">
      <c r="A146" s="114"/>
      <c r="B146" s="114" t="s">
        <v>66</v>
      </c>
      <c r="C146" s="114"/>
      <c r="D146" s="117"/>
      <c r="E146" s="117">
        <v>2862215</v>
      </c>
      <c r="F146" s="114"/>
      <c r="G146" s="114"/>
      <c r="H146" s="114"/>
      <c r="I146" s="114"/>
      <c r="J146" s="11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</row>
    <row r="147" spans="1:24" ht="12.75">
      <c r="A147" s="114"/>
      <c r="B147" s="114" t="s">
        <v>67</v>
      </c>
      <c r="C147" s="114"/>
      <c r="D147" s="117"/>
      <c r="E147" s="117">
        <v>15002179</v>
      </c>
      <c r="F147" s="114"/>
      <c r="G147" s="114"/>
      <c r="H147" s="114"/>
      <c r="I147" s="114"/>
      <c r="J147" s="11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:24" ht="12.75">
      <c r="A148" s="114"/>
      <c r="B148" s="114" t="s">
        <v>67</v>
      </c>
      <c r="C148" s="114"/>
      <c r="D148" s="117"/>
      <c r="E148" s="117">
        <v>5389884</v>
      </c>
      <c r="F148" s="117">
        <f>+D143+D144-E145-E146-E147-E148</f>
        <v>0</v>
      </c>
      <c r="G148" s="114"/>
      <c r="H148" s="114"/>
      <c r="I148" s="114"/>
      <c r="J148" s="11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</row>
    <row r="149" spans="1:24" ht="12.75">
      <c r="A149" s="114"/>
      <c r="B149" s="114" t="s">
        <v>68</v>
      </c>
      <c r="C149" s="114"/>
      <c r="D149" s="117"/>
      <c r="E149" s="117"/>
      <c r="F149" s="114"/>
      <c r="G149" s="114"/>
      <c r="H149" s="114"/>
      <c r="I149" s="114"/>
      <c r="J149" s="11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:24" ht="12.75">
      <c r="A150" s="114"/>
      <c r="B150" s="114"/>
      <c r="C150" s="114"/>
      <c r="D150" s="117"/>
      <c r="E150" s="117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</row>
    <row r="151" spans="1:24" ht="12.75">
      <c r="A151" s="114">
        <v>26</v>
      </c>
      <c r="B151" s="114" t="s">
        <v>58</v>
      </c>
      <c r="C151" s="114"/>
      <c r="D151" s="117">
        <v>2102</v>
      </c>
      <c r="E151" s="117"/>
      <c r="F151" s="114"/>
      <c r="G151" s="114"/>
      <c r="H151" s="114"/>
      <c r="I151" s="114"/>
      <c r="J151" s="11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</row>
    <row r="152" spans="1:24" ht="12.75">
      <c r="A152" s="114"/>
      <c r="B152" s="114" t="s">
        <v>59</v>
      </c>
      <c r="C152" s="114"/>
      <c r="D152" s="117"/>
      <c r="E152" s="117">
        <v>2</v>
      </c>
      <c r="F152" s="114"/>
      <c r="G152" s="114"/>
      <c r="H152" s="114"/>
      <c r="I152" s="114"/>
      <c r="J152" s="11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:24" ht="12.75">
      <c r="A153" s="114"/>
      <c r="B153" s="114" t="s">
        <v>67</v>
      </c>
      <c r="C153" s="114"/>
      <c r="D153" s="117"/>
      <c r="E153" s="117">
        <v>2100</v>
      </c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:24" ht="12.75">
      <c r="A154" s="114"/>
      <c r="B154" s="114" t="s">
        <v>69</v>
      </c>
      <c r="C154" s="114"/>
      <c r="D154" s="117"/>
      <c r="E154" s="117"/>
      <c r="F154" s="114"/>
      <c r="G154" s="114"/>
      <c r="H154" s="114"/>
      <c r="I154" s="114"/>
      <c r="J154" s="114"/>
      <c r="K154" s="114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:24" ht="12.75">
      <c r="A155" s="114"/>
      <c r="F155" s="114"/>
      <c r="G155" s="114"/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:24" ht="12.75">
      <c r="A156" s="114">
        <v>27</v>
      </c>
      <c r="B156" s="114" t="s">
        <v>3</v>
      </c>
      <c r="C156" s="114"/>
      <c r="D156" s="114">
        <f>102000+98000</f>
        <v>200000</v>
      </c>
      <c r="E156" s="114"/>
      <c r="F156" s="114"/>
      <c r="G156" s="114"/>
      <c r="H156" s="114"/>
      <c r="I156" s="114"/>
      <c r="J156" s="114"/>
      <c r="K156" s="114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:24" ht="12.75">
      <c r="A157" s="114"/>
      <c r="B157" s="114" t="s">
        <v>10</v>
      </c>
      <c r="C157" s="114"/>
      <c r="D157" s="114">
        <v>1406521</v>
      </c>
      <c r="E157" s="114"/>
      <c r="F157" s="114"/>
      <c r="G157" s="114"/>
      <c r="H157" s="114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:24" ht="12.75">
      <c r="A158" s="114"/>
      <c r="B158" s="114" t="s">
        <v>70</v>
      </c>
      <c r="C158" s="114"/>
      <c r="D158" s="114"/>
      <c r="E158" s="114">
        <v>615326</v>
      </c>
      <c r="F158" s="114"/>
      <c r="G158" s="114"/>
      <c r="H158" s="114"/>
      <c r="I158" s="114"/>
      <c r="J158" s="114"/>
      <c r="K158" s="114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</row>
    <row r="159" spans="1:24" ht="12.75">
      <c r="A159" s="114"/>
      <c r="B159" s="114" t="s">
        <v>4</v>
      </c>
      <c r="C159" s="114"/>
      <c r="D159" s="114"/>
      <c r="E159" s="114">
        <v>204000</v>
      </c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:24" ht="12.75">
      <c r="A160" s="114"/>
      <c r="B160" s="114" t="s">
        <v>71</v>
      </c>
      <c r="C160" s="114"/>
      <c r="D160" s="114"/>
      <c r="E160" s="114">
        <v>787195</v>
      </c>
      <c r="F160" s="114">
        <f>+D156+D157-E158-E159-E160</f>
        <v>0</v>
      </c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:24" ht="12.75">
      <c r="A161" s="114"/>
      <c r="B161" s="114" t="s">
        <v>72</v>
      </c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</row>
    <row r="162" spans="1:24" ht="12.75">
      <c r="A162" s="114"/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</row>
    <row r="163" spans="1:24" ht="12.75">
      <c r="A163" s="114">
        <v>28</v>
      </c>
      <c r="B163" s="114" t="s">
        <v>3</v>
      </c>
      <c r="C163" s="114"/>
      <c r="D163" s="114">
        <v>15906300</v>
      </c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</row>
    <row r="164" spans="1:24" ht="12.75">
      <c r="A164" s="114"/>
      <c r="B164" s="114" t="s">
        <v>10</v>
      </c>
      <c r="C164" s="114"/>
      <c r="D164" s="114">
        <v>24023508</v>
      </c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</row>
    <row r="165" spans="1:24" ht="12.75">
      <c r="A165" s="114"/>
      <c r="B165" s="114" t="s">
        <v>21</v>
      </c>
      <c r="C165" s="114"/>
      <c r="D165" s="114">
        <v>545798</v>
      </c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</row>
    <row r="166" spans="1:24" ht="12.75">
      <c r="A166" s="114"/>
      <c r="B166" s="114" t="s">
        <v>4</v>
      </c>
      <c r="C166" s="114"/>
      <c r="D166" s="114"/>
      <c r="E166" s="114">
        <v>20910000</v>
      </c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</row>
    <row r="167" spans="1:24" ht="12.75">
      <c r="A167" s="114"/>
      <c r="B167" s="114" t="s">
        <v>71</v>
      </c>
      <c r="C167" s="114"/>
      <c r="D167" s="114"/>
      <c r="E167" s="114">
        <v>19565606</v>
      </c>
      <c r="F167" s="114">
        <f>+D163+D164+D165-E166-E167</f>
        <v>0</v>
      </c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</row>
    <row r="168" spans="1:24" ht="12.75">
      <c r="A168" s="114"/>
      <c r="B168" s="114" t="s">
        <v>73</v>
      </c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</row>
    <row r="170" spans="1:6" ht="12.75">
      <c r="A170" s="130">
        <v>29</v>
      </c>
      <c r="B170" s="130" t="s">
        <v>298</v>
      </c>
      <c r="C170" s="130"/>
      <c r="D170" s="130">
        <v>559985</v>
      </c>
      <c r="E170" s="130"/>
      <c r="F170" s="130"/>
    </row>
    <row r="171" spans="1:6" ht="12.75">
      <c r="A171" s="130"/>
      <c r="B171" s="130" t="s">
        <v>336</v>
      </c>
      <c r="C171" s="130"/>
      <c r="D171" s="130">
        <v>548813</v>
      </c>
      <c r="E171" s="130"/>
      <c r="F171" s="130"/>
    </row>
    <row r="172" spans="1:6" ht="12.75">
      <c r="A172" s="130"/>
      <c r="B172" s="130" t="s">
        <v>299</v>
      </c>
      <c r="C172" s="130"/>
      <c r="D172" s="130"/>
      <c r="E172" s="130">
        <f>475189+548813</f>
        <v>1024002</v>
      </c>
      <c r="F172" s="130"/>
    </row>
    <row r="173" spans="1:6" ht="12.75">
      <c r="A173" s="130"/>
      <c r="B173" s="130" t="s">
        <v>77</v>
      </c>
      <c r="C173" s="130"/>
      <c r="D173" s="130"/>
      <c r="E173" s="130">
        <v>84796</v>
      </c>
      <c r="F173" s="130">
        <f>+D170+D171-E172-E173</f>
        <v>0</v>
      </c>
    </row>
    <row r="174" spans="1:6" ht="12.75">
      <c r="A174" s="130"/>
      <c r="B174" s="130" t="s">
        <v>78</v>
      </c>
      <c r="C174" s="130"/>
      <c r="D174" s="130"/>
      <c r="E174" s="130"/>
      <c r="F174" s="130"/>
    </row>
    <row r="175" spans="1:6" ht="12.75">
      <c r="A175" s="130"/>
      <c r="B175" s="130"/>
      <c r="C175" s="130"/>
      <c r="D175" s="130"/>
      <c r="E175" s="130"/>
      <c r="F175" s="130"/>
    </row>
    <row r="176" spans="1:7" ht="12.75">
      <c r="A176" s="130">
        <v>30</v>
      </c>
      <c r="B176" s="130" t="s">
        <v>300</v>
      </c>
      <c r="C176" s="130"/>
      <c r="D176" s="130">
        <f>2307821+2202294</f>
        <v>4510115</v>
      </c>
      <c r="E176" s="130"/>
      <c r="F176" s="130"/>
      <c r="G176" t="s">
        <v>340</v>
      </c>
    </row>
    <row r="177" spans="1:6" ht="12.75">
      <c r="A177" s="130"/>
      <c r="B177" s="130" t="s">
        <v>301</v>
      </c>
      <c r="C177" s="130"/>
      <c r="D177" s="140">
        <v>0</v>
      </c>
      <c r="E177" s="140">
        <f>97347*0.49</f>
        <v>47700.03</v>
      </c>
      <c r="F177" s="130"/>
    </row>
    <row r="178" spans="1:6" ht="12.75">
      <c r="A178" s="130"/>
      <c r="B178" s="130" t="s">
        <v>71</v>
      </c>
      <c r="C178" s="130"/>
      <c r="D178" s="130"/>
      <c r="E178" s="130">
        <f>2307821+2202294-47700</f>
        <v>4462415</v>
      </c>
      <c r="F178" s="140">
        <f>+D176-E177-E178</f>
        <v>-0.03000000026077032</v>
      </c>
    </row>
    <row r="179" spans="1:6" ht="12.75">
      <c r="A179" s="130"/>
      <c r="B179" s="130" t="s">
        <v>79</v>
      </c>
      <c r="C179" s="130"/>
      <c r="D179" s="130"/>
      <c r="E179" s="130"/>
      <c r="F179" s="130"/>
    </row>
    <row r="181" spans="1:24" ht="12.75">
      <c r="A181" s="114">
        <v>31</v>
      </c>
      <c r="B181" s="114" t="s">
        <v>80</v>
      </c>
      <c r="C181" s="114"/>
      <c r="D181" s="114">
        <f>475189+548813</f>
        <v>1024002</v>
      </c>
      <c r="E181" s="114"/>
      <c r="F181" s="114"/>
      <c r="G181" s="114"/>
      <c r="H181" s="114"/>
      <c r="I181" s="114"/>
      <c r="J181" s="114"/>
      <c r="K181" s="114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</row>
    <row r="182" spans="1:24" ht="12.75">
      <c r="A182" s="114"/>
      <c r="B182" s="114" t="s">
        <v>81</v>
      </c>
      <c r="C182" s="114"/>
      <c r="D182" s="114"/>
      <c r="E182" s="117">
        <v>475189</v>
      </c>
      <c r="F182" s="118" t="s">
        <v>38</v>
      </c>
      <c r="G182" s="114"/>
      <c r="H182" s="114"/>
      <c r="I182" s="114"/>
      <c r="J182" s="114"/>
      <c r="K182" s="114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</row>
    <row r="183" spans="1:24" ht="12.75">
      <c r="A183" s="114"/>
      <c r="B183" s="114" t="s">
        <v>71</v>
      </c>
      <c r="C183" s="114"/>
      <c r="D183" s="114"/>
      <c r="E183" s="117">
        <v>548813</v>
      </c>
      <c r="F183" s="117">
        <f>+D181-E182-E183</f>
        <v>0</v>
      </c>
      <c r="H183" s="114"/>
      <c r="I183" s="114"/>
      <c r="J183" s="114"/>
      <c r="K183" s="114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</row>
    <row r="184" spans="1:24" ht="12.75">
      <c r="A184" s="114"/>
      <c r="B184" s="114" t="s">
        <v>302</v>
      </c>
      <c r="C184" s="114"/>
      <c r="D184" s="117"/>
      <c r="E184" s="117"/>
      <c r="F184" s="114"/>
      <c r="G184" s="114"/>
      <c r="H184" s="114"/>
      <c r="I184" s="114"/>
      <c r="J184" s="114"/>
      <c r="K184" s="114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</row>
    <row r="186" spans="1:7" ht="12.75">
      <c r="A186" s="130">
        <v>32</v>
      </c>
      <c r="B186" s="130" t="s">
        <v>300</v>
      </c>
      <c r="C186" s="130"/>
      <c r="D186" s="130">
        <f>1025311+6506045</f>
        <v>7531356</v>
      </c>
      <c r="E186" s="130"/>
      <c r="F186" s="130"/>
      <c r="G186" t="s">
        <v>340</v>
      </c>
    </row>
    <row r="187" spans="1:6" ht="12.75">
      <c r="A187" s="130"/>
      <c r="B187" s="130" t="s">
        <v>301</v>
      </c>
      <c r="C187" s="130"/>
      <c r="D187" s="140">
        <f>5048181*0.49</f>
        <v>2473608.69</v>
      </c>
      <c r="E187" s="130"/>
      <c r="F187" s="130"/>
    </row>
    <row r="188" spans="1:6" ht="12.75">
      <c r="A188" s="130"/>
      <c r="B188" s="130" t="s">
        <v>71</v>
      </c>
      <c r="C188" s="130"/>
      <c r="D188" s="130"/>
      <c r="E188" s="140">
        <f>1025311+6506045+D187</f>
        <v>10004964.69</v>
      </c>
      <c r="F188" s="140">
        <f>+D186+D187-E188</f>
        <v>0</v>
      </c>
    </row>
    <row r="189" spans="1:6" ht="12.75">
      <c r="A189" s="130"/>
      <c r="B189" s="130" t="s">
        <v>82</v>
      </c>
      <c r="C189" s="130"/>
      <c r="D189" s="130"/>
      <c r="E189" s="130"/>
      <c r="F189" s="130"/>
    </row>
    <row r="191" spans="1:6" ht="12.75">
      <c r="A191" s="130">
        <v>33</v>
      </c>
      <c r="B191" s="130" t="s">
        <v>10</v>
      </c>
      <c r="C191" s="130"/>
      <c r="D191" s="130">
        <v>200000</v>
      </c>
      <c r="E191" s="130"/>
      <c r="F191" s="130"/>
    </row>
    <row r="192" spans="1:6" ht="12.75">
      <c r="A192" s="130"/>
      <c r="B192" s="130" t="s">
        <v>70</v>
      </c>
      <c r="C192" s="130"/>
      <c r="D192" s="130"/>
      <c r="E192" s="130">
        <v>200000</v>
      </c>
      <c r="F192" s="130"/>
    </row>
    <row r="193" spans="1:6" ht="12.75">
      <c r="A193" s="130"/>
      <c r="B193" s="130" t="s">
        <v>83</v>
      </c>
      <c r="C193" s="130"/>
      <c r="D193" s="130"/>
      <c r="E193" s="130"/>
      <c r="F193" s="130"/>
    </row>
    <row r="195" spans="1:24" ht="12.75">
      <c r="A195" s="114">
        <v>34</v>
      </c>
      <c r="B195" s="114" t="s">
        <v>298</v>
      </c>
      <c r="C195" s="114"/>
      <c r="D195" s="114">
        <v>2777778</v>
      </c>
      <c r="E195" s="114"/>
      <c r="F195" s="114"/>
      <c r="G195" s="114"/>
      <c r="H195" s="114"/>
      <c r="I195" s="114"/>
      <c r="J195" s="114"/>
      <c r="K195" s="114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</row>
    <row r="196" spans="1:24" ht="12.75">
      <c r="A196" s="114"/>
      <c r="B196" s="114" t="s">
        <v>299</v>
      </c>
      <c r="C196" s="114"/>
      <c r="D196" s="114"/>
      <c r="E196" s="117">
        <v>2000000</v>
      </c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</row>
    <row r="197" spans="1:24" ht="12.75">
      <c r="A197" s="114"/>
      <c r="B197" s="114" t="s">
        <v>84</v>
      </c>
      <c r="C197" s="114"/>
      <c r="D197" s="114"/>
      <c r="E197" s="117">
        <v>777778</v>
      </c>
      <c r="F197" s="117">
        <f>+D195-E196-E197</f>
        <v>0</v>
      </c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</row>
    <row r="198" spans="1:24" ht="12.75">
      <c r="A198" s="114"/>
      <c r="B198" s="114" t="s">
        <v>85</v>
      </c>
      <c r="C198" s="114"/>
      <c r="D198" s="117"/>
      <c r="E198" s="117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</row>
    <row r="200" spans="1:24" ht="12.75">
      <c r="A200" s="114">
        <v>35</v>
      </c>
      <c r="B200" s="114" t="s">
        <v>75</v>
      </c>
      <c r="C200" s="114"/>
      <c r="D200" s="117">
        <f>+E201+E202</f>
        <v>53732.42</v>
      </c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</row>
    <row r="201" spans="1:24" ht="12.75">
      <c r="A201" s="114"/>
      <c r="B201" s="114" t="s">
        <v>341</v>
      </c>
      <c r="C201" s="114"/>
      <c r="D201" s="114"/>
      <c r="E201" s="117">
        <f>96409*0.49</f>
        <v>47240.409999999996</v>
      </c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</row>
    <row r="202" spans="1:24" ht="12.75">
      <c r="A202" s="114"/>
      <c r="B202" s="114" t="s">
        <v>342</v>
      </c>
      <c r="C202" s="114"/>
      <c r="D202" s="114"/>
      <c r="E202" s="117">
        <f>13249*0.49</f>
        <v>6492.01</v>
      </c>
      <c r="F202" s="117">
        <f>+D200-E201-E202</f>
        <v>0</v>
      </c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</row>
    <row r="203" spans="1:24" ht="12.75">
      <c r="A203" s="114"/>
      <c r="B203" s="114" t="s">
        <v>86</v>
      </c>
      <c r="C203" s="114"/>
      <c r="D203" s="117"/>
      <c r="E203" s="117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</row>
    <row r="205" spans="1:6" ht="12.75">
      <c r="A205" s="130">
        <v>36</v>
      </c>
      <c r="B205" s="130" t="s">
        <v>65</v>
      </c>
      <c r="C205" s="130"/>
      <c r="D205" s="130">
        <v>2244</v>
      </c>
      <c r="E205" s="130"/>
      <c r="F205" s="118" t="s">
        <v>38</v>
      </c>
    </row>
    <row r="206" spans="1:6" ht="12.75">
      <c r="A206" s="130"/>
      <c r="B206" s="130" t="s">
        <v>56</v>
      </c>
      <c r="C206" s="130"/>
      <c r="D206" s="130"/>
      <c r="E206" s="130">
        <v>2244</v>
      </c>
      <c r="F206" s="142" t="s">
        <v>331</v>
      </c>
    </row>
    <row r="207" spans="1:6" ht="12.75">
      <c r="A207" s="130"/>
      <c r="B207" s="130" t="s">
        <v>83</v>
      </c>
      <c r="C207" s="130"/>
      <c r="D207" s="130"/>
      <c r="E207" s="130"/>
      <c r="F207" s="143" t="s">
        <v>332</v>
      </c>
    </row>
    <row r="209" spans="1:6" ht="12.75">
      <c r="A209" s="130">
        <v>37</v>
      </c>
      <c r="B209" s="130" t="s">
        <v>3</v>
      </c>
      <c r="C209" s="130"/>
      <c r="D209" s="130">
        <f>(16637000-3560600)+(9003000+3560600)</f>
        <v>25640000</v>
      </c>
      <c r="E209" s="130"/>
      <c r="F209" s="130"/>
    </row>
    <row r="210" spans="1:6" ht="12.75">
      <c r="A210" s="130"/>
      <c r="B210" s="130" t="s">
        <v>4</v>
      </c>
      <c r="C210" s="130"/>
      <c r="D210" s="130"/>
      <c r="E210" s="130">
        <f>16637000-3560600</f>
        <v>13076400</v>
      </c>
      <c r="F210" s="130"/>
    </row>
    <row r="211" spans="1:6" ht="12.75">
      <c r="A211" s="130"/>
      <c r="B211" s="130" t="s">
        <v>71</v>
      </c>
      <c r="C211" s="130"/>
      <c r="D211" s="130"/>
      <c r="E211" s="130">
        <f>9003000+3560600</f>
        <v>12563600</v>
      </c>
      <c r="F211" s="130">
        <f>+D209-E210-E211</f>
        <v>0</v>
      </c>
    </row>
    <row r="212" ht="12.75">
      <c r="B212" s="114" t="s">
        <v>217</v>
      </c>
    </row>
    <row r="214" spans="1:5" ht="12.75">
      <c r="A214" s="114">
        <v>38</v>
      </c>
      <c r="B214" s="114" t="s">
        <v>58</v>
      </c>
      <c r="C214" s="114"/>
      <c r="D214" s="117">
        <v>102051</v>
      </c>
      <c r="E214" s="117"/>
    </row>
    <row r="215" spans="1:5" ht="12.75">
      <c r="A215" s="114"/>
      <c r="B215" s="114" t="s">
        <v>343</v>
      </c>
      <c r="C215" s="114"/>
      <c r="D215" s="117"/>
      <c r="E215" s="135">
        <v>51025.5</v>
      </c>
    </row>
    <row r="216" spans="1:5" ht="12.75">
      <c r="A216" s="114"/>
      <c r="B216" s="114" t="s">
        <v>276</v>
      </c>
      <c r="C216" s="114"/>
      <c r="D216" s="117"/>
      <c r="E216" s="135">
        <v>51025.5</v>
      </c>
    </row>
    <row r="217" spans="1:5" ht="12.75">
      <c r="A217" s="114"/>
      <c r="B217" s="114" t="s">
        <v>275</v>
      </c>
      <c r="C217" s="114"/>
      <c r="D217" s="117"/>
      <c r="E217" s="117"/>
    </row>
    <row r="218" spans="1:5" ht="12.75">
      <c r="A218" s="114"/>
      <c r="B218" s="114"/>
      <c r="C218" s="114"/>
      <c r="D218" s="117"/>
      <c r="E218" s="117"/>
    </row>
    <row r="219" spans="1:5" ht="12.75">
      <c r="A219" s="114">
        <v>39</v>
      </c>
      <c r="B219" s="114" t="s">
        <v>277</v>
      </c>
      <c r="C219" s="114"/>
      <c r="D219" s="135">
        <v>51025.5</v>
      </c>
      <c r="E219" s="117"/>
    </row>
    <row r="220" spans="1:5" ht="12.75">
      <c r="A220" s="114"/>
      <c r="B220" s="114" t="s">
        <v>279</v>
      </c>
      <c r="C220" s="114"/>
      <c r="D220" s="135">
        <f>109657.51</f>
        <v>109657.51</v>
      </c>
      <c r="E220" s="117"/>
    </row>
    <row r="221" spans="1:5" ht="12.75">
      <c r="A221" s="114"/>
      <c r="B221" s="114" t="s">
        <v>279</v>
      </c>
      <c r="C221" s="114"/>
      <c r="D221" s="135">
        <f>33214.01</f>
        <v>33214.01</v>
      </c>
      <c r="E221" s="117"/>
    </row>
    <row r="222" spans="1:5" ht="12.75">
      <c r="A222" s="114"/>
      <c r="B222" s="114" t="s">
        <v>283</v>
      </c>
      <c r="C222" s="114"/>
      <c r="D222" s="135">
        <f>+E223+E224-D219-D220-D221</f>
        <v>28041.95519999999</v>
      </c>
      <c r="E222" s="117"/>
    </row>
    <row r="223" spans="1:5" ht="12.75">
      <c r="A223" s="114"/>
      <c r="B223" s="114" t="s">
        <v>280</v>
      </c>
      <c r="C223" s="114"/>
      <c r="D223" s="117"/>
      <c r="E223" s="135">
        <f>200100</f>
        <v>200100</v>
      </c>
    </row>
    <row r="224" spans="1:6" ht="12.75">
      <c r="A224" s="114"/>
      <c r="B224" s="114" t="s">
        <v>67</v>
      </c>
      <c r="C224" s="114"/>
      <c r="D224" s="117"/>
      <c r="E224" s="135">
        <f>51025.5-57228.48*0.51</f>
        <v>21838.975199999997</v>
      </c>
      <c r="F224" s="136"/>
    </row>
    <row r="225" spans="1:5" ht="12.75">
      <c r="A225" s="114"/>
      <c r="B225" s="114" t="s">
        <v>278</v>
      </c>
      <c r="C225" s="114"/>
      <c r="D225" s="117"/>
      <c r="E225" s="117"/>
    </row>
    <row r="226" spans="1:5" ht="12.75">
      <c r="A226" s="130"/>
      <c r="B226" s="130"/>
      <c r="C226" s="130"/>
      <c r="D226" s="130"/>
      <c r="E226" s="130"/>
    </row>
    <row r="227" spans="1:5" ht="12.75">
      <c r="A227" s="130"/>
      <c r="B227" s="130" t="s">
        <v>284</v>
      </c>
      <c r="C227" s="130"/>
      <c r="D227" s="130"/>
      <c r="E227" s="130"/>
    </row>
    <row r="228" spans="1:5" ht="12.75">
      <c r="A228" s="130"/>
      <c r="B228" s="130" t="s">
        <v>281</v>
      </c>
      <c r="C228" s="130"/>
      <c r="D228" s="137">
        <f>200100*0.49</f>
        <v>98049</v>
      </c>
      <c r="E228" s="130"/>
    </row>
    <row r="229" spans="1:5" ht="12.75">
      <c r="A229" s="130"/>
      <c r="B229" s="130" t="s">
        <v>282</v>
      </c>
      <c r="C229" s="130"/>
      <c r="D229" s="137">
        <f>(-109657.51-33214.01)*0.49</f>
        <v>-70007.04479999999</v>
      </c>
      <c r="E229" s="130"/>
    </row>
    <row r="230" spans="1:5" ht="13.5" thickBot="1">
      <c r="A230" s="130"/>
      <c r="B230" s="130"/>
      <c r="C230" s="130"/>
      <c r="D230" s="138">
        <f>SUM(D228:D229)</f>
        <v>28041.95520000001</v>
      </c>
      <c r="E230" s="130"/>
    </row>
    <row r="231" spans="1:5" ht="13.5" thickTop="1">
      <c r="A231" s="130"/>
      <c r="B231" s="130"/>
      <c r="C231" s="130"/>
      <c r="D231" s="130"/>
      <c r="E231" s="130"/>
    </row>
    <row r="232" spans="1:6" ht="12.75">
      <c r="A232" s="130">
        <v>40</v>
      </c>
      <c r="B232" s="130" t="s">
        <v>298</v>
      </c>
      <c r="C232" s="130"/>
      <c r="D232" s="136">
        <v>478291</v>
      </c>
      <c r="E232" s="136"/>
      <c r="F232" s="130"/>
    </row>
    <row r="233" spans="1:6" ht="12.75">
      <c r="A233" s="130"/>
      <c r="B233" s="130" t="s">
        <v>75</v>
      </c>
      <c r="C233" s="130"/>
      <c r="D233" s="136">
        <v>459534</v>
      </c>
      <c r="E233" s="136"/>
      <c r="F233" s="130"/>
    </row>
    <row r="234" spans="1:6" ht="12.75">
      <c r="A234" s="130"/>
      <c r="B234" s="130" t="s">
        <v>299</v>
      </c>
      <c r="C234" s="130"/>
      <c r="D234" s="136"/>
      <c r="E234" s="136">
        <v>937825</v>
      </c>
      <c r="F234" s="130">
        <f>+D232+D233-E234</f>
        <v>0</v>
      </c>
    </row>
    <row r="235" spans="1:6" ht="12.75">
      <c r="A235" s="130"/>
      <c r="B235" s="130" t="s">
        <v>78</v>
      </c>
      <c r="C235" s="130"/>
      <c r="D235" s="130"/>
      <c r="E235" s="130"/>
      <c r="F235" s="130"/>
    </row>
    <row r="237" spans="1:6" ht="12.75">
      <c r="A237" s="130">
        <v>41</v>
      </c>
      <c r="B237" s="130" t="s">
        <v>292</v>
      </c>
      <c r="C237" s="130"/>
      <c r="D237" s="136">
        <v>290000</v>
      </c>
      <c r="E237" s="136"/>
      <c r="F237" s="130"/>
    </row>
    <row r="238" spans="1:6" ht="12.75">
      <c r="A238" s="130"/>
      <c r="B238" s="130" t="s">
        <v>293</v>
      </c>
      <c r="C238" s="130"/>
      <c r="D238" s="136">
        <v>28710000</v>
      </c>
      <c r="E238" s="136"/>
      <c r="F238" s="130"/>
    </row>
    <row r="239" spans="1:6" ht="12.75">
      <c r="A239" s="130"/>
      <c r="B239" s="130" t="s">
        <v>4</v>
      </c>
      <c r="C239" s="130"/>
      <c r="D239" s="136"/>
      <c r="E239" s="136">
        <f>(290000+28710000)*0.51</f>
        <v>14790000</v>
      </c>
      <c r="F239" s="130"/>
    </row>
    <row r="240" spans="1:6" ht="12.75">
      <c r="A240" s="130"/>
      <c r="B240" s="130" t="s">
        <v>295</v>
      </c>
      <c r="C240" s="130"/>
      <c r="D240" s="136"/>
      <c r="E240" s="136">
        <f>(290000+28710000)*0.49</f>
        <v>14210000</v>
      </c>
      <c r="F240" s="136">
        <f>+D237+D238-E239-E240</f>
        <v>0</v>
      </c>
    </row>
    <row r="241" spans="1:6" ht="12.75">
      <c r="A241" s="130"/>
      <c r="B241" s="130" t="s">
        <v>294</v>
      </c>
      <c r="C241" s="130"/>
      <c r="D241" s="130"/>
      <c r="E241" s="130"/>
      <c r="F241" s="130"/>
    </row>
    <row r="243" spans="1:5" ht="12.75">
      <c r="A243" s="114">
        <v>42</v>
      </c>
      <c r="B243" s="114" t="s">
        <v>58</v>
      </c>
      <c r="C243" s="114"/>
      <c r="D243" s="117">
        <v>560824.93</v>
      </c>
      <c r="E243" s="117"/>
    </row>
    <row r="244" spans="1:5" ht="12.75">
      <c r="A244" s="114"/>
      <c r="B244" s="114" t="s">
        <v>344</v>
      </c>
      <c r="C244" s="114"/>
      <c r="D244" s="117"/>
      <c r="E244" s="117">
        <v>560824.93</v>
      </c>
    </row>
    <row r="245" spans="1:5" ht="12.75">
      <c r="A245" s="114"/>
      <c r="B245" s="114" t="s">
        <v>296</v>
      </c>
      <c r="C245" s="114"/>
      <c r="D245" s="117"/>
      <c r="E245" s="117"/>
    </row>
    <row r="246" spans="1:5" ht="12.75">
      <c r="A246" s="114"/>
      <c r="B246" s="114"/>
      <c r="C246" s="114"/>
      <c r="D246" s="117"/>
      <c r="E246" s="117"/>
    </row>
    <row r="247" spans="1:5" ht="12.75">
      <c r="A247" s="114">
        <v>43</v>
      </c>
      <c r="B247" s="114" t="s">
        <v>303</v>
      </c>
      <c r="C247" s="114"/>
      <c r="D247" s="117">
        <v>1923314</v>
      </c>
      <c r="E247" s="117"/>
    </row>
    <row r="248" spans="1:5" ht="12.75">
      <c r="A248" s="114"/>
      <c r="B248" s="114" t="s">
        <v>303</v>
      </c>
      <c r="C248" s="114"/>
      <c r="D248" s="117">
        <v>566243</v>
      </c>
      <c r="E248" s="117"/>
    </row>
    <row r="249" spans="1:5" ht="12.75">
      <c r="A249" s="114"/>
      <c r="B249" s="114" t="s">
        <v>283</v>
      </c>
      <c r="C249" s="114"/>
      <c r="D249" s="117">
        <v>0</v>
      </c>
      <c r="E249" s="117"/>
    </row>
    <row r="250" spans="1:5" ht="12.75">
      <c r="A250" s="114"/>
      <c r="B250" s="114" t="s">
        <v>304</v>
      </c>
      <c r="C250" s="114"/>
      <c r="D250" s="117"/>
      <c r="E250" s="117">
        <v>2484139</v>
      </c>
    </row>
    <row r="251" spans="1:5" ht="12.75">
      <c r="A251" s="114"/>
      <c r="B251" s="114" t="s">
        <v>317</v>
      </c>
      <c r="C251" s="114"/>
      <c r="D251" s="117"/>
      <c r="E251" s="117">
        <v>5418</v>
      </c>
    </row>
    <row r="252" spans="1:6" ht="12.75">
      <c r="A252" s="114"/>
      <c r="B252" s="114" t="s">
        <v>318</v>
      </c>
      <c r="C252" s="114"/>
      <c r="D252" s="117"/>
      <c r="E252" s="117"/>
      <c r="F252" s="136"/>
    </row>
    <row r="253" spans="1:5" ht="12.75">
      <c r="A253" s="114"/>
      <c r="B253" s="114"/>
      <c r="C253" s="114"/>
      <c r="D253" s="117"/>
      <c r="E253" s="117"/>
    </row>
    <row r="254" spans="1:5" ht="12.75">
      <c r="A254" s="130">
        <v>44</v>
      </c>
      <c r="B254" s="130" t="s">
        <v>75</v>
      </c>
      <c r="C254" s="130"/>
      <c r="D254" s="137">
        <f>33214*0.49</f>
        <v>16274.86</v>
      </c>
      <c r="E254" s="137"/>
    </row>
    <row r="255" spans="2:5" ht="12.75">
      <c r="B255" s="114" t="s">
        <v>345</v>
      </c>
      <c r="D255" s="141"/>
      <c r="E255" s="137">
        <f>33214*0.49</f>
        <v>16274.86</v>
      </c>
    </row>
    <row r="256" ht="12.75">
      <c r="B256" s="114" t="s">
        <v>305</v>
      </c>
    </row>
    <row r="258" spans="1:6" ht="12.75">
      <c r="A258" s="130">
        <v>45</v>
      </c>
      <c r="B258" s="130" t="s">
        <v>36</v>
      </c>
      <c r="C258" s="130"/>
      <c r="D258" s="137">
        <v>180000</v>
      </c>
      <c r="E258" s="137"/>
      <c r="F258" s="118" t="s">
        <v>38</v>
      </c>
    </row>
    <row r="259" spans="2:5" ht="12.75">
      <c r="B259" s="114" t="s">
        <v>315</v>
      </c>
      <c r="D259" s="141"/>
      <c r="E259" s="137">
        <v>180000</v>
      </c>
    </row>
    <row r="260" ht="12.75">
      <c r="B260" s="114" t="s">
        <v>316</v>
      </c>
    </row>
    <row r="262" spans="1:6" ht="12.75">
      <c r="A262" s="114">
        <v>46</v>
      </c>
      <c r="B262" s="114" t="s">
        <v>319</v>
      </c>
      <c r="C262" s="114"/>
      <c r="D262" s="117">
        <v>286000</v>
      </c>
      <c r="E262" s="117"/>
      <c r="F262" s="118" t="s">
        <v>38</v>
      </c>
    </row>
    <row r="263" spans="1:5" ht="12.75">
      <c r="A263" s="114"/>
      <c r="B263" s="114" t="s">
        <v>320</v>
      </c>
      <c r="C263" s="114"/>
      <c r="D263" s="117">
        <v>154462</v>
      </c>
      <c r="E263" s="117"/>
    </row>
    <row r="264" spans="1:5" ht="12.75">
      <c r="A264" s="114"/>
      <c r="B264" s="114" t="s">
        <v>321</v>
      </c>
      <c r="C264" s="114"/>
      <c r="D264" s="117"/>
      <c r="E264" s="117">
        <v>286000</v>
      </c>
    </row>
    <row r="265" spans="1:5" ht="12.75">
      <c r="A265" s="114"/>
      <c r="B265" s="114" t="s">
        <v>322</v>
      </c>
      <c r="C265" s="114"/>
      <c r="D265" s="117"/>
      <c r="E265" s="117">
        <v>154462</v>
      </c>
    </row>
    <row r="266" spans="1:6" ht="12.75">
      <c r="A266" s="114"/>
      <c r="B266" s="114" t="s">
        <v>323</v>
      </c>
      <c r="C266" s="114"/>
      <c r="D266" s="117"/>
      <c r="E266" s="117"/>
      <c r="F266" s="136"/>
    </row>
    <row r="268" spans="1:5" ht="12.75">
      <c r="A268" s="130">
        <v>47</v>
      </c>
      <c r="B268" s="130" t="s">
        <v>346</v>
      </c>
      <c r="C268" s="130"/>
      <c r="D268" s="137">
        <v>14138</v>
      </c>
      <c r="E268" s="137"/>
    </row>
    <row r="269" spans="2:5" ht="12.75">
      <c r="B269" s="114" t="s">
        <v>324</v>
      </c>
      <c r="D269" s="141"/>
      <c r="E269" s="137">
        <v>14138</v>
      </c>
    </row>
    <row r="270" ht="12.75">
      <c r="B270" s="114" t="s">
        <v>325</v>
      </c>
    </row>
    <row r="272" spans="1:5" ht="12.75">
      <c r="A272" s="114">
        <v>48</v>
      </c>
      <c r="B272" s="114" t="s">
        <v>347</v>
      </c>
      <c r="C272" s="114"/>
      <c r="D272" s="147">
        <v>21832</v>
      </c>
      <c r="E272" s="146"/>
    </row>
    <row r="273" spans="1:5" ht="12.75">
      <c r="A273" s="114"/>
      <c r="B273" s="114" t="s">
        <v>348</v>
      </c>
      <c r="C273" s="114"/>
      <c r="D273" s="147">
        <v>97135</v>
      </c>
      <c r="E273" s="146"/>
    </row>
    <row r="274" spans="1:5" ht="12.75">
      <c r="A274" s="114"/>
      <c r="B274" s="114" t="s">
        <v>326</v>
      </c>
      <c r="C274" s="114"/>
      <c r="D274" s="146"/>
      <c r="E274" s="146"/>
    </row>
    <row r="275" spans="1:5" ht="12.75">
      <c r="A275" s="114"/>
      <c r="B275" s="114" t="s">
        <v>328</v>
      </c>
      <c r="C275" s="114"/>
      <c r="D275" s="146"/>
      <c r="E275" s="147">
        <f>545798/25</f>
        <v>21831.92</v>
      </c>
    </row>
    <row r="276" spans="1:5" ht="12.75">
      <c r="A276" s="114"/>
      <c r="B276" s="114" t="s">
        <v>329</v>
      </c>
      <c r="C276" s="114"/>
      <c r="D276" s="146"/>
      <c r="E276" s="147">
        <f>2428365/25</f>
        <v>97134.6</v>
      </c>
    </row>
    <row r="277" spans="1:6" ht="12.75">
      <c r="A277" s="114"/>
      <c r="B277" s="114" t="s">
        <v>327</v>
      </c>
      <c r="C277" s="114"/>
      <c r="D277" s="117"/>
      <c r="E277" s="117"/>
      <c r="F277" s="136"/>
    </row>
    <row r="278" spans="1:6" ht="12.75">
      <c r="A278" s="114"/>
      <c r="B278" s="144" t="s">
        <v>337</v>
      </c>
      <c r="C278" s="114"/>
      <c r="D278" s="117"/>
      <c r="E278" s="117"/>
      <c r="F278" s="136"/>
    </row>
    <row r="279" spans="1:6" ht="12.75">
      <c r="A279" s="114"/>
      <c r="B279" s="144" t="s">
        <v>338</v>
      </c>
      <c r="C279" s="114"/>
      <c r="D279" s="117"/>
      <c r="E279" s="117"/>
      <c r="F279" s="136"/>
    </row>
    <row r="281" spans="1:5" ht="12.75">
      <c r="A281" s="130">
        <v>49</v>
      </c>
      <c r="B281" s="130" t="s">
        <v>300</v>
      </c>
      <c r="C281" s="130"/>
      <c r="D281" s="137">
        <v>501761</v>
      </c>
      <c r="E281" s="137"/>
    </row>
    <row r="282" spans="2:5" ht="12.75">
      <c r="B282" s="114" t="s">
        <v>71</v>
      </c>
      <c r="D282" s="141"/>
      <c r="E282" s="137">
        <v>501761</v>
      </c>
    </row>
    <row r="283" ht="12.75">
      <c r="B283" s="114" t="s">
        <v>330</v>
      </c>
    </row>
    <row r="284" ht="12.75">
      <c r="B284" s="144" t="s">
        <v>335</v>
      </c>
    </row>
    <row r="286" spans="1:24" ht="12.75">
      <c r="A286" s="114">
        <v>50</v>
      </c>
      <c r="B286" s="114" t="s">
        <v>298</v>
      </c>
      <c r="C286" s="114"/>
      <c r="D286" s="114">
        <v>2777778</v>
      </c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</row>
    <row r="287" spans="1:24" ht="12.75">
      <c r="A287" s="114"/>
      <c r="B287" s="114" t="s">
        <v>299</v>
      </c>
      <c r="C287" s="114"/>
      <c r="D287" s="114"/>
      <c r="E287" s="117">
        <v>2000000</v>
      </c>
      <c r="F287" s="114"/>
      <c r="G287" s="114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</row>
    <row r="288" spans="1:24" ht="12.75">
      <c r="A288" s="114"/>
      <c r="B288" s="114" t="s">
        <v>84</v>
      </c>
      <c r="C288" s="114"/>
      <c r="D288" s="114"/>
      <c r="E288" s="117">
        <v>777778</v>
      </c>
      <c r="F288" s="117">
        <f>+D286-E287-E288</f>
        <v>0</v>
      </c>
      <c r="G288" s="114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</row>
    <row r="289" spans="1:24" ht="12.75">
      <c r="A289" s="114"/>
      <c r="B289" s="114" t="s">
        <v>85</v>
      </c>
      <c r="C289" s="114"/>
      <c r="D289" s="117"/>
      <c r="E289" s="117"/>
      <c r="F289" s="114"/>
      <c r="G289" s="114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</row>
    <row r="291" spans="1:5" ht="12.75">
      <c r="A291" s="130">
        <v>51</v>
      </c>
      <c r="B291" s="130" t="s">
        <v>334</v>
      </c>
      <c r="C291" s="130"/>
      <c r="D291" s="137">
        <v>282000</v>
      </c>
      <c r="E291" s="137"/>
    </row>
    <row r="292" spans="2:5" ht="12.75">
      <c r="B292" s="114" t="s">
        <v>349</v>
      </c>
      <c r="D292" s="141"/>
      <c r="E292" s="137">
        <v>282000</v>
      </c>
    </row>
    <row r="293" ht="12.75">
      <c r="B293" s="114" t="s">
        <v>333</v>
      </c>
    </row>
    <row r="295" spans="1:6" ht="12.75">
      <c r="A295" s="130">
        <v>52</v>
      </c>
      <c r="B295" s="130" t="s">
        <v>74</v>
      </c>
      <c r="C295" s="130"/>
      <c r="D295" s="130">
        <v>176846</v>
      </c>
      <c r="E295" s="130"/>
      <c r="F295" s="130"/>
    </row>
    <row r="296" spans="1:6" ht="12.75">
      <c r="A296" s="130"/>
      <c r="B296" s="130" t="s">
        <v>75</v>
      </c>
      <c r="C296" s="130"/>
      <c r="D296" s="130">
        <v>122336</v>
      </c>
      <c r="E296" s="130"/>
      <c r="F296" s="130"/>
    </row>
    <row r="297" spans="1:6" ht="12.75">
      <c r="A297" s="130"/>
      <c r="B297" s="130" t="s">
        <v>76</v>
      </c>
      <c r="C297" s="130"/>
      <c r="D297" s="130"/>
      <c r="E297" s="130">
        <v>249665</v>
      </c>
      <c r="F297" s="130"/>
    </row>
    <row r="298" spans="1:6" ht="12.75">
      <c r="A298" s="130"/>
      <c r="B298" s="130" t="s">
        <v>77</v>
      </c>
      <c r="C298" s="130"/>
      <c r="D298" s="130"/>
      <c r="E298" s="130">
        <v>49517</v>
      </c>
      <c r="F298" s="130">
        <f>+D295+D296-E297-E298</f>
        <v>0</v>
      </c>
    </row>
    <row r="299" spans="1:6" ht="12.75">
      <c r="A299" s="130"/>
      <c r="B299" s="130" t="s">
        <v>78</v>
      </c>
      <c r="C299" s="130"/>
      <c r="D299" s="130"/>
      <c r="E299" s="130"/>
      <c r="F299" s="130"/>
    </row>
  </sheetData>
  <printOptions/>
  <pageMargins left="0.75" right="0.34" top="0.41" bottom="0.4" header="0.17" footer="0.24"/>
  <pageSetup orientation="portrait" paperSize="9" r:id="rId1"/>
  <rowBreaks count="3" manualBreakCount="3">
    <brk id="123" max="255" man="1"/>
    <brk id="185" max="255" man="1"/>
    <brk id="2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J33" sqref="J33"/>
    </sheetView>
  </sheetViews>
  <sheetFormatPr defaultColWidth="9.140625" defaultRowHeight="12.75"/>
  <cols>
    <col min="1" max="1" width="29.140625" style="4" customWidth="1"/>
    <col min="2" max="2" width="11.57421875" style="2" customWidth="1"/>
    <col min="3" max="3" width="11.57421875" style="2" hidden="1" customWidth="1"/>
    <col min="4" max="4" width="11.57421875" style="2" customWidth="1"/>
    <col min="5" max="6" width="10.57421875" style="2" customWidth="1"/>
    <col min="7" max="7" width="13.28125" style="2" customWidth="1"/>
    <col min="8" max="8" width="10.57421875" style="2" customWidth="1"/>
    <col min="9" max="10" width="11.57421875" style="2" customWidth="1"/>
    <col min="11" max="13" width="10.57421875" style="2" hidden="1" customWidth="1"/>
    <col min="14" max="15" width="11.57421875" style="2" customWidth="1"/>
    <col min="16" max="16" width="13.140625" style="2" customWidth="1"/>
    <col min="17" max="17" width="17.28125" style="2" customWidth="1"/>
    <col min="18" max="18" width="10.7109375" style="63" customWidth="1"/>
    <col min="19" max="16384" width="9.140625" style="2" customWidth="1"/>
  </cols>
  <sheetData>
    <row r="1" ht="19.5">
      <c r="A1" s="1" t="s">
        <v>87</v>
      </c>
    </row>
    <row r="2" ht="19.5">
      <c r="A2" s="1"/>
    </row>
    <row r="3" spans="1:4" ht="19.5">
      <c r="A3" s="3" t="s">
        <v>350</v>
      </c>
      <c r="D3" s="72"/>
    </row>
    <row r="4" spans="5:10" ht="12.75">
      <c r="E4" s="6"/>
      <c r="J4" s="5"/>
    </row>
    <row r="5" spans="2:15" ht="12.75">
      <c r="B5" s="5"/>
      <c r="C5" s="5" t="s">
        <v>88</v>
      </c>
      <c r="D5" s="5"/>
      <c r="E5" s="5"/>
      <c r="F5" s="5"/>
      <c r="G5" s="5"/>
      <c r="I5" s="5"/>
      <c r="J5" s="5"/>
      <c r="K5" s="5"/>
      <c r="L5" s="5"/>
      <c r="M5" s="5"/>
      <c r="N5" s="5"/>
      <c r="O5" s="5"/>
    </row>
    <row r="6" spans="1:16" ht="12.75">
      <c r="A6" s="5" t="s">
        <v>89</v>
      </c>
      <c r="B6" s="5" t="s">
        <v>90</v>
      </c>
      <c r="C6" s="5" t="s">
        <v>91</v>
      </c>
      <c r="D6" s="5" t="s">
        <v>92</v>
      </c>
      <c r="E6" s="5" t="s">
        <v>93</v>
      </c>
      <c r="F6" s="5" t="s">
        <v>94</v>
      </c>
      <c r="G6" s="5" t="s">
        <v>95</v>
      </c>
      <c r="H6" s="5" t="s">
        <v>96</v>
      </c>
      <c r="I6" s="5" t="s">
        <v>97</v>
      </c>
      <c r="J6" s="5" t="s">
        <v>98</v>
      </c>
      <c r="K6" s="5" t="s">
        <v>99</v>
      </c>
      <c r="L6" s="5" t="s">
        <v>100</v>
      </c>
      <c r="M6" s="5" t="s">
        <v>101</v>
      </c>
      <c r="N6" s="5" t="s">
        <v>102</v>
      </c>
      <c r="O6" s="5" t="s">
        <v>103</v>
      </c>
      <c r="P6" s="5" t="s">
        <v>104</v>
      </c>
    </row>
    <row r="8" spans="1:16" ht="12.75">
      <c r="A8" s="4" t="s">
        <v>105</v>
      </c>
      <c r="B8" s="6">
        <f>43945064-8100</f>
        <v>43936964</v>
      </c>
      <c r="C8" s="6"/>
      <c r="D8" s="6">
        <f>5940352-650000+9270</f>
        <v>5299622</v>
      </c>
      <c r="E8" s="6">
        <v>1570561</v>
      </c>
      <c r="F8" s="6">
        <v>0</v>
      </c>
      <c r="G8" s="6">
        <v>6893</v>
      </c>
      <c r="H8" s="6">
        <v>354299</v>
      </c>
      <c r="I8" s="6">
        <v>0</v>
      </c>
      <c r="J8" s="6">
        <v>0</v>
      </c>
      <c r="K8" s="6">
        <v>0</v>
      </c>
      <c r="L8" s="6">
        <v>0</v>
      </c>
      <c r="M8" s="6">
        <f>649997-649997</f>
        <v>0</v>
      </c>
      <c r="N8" s="6">
        <f>3487370+120695+49503</f>
        <v>3657568</v>
      </c>
      <c r="O8" s="6">
        <v>-14138</v>
      </c>
      <c r="P8" s="6">
        <f>SUM(B8:O8)</f>
        <v>54811769</v>
      </c>
    </row>
    <row r="9" spans="1:16" ht="12.75">
      <c r="A9" s="4" t="s">
        <v>106</v>
      </c>
      <c r="B9" s="6">
        <v>0</v>
      </c>
      <c r="C9" s="6"/>
      <c r="D9" s="6">
        <f>590160</f>
        <v>590160</v>
      </c>
      <c r="E9" s="6"/>
      <c r="F9" s="6"/>
      <c r="G9" s="6"/>
      <c r="H9" s="6"/>
      <c r="I9" s="6"/>
      <c r="J9" s="6">
        <f>(179882235-407500)*0.2211+22414674*0.2211+((21572879-260516)*0.2211+(28677034*0.2211-6441572)+407500*0.2211-28)-(2277992*0.2211+(5302695*0.2211-1485687))-957825-(348300-97524)+(3152000*0.2211-1)</f>
        <v>48636804.560899995</v>
      </c>
      <c r="K9" s="6"/>
      <c r="L9" s="6">
        <v>0</v>
      </c>
      <c r="M9" s="6"/>
      <c r="N9" s="6">
        <f>28070400+6402597+825000+1000000+100000+20910000+2400</f>
        <v>57310397</v>
      </c>
      <c r="O9" s="6">
        <f>-1000000-13236710-595000-230000-590160-100000-2400-2100-2484109-20910000-2102+1500000+423284-102051+2100+6834113+2102-204000-(16637000-3560600)+102051-29000000*0.51+2060825-1500000</f>
        <v>-57900557</v>
      </c>
      <c r="P9" s="6">
        <f>SUM(B9:O9)</f>
        <v>48636804.5609</v>
      </c>
    </row>
    <row r="10" spans="1:16" ht="12.75">
      <c r="A10" s="4" t="s">
        <v>107</v>
      </c>
      <c r="B10" s="6"/>
      <c r="C10" s="6"/>
      <c r="D10" s="6"/>
      <c r="E10" s="6"/>
      <c r="F10" s="6">
        <v>0</v>
      </c>
      <c r="G10" s="6"/>
      <c r="H10" s="6"/>
      <c r="I10" s="6"/>
      <c r="J10" s="6"/>
      <c r="K10" s="6"/>
      <c r="L10" s="6">
        <v>0</v>
      </c>
      <c r="M10" s="6"/>
      <c r="N10" s="6"/>
      <c r="O10" s="6"/>
      <c r="P10" s="6">
        <f>SUM(B10:N10)</f>
        <v>0</v>
      </c>
    </row>
    <row r="11" spans="1:16" ht="12.75">
      <c r="A11" s="4" t="s">
        <v>108</v>
      </c>
      <c r="B11" s="6">
        <v>5660811</v>
      </c>
      <c r="C11" s="6">
        <v>0</v>
      </c>
      <c r="D11" s="6"/>
      <c r="E11" s="6"/>
      <c r="F11" s="6">
        <v>0</v>
      </c>
      <c r="G11" s="6"/>
      <c r="H11" s="6"/>
      <c r="I11" s="6"/>
      <c r="J11" s="6"/>
      <c r="K11" s="6">
        <v>0</v>
      </c>
      <c r="L11" s="6">
        <v>0</v>
      </c>
      <c r="M11" s="6">
        <v>0</v>
      </c>
      <c r="N11" s="6"/>
      <c r="O11" s="6">
        <v>0</v>
      </c>
      <c r="P11" s="6">
        <f>SUM(B11:O11)</f>
        <v>5660811</v>
      </c>
    </row>
    <row r="12" spans="1:16" ht="12.75">
      <c r="A12" s="4" t="s">
        <v>109</v>
      </c>
      <c r="B12" s="7">
        <f>2306946+97135</f>
        <v>2404081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>
        <f>247466+26269-51597+524160-335460-20966-10950+545798-10950-20966-118967</f>
        <v>773837</v>
      </c>
      <c r="P12" s="7">
        <f>SUM(B12:O12)</f>
        <v>3177918</v>
      </c>
    </row>
    <row r="13" spans="2:16" ht="12.75">
      <c r="B13" s="8">
        <f aca="true" t="shared" si="0" ref="B13:P13">SUM(B8:B12)</f>
        <v>52001856</v>
      </c>
      <c r="C13" s="8">
        <f t="shared" si="0"/>
        <v>0</v>
      </c>
      <c r="D13" s="8">
        <f t="shared" si="0"/>
        <v>5889782</v>
      </c>
      <c r="E13" s="8">
        <f t="shared" si="0"/>
        <v>1570561</v>
      </c>
      <c r="F13" s="8">
        <f t="shared" si="0"/>
        <v>0</v>
      </c>
      <c r="G13" s="8">
        <f t="shared" si="0"/>
        <v>6893</v>
      </c>
      <c r="H13" s="8">
        <f t="shared" si="0"/>
        <v>354299</v>
      </c>
      <c r="I13" s="8">
        <f t="shared" si="0"/>
        <v>0</v>
      </c>
      <c r="J13" s="8">
        <f t="shared" si="0"/>
        <v>48636804.560899995</v>
      </c>
      <c r="K13" s="8">
        <f t="shared" si="0"/>
        <v>0</v>
      </c>
      <c r="L13" s="8">
        <f t="shared" si="0"/>
        <v>0</v>
      </c>
      <c r="M13" s="8">
        <f t="shared" si="0"/>
        <v>0</v>
      </c>
      <c r="N13" s="8">
        <f t="shared" si="0"/>
        <v>60967965</v>
      </c>
      <c r="O13" s="8">
        <f t="shared" si="0"/>
        <v>-57140858</v>
      </c>
      <c r="P13" s="8">
        <f t="shared" si="0"/>
        <v>112287302.5609</v>
      </c>
    </row>
    <row r="14" spans="1:16" ht="12.75">
      <c r="A14" s="4" t="s">
        <v>110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2.75">
      <c r="A15" s="4" t="s">
        <v>111</v>
      </c>
      <c r="B15" s="6">
        <v>12392525</v>
      </c>
      <c r="C15" s="6"/>
      <c r="D15" s="6">
        <f>604817-12233</f>
        <v>592584</v>
      </c>
      <c r="E15" s="6"/>
      <c r="F15" s="6"/>
      <c r="G15" s="6"/>
      <c r="H15" s="6">
        <f>182853+3768</f>
        <v>186621</v>
      </c>
      <c r="I15" s="6">
        <v>0</v>
      </c>
      <c r="J15" s="6">
        <v>0</v>
      </c>
      <c r="K15" s="6"/>
      <c r="L15" s="6">
        <v>0</v>
      </c>
      <c r="M15" s="6"/>
      <c r="N15" s="6"/>
      <c r="O15" s="6">
        <v>-8570</v>
      </c>
      <c r="P15" s="6">
        <f>SUM(B15:O15)</f>
        <v>13163160</v>
      </c>
    </row>
    <row r="16" spans="1:16" ht="12.75">
      <c r="A16" s="4" t="s">
        <v>112</v>
      </c>
      <c r="B16" s="6">
        <v>20271997</v>
      </c>
      <c r="C16" s="6"/>
      <c r="D16" s="6">
        <f>3151090-105246</f>
        <v>3045844</v>
      </c>
      <c r="E16" s="6"/>
      <c r="F16" s="6"/>
      <c r="G16" s="6"/>
      <c r="H16" s="6">
        <v>161334</v>
      </c>
      <c r="I16" s="6">
        <v>0</v>
      </c>
      <c r="J16" s="6">
        <v>0</v>
      </c>
      <c r="K16" s="6"/>
      <c r="L16" s="6"/>
      <c r="M16" s="6"/>
      <c r="N16" s="6"/>
      <c r="O16" s="6"/>
      <c r="P16" s="6">
        <f>SUM(B16:O16)</f>
        <v>23479175</v>
      </c>
    </row>
    <row r="17" spans="1:16" ht="12.75">
      <c r="A17" s="4" t="s">
        <v>113</v>
      </c>
      <c r="B17" s="6">
        <v>1952350</v>
      </c>
      <c r="C17" s="6"/>
      <c r="D17" s="6">
        <v>474740</v>
      </c>
      <c r="E17" s="6">
        <v>0</v>
      </c>
      <c r="F17" s="6"/>
      <c r="G17" s="6">
        <v>0</v>
      </c>
      <c r="H17" s="6">
        <f>12782+7723+250</f>
        <v>20755</v>
      </c>
      <c r="I17" s="6">
        <v>400</v>
      </c>
      <c r="J17" s="6">
        <v>271</v>
      </c>
      <c r="K17" s="6">
        <v>0</v>
      </c>
      <c r="L17" s="6">
        <v>0</v>
      </c>
      <c r="M17" s="6"/>
      <c r="N17" s="6">
        <f>198154+152000+5135</f>
        <v>355289</v>
      </c>
      <c r="O17" s="6">
        <f>1959+337+7029+100013</f>
        <v>109338</v>
      </c>
      <c r="P17" s="6">
        <f>SUM(B17:O17)</f>
        <v>2913143</v>
      </c>
    </row>
    <row r="18" spans="1:16" ht="12.75">
      <c r="A18" s="4" t="s">
        <v>114</v>
      </c>
      <c r="B18" s="6">
        <v>21657197</v>
      </c>
      <c r="C18" s="6"/>
      <c r="D18" s="6">
        <v>25564</v>
      </c>
      <c r="E18" s="6"/>
      <c r="F18" s="6"/>
      <c r="G18" s="6"/>
      <c r="H18" s="6">
        <v>0</v>
      </c>
      <c r="I18" s="6">
        <v>0</v>
      </c>
      <c r="J18" s="6">
        <v>0</v>
      </c>
      <c r="K18" s="6">
        <v>0</v>
      </c>
      <c r="L18" s="6"/>
      <c r="M18" s="6"/>
      <c r="N18" s="6">
        <f>1410000+945000</f>
        <v>2355000</v>
      </c>
      <c r="O18" s="6"/>
      <c r="P18" s="6">
        <f>SUM(B18:N18)</f>
        <v>24037761</v>
      </c>
    </row>
    <row r="19" spans="1:16" ht="12.75">
      <c r="A19" s="4" t="s">
        <v>115</v>
      </c>
      <c r="B19" s="6">
        <v>3980320</v>
      </c>
      <c r="C19" s="6"/>
      <c r="D19" s="6">
        <v>1642459</v>
      </c>
      <c r="E19" s="6">
        <v>2</v>
      </c>
      <c r="F19" s="6">
        <v>139</v>
      </c>
      <c r="G19" s="6">
        <v>817</v>
      </c>
      <c r="H19" s="6">
        <f>1002+267918+3177+4135</f>
        <v>276232</v>
      </c>
      <c r="I19" s="6">
        <f>16889+452</f>
        <v>17341</v>
      </c>
      <c r="J19" s="6">
        <v>16898</v>
      </c>
      <c r="K19" s="6">
        <v>0</v>
      </c>
      <c r="L19" s="6">
        <v>0</v>
      </c>
      <c r="M19" s="6">
        <v>0</v>
      </c>
      <c r="N19" s="6">
        <f>502+665785+22002</f>
        <v>688289</v>
      </c>
      <c r="O19" s="6">
        <f>-51026+51026</f>
        <v>0</v>
      </c>
      <c r="P19" s="8">
        <f>SUM(B19:O19)</f>
        <v>6622497</v>
      </c>
    </row>
    <row r="20" spans="1:16" ht="12.75" hidden="1">
      <c r="A20" s="4" t="s">
        <v>116</v>
      </c>
      <c r="B20" s="6">
        <v>0</v>
      </c>
      <c r="C20" s="6"/>
      <c r="D20" s="6">
        <v>0</v>
      </c>
      <c r="E20" s="6"/>
      <c r="F20" s="6"/>
      <c r="G20" s="6"/>
      <c r="H20" s="6">
        <v>0</v>
      </c>
      <c r="I20" s="6">
        <v>0</v>
      </c>
      <c r="J20" s="6">
        <v>0</v>
      </c>
      <c r="K20" s="6"/>
      <c r="L20" s="6"/>
      <c r="M20" s="6"/>
      <c r="N20" s="6">
        <v>0</v>
      </c>
      <c r="O20" s="6"/>
      <c r="P20" s="8">
        <f>SUM(B20:N20)</f>
        <v>0</v>
      </c>
    </row>
    <row r="21" spans="1:17" ht="12.75">
      <c r="A21" s="4" t="s">
        <v>117</v>
      </c>
      <c r="B21" s="6">
        <v>18132</v>
      </c>
      <c r="C21" s="6"/>
      <c r="D21" s="6">
        <f>7391+194921-5545</f>
        <v>196767</v>
      </c>
      <c r="E21" s="6"/>
      <c r="F21" s="6"/>
      <c r="G21" s="6"/>
      <c r="H21" s="6">
        <f>710+3779+100013</f>
        <v>104502</v>
      </c>
      <c r="I21" s="6">
        <v>0</v>
      </c>
      <c r="J21" s="6">
        <v>0</v>
      </c>
      <c r="K21" s="6"/>
      <c r="L21" s="6"/>
      <c r="M21" s="6">
        <f>649997-83754-566243</f>
        <v>0</v>
      </c>
      <c r="N21" s="6">
        <f>-1560630+380749+7464-751853+249634+9296+3153717</f>
        <v>1488377</v>
      </c>
      <c r="O21" s="6">
        <f>-SUM(B21:N21)</f>
        <v>-1807778</v>
      </c>
      <c r="P21" s="8">
        <f>SUM(B21:O21)</f>
        <v>0</v>
      </c>
      <c r="Q21" s="63">
        <f>SUM(B21:N21)</f>
        <v>1807778</v>
      </c>
    </row>
    <row r="22" spans="1:17" ht="12.75">
      <c r="A22" s="4" t="s">
        <v>118</v>
      </c>
      <c r="B22" s="7">
        <v>0</v>
      </c>
      <c r="C22" s="7"/>
      <c r="D22" s="7">
        <v>3560629</v>
      </c>
      <c r="E22" s="7"/>
      <c r="F22" s="7"/>
      <c r="G22" s="7">
        <v>0</v>
      </c>
      <c r="H22" s="7">
        <v>0</v>
      </c>
      <c r="I22" s="7">
        <f>40927+710927</f>
        <v>751854</v>
      </c>
      <c r="J22" s="7">
        <v>0</v>
      </c>
      <c r="K22" s="7">
        <v>0</v>
      </c>
      <c r="L22" s="7"/>
      <c r="M22" s="7"/>
      <c r="N22" s="7"/>
      <c r="O22" s="7">
        <f>-SUM(B22:N22)</f>
        <v>-4312483</v>
      </c>
      <c r="P22" s="7">
        <f>SUM(B22:O22)</f>
        <v>0</v>
      </c>
      <c r="Q22" s="63">
        <f>SUM(B22:N22)</f>
        <v>4312483</v>
      </c>
    </row>
    <row r="23" spans="2:17" ht="12.75">
      <c r="B23" s="6">
        <f aca="true" t="shared" si="1" ref="B23:P23">SUM(B15:B22)</f>
        <v>60272521</v>
      </c>
      <c r="C23" s="6">
        <f t="shared" si="1"/>
        <v>0</v>
      </c>
      <c r="D23" s="6">
        <f t="shared" si="1"/>
        <v>9538587</v>
      </c>
      <c r="E23" s="6">
        <f t="shared" si="1"/>
        <v>2</v>
      </c>
      <c r="F23" s="6">
        <f t="shared" si="1"/>
        <v>139</v>
      </c>
      <c r="G23" s="6">
        <f t="shared" si="1"/>
        <v>817</v>
      </c>
      <c r="H23" s="6">
        <f t="shared" si="1"/>
        <v>749444</v>
      </c>
      <c r="I23" s="6">
        <f t="shared" si="1"/>
        <v>769595</v>
      </c>
      <c r="J23" s="6">
        <f t="shared" si="1"/>
        <v>17169</v>
      </c>
      <c r="K23" s="6">
        <f t="shared" si="1"/>
        <v>0</v>
      </c>
      <c r="L23" s="6">
        <f t="shared" si="1"/>
        <v>0</v>
      </c>
      <c r="M23" s="6">
        <f t="shared" si="1"/>
        <v>0</v>
      </c>
      <c r="N23" s="6">
        <f t="shared" si="1"/>
        <v>4886955</v>
      </c>
      <c r="O23" s="6">
        <f t="shared" si="1"/>
        <v>-6019493</v>
      </c>
      <c r="P23" s="6">
        <f t="shared" si="1"/>
        <v>70215736</v>
      </c>
      <c r="Q23" s="63"/>
    </row>
    <row r="24" spans="2:17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3"/>
    </row>
    <row r="25" spans="1:17" ht="12.75">
      <c r="A25" s="4" t="s">
        <v>119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3"/>
    </row>
    <row r="26" spans="1:17" ht="12.75">
      <c r="A26" s="4" t="s">
        <v>120</v>
      </c>
      <c r="B26" s="6">
        <v>7774917</v>
      </c>
      <c r="C26" s="6"/>
      <c r="D26" s="6">
        <v>1354550</v>
      </c>
      <c r="E26" s="6"/>
      <c r="F26" s="6"/>
      <c r="G26" s="6"/>
      <c r="H26" s="6">
        <v>74119</v>
      </c>
      <c r="I26" s="6">
        <v>1700</v>
      </c>
      <c r="J26" s="6">
        <v>0</v>
      </c>
      <c r="K26" s="6"/>
      <c r="L26" s="6">
        <v>0</v>
      </c>
      <c r="M26" s="6"/>
      <c r="N26" s="6"/>
      <c r="O26" s="6"/>
      <c r="P26" s="6">
        <f>SUM(B26:N26)</f>
        <v>9205286</v>
      </c>
      <c r="Q26" s="63"/>
    </row>
    <row r="27" spans="1:17" ht="12.75">
      <c r="A27" s="4" t="s">
        <v>121</v>
      </c>
      <c r="B27" s="6">
        <v>0</v>
      </c>
      <c r="C27" s="6"/>
      <c r="D27" s="6"/>
      <c r="E27" s="6"/>
      <c r="F27" s="6"/>
      <c r="G27" s="6"/>
      <c r="H27" s="6"/>
      <c r="I27" s="6">
        <v>0</v>
      </c>
      <c r="J27" s="6">
        <v>0</v>
      </c>
      <c r="K27" s="6">
        <v>0</v>
      </c>
      <c r="L27" s="6">
        <v>0</v>
      </c>
      <c r="M27" s="6"/>
      <c r="N27" s="6">
        <v>3000000</v>
      </c>
      <c r="O27" s="6"/>
      <c r="P27" s="6">
        <f>SUM(B27:N27)</f>
        <v>3000000</v>
      </c>
      <c r="Q27" s="63"/>
    </row>
    <row r="28" spans="1:17" ht="12.75">
      <c r="A28" s="4" t="s">
        <v>117</v>
      </c>
      <c r="B28" s="6">
        <v>0</v>
      </c>
      <c r="C28" s="6">
        <v>0</v>
      </c>
      <c r="D28" s="6">
        <v>0</v>
      </c>
      <c r="E28" s="6"/>
      <c r="F28" s="6"/>
      <c r="G28" s="6">
        <f>4251+9238+710</f>
        <v>14199</v>
      </c>
      <c r="H28" s="6">
        <v>13517</v>
      </c>
      <c r="I28" s="6">
        <v>0</v>
      </c>
      <c r="J28" s="6">
        <v>0</v>
      </c>
      <c r="K28" s="6"/>
      <c r="L28" s="6">
        <v>0</v>
      </c>
      <c r="M28" s="6"/>
      <c r="N28" s="6"/>
      <c r="O28" s="6">
        <f>-SUM(B28:N28)</f>
        <v>-27716</v>
      </c>
      <c r="P28" s="6">
        <f aca="true" t="shared" si="2" ref="P28:P34">SUM(B28:O28)</f>
        <v>0</v>
      </c>
      <c r="Q28" s="63">
        <f>SUM(B28:N28)</f>
        <v>27716</v>
      </c>
    </row>
    <row r="29" spans="1:17" ht="12.75">
      <c r="A29" s="4" t="s">
        <v>118</v>
      </c>
      <c r="B29" s="6">
        <v>3527437</v>
      </c>
      <c r="C29" s="6">
        <v>0</v>
      </c>
      <c r="D29" s="6">
        <v>2000000</v>
      </c>
      <c r="E29" s="6">
        <f>180600+4389+4387</f>
        <v>189376</v>
      </c>
      <c r="F29" s="6">
        <v>9296</v>
      </c>
      <c r="G29" s="6">
        <f>246634+3000</f>
        <v>249634</v>
      </c>
      <c r="H29" s="8">
        <v>7464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/>
      <c r="O29" s="6">
        <f>-SUM(B29:N29)</f>
        <v>-5983207</v>
      </c>
      <c r="P29" s="6">
        <f t="shared" si="2"/>
        <v>0</v>
      </c>
      <c r="Q29" s="63">
        <f>SUM(B29:N29)</f>
        <v>5983207</v>
      </c>
    </row>
    <row r="30" spans="1:17" ht="12.75">
      <c r="A30" s="4" t="s">
        <v>122</v>
      </c>
      <c r="B30" s="6"/>
      <c r="C30" s="6"/>
      <c r="D30" s="6"/>
      <c r="E30" s="6">
        <v>0</v>
      </c>
      <c r="F30" s="6"/>
      <c r="G30" s="6"/>
      <c r="H30" s="6"/>
      <c r="I30" s="6"/>
      <c r="J30" s="6"/>
      <c r="K30" s="6"/>
      <c r="L30" s="6"/>
      <c r="M30" s="6"/>
      <c r="N30" s="6"/>
      <c r="O30" s="6">
        <v>0</v>
      </c>
      <c r="P30" s="6">
        <f t="shared" si="2"/>
        <v>0</v>
      </c>
      <c r="Q30" s="63">
        <f>SUM(B30:N30)</f>
        <v>0</v>
      </c>
    </row>
    <row r="31" spans="1:17" ht="12.75">
      <c r="A31" s="4" t="s">
        <v>123</v>
      </c>
      <c r="B31" s="6">
        <v>8914063</v>
      </c>
      <c r="C31" s="6"/>
      <c r="D31" s="6">
        <f>1322511-105246-500000</f>
        <v>717265</v>
      </c>
      <c r="E31" s="6">
        <v>3754</v>
      </c>
      <c r="F31" s="6">
        <f>3106+2300</f>
        <v>5406</v>
      </c>
      <c r="G31" s="6">
        <v>500</v>
      </c>
      <c r="H31" s="6">
        <f>34340+4362+8613+9883+878+3330+3586</f>
        <v>64992</v>
      </c>
      <c r="I31" s="6">
        <v>500</v>
      </c>
      <c r="J31" s="6">
        <v>4496</v>
      </c>
      <c r="K31" s="6">
        <v>0</v>
      </c>
      <c r="L31" s="6">
        <v>0</v>
      </c>
      <c r="M31" s="6">
        <v>0</v>
      </c>
      <c r="N31" s="6">
        <f>7040+13015+3458316-3100616</f>
        <v>377755</v>
      </c>
      <c r="O31" s="6">
        <f>-5002+(B41+B42)*0.49+5418</f>
        <v>14210416</v>
      </c>
      <c r="P31" s="6">
        <f t="shared" si="2"/>
        <v>24299147</v>
      </c>
      <c r="Q31" s="63"/>
    </row>
    <row r="32" spans="1:17" ht="12.75">
      <c r="A32" s="4" t="s">
        <v>314</v>
      </c>
      <c r="B32" s="6">
        <v>350104</v>
      </c>
      <c r="C32" s="6"/>
      <c r="D32" s="6">
        <v>500000</v>
      </c>
      <c r="E32" s="6"/>
      <c r="F32" s="6"/>
      <c r="G32" s="6"/>
      <c r="H32" s="6"/>
      <c r="I32" s="6"/>
      <c r="J32" s="6"/>
      <c r="K32" s="6"/>
      <c r="L32" s="6"/>
      <c r="M32" s="6"/>
      <c r="N32" s="6">
        <v>3100616</v>
      </c>
      <c r="O32" s="6"/>
      <c r="P32" s="6">
        <f t="shared" si="2"/>
        <v>3950720</v>
      </c>
      <c r="Q32" s="63"/>
    </row>
    <row r="33" spans="1:17" ht="12.75">
      <c r="A33" s="4" t="s">
        <v>124</v>
      </c>
      <c r="B33" s="6">
        <v>0</v>
      </c>
      <c r="C33" s="6"/>
      <c r="D33" s="6"/>
      <c r="E33" s="6"/>
      <c r="F33" s="6"/>
      <c r="G33" s="6"/>
      <c r="H33" s="6"/>
      <c r="I33" s="6"/>
      <c r="J33" s="6">
        <f>1024002-1024002</f>
        <v>0</v>
      </c>
      <c r="K33" s="6"/>
      <c r="L33" s="6"/>
      <c r="M33" s="6"/>
      <c r="N33" s="6">
        <v>571824</v>
      </c>
      <c r="O33" s="6">
        <f>-475189-548813+1024002</f>
        <v>0</v>
      </c>
      <c r="P33" s="6">
        <f t="shared" si="2"/>
        <v>571824</v>
      </c>
      <c r="Q33" s="63"/>
    </row>
    <row r="34" spans="1:17" ht="12.75">
      <c r="A34" s="4" t="s">
        <v>125</v>
      </c>
      <c r="B34" s="7">
        <v>5527518</v>
      </c>
      <c r="C34" s="7"/>
      <c r="D34" s="7">
        <f>786746-17973-182000+181999</f>
        <v>768772</v>
      </c>
      <c r="E34" s="7">
        <f>5521+50170</f>
        <v>55691</v>
      </c>
      <c r="F34" s="7"/>
      <c r="G34" s="7"/>
      <c r="H34" s="7">
        <v>-106456</v>
      </c>
      <c r="I34" s="7">
        <v>27031</v>
      </c>
      <c r="J34" s="7">
        <v>5760</v>
      </c>
      <c r="K34" s="7"/>
      <c r="L34" s="7"/>
      <c r="M34" s="7"/>
      <c r="N34" s="7">
        <v>-1791504</v>
      </c>
      <c r="O34" s="7">
        <f>-118100+303208+84796+777778+777778-282000+49517</f>
        <v>1592977</v>
      </c>
      <c r="P34" s="7">
        <f t="shared" si="2"/>
        <v>6079789</v>
      </c>
      <c r="Q34" s="63">
        <f>+Q21+Q22-Q28-Q29-Q30</f>
        <v>109338</v>
      </c>
    </row>
    <row r="35" spans="2:17" ht="12.75">
      <c r="B35" s="6">
        <f aca="true" t="shared" si="3" ref="B35:P35">SUM(B26:B34)</f>
        <v>26094039</v>
      </c>
      <c r="C35" s="6">
        <f t="shared" si="3"/>
        <v>0</v>
      </c>
      <c r="D35" s="6">
        <f t="shared" si="3"/>
        <v>5340587</v>
      </c>
      <c r="E35" s="6">
        <f t="shared" si="3"/>
        <v>248821</v>
      </c>
      <c r="F35" s="6">
        <f t="shared" si="3"/>
        <v>14702</v>
      </c>
      <c r="G35" s="6">
        <f t="shared" si="3"/>
        <v>264333</v>
      </c>
      <c r="H35" s="6">
        <f t="shared" si="3"/>
        <v>53636</v>
      </c>
      <c r="I35" s="6">
        <f t="shared" si="3"/>
        <v>29231</v>
      </c>
      <c r="J35" s="6">
        <f t="shared" si="3"/>
        <v>10256</v>
      </c>
      <c r="K35" s="6">
        <f t="shared" si="3"/>
        <v>0</v>
      </c>
      <c r="L35" s="6">
        <f t="shared" si="3"/>
        <v>0</v>
      </c>
      <c r="M35" s="6">
        <f t="shared" si="3"/>
        <v>0</v>
      </c>
      <c r="N35" s="6">
        <f>SUM(N26:N34)</f>
        <v>5258691</v>
      </c>
      <c r="O35" s="6">
        <f>SUM(O26:O34)</f>
        <v>9792470</v>
      </c>
      <c r="P35" s="6">
        <f t="shared" si="3"/>
        <v>47106766</v>
      </c>
      <c r="Q35" s="6"/>
    </row>
    <row r="36" spans="1:16" ht="12.75">
      <c r="A36" s="4" t="s">
        <v>126</v>
      </c>
      <c r="B36" s="9">
        <f aca="true" t="shared" si="4" ref="B36:P36">+B23-B35</f>
        <v>34178482</v>
      </c>
      <c r="C36" s="9">
        <f t="shared" si="4"/>
        <v>0</v>
      </c>
      <c r="D36" s="9">
        <f t="shared" si="4"/>
        <v>4198000</v>
      </c>
      <c r="E36" s="9">
        <f t="shared" si="4"/>
        <v>-248819</v>
      </c>
      <c r="F36" s="9">
        <f t="shared" si="4"/>
        <v>-14563</v>
      </c>
      <c r="G36" s="9">
        <f t="shared" si="4"/>
        <v>-263516</v>
      </c>
      <c r="H36" s="9">
        <f t="shared" si="4"/>
        <v>695808</v>
      </c>
      <c r="I36" s="9">
        <f t="shared" si="4"/>
        <v>740364</v>
      </c>
      <c r="J36" s="9">
        <f t="shared" si="4"/>
        <v>6913</v>
      </c>
      <c r="K36" s="9">
        <f t="shared" si="4"/>
        <v>0</v>
      </c>
      <c r="L36" s="9">
        <f t="shared" si="4"/>
        <v>0</v>
      </c>
      <c r="M36" s="9">
        <f t="shared" si="4"/>
        <v>0</v>
      </c>
      <c r="N36" s="9">
        <f>+N23-N35</f>
        <v>-371736</v>
      </c>
      <c r="O36" s="9">
        <f>+O23-O35</f>
        <v>-15811963</v>
      </c>
      <c r="P36" s="9">
        <f t="shared" si="4"/>
        <v>23108970</v>
      </c>
    </row>
    <row r="37" spans="1:16" ht="13.5" thickBot="1">
      <c r="A37" s="4" t="s">
        <v>127</v>
      </c>
      <c r="B37" s="10">
        <f aca="true" t="shared" si="5" ref="B37:P37">+B13+B36</f>
        <v>86180338</v>
      </c>
      <c r="C37" s="10">
        <f t="shared" si="5"/>
        <v>0</v>
      </c>
      <c r="D37" s="10">
        <f t="shared" si="5"/>
        <v>10087782</v>
      </c>
      <c r="E37" s="10">
        <f t="shared" si="5"/>
        <v>1321742</v>
      </c>
      <c r="F37" s="10">
        <f t="shared" si="5"/>
        <v>-14563</v>
      </c>
      <c r="G37" s="10">
        <f t="shared" si="5"/>
        <v>-256623</v>
      </c>
      <c r="H37" s="10">
        <f t="shared" si="5"/>
        <v>1050107</v>
      </c>
      <c r="I37" s="10">
        <f t="shared" si="5"/>
        <v>740364</v>
      </c>
      <c r="J37" s="10">
        <f t="shared" si="5"/>
        <v>48643717.560899995</v>
      </c>
      <c r="K37" s="10">
        <f t="shared" si="5"/>
        <v>0</v>
      </c>
      <c r="L37" s="10">
        <f t="shared" si="5"/>
        <v>0</v>
      </c>
      <c r="M37" s="10">
        <f t="shared" si="5"/>
        <v>0</v>
      </c>
      <c r="N37" s="10">
        <f t="shared" si="5"/>
        <v>60596229</v>
      </c>
      <c r="O37" s="10">
        <f t="shared" si="5"/>
        <v>-72952821</v>
      </c>
      <c r="P37" s="10">
        <f t="shared" si="5"/>
        <v>135396272.5609</v>
      </c>
    </row>
    <row r="38" spans="2:16" ht="13.5" thickTop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ht="12.75">
      <c r="A39" s="4" t="s">
        <v>128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4" t="s">
        <v>129</v>
      </c>
      <c r="B40" s="6">
        <f>200000+9003000+16637000</f>
        <v>25840000</v>
      </c>
      <c r="C40" s="6">
        <v>0</v>
      </c>
      <c r="D40" s="6">
        <v>2000000</v>
      </c>
      <c r="E40" s="6">
        <v>66000</v>
      </c>
      <c r="F40" s="6">
        <v>2</v>
      </c>
      <c r="G40" s="6">
        <v>100000</v>
      </c>
      <c r="H40" s="6">
        <v>1000002</v>
      </c>
      <c r="I40" s="6">
        <v>500000</v>
      </c>
      <c r="J40" s="6">
        <f>3483002+12423298</f>
        <v>15906300</v>
      </c>
      <c r="K40" s="6">
        <v>0</v>
      </c>
      <c r="L40" s="6">
        <v>0</v>
      </c>
      <c r="M40" s="6">
        <v>0</v>
      </c>
      <c r="N40" s="6">
        <v>19855000</v>
      </c>
      <c r="O40" s="6">
        <f>-1000002-4000000-350000-150000-66000-100000-2-2-102051-98049-2484139+2+2000000-200000-15906300-(16637000-3560600)-(9003000+3560600)+200100+2484139</f>
        <v>-45412304</v>
      </c>
      <c r="P40" s="6">
        <f>SUM(B40:O40)</f>
        <v>19855000</v>
      </c>
    </row>
    <row r="41" spans="1:16" ht="12.75">
      <c r="A41" s="4" t="s">
        <v>291</v>
      </c>
      <c r="B41" s="6">
        <v>290000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-290000</v>
      </c>
      <c r="P41" s="6">
        <f>SUM(B41:O41)</f>
        <v>0</v>
      </c>
    </row>
    <row r="42" spans="1:16" ht="12.75">
      <c r="A42" s="4" t="s">
        <v>130</v>
      </c>
      <c r="B42" s="6">
        <v>28710000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f>1415049</f>
        <v>1415049</v>
      </c>
      <c r="O42" s="6">
        <v>-28710000</v>
      </c>
      <c r="P42" s="6">
        <f>SUM(B42:O42)</f>
        <v>1415049</v>
      </c>
    </row>
    <row r="43" spans="1:16" ht="12.75">
      <c r="A43" s="4" t="s">
        <v>131</v>
      </c>
      <c r="B43" s="6">
        <v>0</v>
      </c>
      <c r="C43" s="6"/>
      <c r="D43" s="6">
        <f>208013+8438</f>
        <v>216451</v>
      </c>
      <c r="E43" s="6">
        <v>1118386</v>
      </c>
      <c r="F43" s="6"/>
      <c r="G43" s="6"/>
      <c r="H43" s="6"/>
      <c r="I43" s="6"/>
      <c r="J43" s="6"/>
      <c r="K43" s="6"/>
      <c r="L43" s="6"/>
      <c r="M43" s="6"/>
      <c r="N43" s="6">
        <v>176855</v>
      </c>
      <c r="O43" s="6">
        <f>-1561726+2862215</f>
        <v>1300489</v>
      </c>
      <c r="P43" s="6">
        <f>SUM(B43:O43)</f>
        <v>2812181</v>
      </c>
    </row>
    <row r="44" spans="1:16" ht="12.75">
      <c r="A44" s="4" t="s">
        <v>132</v>
      </c>
      <c r="B44" s="6">
        <v>8419522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f>-8617278+615326+200000-2244+2244</f>
        <v>-7801952</v>
      </c>
      <c r="P44" s="6">
        <f>SUM(B44:O44)</f>
        <v>617570</v>
      </c>
    </row>
    <row r="45" spans="1:16" ht="12.75">
      <c r="A45" s="4" t="s">
        <v>133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>
        <f>-385920+385920</f>
        <v>0</v>
      </c>
      <c r="N45" s="6"/>
      <c r="O45" s="6"/>
      <c r="P45" s="6">
        <f>SUM(B45:N45)</f>
        <v>0</v>
      </c>
    </row>
    <row r="46" spans="1:17" ht="12.75">
      <c r="A46" s="4" t="s">
        <v>134</v>
      </c>
      <c r="B46" s="6">
        <f>16687600+97135-8100</f>
        <v>16776635</v>
      </c>
      <c r="C46" s="6"/>
      <c r="D46" s="6">
        <f>6429065-89000+128501-163068+534252</f>
        <v>6839750</v>
      </c>
      <c r="E46" s="6">
        <f>-55220+106622+106651</f>
        <v>158053</v>
      </c>
      <c r="F46" s="6">
        <f>-12905-1660</f>
        <v>-14565</v>
      </c>
      <c r="G46" s="6">
        <f>-30190.79-1500-306376-10052-8504</f>
        <v>-356622.79</v>
      </c>
      <c r="H46" s="6">
        <f>131397-3000-31388+34441</f>
        <v>131450</v>
      </c>
      <c r="I46" s="6">
        <f>255700.84-6204-3500-13620+7987</f>
        <v>240363.84</v>
      </c>
      <c r="J46" s="6">
        <f>2341644+(179882235-407500)*0.2211-18000000+4709838+3556653</f>
        <v>32289998.9085</v>
      </c>
      <c r="K46" s="6">
        <v>0</v>
      </c>
      <c r="L46" s="6">
        <v>0</v>
      </c>
      <c r="M46" s="6">
        <v>0</v>
      </c>
      <c r="N46" s="6">
        <f>29206583-900000+303208+9923804+651786</f>
        <v>39185381</v>
      </c>
      <c r="O46" s="6">
        <f>-7674984+2466-84097+30366-10950-40647-20966-314494-2398-2098-8570+24102-303208-2100+15002179-24023508-7770851-109658-1923314-9307125</f>
        <v>-36539855</v>
      </c>
      <c r="P46" s="6">
        <f>SUM(B46:O46)</f>
        <v>58710588.9585</v>
      </c>
      <c r="Q46" s="6"/>
    </row>
    <row r="47" spans="1:17" ht="12.75">
      <c r="A47" s="4" t="s">
        <v>135</v>
      </c>
      <c r="B47" s="7">
        <v>5048181</v>
      </c>
      <c r="C47" s="7"/>
      <c r="D47" s="7">
        <v>819581</v>
      </c>
      <c r="E47" s="7">
        <f>-12321-3989-4387</f>
        <v>-20697</v>
      </c>
      <c r="F47" s="7">
        <v>0</v>
      </c>
      <c r="G47" s="7">
        <v>0</v>
      </c>
      <c r="H47" s="7">
        <v>-142345</v>
      </c>
      <c r="I47" s="7">
        <v>0</v>
      </c>
      <c r="J47" s="7">
        <v>447419</v>
      </c>
      <c r="K47" s="7">
        <v>0</v>
      </c>
      <c r="L47" s="7">
        <v>0</v>
      </c>
      <c r="M47" s="7">
        <v>0</v>
      </c>
      <c r="N47" s="7">
        <v>-48056</v>
      </c>
      <c r="O47" s="7">
        <f>+conpl!S44</f>
        <v>-2742360.948</v>
      </c>
      <c r="P47" s="7">
        <f>+conpl!U44</f>
        <v>3361722.2520000003</v>
      </c>
      <c r="Q47" s="2">
        <f>SUM(B47:O47)</f>
        <v>3361722.052</v>
      </c>
    </row>
    <row r="48" spans="2:16" ht="12.75">
      <c r="B48" s="6">
        <f>SUM(B40:B47)</f>
        <v>85084338</v>
      </c>
      <c r="C48" s="6">
        <f>SUM(C40:C47)</f>
        <v>0</v>
      </c>
      <c r="D48" s="6">
        <f aca="true" t="shared" si="6" ref="D48:P48">SUM(D40:D47)</f>
        <v>9875782</v>
      </c>
      <c r="E48" s="6">
        <f t="shared" si="6"/>
        <v>1321742</v>
      </c>
      <c r="F48" s="6">
        <f t="shared" si="6"/>
        <v>-14563</v>
      </c>
      <c r="G48" s="6">
        <f t="shared" si="6"/>
        <v>-256622.78999999998</v>
      </c>
      <c r="H48" s="6">
        <f t="shared" si="6"/>
        <v>989107</v>
      </c>
      <c r="I48" s="6">
        <f t="shared" si="6"/>
        <v>740363.84</v>
      </c>
      <c r="J48" s="6">
        <f t="shared" si="6"/>
        <v>48643717.9085</v>
      </c>
      <c r="K48" s="6">
        <f t="shared" si="6"/>
        <v>0</v>
      </c>
      <c r="L48" s="6">
        <f t="shared" si="6"/>
        <v>0</v>
      </c>
      <c r="M48" s="6">
        <f t="shared" si="6"/>
        <v>0</v>
      </c>
      <c r="N48" s="6">
        <f t="shared" si="6"/>
        <v>60584229</v>
      </c>
      <c r="O48" s="6">
        <f t="shared" si="6"/>
        <v>-120195982.948</v>
      </c>
      <c r="P48" s="6">
        <f t="shared" si="6"/>
        <v>86772111.2105</v>
      </c>
    </row>
    <row r="49" spans="1:16" ht="12.75">
      <c r="A49" s="4" t="s">
        <v>136</v>
      </c>
      <c r="B49" s="6">
        <v>1096000</v>
      </c>
      <c r="C49" s="6"/>
      <c r="D49" s="6">
        <f>212000</f>
        <v>212000</v>
      </c>
      <c r="E49" s="6"/>
      <c r="F49" s="6"/>
      <c r="G49" s="6"/>
      <c r="H49" s="6">
        <f>48000+13000</f>
        <v>61000</v>
      </c>
      <c r="I49" s="6"/>
      <c r="J49" s="6"/>
      <c r="K49" s="6"/>
      <c r="L49" s="6"/>
      <c r="M49" s="6"/>
      <c r="N49" s="6">
        <v>12000</v>
      </c>
      <c r="O49" s="6">
        <v>99000</v>
      </c>
      <c r="P49" s="8">
        <f>SUM(B49:O49)</f>
        <v>1480000</v>
      </c>
    </row>
    <row r="50" spans="1:16" ht="12.75">
      <c r="A50" s="4" t="s">
        <v>137</v>
      </c>
      <c r="B50" s="6">
        <v>0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8">
        <f>SUM(B50:O50)</f>
        <v>0</v>
      </c>
    </row>
    <row r="51" spans="1:16" ht="12.75">
      <c r="A51" s="4" t="s">
        <v>138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f>2+30+98049-109658*0.49-33214*0.49+(B48-B44-B41-B42)*0.49+(J52)*0.49+548813-548813-548813-28042+501761</f>
        <v>47144161.335164994</v>
      </c>
      <c r="P51" s="8">
        <f>SUM(B51:O51)</f>
        <v>47144161.335164994</v>
      </c>
    </row>
    <row r="52" spans="2:16" ht="13.5" thickBot="1">
      <c r="B52" s="10">
        <f>SUM(B48:B51)</f>
        <v>86180338</v>
      </c>
      <c r="C52" s="10">
        <f>SUM(C48:C51)</f>
        <v>0</v>
      </c>
      <c r="D52" s="10">
        <f aca="true" t="shared" si="7" ref="D52:O52">SUM(D48:D51)</f>
        <v>10087782</v>
      </c>
      <c r="E52" s="10">
        <f t="shared" si="7"/>
        <v>1321742</v>
      </c>
      <c r="F52" s="10">
        <f t="shared" si="7"/>
        <v>-14563</v>
      </c>
      <c r="G52" s="10">
        <f t="shared" si="7"/>
        <v>-256622.78999999998</v>
      </c>
      <c r="H52" s="10">
        <f t="shared" si="7"/>
        <v>1050107</v>
      </c>
      <c r="I52" s="10">
        <f t="shared" si="7"/>
        <v>740363.84</v>
      </c>
      <c r="J52" s="10">
        <f t="shared" si="7"/>
        <v>48643717.9085</v>
      </c>
      <c r="K52" s="10">
        <f t="shared" si="7"/>
        <v>0</v>
      </c>
      <c r="L52" s="10">
        <f t="shared" si="7"/>
        <v>0</v>
      </c>
      <c r="M52" s="10">
        <f t="shared" si="7"/>
        <v>0</v>
      </c>
      <c r="N52" s="10">
        <f t="shared" si="7"/>
        <v>60596229</v>
      </c>
      <c r="O52" s="10">
        <f t="shared" si="7"/>
        <v>-72952821.612835</v>
      </c>
      <c r="P52" s="10">
        <f>SUM(P48:P51)</f>
        <v>135396272.545665</v>
      </c>
    </row>
    <row r="53" spans="2:16" ht="13.5" thickTop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f>+O37-O52</f>
        <v>0.6128350049257278</v>
      </c>
      <c r="P54" s="63">
        <f>+P52-P37</f>
        <v>-0.01523500680923462</v>
      </c>
    </row>
    <row r="55" spans="2:15" ht="12.75">
      <c r="B55" s="6">
        <f>+B37-B52</f>
        <v>0</v>
      </c>
      <c r="C55" s="6">
        <f>+C37-C52</f>
        <v>0</v>
      </c>
      <c r="D55" s="6">
        <f>+D37-D52</f>
        <v>0</v>
      </c>
      <c r="E55" s="6"/>
      <c r="F55" s="6"/>
      <c r="G55" s="6"/>
      <c r="H55" s="6"/>
      <c r="I55" s="25"/>
      <c r="J55" s="25"/>
      <c r="K55" s="25"/>
      <c r="L55" s="25"/>
      <c r="M55" s="25"/>
      <c r="N55" s="6"/>
      <c r="O55" s="6"/>
    </row>
    <row r="56" spans="2:16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.7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2.7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</sheetData>
  <printOptions/>
  <pageMargins left="0.45" right="0.1" top="0.21" bottom="0.19" header="0.15" footer="0.14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3"/>
  <sheetViews>
    <sheetView zoomScale="75" zoomScaleNormal="75" workbookViewId="0" topLeftCell="B1">
      <selection activeCell="R3" sqref="R3"/>
    </sheetView>
  </sheetViews>
  <sheetFormatPr defaultColWidth="9.140625" defaultRowHeight="12.75"/>
  <cols>
    <col min="1" max="1" width="31.00390625" style="4" customWidth="1"/>
    <col min="2" max="2" width="14.7109375" style="4" customWidth="1"/>
    <col min="3" max="5" width="14.7109375" style="2" customWidth="1"/>
    <col min="6" max="11" width="14.7109375" style="2" hidden="1" customWidth="1"/>
    <col min="12" max="13" width="14.7109375" style="2" customWidth="1"/>
    <col min="14" max="15" width="14.7109375" style="2" hidden="1" customWidth="1"/>
    <col min="16" max="18" width="14.7109375" style="2" customWidth="1"/>
    <col min="19" max="19" width="11.7109375" style="2" customWidth="1"/>
    <col min="20" max="20" width="14.7109375" style="2" customWidth="1"/>
    <col min="21" max="21" width="13.57421875" style="2" customWidth="1"/>
    <col min="22" max="16384" width="9.140625" style="2" customWidth="1"/>
  </cols>
  <sheetData>
    <row r="1" spans="1:2" ht="23.25" customHeight="1">
      <c r="A1" s="1" t="s">
        <v>87</v>
      </c>
      <c r="B1" s="1"/>
    </row>
    <row r="2" spans="1:2" ht="19.5">
      <c r="A2" s="1"/>
      <c r="B2" s="1"/>
    </row>
    <row r="3" spans="1:2" ht="19.5">
      <c r="A3" s="3" t="s">
        <v>351</v>
      </c>
      <c r="B3" s="3"/>
    </row>
    <row r="6" spans="1:21" ht="12.75">
      <c r="A6" s="26" t="s">
        <v>89</v>
      </c>
      <c r="B6" s="145" t="s">
        <v>139</v>
      </c>
      <c r="C6" s="100"/>
      <c r="D6" s="99" t="s">
        <v>92</v>
      </c>
      <c r="E6" s="100"/>
      <c r="F6" s="99" t="s">
        <v>93</v>
      </c>
      <c r="G6" s="139"/>
      <c r="H6" s="99" t="s">
        <v>94</v>
      </c>
      <c r="I6" s="100"/>
      <c r="J6" s="99" t="s">
        <v>95</v>
      </c>
      <c r="K6" s="139"/>
      <c r="L6" s="99" t="s">
        <v>96</v>
      </c>
      <c r="M6" s="100"/>
      <c r="N6" s="99" t="s">
        <v>97</v>
      </c>
      <c r="O6" s="100"/>
      <c r="P6" s="99" t="s">
        <v>102</v>
      </c>
      <c r="Q6" s="100"/>
      <c r="R6" s="98" t="s">
        <v>98</v>
      </c>
      <c r="S6" s="64"/>
      <c r="T6" s="99" t="s">
        <v>140</v>
      </c>
      <c r="U6" s="100"/>
    </row>
    <row r="7" spans="1:21" ht="12.75">
      <c r="A7" s="27"/>
      <c r="B7" s="33" t="s">
        <v>141</v>
      </c>
      <c r="C7" s="34" t="s">
        <v>142</v>
      </c>
      <c r="D7" s="33" t="s">
        <v>141</v>
      </c>
      <c r="E7" s="26" t="s">
        <v>142</v>
      </c>
      <c r="F7" s="33" t="s">
        <v>141</v>
      </c>
      <c r="G7" s="34" t="s">
        <v>142</v>
      </c>
      <c r="H7" s="48" t="s">
        <v>144</v>
      </c>
      <c r="I7" s="26" t="s">
        <v>142</v>
      </c>
      <c r="J7" s="33" t="s">
        <v>144</v>
      </c>
      <c r="K7" s="34" t="s">
        <v>142</v>
      </c>
      <c r="L7" s="33" t="s">
        <v>141</v>
      </c>
      <c r="M7" s="49" t="s">
        <v>142</v>
      </c>
      <c r="N7" s="33" t="s">
        <v>144</v>
      </c>
      <c r="O7" s="49" t="s">
        <v>142</v>
      </c>
      <c r="P7" s="97" t="s">
        <v>141</v>
      </c>
      <c r="Q7" s="26" t="s">
        <v>142</v>
      </c>
      <c r="R7" s="71" t="s">
        <v>142</v>
      </c>
      <c r="S7" s="71" t="s">
        <v>145</v>
      </c>
      <c r="T7" s="33" t="s">
        <v>141</v>
      </c>
      <c r="U7" s="34" t="s">
        <v>142</v>
      </c>
    </row>
    <row r="8" spans="1:21" ht="12.75">
      <c r="A8" s="28"/>
      <c r="B8" s="35" t="s">
        <v>146</v>
      </c>
      <c r="C8" s="36" t="s">
        <v>146</v>
      </c>
      <c r="D8" s="30" t="s">
        <v>146</v>
      </c>
      <c r="E8" s="11" t="s">
        <v>146</v>
      </c>
      <c r="F8" s="35" t="s">
        <v>146</v>
      </c>
      <c r="G8" s="36" t="s">
        <v>146</v>
      </c>
      <c r="H8" s="50" t="s">
        <v>146</v>
      </c>
      <c r="I8" s="11" t="s">
        <v>146</v>
      </c>
      <c r="J8" s="35" t="s">
        <v>146</v>
      </c>
      <c r="K8" s="36" t="s">
        <v>146</v>
      </c>
      <c r="L8" s="50" t="s">
        <v>146</v>
      </c>
      <c r="M8" s="51" t="s">
        <v>146</v>
      </c>
      <c r="N8" s="50" t="s">
        <v>146</v>
      </c>
      <c r="O8" s="51" t="s">
        <v>146</v>
      </c>
      <c r="P8" s="30" t="s">
        <v>146</v>
      </c>
      <c r="Q8" s="11" t="s">
        <v>146</v>
      </c>
      <c r="R8" s="65" t="s">
        <v>146</v>
      </c>
      <c r="S8" s="65"/>
      <c r="T8" s="35" t="s">
        <v>146</v>
      </c>
      <c r="U8" s="36" t="s">
        <v>146</v>
      </c>
    </row>
    <row r="9" spans="1:21" ht="12.75">
      <c r="A9" s="27" t="s">
        <v>147</v>
      </c>
      <c r="B9" s="37">
        <f>24892673-15593906</f>
        <v>9298767</v>
      </c>
      <c r="C9" s="38">
        <v>24892673</v>
      </c>
      <c r="D9" s="14">
        <v>1493117</v>
      </c>
      <c r="E9" s="13">
        <v>4136576</v>
      </c>
      <c r="F9" s="39">
        <v>0</v>
      </c>
      <c r="G9" s="38">
        <v>0</v>
      </c>
      <c r="H9" s="52">
        <v>0</v>
      </c>
      <c r="I9" s="13">
        <v>0</v>
      </c>
      <c r="J9" s="39">
        <v>0</v>
      </c>
      <c r="K9" s="38">
        <v>0</v>
      </c>
      <c r="L9" s="52">
        <f>348473-269926</f>
        <v>78547</v>
      </c>
      <c r="M9" s="53">
        <v>348473</v>
      </c>
      <c r="N9" s="52">
        <v>0</v>
      </c>
      <c r="O9" s="53">
        <v>0</v>
      </c>
      <c r="P9" s="14">
        <v>0</v>
      </c>
      <c r="Q9" s="13">
        <f>1500+176846</f>
        <v>178346</v>
      </c>
      <c r="R9" s="66"/>
      <c r="S9" s="66">
        <v>-176846</v>
      </c>
      <c r="T9" s="39">
        <f>+B9+D9+L9+N9+P9+F9+J9+H9</f>
        <v>10870431</v>
      </c>
      <c r="U9" s="60">
        <f>+C9+E9+M9+O9+Q9+G9+S9+K9+I9</f>
        <v>29379222</v>
      </c>
    </row>
    <row r="10" spans="1:21" ht="12.75">
      <c r="A10" s="27" t="s">
        <v>148</v>
      </c>
      <c r="B10" s="37"/>
      <c r="C10" s="38"/>
      <c r="D10" s="14"/>
      <c r="E10" s="13"/>
      <c r="F10" s="39"/>
      <c r="G10" s="38"/>
      <c r="H10" s="52"/>
      <c r="I10" s="13"/>
      <c r="J10" s="39"/>
      <c r="K10" s="38"/>
      <c r="L10" s="52"/>
      <c r="M10" s="53"/>
      <c r="N10" s="52"/>
      <c r="O10" s="53"/>
      <c r="P10" s="14"/>
      <c r="Q10" s="13"/>
      <c r="R10" s="66"/>
      <c r="S10" s="66"/>
      <c r="T10" s="39"/>
      <c r="U10" s="60"/>
    </row>
    <row r="11" spans="1:21" ht="12.75">
      <c r="A11" s="27" t="s">
        <v>149</v>
      </c>
      <c r="B11" s="37">
        <f>17120341-10660723</f>
        <v>6459618</v>
      </c>
      <c r="C11" s="38">
        <v>17120341</v>
      </c>
      <c r="D11" s="14">
        <v>965076</v>
      </c>
      <c r="E11" s="13">
        <v>2696490</v>
      </c>
      <c r="F11" s="39">
        <v>0</v>
      </c>
      <c r="G11" s="38"/>
      <c r="H11" s="52">
        <v>0</v>
      </c>
      <c r="I11" s="13"/>
      <c r="J11" s="39">
        <v>0</v>
      </c>
      <c r="K11" s="38">
        <v>0</v>
      </c>
      <c r="L11" s="52">
        <f>383701-277038</f>
        <v>106663</v>
      </c>
      <c r="M11" s="53">
        <v>383701</v>
      </c>
      <c r="N11" s="52">
        <v>0</v>
      </c>
      <c r="O11" s="53">
        <f>8773-8773</f>
        <v>0</v>
      </c>
      <c r="P11" s="14"/>
      <c r="Q11" s="13"/>
      <c r="R11" s="66"/>
      <c r="S11" s="66">
        <v>0</v>
      </c>
      <c r="T11" s="39">
        <f>+B11+D11+L11+N11+P11+F11+J11+H11</f>
        <v>7531357</v>
      </c>
      <c r="U11" s="60">
        <f>+C11+E11+M11+O11+Q11+G11+S11+K11+I11</f>
        <v>20200532</v>
      </c>
    </row>
    <row r="12" spans="1:21" ht="12.75">
      <c r="A12" s="27"/>
      <c r="B12" s="37"/>
      <c r="C12" s="38"/>
      <c r="D12" s="14"/>
      <c r="E12" s="13"/>
      <c r="F12" s="39"/>
      <c r="G12" s="38"/>
      <c r="H12" s="52"/>
      <c r="I12" s="13"/>
      <c r="J12" s="39"/>
      <c r="K12" s="38"/>
      <c r="L12" s="52"/>
      <c r="M12" s="53"/>
      <c r="N12" s="52"/>
      <c r="O12" s="53"/>
      <c r="P12" s="14"/>
      <c r="Q12" s="13"/>
      <c r="R12" s="66"/>
      <c r="S12" s="66"/>
      <c r="T12" s="39"/>
      <c r="U12" s="60"/>
    </row>
    <row r="13" spans="1:21" ht="12.75">
      <c r="A13" s="27" t="s">
        <v>150</v>
      </c>
      <c r="B13" s="39">
        <f aca="true" t="shared" si="0" ref="B13:I13">+B9-B11</f>
        <v>2839149</v>
      </c>
      <c r="C13" s="38">
        <f t="shared" si="0"/>
        <v>7772332</v>
      </c>
      <c r="D13" s="14">
        <f t="shared" si="0"/>
        <v>528041</v>
      </c>
      <c r="E13" s="13">
        <f t="shared" si="0"/>
        <v>1440086</v>
      </c>
      <c r="F13" s="39">
        <f t="shared" si="0"/>
        <v>0</v>
      </c>
      <c r="G13" s="14">
        <f t="shared" si="0"/>
        <v>0</v>
      </c>
      <c r="H13" s="52">
        <f t="shared" si="0"/>
        <v>0</v>
      </c>
      <c r="I13" s="13">
        <f t="shared" si="0"/>
        <v>0</v>
      </c>
      <c r="J13" s="39">
        <f aca="true" t="shared" si="1" ref="J13:Q13">+J9-J11</f>
        <v>0</v>
      </c>
      <c r="K13" s="38">
        <f t="shared" si="1"/>
        <v>0</v>
      </c>
      <c r="L13" s="52">
        <f t="shared" si="1"/>
        <v>-28116</v>
      </c>
      <c r="M13" s="53">
        <f t="shared" si="1"/>
        <v>-35228</v>
      </c>
      <c r="N13" s="52">
        <f t="shared" si="1"/>
        <v>0</v>
      </c>
      <c r="O13" s="53">
        <f t="shared" si="1"/>
        <v>0</v>
      </c>
      <c r="P13" s="12">
        <f t="shared" si="1"/>
        <v>0</v>
      </c>
      <c r="Q13" s="13">
        <f t="shared" si="1"/>
        <v>178346</v>
      </c>
      <c r="R13" s="66">
        <f>+R9-R11</f>
        <v>0</v>
      </c>
      <c r="S13" s="66"/>
      <c r="T13" s="39">
        <f>+T9-T11</f>
        <v>3339074</v>
      </c>
      <c r="U13" s="53">
        <f>+U9-U11</f>
        <v>9178690</v>
      </c>
    </row>
    <row r="14" spans="1:21" ht="12.75">
      <c r="A14" s="27" t="s">
        <v>148</v>
      </c>
      <c r="B14" s="39"/>
      <c r="C14" s="38"/>
      <c r="D14" s="14"/>
      <c r="E14" s="13"/>
      <c r="F14" s="39"/>
      <c r="G14" s="38"/>
      <c r="H14" s="52"/>
      <c r="I14" s="13"/>
      <c r="J14" s="39"/>
      <c r="K14" s="38"/>
      <c r="L14" s="52"/>
      <c r="M14" s="53"/>
      <c r="N14" s="52"/>
      <c r="O14" s="53"/>
      <c r="P14" s="12"/>
      <c r="Q14" s="13"/>
      <c r="R14" s="66"/>
      <c r="S14" s="66"/>
      <c r="T14" s="39"/>
      <c r="U14" s="53"/>
    </row>
    <row r="15" spans="1:21" s="18" customFormat="1" ht="12.75">
      <c r="A15" s="29" t="s">
        <v>151</v>
      </c>
      <c r="B15" s="40">
        <f>+B13/B9</f>
        <v>0.30532531893744624</v>
      </c>
      <c r="C15" s="41">
        <f>+C13/C9</f>
        <v>0.31223372435736413</v>
      </c>
      <c r="D15" s="16">
        <f>+D13/D9</f>
        <v>0.3536501158315122</v>
      </c>
      <c r="E15" s="17">
        <f>+E13/E9</f>
        <v>0.34813478587121327</v>
      </c>
      <c r="F15" s="40"/>
      <c r="G15" s="41"/>
      <c r="H15" s="54"/>
      <c r="I15" s="17"/>
      <c r="J15" s="40"/>
      <c r="K15" s="41"/>
      <c r="L15" s="54">
        <f>+L13/L9</f>
        <v>-0.3579512903102601</v>
      </c>
      <c r="M15" s="55">
        <f>+M13/M9</f>
        <v>-0.10109248062260204</v>
      </c>
      <c r="N15" s="54"/>
      <c r="O15" s="55" t="e">
        <f>+O13/O9</f>
        <v>#DIV/0!</v>
      </c>
      <c r="P15" s="15"/>
      <c r="Q15" s="17"/>
      <c r="R15" s="67"/>
      <c r="S15" s="67"/>
      <c r="T15" s="40">
        <f>+T13/T9</f>
        <v>0.3071703412679773</v>
      </c>
      <c r="U15" s="55">
        <f>+U13/U9</f>
        <v>0.3124211389940823</v>
      </c>
    </row>
    <row r="16" spans="1:21" ht="12.75">
      <c r="A16" s="27" t="s">
        <v>148</v>
      </c>
      <c r="B16" s="37"/>
      <c r="C16" s="38"/>
      <c r="D16" s="14"/>
      <c r="E16" s="13"/>
      <c r="F16" s="39"/>
      <c r="G16" s="38"/>
      <c r="H16" s="52"/>
      <c r="I16" s="13"/>
      <c r="J16" s="39"/>
      <c r="K16" s="38"/>
      <c r="L16" s="52"/>
      <c r="M16" s="53"/>
      <c r="N16" s="52"/>
      <c r="O16" s="53"/>
      <c r="P16" s="14"/>
      <c r="Q16" s="13"/>
      <c r="R16" s="66"/>
      <c r="S16" s="66"/>
      <c r="T16" s="39"/>
      <c r="U16" s="60"/>
    </row>
    <row r="17" spans="1:21" ht="12.75">
      <c r="A17" s="27" t="s">
        <v>152</v>
      </c>
      <c r="B17" s="39">
        <f>993461-660397</f>
        <v>333064</v>
      </c>
      <c r="C17" s="38">
        <v>993461</v>
      </c>
      <c r="D17" s="14">
        <f>87744+232</f>
        <v>87976</v>
      </c>
      <c r="E17" s="13">
        <f>251372+1062</f>
        <v>252434</v>
      </c>
      <c r="F17" s="39">
        <v>4387</v>
      </c>
      <c r="G17" s="38">
        <f>12321+3989+4387</f>
        <v>20697</v>
      </c>
      <c r="H17" s="52">
        <v>0</v>
      </c>
      <c r="I17" s="13">
        <v>0</v>
      </c>
      <c r="J17" s="39">
        <v>0</v>
      </c>
      <c r="K17" s="38">
        <v>0</v>
      </c>
      <c r="L17" s="52">
        <f>(101113-67761)+(689-457)</f>
        <v>33584</v>
      </c>
      <c r="M17" s="53">
        <f>101113+689</f>
        <v>101802</v>
      </c>
      <c r="N17" s="52">
        <v>0</v>
      </c>
      <c r="O17" s="53">
        <v>0</v>
      </c>
      <c r="P17" s="14">
        <f>75062+40+1534</f>
        <v>76636</v>
      </c>
      <c r="Q17" s="13">
        <f>193400+75+4932</f>
        <v>198407</v>
      </c>
      <c r="R17" s="66">
        <v>3</v>
      </c>
      <c r="S17" s="66">
        <v>0</v>
      </c>
      <c r="T17" s="39">
        <f>+B17+D17+L17+N17+P17+F17+J17+H17</f>
        <v>535647</v>
      </c>
      <c r="U17" s="60">
        <f>+C17+E17+M17+O17+Q17+G17+S17+K17+I17+R17</f>
        <v>1566804</v>
      </c>
    </row>
    <row r="18" spans="1:21" ht="12.75">
      <c r="A18" s="27" t="s">
        <v>311</v>
      </c>
      <c r="B18" s="37">
        <v>0</v>
      </c>
      <c r="C18" s="38">
        <v>0</v>
      </c>
      <c r="D18" s="14">
        <v>26990</v>
      </c>
      <c r="E18" s="13">
        <v>69358</v>
      </c>
      <c r="F18" s="39"/>
      <c r="G18" s="38"/>
      <c r="H18" s="52"/>
      <c r="I18" s="13"/>
      <c r="J18" s="39"/>
      <c r="K18" s="38"/>
      <c r="L18" s="52">
        <f>5315-4315</f>
        <v>1000</v>
      </c>
      <c r="M18" s="53">
        <v>5315</v>
      </c>
      <c r="N18" s="52"/>
      <c r="O18" s="53">
        <v>0</v>
      </c>
      <c r="P18" s="14"/>
      <c r="Q18" s="13"/>
      <c r="R18" s="66"/>
      <c r="S18" s="66"/>
      <c r="T18" s="39">
        <f>+B18+D18+L18+N18+P18+F18+J18+H18</f>
        <v>27990</v>
      </c>
      <c r="U18" s="60">
        <f>+C18+E18+M18+O18+Q18+G18+S18+K18+I18</f>
        <v>74673</v>
      </c>
    </row>
    <row r="19" spans="1:21" ht="12.75">
      <c r="A19" s="27" t="s">
        <v>309</v>
      </c>
      <c r="B19" s="37">
        <f>66053-64430</f>
        <v>1623</v>
      </c>
      <c r="C19" s="38">
        <v>66053</v>
      </c>
      <c r="D19" s="14">
        <v>0</v>
      </c>
      <c r="E19" s="13">
        <v>0</v>
      </c>
      <c r="F19" s="39"/>
      <c r="G19" s="38"/>
      <c r="H19" s="52"/>
      <c r="I19" s="13"/>
      <c r="J19" s="39"/>
      <c r="K19" s="38"/>
      <c r="L19" s="52"/>
      <c r="M19" s="53"/>
      <c r="N19" s="52">
        <v>0</v>
      </c>
      <c r="O19" s="53">
        <v>0</v>
      </c>
      <c r="P19" s="14"/>
      <c r="Q19" s="13">
        <v>0</v>
      </c>
      <c r="R19" s="66"/>
      <c r="S19" s="66">
        <v>0</v>
      </c>
      <c r="T19" s="39">
        <f>+B19+D19+L19+N19+P19+F19+J19+H19</f>
        <v>1623</v>
      </c>
      <c r="U19" s="60">
        <f>+C19+E19+M19+O19+Q19+G19+S19+K19+I19</f>
        <v>66053</v>
      </c>
    </row>
    <row r="20" spans="1:21" ht="12.75">
      <c r="A20" s="27" t="s">
        <v>313</v>
      </c>
      <c r="B20" s="37"/>
      <c r="C20" s="38"/>
      <c r="D20" s="14">
        <v>0</v>
      </c>
      <c r="E20" s="13">
        <v>0</v>
      </c>
      <c r="F20" s="39"/>
      <c r="G20" s="38"/>
      <c r="H20" s="52"/>
      <c r="I20" s="13"/>
      <c r="J20" s="39"/>
      <c r="K20" s="38"/>
      <c r="L20" s="52">
        <v>0</v>
      </c>
      <c r="M20" s="53">
        <v>0</v>
      </c>
      <c r="N20" s="52">
        <v>0</v>
      </c>
      <c r="O20" s="53">
        <v>0</v>
      </c>
      <c r="P20" s="14">
        <v>16179</v>
      </c>
      <c r="Q20" s="13">
        <v>46973</v>
      </c>
      <c r="R20" s="66"/>
      <c r="S20" s="66"/>
      <c r="T20" s="39">
        <f>+B20+D20+L20+N20+P20+F20+J20+H20</f>
        <v>16179</v>
      </c>
      <c r="U20" s="60">
        <f>+C20+E20+M20+O20+Q20+G20+S20+K20+I20</f>
        <v>46973</v>
      </c>
    </row>
    <row r="21" spans="1:21" ht="12.75">
      <c r="A21" s="27" t="s">
        <v>310</v>
      </c>
      <c r="B21" s="37">
        <f>-253232+161547</f>
        <v>-91685</v>
      </c>
      <c r="C21" s="38">
        <v>-253232</v>
      </c>
      <c r="D21" s="14">
        <v>-9761</v>
      </c>
      <c r="E21" s="13">
        <v>-20013</v>
      </c>
      <c r="F21" s="39"/>
      <c r="G21" s="38"/>
      <c r="H21" s="52"/>
      <c r="I21" s="13"/>
      <c r="J21" s="39"/>
      <c r="K21" s="38"/>
      <c r="L21" s="52"/>
      <c r="M21" s="53">
        <v>0</v>
      </c>
      <c r="N21" s="52"/>
      <c r="O21" s="53"/>
      <c r="P21" s="14"/>
      <c r="Q21" s="13">
        <v>0</v>
      </c>
      <c r="R21" s="66"/>
      <c r="S21" s="66">
        <v>0</v>
      </c>
      <c r="T21" s="39">
        <f>+B21+D21+L21+N21+P21+F21+J21+H21</f>
        <v>-101446</v>
      </c>
      <c r="U21" s="60">
        <f>+C21+E21+M21+O21+Q21+G21+S21+K21+I21</f>
        <v>-273245</v>
      </c>
    </row>
    <row r="22" spans="1:21" ht="12.75">
      <c r="A22" s="27" t="s">
        <v>109</v>
      </c>
      <c r="B22" s="42"/>
      <c r="C22" s="43"/>
      <c r="D22" s="31"/>
      <c r="E22" s="20"/>
      <c r="F22" s="61"/>
      <c r="G22" s="43"/>
      <c r="H22" s="56"/>
      <c r="I22" s="20"/>
      <c r="J22" s="61"/>
      <c r="K22" s="43"/>
      <c r="L22" s="56"/>
      <c r="M22" s="57"/>
      <c r="N22" s="56"/>
      <c r="O22" s="57"/>
      <c r="P22" s="31"/>
      <c r="Q22" s="20"/>
      <c r="R22" s="70"/>
      <c r="S22" s="46">
        <v>0</v>
      </c>
      <c r="T22" s="61"/>
      <c r="U22" s="46">
        <f>+S22</f>
        <v>0</v>
      </c>
    </row>
    <row r="23" spans="1:21" ht="12.75">
      <c r="A23" s="27" t="s">
        <v>157</v>
      </c>
      <c r="B23" s="39">
        <f>SUM(B17:B22)</f>
        <v>243002</v>
      </c>
      <c r="C23" s="38">
        <f>SUM(C17:C22)</f>
        <v>806282</v>
      </c>
      <c r="D23" s="14">
        <f>SUM(D17:D22)</f>
        <v>105205</v>
      </c>
      <c r="E23" s="13">
        <f>SUM(E17:E22)</f>
        <v>301779</v>
      </c>
      <c r="F23" s="39">
        <f aca="true" t="shared" si="2" ref="F23:Q23">SUM(F17:F22)</f>
        <v>4387</v>
      </c>
      <c r="G23" s="38">
        <f t="shared" si="2"/>
        <v>20697</v>
      </c>
      <c r="H23" s="52">
        <f>SUM(H17:H22)</f>
        <v>0</v>
      </c>
      <c r="I23" s="13">
        <f>SUM(I17:I22)</f>
        <v>0</v>
      </c>
      <c r="J23" s="39">
        <f t="shared" si="2"/>
        <v>0</v>
      </c>
      <c r="K23" s="38">
        <f t="shared" si="2"/>
        <v>0</v>
      </c>
      <c r="L23" s="52">
        <f t="shared" si="2"/>
        <v>34584</v>
      </c>
      <c r="M23" s="53">
        <f t="shared" si="2"/>
        <v>107117</v>
      </c>
      <c r="N23" s="52">
        <f t="shared" si="2"/>
        <v>0</v>
      </c>
      <c r="O23" s="53">
        <f t="shared" si="2"/>
        <v>0</v>
      </c>
      <c r="P23" s="12">
        <f t="shared" si="2"/>
        <v>92815</v>
      </c>
      <c r="Q23" s="13">
        <f t="shared" si="2"/>
        <v>245380</v>
      </c>
      <c r="R23" s="66">
        <f>SUM(R17:R22)</f>
        <v>3</v>
      </c>
      <c r="S23" s="66">
        <f>SUM(S17:S22)</f>
        <v>0</v>
      </c>
      <c r="T23" s="39">
        <f>SUM(T17:T22)</f>
        <v>479993</v>
      </c>
      <c r="U23" s="53">
        <f>SUM(U17:U22)</f>
        <v>1481258</v>
      </c>
    </row>
    <row r="24" spans="1:21" ht="12.75">
      <c r="A24" s="27"/>
      <c r="B24" s="39"/>
      <c r="C24" s="38"/>
      <c r="D24" s="14"/>
      <c r="E24" s="13"/>
      <c r="F24" s="39"/>
      <c r="G24" s="38"/>
      <c r="H24" s="52"/>
      <c r="I24" s="13"/>
      <c r="J24" s="39"/>
      <c r="K24" s="38"/>
      <c r="L24" s="52"/>
      <c r="M24" s="53"/>
      <c r="N24" s="52"/>
      <c r="O24" s="53"/>
      <c r="P24" s="12"/>
      <c r="Q24" s="13"/>
      <c r="R24" s="66"/>
      <c r="S24" s="66"/>
      <c r="T24" s="39"/>
      <c r="U24" s="60"/>
    </row>
    <row r="25" spans="1:21" ht="12.75">
      <c r="A25" s="27" t="s">
        <v>158</v>
      </c>
      <c r="B25" s="39">
        <f>+B13-B23</f>
        <v>2596147</v>
      </c>
      <c r="C25" s="38">
        <f>+C13-C23</f>
        <v>6966050</v>
      </c>
      <c r="D25" s="14">
        <f>+D13-D23</f>
        <v>422836</v>
      </c>
      <c r="E25" s="13">
        <f>+E13-E23</f>
        <v>1138307</v>
      </c>
      <c r="F25" s="39">
        <f>+F13-F23</f>
        <v>-4387</v>
      </c>
      <c r="G25" s="38">
        <f aca="true" t="shared" si="3" ref="G25:Q25">+G13-G23</f>
        <v>-20697</v>
      </c>
      <c r="H25" s="52">
        <f>+H13-H23</f>
        <v>0</v>
      </c>
      <c r="I25" s="13">
        <f>+I13-I23</f>
        <v>0</v>
      </c>
      <c r="J25" s="39">
        <f t="shared" si="3"/>
        <v>0</v>
      </c>
      <c r="K25" s="38">
        <f t="shared" si="3"/>
        <v>0</v>
      </c>
      <c r="L25" s="52">
        <f t="shared" si="3"/>
        <v>-62700</v>
      </c>
      <c r="M25" s="53">
        <f t="shared" si="3"/>
        <v>-142345</v>
      </c>
      <c r="N25" s="52">
        <f t="shared" si="3"/>
        <v>0</v>
      </c>
      <c r="O25" s="53">
        <f t="shared" si="3"/>
        <v>0</v>
      </c>
      <c r="P25" s="12">
        <f t="shared" si="3"/>
        <v>-92815</v>
      </c>
      <c r="Q25" s="13">
        <f t="shared" si="3"/>
        <v>-67034</v>
      </c>
      <c r="R25" s="66">
        <f>+R13-R23</f>
        <v>-3</v>
      </c>
      <c r="S25" s="66">
        <f>-S9+S11+S23</f>
        <v>176846</v>
      </c>
      <c r="T25" s="39">
        <f>+T13-T23</f>
        <v>2859081</v>
      </c>
      <c r="U25" s="53">
        <f>+U13-U23</f>
        <v>7697432</v>
      </c>
    </row>
    <row r="26" spans="1:21" ht="12.75">
      <c r="A26" s="27" t="s">
        <v>148</v>
      </c>
      <c r="B26" s="39"/>
      <c r="C26" s="38"/>
      <c r="D26" s="14"/>
      <c r="E26" s="13"/>
      <c r="F26" s="39"/>
      <c r="G26" s="38"/>
      <c r="H26" s="52"/>
      <c r="I26" s="13"/>
      <c r="J26" s="39"/>
      <c r="K26" s="38"/>
      <c r="L26" s="52"/>
      <c r="M26" s="53"/>
      <c r="N26" s="52"/>
      <c r="O26" s="53"/>
      <c r="P26" s="12"/>
      <c r="Q26" s="13"/>
      <c r="R26" s="66"/>
      <c r="S26" s="66"/>
      <c r="T26" s="39"/>
      <c r="U26" s="53"/>
    </row>
    <row r="27" spans="1:21" s="18" customFormat="1" ht="12.75">
      <c r="A27" s="29" t="s">
        <v>159</v>
      </c>
      <c r="B27" s="40">
        <f>+B25/B9</f>
        <v>0.279192606933801</v>
      </c>
      <c r="C27" s="41">
        <f>+C25/C9</f>
        <v>0.2798433900610031</v>
      </c>
      <c r="D27" s="16">
        <f>+D25/D9</f>
        <v>0.28319013178471614</v>
      </c>
      <c r="E27" s="17">
        <f>+E25/E9</f>
        <v>0.27518097092861343</v>
      </c>
      <c r="F27" s="40"/>
      <c r="G27" s="41"/>
      <c r="H27" s="54"/>
      <c r="I27" s="17"/>
      <c r="J27" s="40"/>
      <c r="K27" s="41"/>
      <c r="L27" s="54">
        <f>+L25/L9</f>
        <v>-0.7982481826167772</v>
      </c>
      <c r="M27" s="55">
        <f>+M25/M9</f>
        <v>-0.40848214926264015</v>
      </c>
      <c r="N27" s="54"/>
      <c r="O27" s="55" t="e">
        <f>+O25/O9</f>
        <v>#DIV/0!</v>
      </c>
      <c r="P27" s="15"/>
      <c r="Q27" s="17"/>
      <c r="R27" s="67"/>
      <c r="S27" s="67"/>
      <c r="T27" s="40">
        <f>+T25/T9</f>
        <v>0.2630145023688573</v>
      </c>
      <c r="U27" s="55">
        <f>+U25/U9</f>
        <v>0.2620025812800625</v>
      </c>
    </row>
    <row r="28" spans="1:21" ht="12.75">
      <c r="A28" s="27"/>
      <c r="B28" s="37"/>
      <c r="C28" s="38"/>
      <c r="D28" s="14"/>
      <c r="E28" s="13"/>
      <c r="F28" s="39"/>
      <c r="G28" s="38"/>
      <c r="H28" s="52"/>
      <c r="I28" s="13"/>
      <c r="J28" s="39"/>
      <c r="K28" s="38"/>
      <c r="L28" s="52"/>
      <c r="M28" s="53"/>
      <c r="N28" s="52"/>
      <c r="O28" s="53"/>
      <c r="P28" s="14"/>
      <c r="Q28" s="13"/>
      <c r="R28" s="66"/>
      <c r="S28" s="66"/>
      <c r="T28" s="39"/>
      <c r="U28" s="60"/>
    </row>
    <row r="29" spans="1:21" ht="12.75">
      <c r="A29" s="27" t="s">
        <v>312</v>
      </c>
      <c r="B29" s="37">
        <f>137521-97710</f>
        <v>39811</v>
      </c>
      <c r="C29" s="38">
        <v>137521</v>
      </c>
      <c r="D29" s="14">
        <v>0</v>
      </c>
      <c r="E29" s="13">
        <v>0</v>
      </c>
      <c r="F29" s="39">
        <v>0</v>
      </c>
      <c r="G29" s="38">
        <v>0</v>
      </c>
      <c r="H29" s="52"/>
      <c r="I29" s="13">
        <v>0</v>
      </c>
      <c r="J29" s="39"/>
      <c r="K29" s="38"/>
      <c r="L29" s="52">
        <v>0</v>
      </c>
      <c r="M29" s="53">
        <v>0</v>
      </c>
      <c r="N29" s="52">
        <v>0</v>
      </c>
      <c r="O29" s="53">
        <v>0</v>
      </c>
      <c r="P29" s="14">
        <f>12768+5512</f>
        <v>18280</v>
      </c>
      <c r="Q29" s="13">
        <f>12768+6210</f>
        <v>18978</v>
      </c>
      <c r="R29" s="66">
        <v>249</v>
      </c>
      <c r="S29" s="66">
        <v>0</v>
      </c>
      <c r="T29" s="39">
        <f>+B29+D29+L29+N29+P29+F29+J29+H29</f>
        <v>58091</v>
      </c>
      <c r="U29" s="60">
        <f>+C29+E29+M29+O29+Q29+G29+S29+K29+I29+R29</f>
        <v>156748</v>
      </c>
    </row>
    <row r="30" spans="1:21" ht="12.75">
      <c r="A30" s="27" t="s">
        <v>148</v>
      </c>
      <c r="B30" s="42"/>
      <c r="C30" s="43"/>
      <c r="D30" s="31"/>
      <c r="E30" s="20"/>
      <c r="F30" s="61"/>
      <c r="G30" s="43"/>
      <c r="H30" s="56"/>
      <c r="I30" s="20"/>
      <c r="J30" s="61"/>
      <c r="K30" s="43"/>
      <c r="L30" s="56"/>
      <c r="M30" s="57"/>
      <c r="N30" s="56"/>
      <c r="O30" s="57"/>
      <c r="P30" s="31"/>
      <c r="Q30" s="20"/>
      <c r="R30" s="70"/>
      <c r="S30" s="70"/>
      <c r="T30" s="61"/>
      <c r="U30" s="46"/>
    </row>
    <row r="31" spans="1:21" ht="12.75">
      <c r="A31" s="27" t="s">
        <v>161</v>
      </c>
      <c r="B31" s="39">
        <f aca="true" t="shared" si="4" ref="B31:U31">+B25+B29</f>
        <v>2635958</v>
      </c>
      <c r="C31" s="38">
        <f t="shared" si="4"/>
        <v>7103571</v>
      </c>
      <c r="D31" s="14">
        <f t="shared" si="4"/>
        <v>422836</v>
      </c>
      <c r="E31" s="13">
        <f t="shared" si="4"/>
        <v>1138307</v>
      </c>
      <c r="F31" s="39">
        <f>+F25+F29</f>
        <v>-4387</v>
      </c>
      <c r="G31" s="38">
        <f t="shared" si="4"/>
        <v>-20697</v>
      </c>
      <c r="H31" s="52">
        <f>+H25+H29</f>
        <v>0</v>
      </c>
      <c r="I31" s="13">
        <f>+I25+I29</f>
        <v>0</v>
      </c>
      <c r="J31" s="39">
        <f>+J25+J29</f>
        <v>0</v>
      </c>
      <c r="K31" s="38">
        <f>+K25+K29</f>
        <v>0</v>
      </c>
      <c r="L31" s="52">
        <f t="shared" si="4"/>
        <v>-62700</v>
      </c>
      <c r="M31" s="53">
        <f t="shared" si="4"/>
        <v>-142345</v>
      </c>
      <c r="N31" s="52">
        <f t="shared" si="4"/>
        <v>0</v>
      </c>
      <c r="O31" s="53">
        <f t="shared" si="4"/>
        <v>0</v>
      </c>
      <c r="P31" s="12">
        <f>+P25+P29</f>
        <v>-74535</v>
      </c>
      <c r="Q31" s="13">
        <f t="shared" si="4"/>
        <v>-48056</v>
      </c>
      <c r="R31" s="66">
        <f>+R25+R29</f>
        <v>246</v>
      </c>
      <c r="S31" s="66"/>
      <c r="T31" s="39">
        <f t="shared" si="4"/>
        <v>2917172</v>
      </c>
      <c r="U31" s="53">
        <f t="shared" si="4"/>
        <v>7854180</v>
      </c>
    </row>
    <row r="32" spans="1:21" ht="12.75">
      <c r="A32" s="27" t="s">
        <v>162</v>
      </c>
      <c r="B32" s="39"/>
      <c r="C32" s="38"/>
      <c r="D32" s="14"/>
      <c r="E32" s="13"/>
      <c r="F32" s="39"/>
      <c r="G32" s="38"/>
      <c r="H32" s="52"/>
      <c r="I32" s="13"/>
      <c r="J32" s="39"/>
      <c r="K32" s="38"/>
      <c r="L32" s="52"/>
      <c r="M32" s="53"/>
      <c r="N32" s="52"/>
      <c r="O32" s="53"/>
      <c r="P32" s="12"/>
      <c r="Q32" s="13"/>
      <c r="R32" s="70">
        <f>3974000*0.2211</f>
        <v>878651.3999999999</v>
      </c>
      <c r="S32" s="66"/>
      <c r="T32" s="39"/>
      <c r="U32" s="57">
        <f>+R32</f>
        <v>878651.3999999999</v>
      </c>
    </row>
    <row r="33" spans="1:21" ht="12.75">
      <c r="A33" s="27"/>
      <c r="B33" s="39"/>
      <c r="C33" s="38"/>
      <c r="D33" s="14"/>
      <c r="E33" s="13"/>
      <c r="F33" s="39"/>
      <c r="G33" s="38"/>
      <c r="H33" s="52"/>
      <c r="I33" s="13"/>
      <c r="J33" s="39"/>
      <c r="K33" s="38"/>
      <c r="L33" s="52"/>
      <c r="M33" s="53"/>
      <c r="N33" s="52"/>
      <c r="O33" s="53"/>
      <c r="P33" s="12"/>
      <c r="Q33" s="13"/>
      <c r="R33" s="66">
        <f>SUM(R31:R32)</f>
        <v>878897.3999999999</v>
      </c>
      <c r="S33" s="66"/>
      <c r="T33" s="39"/>
      <c r="U33" s="38">
        <f>SUM(U31:U32)</f>
        <v>8732831.4</v>
      </c>
    </row>
    <row r="34" spans="1:21" ht="12.75">
      <c r="A34" s="27" t="s">
        <v>148</v>
      </c>
      <c r="B34" s="37"/>
      <c r="C34" s="38"/>
      <c r="D34" s="14"/>
      <c r="E34" s="13"/>
      <c r="F34" s="39"/>
      <c r="G34" s="38"/>
      <c r="H34" s="52"/>
      <c r="I34" s="13"/>
      <c r="J34" s="39"/>
      <c r="K34" s="38"/>
      <c r="L34" s="52"/>
      <c r="M34" s="53"/>
      <c r="N34" s="52"/>
      <c r="O34" s="53"/>
      <c r="P34" s="12"/>
      <c r="Q34" s="13"/>
      <c r="R34" s="66"/>
      <c r="S34" s="66"/>
      <c r="T34" s="39"/>
      <c r="U34" s="60"/>
    </row>
    <row r="35" spans="1:21" ht="12.75">
      <c r="A35" s="27" t="s">
        <v>163</v>
      </c>
      <c r="B35" s="37">
        <f>2055390-1245678</f>
        <v>809712</v>
      </c>
      <c r="C35" s="38">
        <v>2055390</v>
      </c>
      <c r="D35" s="14">
        <v>118394</v>
      </c>
      <c r="E35" s="13">
        <v>318726</v>
      </c>
      <c r="F35" s="39"/>
      <c r="G35" s="38">
        <v>0</v>
      </c>
      <c r="H35" s="52"/>
      <c r="I35" s="13">
        <v>0</v>
      </c>
      <c r="J35" s="39"/>
      <c r="K35" s="38"/>
      <c r="L35" s="52">
        <v>0</v>
      </c>
      <c r="M35" s="53">
        <v>0</v>
      </c>
      <c r="N35" s="52">
        <v>0</v>
      </c>
      <c r="O35" s="53">
        <v>0</v>
      </c>
      <c r="P35" s="12">
        <v>0</v>
      </c>
      <c r="Q35" s="13">
        <v>0</v>
      </c>
      <c r="R35" s="66">
        <f>97593-97524</f>
        <v>69</v>
      </c>
      <c r="S35" s="66">
        <v>0</v>
      </c>
      <c r="T35" s="39">
        <f>+B35+D35+L35+N35+P35+F35+J35+H35</f>
        <v>928106</v>
      </c>
      <c r="U35" s="60">
        <f>+C35+E35+M35+O35+Q35+G35+K35+I35+R35+S35</f>
        <v>2374185</v>
      </c>
    </row>
    <row r="36" spans="1:21" ht="12.75">
      <c r="A36" s="27" t="s">
        <v>164</v>
      </c>
      <c r="B36" s="37"/>
      <c r="C36" s="38"/>
      <c r="D36" s="14"/>
      <c r="E36" s="13"/>
      <c r="F36" s="39"/>
      <c r="G36" s="38"/>
      <c r="H36" s="52"/>
      <c r="I36" s="13"/>
      <c r="J36" s="39"/>
      <c r="K36" s="38"/>
      <c r="L36" s="52"/>
      <c r="M36" s="53"/>
      <c r="N36" s="52"/>
      <c r="O36" s="53"/>
      <c r="P36" s="12"/>
      <c r="Q36" s="13"/>
      <c r="R36" s="69">
        <f>822000*0.2211</f>
        <v>181744.19999999998</v>
      </c>
      <c r="S36" s="60"/>
      <c r="T36" s="39"/>
      <c r="U36" s="59">
        <f>+R36</f>
        <v>181744.19999999998</v>
      </c>
    </row>
    <row r="37" spans="1:21" ht="12.75">
      <c r="A37" s="27"/>
      <c r="B37" s="37"/>
      <c r="C37" s="38"/>
      <c r="D37" s="14"/>
      <c r="E37" s="13"/>
      <c r="F37" s="39"/>
      <c r="G37" s="38"/>
      <c r="H37" s="52"/>
      <c r="I37" s="13"/>
      <c r="J37" s="39"/>
      <c r="K37" s="38"/>
      <c r="L37" s="52"/>
      <c r="M37" s="53"/>
      <c r="N37" s="52"/>
      <c r="O37" s="53"/>
      <c r="P37" s="12"/>
      <c r="Q37" s="13"/>
      <c r="R37" s="66">
        <f>SUM(R35:R36)</f>
        <v>181813.19999999998</v>
      </c>
      <c r="S37" s="66"/>
      <c r="T37" s="39"/>
      <c r="U37" s="60">
        <f>SUM(U35:U36)</f>
        <v>2555929.2</v>
      </c>
    </row>
    <row r="38" spans="1:21" ht="12.75">
      <c r="A38" s="27" t="s">
        <v>148</v>
      </c>
      <c r="B38" s="42"/>
      <c r="C38" s="43"/>
      <c r="D38" s="31"/>
      <c r="E38" s="20"/>
      <c r="F38" s="61"/>
      <c r="G38" s="43"/>
      <c r="H38" s="56"/>
      <c r="I38" s="20"/>
      <c r="J38" s="61"/>
      <c r="K38" s="43"/>
      <c r="L38" s="56"/>
      <c r="M38" s="57"/>
      <c r="N38" s="56"/>
      <c r="O38" s="57"/>
      <c r="P38" s="19"/>
      <c r="Q38" s="20"/>
      <c r="R38" s="70"/>
      <c r="S38" s="70"/>
      <c r="T38" s="61"/>
      <c r="U38" s="46"/>
    </row>
    <row r="39" spans="1:21" ht="12.75">
      <c r="A39" s="27" t="s">
        <v>165</v>
      </c>
      <c r="B39" s="39">
        <f aca="true" t="shared" si="5" ref="B39:O39">+B31-B35</f>
        <v>1826246</v>
      </c>
      <c r="C39" s="38">
        <f t="shared" si="5"/>
        <v>5048181</v>
      </c>
      <c r="D39" s="14">
        <f t="shared" si="5"/>
        <v>304442</v>
      </c>
      <c r="E39" s="13">
        <f t="shared" si="5"/>
        <v>819581</v>
      </c>
      <c r="F39" s="39">
        <f t="shared" si="5"/>
        <v>-4387</v>
      </c>
      <c r="G39" s="38">
        <f t="shared" si="5"/>
        <v>-20697</v>
      </c>
      <c r="H39" s="52">
        <f t="shared" si="5"/>
        <v>0</v>
      </c>
      <c r="I39" s="13">
        <f t="shared" si="5"/>
        <v>0</v>
      </c>
      <c r="J39" s="39">
        <f t="shared" si="5"/>
        <v>0</v>
      </c>
      <c r="K39" s="38">
        <f t="shared" si="5"/>
        <v>0</v>
      </c>
      <c r="L39" s="52">
        <f t="shared" si="5"/>
        <v>-62700</v>
      </c>
      <c r="M39" s="53">
        <f t="shared" si="5"/>
        <v>-142345</v>
      </c>
      <c r="N39" s="52">
        <f t="shared" si="5"/>
        <v>0</v>
      </c>
      <c r="O39" s="53">
        <f t="shared" si="5"/>
        <v>0</v>
      </c>
      <c r="P39" s="12">
        <f>+P31-P35</f>
        <v>-74535</v>
      </c>
      <c r="Q39" s="13">
        <f>+Q31-Q35</f>
        <v>-48056</v>
      </c>
      <c r="R39" s="66">
        <f>+R33-R37</f>
        <v>697084.2</v>
      </c>
      <c r="S39" s="66"/>
      <c r="T39" s="39">
        <f>+T31-T35</f>
        <v>1989066</v>
      </c>
      <c r="U39" s="53">
        <f>+U33-U37</f>
        <v>6176902.2</v>
      </c>
    </row>
    <row r="40" spans="1:21" ht="12.75">
      <c r="A40" s="27"/>
      <c r="B40" s="37"/>
      <c r="C40" s="38"/>
      <c r="D40" s="14"/>
      <c r="E40" s="13"/>
      <c r="F40" s="39"/>
      <c r="G40" s="38"/>
      <c r="H40" s="52"/>
      <c r="I40" s="13"/>
      <c r="J40" s="39"/>
      <c r="K40" s="38"/>
      <c r="L40" s="52"/>
      <c r="M40" s="53"/>
      <c r="N40" s="52"/>
      <c r="O40" s="53"/>
      <c r="P40" s="12"/>
      <c r="Q40" s="13"/>
      <c r="R40" s="66"/>
      <c r="S40" s="66"/>
      <c r="T40" s="39"/>
      <c r="U40" s="60"/>
    </row>
    <row r="41" spans="1:21" ht="12.75">
      <c r="A41" s="27" t="s">
        <v>138</v>
      </c>
      <c r="B41" s="37"/>
      <c r="C41" s="38"/>
      <c r="D41" s="14"/>
      <c r="E41" s="13"/>
      <c r="F41" s="39"/>
      <c r="G41" s="38"/>
      <c r="H41" s="52"/>
      <c r="I41" s="13"/>
      <c r="J41" s="39"/>
      <c r="K41" s="38"/>
      <c r="L41" s="52"/>
      <c r="M41" s="53"/>
      <c r="N41" s="52">
        <v>0</v>
      </c>
      <c r="O41" s="53">
        <v>0</v>
      </c>
      <c r="P41" s="14"/>
      <c r="Q41" s="13"/>
      <c r="R41" s="66"/>
      <c r="S41" s="66">
        <f>-C39*0.49-R39*0.49</f>
        <v>-2815179.948</v>
      </c>
      <c r="T41" s="39">
        <f>-B44*0.49</f>
        <v>-894860.54</v>
      </c>
      <c r="U41" s="60">
        <f>+S41</f>
        <v>-2815179.948</v>
      </c>
    </row>
    <row r="42" spans="1:21" ht="12.75">
      <c r="A42" s="27" t="s">
        <v>166</v>
      </c>
      <c r="B42" s="37"/>
      <c r="C42" s="38">
        <v>0</v>
      </c>
      <c r="D42" s="14"/>
      <c r="E42" s="13"/>
      <c r="F42" s="39"/>
      <c r="G42" s="38"/>
      <c r="H42" s="52"/>
      <c r="I42" s="13"/>
      <c r="J42" s="39"/>
      <c r="K42" s="38"/>
      <c r="L42" s="52"/>
      <c r="M42" s="53"/>
      <c r="N42" s="52"/>
      <c r="O42" s="53"/>
      <c r="P42" s="14"/>
      <c r="Q42" s="13"/>
      <c r="R42" s="66"/>
      <c r="S42" s="66">
        <v>0</v>
      </c>
      <c r="T42" s="39"/>
      <c r="U42" s="60">
        <f>+C42+S42</f>
        <v>0</v>
      </c>
    </row>
    <row r="43" spans="1:21" ht="12.75">
      <c r="A43" s="27" t="s">
        <v>285</v>
      </c>
      <c r="B43" s="37"/>
      <c r="C43" s="38">
        <v>0</v>
      </c>
      <c r="D43" s="14"/>
      <c r="E43" s="13">
        <v>0</v>
      </c>
      <c r="F43" s="39"/>
      <c r="G43" s="38"/>
      <c r="H43" s="52"/>
      <c r="I43" s="13"/>
      <c r="J43" s="39"/>
      <c r="K43" s="38"/>
      <c r="L43" s="52"/>
      <c r="M43" s="53"/>
      <c r="N43" s="52"/>
      <c r="O43" s="53"/>
      <c r="P43" s="14">
        <v>0</v>
      </c>
      <c r="Q43" s="13">
        <v>0</v>
      </c>
      <c r="R43" s="66">
        <v>249665</v>
      </c>
      <c r="S43" s="66">
        <v>-249665</v>
      </c>
      <c r="T43" s="39"/>
      <c r="U43" s="60">
        <f>E43+Q43+R43+S43</f>
        <v>0</v>
      </c>
    </row>
    <row r="44" spans="1:21" ht="13.5" thickBot="1">
      <c r="A44" s="27"/>
      <c r="B44" s="44">
        <f>+B39-B41-B43</f>
        <v>1826246</v>
      </c>
      <c r="C44" s="113">
        <f>+C39-C41-C43-C42</f>
        <v>5048181</v>
      </c>
      <c r="D44" s="32">
        <f aca="true" t="shared" si="6" ref="D44:Q44">+D39-D41-D43</f>
        <v>304442</v>
      </c>
      <c r="E44" s="47">
        <f t="shared" si="6"/>
        <v>819581</v>
      </c>
      <c r="F44" s="44">
        <f t="shared" si="6"/>
        <v>-4387</v>
      </c>
      <c r="G44" s="113">
        <f t="shared" si="6"/>
        <v>-20697</v>
      </c>
      <c r="H44" s="44">
        <f t="shared" si="6"/>
        <v>0</v>
      </c>
      <c r="I44" s="47">
        <f t="shared" si="6"/>
        <v>0</v>
      </c>
      <c r="J44" s="44">
        <f t="shared" si="6"/>
        <v>0</v>
      </c>
      <c r="K44" s="113">
        <f t="shared" si="6"/>
        <v>0</v>
      </c>
      <c r="L44" s="44">
        <f t="shared" si="6"/>
        <v>-62700</v>
      </c>
      <c r="M44" s="45">
        <f t="shared" si="6"/>
        <v>-142345</v>
      </c>
      <c r="N44" s="44">
        <f t="shared" si="6"/>
        <v>0</v>
      </c>
      <c r="O44" s="45">
        <f t="shared" si="6"/>
        <v>0</v>
      </c>
      <c r="P44" s="32">
        <f t="shared" si="6"/>
        <v>-74535</v>
      </c>
      <c r="Q44" s="47">
        <f t="shared" si="6"/>
        <v>-48056</v>
      </c>
      <c r="R44" s="68">
        <f>+R39-R43</f>
        <v>447419.19999999995</v>
      </c>
      <c r="S44" s="68">
        <f>-S25-S35+S41+S42-S43</f>
        <v>-2742360.948</v>
      </c>
      <c r="T44" s="44">
        <f>+T39+T41-T43</f>
        <v>1094205.46</v>
      </c>
      <c r="U44" s="45">
        <f>+U39+U41-U43+U42</f>
        <v>3361722.2520000003</v>
      </c>
    </row>
    <row r="45" spans="1:21" ht="13.5" thickTop="1">
      <c r="A45" s="28"/>
      <c r="B45" s="42"/>
      <c r="C45" s="46"/>
      <c r="D45" s="7"/>
      <c r="E45" s="21"/>
      <c r="F45" s="62"/>
      <c r="G45" s="46"/>
      <c r="H45" s="58"/>
      <c r="I45" s="21"/>
      <c r="J45" s="62"/>
      <c r="K45" s="46"/>
      <c r="L45" s="58"/>
      <c r="M45" s="59"/>
      <c r="N45" s="58"/>
      <c r="O45" s="59"/>
      <c r="P45" s="7"/>
      <c r="Q45" s="21"/>
      <c r="R45" s="69"/>
      <c r="S45" s="69"/>
      <c r="T45" s="62"/>
      <c r="U45" s="46"/>
    </row>
    <row r="46" spans="2:21" ht="12.75">
      <c r="B46" s="2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s="110" customFormat="1" ht="12.75">
      <c r="A47" s="106"/>
      <c r="B47" s="107"/>
      <c r="C47" s="107"/>
      <c r="D47" s="107"/>
      <c r="E47" s="107"/>
      <c r="F47" s="108"/>
      <c r="G47" s="108"/>
      <c r="H47" s="108"/>
      <c r="I47" s="108"/>
      <c r="J47" s="107"/>
      <c r="K47" s="107"/>
      <c r="L47" s="107"/>
      <c r="M47" s="107"/>
      <c r="N47" s="108"/>
      <c r="O47" s="108"/>
      <c r="P47" s="109"/>
      <c r="Q47" s="107"/>
      <c r="R47" s="107"/>
      <c r="S47" s="107"/>
      <c r="T47" s="107"/>
      <c r="U47" s="94"/>
    </row>
    <row r="48" spans="1:21" s="110" customFormat="1" ht="12.75">
      <c r="A48" s="106"/>
      <c r="F48" s="8"/>
      <c r="G48" s="8"/>
      <c r="H48" s="8"/>
      <c r="I48" s="8"/>
      <c r="N48" s="8"/>
      <c r="O48" s="8"/>
      <c r="S48" s="8"/>
      <c r="U48" s="95"/>
    </row>
    <row r="49" spans="1:21" s="110" customFormat="1" ht="12.75">
      <c r="A49" s="106"/>
      <c r="B49" s="8"/>
      <c r="C49" s="111"/>
      <c r="D49" s="111"/>
      <c r="E49" s="111"/>
      <c r="F49" s="8"/>
      <c r="G49" s="8"/>
      <c r="H49" s="8"/>
      <c r="I49" s="8"/>
      <c r="J49" s="111"/>
      <c r="K49" s="111"/>
      <c r="L49" s="111"/>
      <c r="M49" s="111"/>
      <c r="N49" s="8"/>
      <c r="O49" s="8"/>
      <c r="P49" s="111"/>
      <c r="Q49" s="111"/>
      <c r="R49" s="111"/>
      <c r="S49" s="8"/>
      <c r="T49" s="111"/>
      <c r="U49" s="96"/>
    </row>
    <row r="50" spans="1:21" s="110" customFormat="1" ht="12.75">
      <c r="A50" s="106"/>
      <c r="B50" s="8"/>
      <c r="C50" s="111"/>
      <c r="D50" s="111"/>
      <c r="E50" s="111"/>
      <c r="F50" s="8"/>
      <c r="G50" s="8"/>
      <c r="H50" s="8"/>
      <c r="I50" s="8"/>
      <c r="J50" s="111"/>
      <c r="K50" s="111"/>
      <c r="L50" s="111"/>
      <c r="M50" s="111"/>
      <c r="N50" s="8"/>
      <c r="O50" s="8"/>
      <c r="P50" s="111"/>
      <c r="Q50" s="111"/>
      <c r="R50" s="111"/>
      <c r="S50" s="8"/>
      <c r="T50" s="111"/>
      <c r="U50" s="96"/>
    </row>
    <row r="51" spans="1:21" s="110" customFormat="1" ht="12.75">
      <c r="A51" s="106"/>
      <c r="B51" s="8"/>
      <c r="C51" s="111"/>
      <c r="D51" s="111"/>
      <c r="E51" s="111"/>
      <c r="F51" s="8"/>
      <c r="G51" s="8"/>
      <c r="H51" s="8"/>
      <c r="I51" s="8"/>
      <c r="J51" s="111"/>
      <c r="K51" s="111"/>
      <c r="L51" s="111"/>
      <c r="M51" s="111"/>
      <c r="N51" s="8"/>
      <c r="O51" s="8"/>
      <c r="P51" s="111"/>
      <c r="Q51" s="111"/>
      <c r="R51" s="111"/>
      <c r="S51" s="8"/>
      <c r="T51" s="111"/>
      <c r="U51" s="96"/>
    </row>
    <row r="52" spans="1:21" s="110" customFormat="1" ht="12.75">
      <c r="A52" s="106"/>
      <c r="B52" s="8"/>
      <c r="C52" s="111"/>
      <c r="D52" s="111"/>
      <c r="E52" s="111"/>
      <c r="F52" s="8"/>
      <c r="G52" s="8"/>
      <c r="H52" s="8"/>
      <c r="I52" s="8"/>
      <c r="J52" s="111"/>
      <c r="K52" s="111"/>
      <c r="L52" s="111"/>
      <c r="M52" s="111"/>
      <c r="N52" s="8"/>
      <c r="O52" s="8"/>
      <c r="P52" s="111"/>
      <c r="Q52" s="111"/>
      <c r="R52" s="111"/>
      <c r="S52" s="8"/>
      <c r="T52" s="111"/>
      <c r="U52" s="96"/>
    </row>
    <row r="53" spans="1:21" s="110" customFormat="1" ht="12.75">
      <c r="A53" s="106"/>
      <c r="B53" s="8"/>
      <c r="C53" s="111"/>
      <c r="D53" s="111"/>
      <c r="E53" s="111"/>
      <c r="F53" s="8"/>
      <c r="G53" s="8"/>
      <c r="H53" s="8"/>
      <c r="I53" s="8"/>
      <c r="J53" s="111"/>
      <c r="K53" s="111"/>
      <c r="L53" s="111"/>
      <c r="M53" s="111"/>
      <c r="N53" s="8"/>
      <c r="O53" s="8"/>
      <c r="P53" s="111"/>
      <c r="Q53" s="111"/>
      <c r="R53" s="111"/>
      <c r="S53" s="8"/>
      <c r="T53" s="111"/>
      <c r="U53" s="96"/>
    </row>
    <row r="54" spans="1:21" s="110" customFormat="1" ht="12.75">
      <c r="A54" s="10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96"/>
    </row>
    <row r="55" spans="1:21" s="110" customFormat="1" ht="12.75">
      <c r="A55" s="106"/>
      <c r="B55" s="112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Q55" s="108"/>
      <c r="R55" s="108"/>
      <c r="S55" s="108"/>
      <c r="T55" s="108"/>
      <c r="U55" s="111"/>
    </row>
    <row r="56" spans="1:21" s="110" customFormat="1" ht="12.75">
      <c r="A56" s="106"/>
      <c r="B56" s="112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</row>
    <row r="57" spans="2:21" ht="12.75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2:21" ht="12.75"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2:21" ht="12.75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2:21" ht="12.75"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2:21" ht="12.75"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2:21" ht="12.75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2:21" ht="12.75"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2:21" ht="12.75"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2:21" ht="12.75"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6" spans="2:21" ht="12.75"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</row>
    <row r="67" spans="2:21" ht="12.75"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</row>
    <row r="68" spans="2:21" ht="12.75"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69" spans="2:21" ht="12.75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2:21" ht="12.75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2:21" ht="12.75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2:21" ht="12.75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</row>
    <row r="73" spans="2:21" ht="12.75"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2:21" ht="12.75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</row>
    <row r="75" spans="2:21" ht="12.75"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2:21" ht="12.75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2:21" ht="12.75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pans="2:21" ht="12.75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2:21" ht="12.75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</row>
    <row r="80" spans="2:21" ht="12.75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</row>
    <row r="81" spans="2:21" ht="12.75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pans="2:21" ht="12.75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spans="2:21" ht="12.75"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</row>
    <row r="84" spans="2:21" ht="12.75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spans="2:21" ht="12.75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</row>
    <row r="86" spans="2:21" ht="12.75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</row>
    <row r="87" spans="2:21" ht="12.75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</row>
    <row r="88" spans="2:21" ht="12.75"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</row>
    <row r="89" spans="2:21" ht="12.75"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</row>
    <row r="90" spans="2:21" ht="12.75"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</row>
    <row r="91" spans="2:21" ht="12.75"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</row>
    <row r="92" spans="2:21" ht="12.75"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</row>
    <row r="93" spans="2:21" ht="12.75"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</row>
    <row r="94" spans="2:21" ht="12.75"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</row>
    <row r="95" spans="2:21" ht="12.75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</row>
    <row r="96" spans="2:21" ht="12.75"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</row>
    <row r="97" spans="2:21" ht="12.75"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</row>
    <row r="98" spans="2:21" ht="12.75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</row>
    <row r="99" spans="2:21" ht="12.75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</row>
    <row r="100" spans="2:21" ht="12.75"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</row>
    <row r="101" spans="2:21" ht="12.75"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</row>
    <row r="102" spans="2:21" ht="12.75"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</row>
    <row r="103" spans="2:21" ht="12.75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2:21" ht="12.75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</row>
    <row r="105" spans="2:21" ht="12.75"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</row>
    <row r="106" spans="2:21" ht="12.75"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</row>
    <row r="107" spans="2:21" ht="12.75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</row>
    <row r="108" spans="2:21" ht="12.75"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</row>
    <row r="109" spans="2:21" ht="12.75"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</row>
    <row r="110" spans="2:21" ht="12.75"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</row>
    <row r="111" spans="2:21" ht="12.75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</row>
    <row r="112" spans="2:21" ht="12.75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</row>
    <row r="113" spans="2:21" ht="12.75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</row>
    <row r="114" spans="2:21" ht="12.75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</row>
    <row r="115" spans="2:21" ht="12.75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</row>
    <row r="116" spans="2:21" ht="12.75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</row>
    <row r="117" spans="2:21" ht="12.75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</row>
    <row r="118" spans="2:21" ht="12.75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</row>
    <row r="119" spans="2:21" ht="12.75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</row>
    <row r="120" spans="2:21" ht="12.75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</row>
    <row r="121" spans="2:21" ht="12.75"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</row>
    <row r="122" spans="2:21" ht="12.75"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</row>
    <row r="123" spans="2:21" ht="12.75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</row>
    <row r="124" spans="2:21" ht="12.75"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</row>
    <row r="125" spans="2:21" ht="12.75"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</row>
    <row r="126" spans="2:21" ht="12.75"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</row>
    <row r="127" spans="2:21" ht="12.75"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</row>
    <row r="128" spans="2:21" ht="12.75"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</row>
    <row r="129" spans="2:21" ht="12.75">
      <c r="B129" s="23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</row>
    <row r="130" spans="2:21" ht="12.75"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</row>
    <row r="131" spans="2:21" ht="12.75"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</row>
    <row r="132" spans="2:21" ht="12.75">
      <c r="B132" s="23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</row>
    <row r="133" spans="2:21" ht="12.75"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</row>
    <row r="134" spans="2:21" ht="12.75"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</row>
    <row r="135" spans="2:21" ht="12.75">
      <c r="B135" s="2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</row>
    <row r="136" spans="2:21" ht="12.75">
      <c r="B136" s="23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</row>
    <row r="137" spans="2:21" ht="12.75"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</row>
    <row r="138" spans="2:21" ht="12.75">
      <c r="B138" s="23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</row>
    <row r="139" spans="2:21" ht="12.75"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</row>
    <row r="140" spans="2:21" ht="12.75">
      <c r="B140" s="23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</row>
    <row r="141" spans="2:21" ht="12.75">
      <c r="B141" s="23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</row>
    <row r="142" spans="2:21" ht="12.75">
      <c r="B142" s="23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</row>
    <row r="143" spans="2:21" ht="12.75">
      <c r="B143" s="23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</row>
    <row r="144" spans="2:21" ht="12.75"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</row>
    <row r="145" spans="2:21" ht="12.75"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</row>
    <row r="146" spans="2:21" ht="12.75"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</row>
    <row r="147" spans="2:21" ht="12.75">
      <c r="B147" s="23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</row>
    <row r="148" spans="2:21" ht="12.75">
      <c r="B148" s="23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</row>
    <row r="149" spans="2:21" ht="12.75"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</row>
    <row r="150" spans="2:21" ht="12.75">
      <c r="B150" s="23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</row>
    <row r="151" spans="2:21" ht="12.75">
      <c r="B151" s="23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2:21" ht="12.75">
      <c r="B152" s="23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</row>
    <row r="153" spans="2:21" ht="12.75">
      <c r="B153" s="23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</row>
    <row r="154" spans="2:21" ht="12.75">
      <c r="B154" s="23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</row>
    <row r="155" spans="2:21" ht="12.75">
      <c r="B155" s="23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</row>
    <row r="156" spans="2:21" ht="12.75">
      <c r="B156" s="23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</row>
    <row r="157" spans="2:21" ht="12.75">
      <c r="B157" s="23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</row>
    <row r="158" spans="2:21" ht="12.75">
      <c r="B158" s="23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</row>
    <row r="159" spans="2:21" ht="12.75">
      <c r="B159" s="23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</row>
    <row r="160" spans="2:21" ht="12.75">
      <c r="B160" s="23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</row>
    <row r="161" spans="2:21" ht="12.75">
      <c r="B161" s="23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</row>
    <row r="162" spans="2:21" ht="12.75"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</row>
    <row r="163" spans="2:21" ht="12.75"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</row>
    <row r="164" spans="2:21" ht="12.75">
      <c r="B164" s="23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</row>
    <row r="165" spans="2:21" ht="12.75">
      <c r="B165" s="23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</row>
    <row r="166" spans="2:21" ht="12.75">
      <c r="B166" s="23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</row>
    <row r="167" spans="2:21" ht="12.75">
      <c r="B167" s="23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</row>
    <row r="168" spans="2:21" ht="12.75">
      <c r="B168" s="23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</row>
    <row r="169" spans="2:21" ht="12.75">
      <c r="B169" s="23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</row>
    <row r="170" spans="2:21" ht="12.75">
      <c r="B170" s="23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</row>
    <row r="171" spans="2:21" ht="12.75">
      <c r="B171" s="23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</row>
    <row r="172" spans="2:21" ht="12.75">
      <c r="B172" s="23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</row>
    <row r="173" spans="2:21" ht="12.75">
      <c r="B173" s="23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</row>
    <row r="174" spans="2:21" ht="12.75">
      <c r="B174" s="23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</row>
    <row r="175" spans="2:21" ht="12.75">
      <c r="B175" s="23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</row>
    <row r="176" spans="2:21" ht="12.75">
      <c r="B176" s="23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</row>
    <row r="177" spans="2:21" ht="12.75">
      <c r="B177" s="23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</row>
    <row r="178" spans="2:21" ht="12.75"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</row>
    <row r="179" spans="2:21" ht="12.75">
      <c r="B179" s="23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</row>
    <row r="180" spans="2:21" ht="12.75">
      <c r="B180" s="23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</row>
    <row r="181" spans="2:21" ht="12.75">
      <c r="B181" s="23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</row>
    <row r="182" spans="2:21" ht="12.75">
      <c r="B182" s="23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</row>
    <row r="183" spans="2:21" ht="12.75">
      <c r="B183" s="23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</row>
    <row r="184" spans="2:21" ht="12.75">
      <c r="B184" s="23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</row>
    <row r="185" spans="2:21" ht="12.75">
      <c r="B185" s="23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</row>
    <row r="186" spans="2:21" ht="12.75">
      <c r="B186" s="23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</row>
    <row r="187" spans="2:21" ht="12.75">
      <c r="B187" s="23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</row>
    <row r="188" spans="2:21" ht="12.75">
      <c r="B188" s="23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</row>
    <row r="189" spans="2:21" ht="12.75">
      <c r="B189" s="23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</row>
    <row r="190" spans="2:21" ht="12.75">
      <c r="B190" s="23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</row>
    <row r="191" spans="2:21" ht="12.75">
      <c r="B191" s="23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</row>
    <row r="192" spans="2:21" ht="12.75">
      <c r="B192" s="23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</row>
    <row r="193" spans="2:21" ht="12.75">
      <c r="B193" s="23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</row>
    <row r="194" spans="2:21" ht="12.75">
      <c r="B194" s="23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</row>
    <row r="195" spans="2:21" ht="12.75">
      <c r="B195" s="23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</row>
    <row r="196" spans="2:21" ht="12.75">
      <c r="B196" s="23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</row>
    <row r="197" spans="2:21" ht="12.75">
      <c r="B197" s="23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</row>
    <row r="198" spans="2:21" ht="12.75">
      <c r="B198" s="23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</row>
    <row r="199" spans="2:21" ht="12.75">
      <c r="B199" s="23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</row>
    <row r="200" spans="2:21" ht="12.75">
      <c r="B200" s="23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</row>
    <row r="201" spans="2:21" ht="12.75">
      <c r="B201" s="23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</row>
    <row r="202" spans="2:21" ht="12.75">
      <c r="B202" s="23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</row>
    <row r="203" spans="2:21" ht="12.75">
      <c r="B203" s="23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</row>
    <row r="204" spans="2:21" ht="12.75">
      <c r="B204" s="23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</row>
    <row r="205" spans="2:21" ht="12.75">
      <c r="B205" s="23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</row>
    <row r="206" spans="2:21" ht="12.75">
      <c r="B206" s="23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</row>
    <row r="207" spans="2:21" ht="12.75">
      <c r="B207" s="23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</row>
    <row r="208" spans="2:21" ht="12.75">
      <c r="B208" s="23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</row>
    <row r="209" spans="2:21" ht="12.75">
      <c r="B209" s="23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</row>
    <row r="210" spans="2:21" ht="12.75">
      <c r="B210" s="23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</row>
    <row r="211" spans="2:21" ht="12.75">
      <c r="B211" s="23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</row>
    <row r="212" spans="2:21" ht="12.75">
      <c r="B212" s="23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</row>
    <row r="213" spans="2:21" ht="12.75">
      <c r="B213" s="23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</row>
    <row r="214" spans="2:21" ht="12.75">
      <c r="B214" s="23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</row>
    <row r="215" spans="2:21" ht="12.75">
      <c r="B215" s="23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</row>
    <row r="216" spans="2:21" ht="12.75">
      <c r="B216" s="23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</row>
    <row r="217" spans="2:21" ht="12.75">
      <c r="B217" s="23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</row>
    <row r="218" spans="2:21" ht="12.75">
      <c r="B218" s="23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</row>
    <row r="219" spans="2:21" ht="12.75">
      <c r="B219" s="23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</row>
    <row r="220" spans="2:21" ht="12.75">
      <c r="B220" s="23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</row>
    <row r="221" spans="2:21" ht="12.75">
      <c r="B221" s="23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</row>
    <row r="222" spans="2:21" ht="12.75">
      <c r="B222" s="23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</row>
    <row r="223" spans="2:21" ht="12.75">
      <c r="B223" s="23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</row>
    <row r="224" spans="2:21" ht="12.75">
      <c r="B224" s="23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</row>
    <row r="225" spans="2:21" ht="12.75">
      <c r="B225" s="23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</row>
    <row r="226" spans="2:21" ht="12.75">
      <c r="B226" s="23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</row>
    <row r="227" spans="2:21" ht="12.75">
      <c r="B227" s="23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</row>
    <row r="228" spans="2:21" ht="12.75">
      <c r="B228" s="23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</row>
    <row r="229" spans="2:21" ht="12.75">
      <c r="B229" s="23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</row>
    <row r="230" spans="2:21" ht="12.75">
      <c r="B230" s="23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</row>
    <row r="231" spans="2:21" ht="12.75">
      <c r="B231" s="23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</row>
    <row r="232" spans="2:21" ht="12.75">
      <c r="B232" s="23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</row>
    <row r="233" spans="2:21" ht="12.75">
      <c r="B233" s="23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</row>
    <row r="234" spans="2:21" ht="12.75">
      <c r="B234" s="23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</row>
    <row r="235" spans="2:21" ht="12.75">
      <c r="B235" s="23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</row>
    <row r="236" spans="2:21" ht="12.75">
      <c r="B236" s="23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</row>
    <row r="237" spans="2:21" ht="12.75">
      <c r="B237" s="23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</row>
    <row r="238" spans="2:21" ht="12.75">
      <c r="B238" s="23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</row>
    <row r="239" spans="2:21" ht="12.75">
      <c r="B239" s="23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</row>
    <row r="240" spans="2:21" ht="12.75">
      <c r="B240" s="23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</row>
    <row r="241" spans="2:21" ht="12.75">
      <c r="B241" s="23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</row>
    <row r="242" spans="2:21" ht="12.75">
      <c r="B242" s="23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</row>
    <row r="243" spans="2:21" ht="12.75">
      <c r="B243" s="23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</row>
    <row r="244" spans="2:21" ht="12.75">
      <c r="B244" s="23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</row>
    <row r="245" spans="2:21" ht="12.75">
      <c r="B245" s="23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</row>
    <row r="246" spans="2:21" ht="12.75">
      <c r="B246" s="23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</row>
    <row r="247" spans="2:21" ht="12.75">
      <c r="B247" s="23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</row>
    <row r="248" spans="2:21" ht="12.75">
      <c r="B248" s="23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</row>
    <row r="249" spans="2:21" ht="12.75">
      <c r="B249" s="23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</row>
    <row r="250" spans="2:21" ht="12.75">
      <c r="B250" s="23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</row>
    <row r="251" spans="2:21" ht="12.75">
      <c r="B251" s="23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</row>
    <row r="252" spans="2:21" ht="12.75">
      <c r="B252" s="23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</row>
    <row r="253" spans="2:21" ht="12.75">
      <c r="B253" s="23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</row>
    <row r="254" spans="2:21" ht="12.75">
      <c r="B254" s="23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</row>
    <row r="255" spans="2:21" ht="12.75">
      <c r="B255" s="23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</row>
    <row r="256" spans="2:21" ht="12.75">
      <c r="B256" s="23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</row>
    <row r="257" spans="2:21" ht="12.75">
      <c r="B257" s="23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</row>
    <row r="258" spans="2:21" ht="12.75">
      <c r="B258" s="23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</row>
    <row r="259" spans="2:21" ht="12.75">
      <c r="B259" s="23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</row>
    <row r="260" spans="2:21" ht="12.75">
      <c r="B260" s="23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</row>
    <row r="261" spans="2:21" ht="12.75">
      <c r="B261" s="23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</row>
    <row r="262" spans="2:21" ht="12.75">
      <c r="B262" s="23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</row>
    <row r="263" spans="2:21" ht="12.75">
      <c r="B263" s="23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</row>
    <row r="264" spans="2:21" ht="12.75">
      <c r="B264" s="23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</row>
    <row r="265" spans="2:21" ht="12.75">
      <c r="B265" s="23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</row>
    <row r="266" spans="2:21" ht="12.75">
      <c r="B266" s="23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</row>
    <row r="267" spans="2:21" ht="12.75">
      <c r="B267" s="23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</row>
    <row r="268" spans="2:21" ht="12.75">
      <c r="B268" s="23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</row>
    <row r="269" spans="2:21" ht="12.75">
      <c r="B269" s="23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</row>
    <row r="270" spans="2:21" ht="12.75">
      <c r="B270" s="23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</row>
    <row r="271" spans="2:21" ht="12.75">
      <c r="B271" s="23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</row>
    <row r="272" spans="2:21" ht="12.75">
      <c r="B272" s="23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</row>
    <row r="273" spans="2:21" ht="12.75">
      <c r="B273" s="23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</row>
    <row r="274" spans="2:21" ht="12.75">
      <c r="B274" s="23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</row>
    <row r="275" spans="2:21" ht="12.75">
      <c r="B275" s="23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</row>
    <row r="276" spans="2:21" ht="12.75">
      <c r="B276" s="23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</row>
    <row r="277" spans="2:21" ht="12.75">
      <c r="B277" s="23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</row>
    <row r="278" spans="2:21" ht="12.75">
      <c r="B278" s="23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</row>
    <row r="279" spans="2:21" ht="12.75">
      <c r="B279" s="23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</row>
    <row r="280" spans="2:21" ht="12.75">
      <c r="B280" s="23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</row>
    <row r="281" spans="2:21" ht="12.75">
      <c r="B281" s="23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</row>
    <row r="282" spans="2:21" ht="12.75">
      <c r="B282" s="23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</row>
    <row r="283" spans="2:21" ht="12.75">
      <c r="B283" s="23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</row>
    <row r="284" spans="2:21" ht="12.75">
      <c r="B284" s="23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</row>
    <row r="285" spans="2:21" ht="12.75">
      <c r="B285" s="23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</row>
    <row r="286" spans="2:21" ht="12.75">
      <c r="B286" s="23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</row>
    <row r="287" spans="2:21" ht="12.75">
      <c r="B287" s="23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</row>
    <row r="288" spans="2:21" ht="12.75">
      <c r="B288" s="23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</row>
    <row r="289" spans="2:21" ht="12.75">
      <c r="B289" s="23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</row>
    <row r="290" spans="2:21" ht="12.75"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</row>
    <row r="291" spans="2:21" ht="12.75">
      <c r="B291" s="23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</row>
    <row r="292" spans="2:21" ht="12.75">
      <c r="B292" s="23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</row>
    <row r="293" spans="2:21" ht="12.75">
      <c r="B293" s="23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</row>
    <row r="294" spans="2:21" ht="12.75">
      <c r="B294" s="23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</row>
    <row r="295" spans="2:21" ht="12.75">
      <c r="B295" s="23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</row>
    <row r="296" spans="2:21" ht="12.75">
      <c r="B296" s="23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</row>
    <row r="297" spans="2:21" ht="12.75">
      <c r="B297" s="23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</row>
    <row r="298" spans="2:21" ht="12.75">
      <c r="B298" s="23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</row>
    <row r="299" spans="2:21" ht="12.75">
      <c r="B299" s="23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</row>
    <row r="300" spans="2:21" ht="12.75">
      <c r="B300" s="23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</row>
    <row r="301" spans="2:21" ht="12.75">
      <c r="B301" s="23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</row>
    <row r="302" spans="2:21" ht="12.75">
      <c r="B302" s="23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</row>
    <row r="303" spans="2:21" ht="12.75">
      <c r="B303" s="23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</row>
  </sheetData>
  <printOptions/>
  <pageMargins left="0.11811023622047245" right="0.07874015748031496" top="0.4330708661417323" bottom="0.31496062992125984" header="0.11811023622047245" footer="0.1574803149606299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03"/>
  <sheetViews>
    <sheetView zoomScale="80" zoomScaleNormal="8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W45" sqref="W45"/>
    </sheetView>
  </sheetViews>
  <sheetFormatPr defaultColWidth="9.140625" defaultRowHeight="12.75"/>
  <cols>
    <col min="1" max="1" width="28.8515625" style="4" customWidth="1"/>
    <col min="2" max="2" width="11.7109375" style="4" customWidth="1"/>
    <col min="3" max="10" width="11.7109375" style="2" customWidth="1"/>
    <col min="11" max="11" width="11.57421875" style="2" customWidth="1"/>
    <col min="12" max="12" width="14.28125" style="2" hidden="1" customWidth="1"/>
    <col min="13" max="22" width="14.7109375" style="2" hidden="1" customWidth="1"/>
    <col min="23" max="23" width="10.7109375" style="2" customWidth="1"/>
    <col min="24" max="24" width="10.57421875" style="2" customWidth="1"/>
    <col min="25" max="26" width="14.00390625" style="2" customWidth="1"/>
    <col min="27" max="16384" width="9.140625" style="2" customWidth="1"/>
  </cols>
  <sheetData>
    <row r="1" spans="1:2" ht="23.25" customHeight="1">
      <c r="A1" s="1" t="s">
        <v>286</v>
      </c>
      <c r="B1" s="1"/>
    </row>
    <row r="2" spans="1:2" ht="19.5">
      <c r="A2" s="1"/>
      <c r="B2" s="1"/>
    </row>
    <row r="3" spans="1:2" ht="19.5">
      <c r="A3" s="3" t="s">
        <v>290</v>
      </c>
      <c r="B3" s="3"/>
    </row>
    <row r="6" spans="1:26" ht="12.75">
      <c r="A6" s="26" t="s">
        <v>89</v>
      </c>
      <c r="B6" s="99" t="s">
        <v>91</v>
      </c>
      <c r="C6" s="100"/>
      <c r="D6" s="99" t="s">
        <v>168</v>
      </c>
      <c r="E6" s="100"/>
      <c r="F6" s="99" t="s">
        <v>169</v>
      </c>
      <c r="G6" s="100"/>
      <c r="H6" s="99" t="s">
        <v>170</v>
      </c>
      <c r="I6" s="100"/>
      <c r="J6" s="99" t="s">
        <v>171</v>
      </c>
      <c r="K6" s="100"/>
      <c r="L6" s="99"/>
      <c r="M6" s="100"/>
      <c r="N6" s="99"/>
      <c r="O6" s="100"/>
      <c r="P6" s="99"/>
      <c r="Q6" s="100"/>
      <c r="R6" s="99"/>
      <c r="S6" s="100"/>
      <c r="T6" s="98"/>
      <c r="U6" s="99"/>
      <c r="V6" s="101"/>
      <c r="W6" s="149" t="s">
        <v>166</v>
      </c>
      <c r="X6" s="150"/>
      <c r="Y6" s="99" t="s">
        <v>140</v>
      </c>
      <c r="Z6" s="100"/>
    </row>
    <row r="7" spans="1:26" ht="12.75">
      <c r="A7" s="27"/>
      <c r="B7" s="33" t="s">
        <v>289</v>
      </c>
      <c r="C7" s="34" t="s">
        <v>142</v>
      </c>
      <c r="D7" s="33" t="s">
        <v>289</v>
      </c>
      <c r="E7" s="26" t="s">
        <v>142</v>
      </c>
      <c r="F7" s="33" t="s">
        <v>289</v>
      </c>
      <c r="G7" s="34" t="s">
        <v>142</v>
      </c>
      <c r="H7" s="48" t="s">
        <v>289</v>
      </c>
      <c r="I7" s="26" t="s">
        <v>142</v>
      </c>
      <c r="J7" s="33" t="s">
        <v>289</v>
      </c>
      <c r="K7" s="34" t="s">
        <v>142</v>
      </c>
      <c r="L7" s="33"/>
      <c r="M7" s="49"/>
      <c r="N7" s="33"/>
      <c r="O7" s="49"/>
      <c r="P7" s="33"/>
      <c r="Q7" s="49"/>
      <c r="R7" s="33"/>
      <c r="S7" s="49"/>
      <c r="T7" s="64"/>
      <c r="U7" s="97"/>
      <c r="V7" s="26"/>
      <c r="W7" s="33" t="s">
        <v>289</v>
      </c>
      <c r="X7" s="79" t="s">
        <v>142</v>
      </c>
      <c r="Y7" s="33" t="s">
        <v>289</v>
      </c>
      <c r="Z7" s="34" t="s">
        <v>142</v>
      </c>
    </row>
    <row r="8" spans="1:26" ht="12.75">
      <c r="A8" s="28"/>
      <c r="B8" s="35" t="s">
        <v>146</v>
      </c>
      <c r="C8" s="36" t="s">
        <v>146</v>
      </c>
      <c r="D8" s="30" t="s">
        <v>146</v>
      </c>
      <c r="E8" s="11" t="s">
        <v>146</v>
      </c>
      <c r="F8" s="35" t="s">
        <v>146</v>
      </c>
      <c r="G8" s="36" t="s">
        <v>146</v>
      </c>
      <c r="H8" s="50" t="s">
        <v>146</v>
      </c>
      <c r="I8" s="11" t="s">
        <v>146</v>
      </c>
      <c r="J8" s="35" t="s">
        <v>146</v>
      </c>
      <c r="K8" s="36" t="s">
        <v>146</v>
      </c>
      <c r="L8" s="50"/>
      <c r="M8" s="51"/>
      <c r="N8" s="50"/>
      <c r="O8" s="51"/>
      <c r="P8" s="50"/>
      <c r="Q8" s="51"/>
      <c r="R8" s="50"/>
      <c r="S8" s="51"/>
      <c r="T8" s="65"/>
      <c r="U8" s="30"/>
      <c r="V8" s="11"/>
      <c r="W8" s="35"/>
      <c r="X8" s="36"/>
      <c r="Y8" s="35" t="s">
        <v>146</v>
      </c>
      <c r="Z8" s="36" t="s">
        <v>146</v>
      </c>
    </row>
    <row r="9" spans="1:26" ht="12.75">
      <c r="A9" s="27" t="s">
        <v>147</v>
      </c>
      <c r="B9" s="37">
        <f>14133114-9070234</f>
        <v>5062880</v>
      </c>
      <c r="C9" s="38">
        <v>14133114</v>
      </c>
      <c r="D9" s="14">
        <f>74514623-54319112</f>
        <v>20195511</v>
      </c>
      <c r="E9" s="13">
        <v>74514623</v>
      </c>
      <c r="F9" s="39">
        <v>0</v>
      </c>
      <c r="G9" s="38">
        <v>0</v>
      </c>
      <c r="H9" s="52">
        <v>0</v>
      </c>
      <c r="I9" s="13">
        <v>0</v>
      </c>
      <c r="J9" s="39">
        <v>0</v>
      </c>
      <c r="K9" s="38">
        <v>0</v>
      </c>
      <c r="L9" s="52"/>
      <c r="M9" s="53"/>
      <c r="N9" s="52"/>
      <c r="O9" s="53"/>
      <c r="P9" s="52"/>
      <c r="Q9" s="53"/>
      <c r="R9" s="52"/>
      <c r="S9" s="53"/>
      <c r="T9" s="53"/>
      <c r="U9" s="14"/>
      <c r="V9" s="13"/>
      <c r="W9" s="39">
        <f>-221150-(-165143)</f>
        <v>-56007</v>
      </c>
      <c r="X9" s="38">
        <v>-221150</v>
      </c>
      <c r="Y9" s="39">
        <f>+B9+D9+L9+N9+U9+F9+J9+P9+R9+H9+W9</f>
        <v>25202384</v>
      </c>
      <c r="Z9" s="60">
        <f>+C9+E9+M9+O9+V9+G9+X9+K9+Q9+S9+I9</f>
        <v>88426587</v>
      </c>
    </row>
    <row r="10" spans="1:26" ht="12.75">
      <c r="A10" s="27" t="s">
        <v>148</v>
      </c>
      <c r="B10" s="37"/>
      <c r="C10" s="38"/>
      <c r="D10" s="14"/>
      <c r="E10" s="13"/>
      <c r="F10" s="39"/>
      <c r="G10" s="38"/>
      <c r="H10" s="52"/>
      <c r="I10" s="13"/>
      <c r="J10" s="39"/>
      <c r="K10" s="38"/>
      <c r="L10" s="52"/>
      <c r="M10" s="53"/>
      <c r="N10" s="52"/>
      <c r="O10" s="53"/>
      <c r="P10" s="52"/>
      <c r="Q10" s="53"/>
      <c r="R10" s="52"/>
      <c r="S10" s="53"/>
      <c r="T10" s="53"/>
      <c r="U10" s="14"/>
      <c r="V10" s="13"/>
      <c r="W10" s="39"/>
      <c r="X10" s="38"/>
      <c r="Y10" s="39"/>
      <c r="Z10" s="60"/>
    </row>
    <row r="11" spans="1:26" ht="12.75">
      <c r="A11" s="27" t="s">
        <v>149</v>
      </c>
      <c r="B11" s="37">
        <f>13168769-8760567</f>
        <v>4408202</v>
      </c>
      <c r="C11" s="38">
        <v>13168769</v>
      </c>
      <c r="D11" s="14">
        <f>54054552-37353891</f>
        <v>16700661</v>
      </c>
      <c r="E11" s="13">
        <v>54054552</v>
      </c>
      <c r="F11" s="39">
        <v>0</v>
      </c>
      <c r="G11" s="38"/>
      <c r="H11" s="52">
        <v>0</v>
      </c>
      <c r="I11" s="13"/>
      <c r="J11" s="39">
        <v>0</v>
      </c>
      <c r="K11" s="38">
        <v>0</v>
      </c>
      <c r="L11" s="52"/>
      <c r="M11" s="53"/>
      <c r="N11" s="52"/>
      <c r="O11" s="53"/>
      <c r="P11" s="52"/>
      <c r="Q11" s="53"/>
      <c r="R11" s="52"/>
      <c r="S11" s="53"/>
      <c r="T11" s="53"/>
      <c r="U11" s="14"/>
      <c r="V11" s="13"/>
      <c r="W11" s="39">
        <f>-221150-(-165143)</f>
        <v>-56007</v>
      </c>
      <c r="X11" s="38">
        <v>-221150</v>
      </c>
      <c r="Y11" s="39">
        <f>+B11+D11+L11+N11+U11+F11+J11+P11+R11+H11+W11</f>
        <v>21052856</v>
      </c>
      <c r="Z11" s="60">
        <f>+C11+E11+M11+O11+V11+G11+X11+K11+Q11+S11+I11</f>
        <v>67002171</v>
      </c>
    </row>
    <row r="12" spans="1:26" ht="12.75">
      <c r="A12" s="27"/>
      <c r="B12" s="37"/>
      <c r="C12" s="38"/>
      <c r="D12" s="14"/>
      <c r="E12" s="13"/>
      <c r="F12" s="39"/>
      <c r="G12" s="38"/>
      <c r="H12" s="52"/>
      <c r="I12" s="13"/>
      <c r="J12" s="39"/>
      <c r="K12" s="38"/>
      <c r="L12" s="52"/>
      <c r="M12" s="53"/>
      <c r="N12" s="52"/>
      <c r="O12" s="53"/>
      <c r="P12" s="52"/>
      <c r="Q12" s="53"/>
      <c r="R12" s="52"/>
      <c r="S12" s="53"/>
      <c r="T12" s="53"/>
      <c r="U12" s="14"/>
      <c r="V12" s="13"/>
      <c r="W12" s="39"/>
      <c r="X12" s="38"/>
      <c r="Y12" s="39"/>
      <c r="Z12" s="60"/>
    </row>
    <row r="13" spans="1:26" ht="12.75">
      <c r="A13" s="27" t="s">
        <v>150</v>
      </c>
      <c r="B13" s="39">
        <f aca="true" t="shared" si="0" ref="B13:K13">+B9-B11</f>
        <v>654678</v>
      </c>
      <c r="C13" s="38">
        <f t="shared" si="0"/>
        <v>964345</v>
      </c>
      <c r="D13" s="14">
        <f t="shared" si="0"/>
        <v>3494850</v>
      </c>
      <c r="E13" s="13">
        <f t="shared" si="0"/>
        <v>20460071</v>
      </c>
      <c r="F13" s="39">
        <f t="shared" si="0"/>
        <v>0</v>
      </c>
      <c r="G13" s="38">
        <f t="shared" si="0"/>
        <v>0</v>
      </c>
      <c r="H13" s="52">
        <f t="shared" si="0"/>
        <v>0</v>
      </c>
      <c r="I13" s="13">
        <f t="shared" si="0"/>
        <v>0</v>
      </c>
      <c r="J13" s="39">
        <f t="shared" si="0"/>
        <v>0</v>
      </c>
      <c r="K13" s="38">
        <f t="shared" si="0"/>
        <v>0</v>
      </c>
      <c r="L13" s="52"/>
      <c r="M13" s="53"/>
      <c r="N13" s="52"/>
      <c r="O13" s="53"/>
      <c r="P13" s="52"/>
      <c r="Q13" s="53"/>
      <c r="R13" s="52"/>
      <c r="S13" s="53"/>
      <c r="T13" s="53"/>
      <c r="U13" s="12"/>
      <c r="V13" s="13"/>
      <c r="W13" s="39"/>
      <c r="X13" s="38"/>
      <c r="Y13" s="39">
        <f>+Y9-Y11</f>
        <v>4149528</v>
      </c>
      <c r="Z13" s="53">
        <f>+Z9-Z11</f>
        <v>21424416</v>
      </c>
    </row>
    <row r="14" spans="1:26" ht="12.75">
      <c r="A14" s="27" t="s">
        <v>148</v>
      </c>
      <c r="B14" s="39"/>
      <c r="C14" s="38"/>
      <c r="D14" s="14"/>
      <c r="E14" s="13"/>
      <c r="F14" s="39"/>
      <c r="G14" s="38"/>
      <c r="H14" s="52"/>
      <c r="I14" s="13"/>
      <c r="J14" s="39"/>
      <c r="K14" s="38"/>
      <c r="L14" s="52"/>
      <c r="M14" s="53"/>
      <c r="N14" s="52"/>
      <c r="O14" s="53"/>
      <c r="P14" s="52"/>
      <c r="Q14" s="53"/>
      <c r="R14" s="52"/>
      <c r="S14" s="53"/>
      <c r="T14" s="53"/>
      <c r="U14" s="12"/>
      <c r="V14" s="13"/>
      <c r="W14" s="39"/>
      <c r="X14" s="38"/>
      <c r="Y14" s="39"/>
      <c r="Z14" s="53"/>
    </row>
    <row r="15" spans="1:26" s="18" customFormat="1" ht="12.75">
      <c r="A15" s="29" t="s">
        <v>151</v>
      </c>
      <c r="B15" s="40">
        <f>+B13/B9</f>
        <v>0.12930940492367982</v>
      </c>
      <c r="C15" s="41">
        <f>+C13/C9</f>
        <v>0.06823301644634014</v>
      </c>
      <c r="D15" s="16">
        <f>+D13/D9</f>
        <v>0.17305083293014967</v>
      </c>
      <c r="E15" s="17">
        <f>+E13/E9</f>
        <v>0.2745779308311068</v>
      </c>
      <c r="F15" s="40"/>
      <c r="G15" s="41"/>
      <c r="H15" s="54"/>
      <c r="I15" s="17"/>
      <c r="J15" s="40"/>
      <c r="K15" s="41"/>
      <c r="L15" s="54"/>
      <c r="M15" s="55"/>
      <c r="N15" s="54"/>
      <c r="O15" s="55"/>
      <c r="P15" s="54"/>
      <c r="Q15" s="55"/>
      <c r="R15" s="54"/>
      <c r="S15" s="55"/>
      <c r="T15" s="55"/>
      <c r="U15" s="15"/>
      <c r="V15" s="17"/>
      <c r="W15" s="40"/>
      <c r="X15" s="41"/>
      <c r="Y15" s="40">
        <f>+Y13/Y9</f>
        <v>0.1646482332782486</v>
      </c>
      <c r="Z15" s="55">
        <f>+Z13/Z9</f>
        <v>0.24228477799329742</v>
      </c>
    </row>
    <row r="16" spans="1:26" ht="12.75">
      <c r="A16" s="27" t="s">
        <v>148</v>
      </c>
      <c r="B16" s="37"/>
      <c r="C16" s="38"/>
      <c r="D16" s="14"/>
      <c r="E16" s="13"/>
      <c r="F16" s="39"/>
      <c r="G16" s="38"/>
      <c r="H16" s="52"/>
      <c r="I16" s="13"/>
      <c r="J16" s="39"/>
      <c r="K16" s="38"/>
      <c r="L16" s="52"/>
      <c r="M16" s="53"/>
      <c r="N16" s="52"/>
      <c r="O16" s="53"/>
      <c r="P16" s="52"/>
      <c r="Q16" s="53"/>
      <c r="R16" s="52"/>
      <c r="S16" s="53"/>
      <c r="T16" s="53"/>
      <c r="U16" s="14"/>
      <c r="V16" s="13"/>
      <c r="W16" s="39"/>
      <c r="X16" s="38"/>
      <c r="Y16" s="39"/>
      <c r="Z16" s="60"/>
    </row>
    <row r="17" spans="1:26" ht="12.75">
      <c r="A17" s="27" t="s">
        <v>152</v>
      </c>
      <c r="B17" s="39">
        <f>797316-732195</f>
        <v>65121</v>
      </c>
      <c r="C17" s="38">
        <v>797316</v>
      </c>
      <c r="D17" s="14">
        <f>2837771-1679471</f>
        <v>1158300</v>
      </c>
      <c r="E17" s="13">
        <v>2837771</v>
      </c>
      <c r="F17" s="39">
        <f>540965-556627</f>
        <v>-15662</v>
      </c>
      <c r="G17" s="38">
        <v>540965</v>
      </c>
      <c r="H17" s="52">
        <f>41185-42636-8016</f>
        <v>-9467</v>
      </c>
      <c r="I17" s="13">
        <v>41185</v>
      </c>
      <c r="J17" s="39">
        <f>146229-21582</f>
        <v>124647</v>
      </c>
      <c r="K17" s="38">
        <v>146229</v>
      </c>
      <c r="L17" s="52"/>
      <c r="M17" s="53"/>
      <c r="N17" s="52"/>
      <c r="O17" s="53"/>
      <c r="P17" s="52"/>
      <c r="Q17" s="53"/>
      <c r="R17" s="52"/>
      <c r="S17" s="53"/>
      <c r="T17" s="53"/>
      <c r="U17" s="14"/>
      <c r="V17" s="13"/>
      <c r="W17" s="39">
        <v>72000</v>
      </c>
      <c r="X17" s="38">
        <v>0</v>
      </c>
      <c r="Y17" s="39">
        <f>+B17+D17+L17+N17+U17+F17+J17+P17+R17+H17+W17</f>
        <v>1394939</v>
      </c>
      <c r="Z17" s="60">
        <f>+C17+E17+M17+O17+V17+G17+X17+K17+Q17+S17+I17+T17</f>
        <v>4363466</v>
      </c>
    </row>
    <row r="18" spans="1:26" ht="12.75">
      <c r="A18" s="27" t="s">
        <v>153</v>
      </c>
      <c r="B18" s="37">
        <v>0</v>
      </c>
      <c r="C18" s="38">
        <v>0</v>
      </c>
      <c r="D18" s="14">
        <v>0</v>
      </c>
      <c r="E18" s="13">
        <v>0</v>
      </c>
      <c r="F18" s="39"/>
      <c r="G18" s="38"/>
      <c r="H18" s="52">
        <v>0</v>
      </c>
      <c r="I18" s="13">
        <v>0</v>
      </c>
      <c r="J18" s="39"/>
      <c r="K18" s="38"/>
      <c r="L18" s="52"/>
      <c r="M18" s="53"/>
      <c r="N18" s="52"/>
      <c r="O18" s="53"/>
      <c r="P18" s="52"/>
      <c r="Q18" s="53"/>
      <c r="R18" s="52"/>
      <c r="S18" s="53"/>
      <c r="T18" s="53"/>
      <c r="U18" s="14"/>
      <c r="V18" s="13"/>
      <c r="W18" s="39"/>
      <c r="X18" s="38"/>
      <c r="Y18" s="39">
        <f>+B18+D18+L18+N18+U18+F18+J18+P18+R18+H18</f>
        <v>0</v>
      </c>
      <c r="Z18" s="60">
        <f>+C18+E18+M18+O18+V18+G18+X18+K18+Q18+S18+I18+T18</f>
        <v>0</v>
      </c>
    </row>
    <row r="19" spans="1:26" ht="12.75">
      <c r="A19" s="27" t="s">
        <v>154</v>
      </c>
      <c r="B19" s="37">
        <v>0</v>
      </c>
      <c r="C19" s="38">
        <v>0</v>
      </c>
      <c r="D19" s="14">
        <v>0</v>
      </c>
      <c r="E19" s="13">
        <v>0</v>
      </c>
      <c r="F19" s="39"/>
      <c r="G19" s="38"/>
      <c r="H19" s="52"/>
      <c r="I19" s="13"/>
      <c r="J19" s="39"/>
      <c r="K19" s="38"/>
      <c r="L19" s="52"/>
      <c r="M19" s="53"/>
      <c r="N19" s="52"/>
      <c r="O19" s="53"/>
      <c r="P19" s="52"/>
      <c r="Q19" s="53"/>
      <c r="R19" s="52"/>
      <c r="S19" s="53"/>
      <c r="T19" s="53"/>
      <c r="U19" s="14"/>
      <c r="V19" s="13"/>
      <c r="W19" s="39"/>
      <c r="X19" s="38"/>
      <c r="Y19" s="39">
        <f>+B19+D19+L19+N19+U19+F19+J19+P19+R19+H19</f>
        <v>0</v>
      </c>
      <c r="Z19" s="60">
        <f>+C19+E19+M19+O19+V19+G19+X19+K19+Q19+S19+I19+T19</f>
        <v>0</v>
      </c>
    </row>
    <row r="20" spans="1:26" ht="12.75">
      <c r="A20" s="27" t="s">
        <v>155</v>
      </c>
      <c r="B20" s="37">
        <f>-83983-(-37896)</f>
        <v>-46087</v>
      </c>
      <c r="C20" s="38">
        <v>-83983</v>
      </c>
      <c r="D20" s="14">
        <f>98296-178347</f>
        <v>-80051</v>
      </c>
      <c r="E20" s="13">
        <v>98296</v>
      </c>
      <c r="F20" s="39">
        <v>-102701</v>
      </c>
      <c r="G20" s="38">
        <v>-102701</v>
      </c>
      <c r="H20" s="52">
        <v>-133533</v>
      </c>
      <c r="I20" s="13">
        <v>-133533</v>
      </c>
      <c r="J20" s="39">
        <v>0</v>
      </c>
      <c r="K20" s="38">
        <v>385476</v>
      </c>
      <c r="L20" s="52"/>
      <c r="M20" s="53"/>
      <c r="N20" s="52"/>
      <c r="O20" s="53"/>
      <c r="P20" s="52"/>
      <c r="Q20" s="53"/>
      <c r="R20" s="52"/>
      <c r="S20" s="53"/>
      <c r="T20" s="53"/>
      <c r="U20" s="14"/>
      <c r="V20" s="13"/>
      <c r="W20" s="39">
        <v>0</v>
      </c>
      <c r="X20" s="38">
        <v>-385476</v>
      </c>
      <c r="Y20" s="39">
        <f>+B20+D20+L20+N20+U20+F20+J20+P20+R20+H20+W20</f>
        <v>-362372</v>
      </c>
      <c r="Z20" s="60">
        <f>+C20+E20+M20+O20+V20+G20+X20+K20+Q20+S20+I20+T20</f>
        <v>-221921</v>
      </c>
    </row>
    <row r="21" spans="1:26" ht="12.75">
      <c r="A21" s="27" t="s">
        <v>156</v>
      </c>
      <c r="B21" s="37">
        <v>0</v>
      </c>
      <c r="C21" s="38">
        <v>0</v>
      </c>
      <c r="D21" s="14">
        <v>0</v>
      </c>
      <c r="E21" s="13">
        <v>0</v>
      </c>
      <c r="F21" s="39"/>
      <c r="G21" s="38"/>
      <c r="H21" s="52"/>
      <c r="I21" s="13"/>
      <c r="J21" s="39"/>
      <c r="K21" s="38"/>
      <c r="L21" s="52"/>
      <c r="M21" s="53"/>
      <c r="N21" s="52"/>
      <c r="O21" s="53"/>
      <c r="P21" s="52"/>
      <c r="Q21" s="53"/>
      <c r="R21" s="52"/>
      <c r="S21" s="53"/>
      <c r="T21" s="53"/>
      <c r="U21" s="14"/>
      <c r="V21" s="13"/>
      <c r="W21" s="39"/>
      <c r="X21" s="38"/>
      <c r="Y21" s="39">
        <f>+B21+D21+L21+N21+U21+F21+J21+P21+R21+H21</f>
        <v>0</v>
      </c>
      <c r="Z21" s="60">
        <f>+C21+E21+M21+O21+V21+G21+X21+K21+Q21+S21+I21+T21</f>
        <v>0</v>
      </c>
    </row>
    <row r="22" spans="1:26" ht="12.75">
      <c r="A22" s="27" t="s">
        <v>109</v>
      </c>
      <c r="B22" s="42"/>
      <c r="C22" s="43"/>
      <c r="D22" s="31"/>
      <c r="E22" s="20"/>
      <c r="F22" s="61"/>
      <c r="G22" s="43"/>
      <c r="H22" s="56"/>
      <c r="I22" s="20"/>
      <c r="J22" s="61"/>
      <c r="K22" s="43"/>
      <c r="L22" s="56"/>
      <c r="M22" s="57"/>
      <c r="N22" s="56"/>
      <c r="O22" s="57"/>
      <c r="P22" s="56"/>
      <c r="Q22" s="57"/>
      <c r="R22" s="56"/>
      <c r="S22" s="57"/>
      <c r="T22" s="57"/>
      <c r="U22" s="31"/>
      <c r="V22" s="20"/>
      <c r="W22" s="61"/>
      <c r="X22" s="46">
        <v>0</v>
      </c>
      <c r="Y22" s="61"/>
      <c r="Z22" s="46">
        <f>+X22</f>
        <v>0</v>
      </c>
    </row>
    <row r="23" spans="1:26" ht="12.75">
      <c r="A23" s="27" t="s">
        <v>157</v>
      </c>
      <c r="B23" s="39">
        <f aca="true" t="shared" si="1" ref="B23:K23">SUM(B17:B22)</f>
        <v>19034</v>
      </c>
      <c r="C23" s="38">
        <f t="shared" si="1"/>
        <v>713333</v>
      </c>
      <c r="D23" s="14">
        <f t="shared" si="1"/>
        <v>1078249</v>
      </c>
      <c r="E23" s="13">
        <f t="shared" si="1"/>
        <v>2936067</v>
      </c>
      <c r="F23" s="39">
        <f t="shared" si="1"/>
        <v>-118363</v>
      </c>
      <c r="G23" s="38">
        <f t="shared" si="1"/>
        <v>438264</v>
      </c>
      <c r="H23" s="52">
        <f t="shared" si="1"/>
        <v>-143000</v>
      </c>
      <c r="I23" s="13">
        <f t="shared" si="1"/>
        <v>-92348</v>
      </c>
      <c r="J23" s="39">
        <f t="shared" si="1"/>
        <v>124647</v>
      </c>
      <c r="K23" s="38">
        <f t="shared" si="1"/>
        <v>531705</v>
      </c>
      <c r="L23" s="52"/>
      <c r="M23" s="53"/>
      <c r="N23" s="52"/>
      <c r="O23" s="53"/>
      <c r="P23" s="52"/>
      <c r="Q23" s="53"/>
      <c r="R23" s="52"/>
      <c r="S23" s="53"/>
      <c r="T23" s="53"/>
      <c r="U23" s="12"/>
      <c r="V23" s="13"/>
      <c r="W23" s="39"/>
      <c r="X23" s="38"/>
      <c r="Y23" s="39">
        <f>SUM(Y17:Y22)</f>
        <v>1032567</v>
      </c>
      <c r="Z23" s="53">
        <f>SUM(Z17:Z22)</f>
        <v>4141545</v>
      </c>
    </row>
    <row r="24" spans="1:26" ht="12.75">
      <c r="A24" s="27"/>
      <c r="B24" s="39"/>
      <c r="C24" s="38"/>
      <c r="D24" s="14"/>
      <c r="E24" s="13"/>
      <c r="F24" s="39"/>
      <c r="G24" s="38"/>
      <c r="H24" s="52"/>
      <c r="I24" s="13"/>
      <c r="J24" s="39"/>
      <c r="K24" s="38"/>
      <c r="L24" s="52"/>
      <c r="M24" s="53"/>
      <c r="N24" s="52"/>
      <c r="O24" s="53"/>
      <c r="P24" s="52"/>
      <c r="Q24" s="53"/>
      <c r="R24" s="52"/>
      <c r="S24" s="53"/>
      <c r="T24" s="53"/>
      <c r="U24" s="12"/>
      <c r="V24" s="13"/>
      <c r="W24" s="39"/>
      <c r="X24" s="38"/>
      <c r="Y24" s="39"/>
      <c r="Z24" s="60"/>
    </row>
    <row r="25" spans="1:26" ht="12.75">
      <c r="A25" s="27" t="s">
        <v>158</v>
      </c>
      <c r="B25" s="39">
        <f aca="true" t="shared" si="2" ref="B25:K25">+B13-B23</f>
        <v>635644</v>
      </c>
      <c r="C25" s="38">
        <f t="shared" si="2"/>
        <v>251012</v>
      </c>
      <c r="D25" s="14">
        <f t="shared" si="2"/>
        <v>2416601</v>
      </c>
      <c r="E25" s="13">
        <f t="shared" si="2"/>
        <v>17524004</v>
      </c>
      <c r="F25" s="39">
        <f t="shared" si="2"/>
        <v>118363</v>
      </c>
      <c r="G25" s="38">
        <f t="shared" si="2"/>
        <v>-438264</v>
      </c>
      <c r="H25" s="52">
        <f t="shared" si="2"/>
        <v>143000</v>
      </c>
      <c r="I25" s="13">
        <f t="shared" si="2"/>
        <v>92348</v>
      </c>
      <c r="J25" s="39">
        <f t="shared" si="2"/>
        <v>-124647</v>
      </c>
      <c r="K25" s="38">
        <f t="shared" si="2"/>
        <v>-531705</v>
      </c>
      <c r="L25" s="52"/>
      <c r="M25" s="53"/>
      <c r="N25" s="52"/>
      <c r="O25" s="53"/>
      <c r="P25" s="52"/>
      <c r="Q25" s="53"/>
      <c r="R25" s="52"/>
      <c r="S25" s="53"/>
      <c r="T25" s="53"/>
      <c r="U25" s="12"/>
      <c r="V25" s="13"/>
      <c r="W25" s="39"/>
      <c r="X25" s="38"/>
      <c r="Y25" s="39">
        <f>+Y13-Y23</f>
        <v>3116961</v>
      </c>
      <c r="Z25" s="53">
        <f>+Z13-Z23</f>
        <v>17282871</v>
      </c>
    </row>
    <row r="26" spans="1:26" ht="12.75">
      <c r="A26" s="27" t="s">
        <v>148</v>
      </c>
      <c r="B26" s="39"/>
      <c r="C26" s="38"/>
      <c r="D26" s="14"/>
      <c r="E26" s="13"/>
      <c r="F26" s="39"/>
      <c r="G26" s="38"/>
      <c r="H26" s="52"/>
      <c r="I26" s="13"/>
      <c r="J26" s="39"/>
      <c r="K26" s="38"/>
      <c r="L26" s="52"/>
      <c r="M26" s="53"/>
      <c r="N26" s="52"/>
      <c r="O26" s="53"/>
      <c r="P26" s="52"/>
      <c r="Q26" s="53"/>
      <c r="R26" s="52"/>
      <c r="S26" s="53"/>
      <c r="T26" s="53"/>
      <c r="U26" s="12"/>
      <c r="V26" s="13"/>
      <c r="W26" s="39"/>
      <c r="X26" s="38"/>
      <c r="Y26" s="39"/>
      <c r="Z26" s="53"/>
    </row>
    <row r="27" spans="1:26" s="18" customFormat="1" ht="12.75">
      <c r="A27" s="29" t="s">
        <v>159</v>
      </c>
      <c r="B27" s="40">
        <f>+B25/B9</f>
        <v>0.12554988465063363</v>
      </c>
      <c r="C27" s="41">
        <f>+C25/C9</f>
        <v>0.017760558642631766</v>
      </c>
      <c r="D27" s="16">
        <f>+D25/D9</f>
        <v>0.1196603047083087</v>
      </c>
      <c r="E27" s="17">
        <f>+E25/E9</f>
        <v>0.2351753695378691</v>
      </c>
      <c r="F27" s="40"/>
      <c r="G27" s="41"/>
      <c r="H27" s="54"/>
      <c r="I27" s="17"/>
      <c r="J27" s="40"/>
      <c r="K27" s="41"/>
      <c r="L27" s="54"/>
      <c r="M27" s="55"/>
      <c r="N27" s="54"/>
      <c r="O27" s="55"/>
      <c r="P27" s="54"/>
      <c r="Q27" s="55"/>
      <c r="R27" s="54"/>
      <c r="S27" s="55"/>
      <c r="T27" s="55"/>
      <c r="U27" s="15"/>
      <c r="V27" s="17"/>
      <c r="W27" s="40"/>
      <c r="X27" s="41"/>
      <c r="Y27" s="40">
        <f>+Y25/Y9</f>
        <v>0.12367722831300404</v>
      </c>
      <c r="Z27" s="55">
        <f>+Z25/Z9</f>
        <v>0.19544880772114387</v>
      </c>
    </row>
    <row r="28" spans="1:26" ht="12.75">
      <c r="A28" s="27"/>
      <c r="B28" s="37"/>
      <c r="C28" s="38"/>
      <c r="D28" s="14"/>
      <c r="E28" s="13"/>
      <c r="F28" s="39"/>
      <c r="G28" s="38"/>
      <c r="H28" s="52"/>
      <c r="I28" s="13"/>
      <c r="J28" s="39"/>
      <c r="K28" s="38"/>
      <c r="L28" s="52"/>
      <c r="M28" s="53"/>
      <c r="N28" s="52"/>
      <c r="O28" s="53"/>
      <c r="P28" s="52"/>
      <c r="Q28" s="53"/>
      <c r="R28" s="52"/>
      <c r="S28" s="53"/>
      <c r="T28" s="53"/>
      <c r="U28" s="14"/>
      <c r="V28" s="13"/>
      <c r="W28" s="39"/>
      <c r="X28" s="38"/>
      <c r="Y28" s="39"/>
      <c r="Z28" s="60"/>
    </row>
    <row r="29" spans="1:26" ht="12.75">
      <c r="A29" s="27" t="s">
        <v>160</v>
      </c>
      <c r="B29" s="37">
        <f>519760-100183</f>
        <v>419577</v>
      </c>
      <c r="C29" s="38">
        <v>519760</v>
      </c>
      <c r="D29" s="14">
        <f>503339-238035</f>
        <v>265304</v>
      </c>
      <c r="E29" s="13">
        <v>503339</v>
      </c>
      <c r="F29" s="39">
        <f>518789-624162</f>
        <v>-105373</v>
      </c>
      <c r="G29" s="38">
        <v>518789</v>
      </c>
      <c r="H29" s="52">
        <f>171010-252379</f>
        <v>-81369</v>
      </c>
      <c r="I29" s="13">
        <v>171010</v>
      </c>
      <c r="J29" s="39">
        <v>0</v>
      </c>
      <c r="K29" s="38">
        <v>385476</v>
      </c>
      <c r="L29" s="52"/>
      <c r="M29" s="53"/>
      <c r="N29" s="52"/>
      <c r="O29" s="53"/>
      <c r="P29" s="52"/>
      <c r="Q29" s="53"/>
      <c r="R29" s="52"/>
      <c r="S29" s="53"/>
      <c r="T29" s="53"/>
      <c r="U29" s="14"/>
      <c r="V29" s="13"/>
      <c r="W29" s="39">
        <f>-385476-(-457476)</f>
        <v>72000</v>
      </c>
      <c r="X29" s="38">
        <v>-385476</v>
      </c>
      <c r="Y29" s="39">
        <f>+B29+D29+L29+N29+U29+F29+J29+P29+R29+H29+W29</f>
        <v>570139</v>
      </c>
      <c r="Z29" s="60">
        <f>+C29+E29+M29+O29+V29+G29+X29+K29+Q29+S29+I29</f>
        <v>1712898</v>
      </c>
    </row>
    <row r="30" spans="1:26" ht="12.75">
      <c r="A30" s="27" t="s">
        <v>148</v>
      </c>
      <c r="B30" s="42"/>
      <c r="C30" s="43"/>
      <c r="D30" s="31"/>
      <c r="E30" s="20"/>
      <c r="F30" s="61"/>
      <c r="G30" s="43"/>
      <c r="H30" s="56"/>
      <c r="I30" s="20"/>
      <c r="J30" s="61"/>
      <c r="K30" s="43"/>
      <c r="L30" s="56"/>
      <c r="M30" s="57"/>
      <c r="N30" s="56"/>
      <c r="O30" s="57"/>
      <c r="P30" s="56"/>
      <c r="Q30" s="57"/>
      <c r="R30" s="56"/>
      <c r="S30" s="57"/>
      <c r="T30" s="57"/>
      <c r="U30" s="31"/>
      <c r="V30" s="20"/>
      <c r="W30" s="61"/>
      <c r="X30" s="43"/>
      <c r="Y30" s="61"/>
      <c r="Z30" s="46"/>
    </row>
    <row r="31" spans="1:26" ht="12.75">
      <c r="A31" s="27" t="s">
        <v>161</v>
      </c>
      <c r="B31" s="39">
        <f aca="true" t="shared" si="3" ref="B31:K31">+B25+B29</f>
        <v>1055221</v>
      </c>
      <c r="C31" s="38">
        <f t="shared" si="3"/>
        <v>770772</v>
      </c>
      <c r="D31" s="14">
        <f t="shared" si="3"/>
        <v>2681905</v>
      </c>
      <c r="E31" s="13">
        <f t="shared" si="3"/>
        <v>18027343</v>
      </c>
      <c r="F31" s="39">
        <f t="shared" si="3"/>
        <v>12990</v>
      </c>
      <c r="G31" s="38">
        <f t="shared" si="3"/>
        <v>80525</v>
      </c>
      <c r="H31" s="52">
        <f t="shared" si="3"/>
        <v>61631</v>
      </c>
      <c r="I31" s="13">
        <f t="shared" si="3"/>
        <v>263358</v>
      </c>
      <c r="J31" s="39">
        <f t="shared" si="3"/>
        <v>-124647</v>
      </c>
      <c r="K31" s="38">
        <f t="shared" si="3"/>
        <v>-146229</v>
      </c>
      <c r="L31" s="52"/>
      <c r="M31" s="53"/>
      <c r="N31" s="52"/>
      <c r="O31" s="53"/>
      <c r="P31" s="52"/>
      <c r="Q31" s="53"/>
      <c r="R31" s="52"/>
      <c r="S31" s="53"/>
      <c r="T31" s="53"/>
      <c r="U31" s="12"/>
      <c r="V31" s="13"/>
      <c r="W31" s="39"/>
      <c r="X31" s="38"/>
      <c r="Y31" s="39">
        <f>+Y25+Y29</f>
        <v>3687100</v>
      </c>
      <c r="Z31" s="53">
        <f>+Z25+Z29</f>
        <v>18995769</v>
      </c>
    </row>
    <row r="32" spans="1:26" ht="12.75" hidden="1">
      <c r="A32" s="27" t="s">
        <v>162</v>
      </c>
      <c r="B32" s="39"/>
      <c r="C32" s="38"/>
      <c r="D32" s="14"/>
      <c r="E32" s="13"/>
      <c r="F32" s="39"/>
      <c r="G32" s="38"/>
      <c r="H32" s="52"/>
      <c r="I32" s="13"/>
      <c r="J32" s="39"/>
      <c r="K32" s="38"/>
      <c r="L32" s="52"/>
      <c r="M32" s="53"/>
      <c r="N32" s="52"/>
      <c r="O32" s="53"/>
      <c r="P32" s="52"/>
      <c r="Q32" s="53"/>
      <c r="R32" s="52"/>
      <c r="S32" s="53"/>
      <c r="T32" s="53"/>
      <c r="U32" s="12"/>
      <c r="V32" s="13"/>
      <c r="W32" s="61"/>
      <c r="X32" s="38"/>
      <c r="Y32" s="39"/>
      <c r="Z32" s="57">
        <f>+W32</f>
        <v>0</v>
      </c>
    </row>
    <row r="33" spans="1:26" ht="12.75" hidden="1">
      <c r="A33" s="27"/>
      <c r="B33" s="39"/>
      <c r="C33" s="38"/>
      <c r="D33" s="14"/>
      <c r="E33" s="13"/>
      <c r="F33" s="39"/>
      <c r="G33" s="38"/>
      <c r="H33" s="52"/>
      <c r="I33" s="13"/>
      <c r="J33" s="39"/>
      <c r="K33" s="38"/>
      <c r="L33" s="52"/>
      <c r="M33" s="53"/>
      <c r="N33" s="52"/>
      <c r="O33" s="53"/>
      <c r="P33" s="52"/>
      <c r="Q33" s="53"/>
      <c r="R33" s="52"/>
      <c r="S33" s="53"/>
      <c r="T33" s="53"/>
      <c r="U33" s="12"/>
      <c r="V33" s="13"/>
      <c r="W33" s="39"/>
      <c r="X33" s="38"/>
      <c r="Y33" s="39"/>
      <c r="Z33" s="38">
        <f>SUM(Z31:Z32)</f>
        <v>18995769</v>
      </c>
    </row>
    <row r="34" spans="1:26" ht="12.75">
      <c r="A34" s="27" t="s">
        <v>148</v>
      </c>
      <c r="B34" s="37"/>
      <c r="C34" s="38"/>
      <c r="D34" s="14"/>
      <c r="E34" s="13"/>
      <c r="F34" s="39"/>
      <c r="G34" s="38"/>
      <c r="H34" s="52"/>
      <c r="I34" s="13"/>
      <c r="J34" s="39"/>
      <c r="K34" s="38"/>
      <c r="L34" s="52"/>
      <c r="M34" s="53"/>
      <c r="N34" s="52"/>
      <c r="O34" s="53"/>
      <c r="P34" s="52"/>
      <c r="Q34" s="53"/>
      <c r="R34" s="52"/>
      <c r="S34" s="53"/>
      <c r="T34" s="53"/>
      <c r="U34" s="12"/>
      <c r="V34" s="13"/>
      <c r="W34" s="39"/>
      <c r="X34" s="38"/>
      <c r="Y34" s="39"/>
      <c r="Z34" s="60"/>
    </row>
    <row r="35" spans="1:26" ht="12.75">
      <c r="A35" s="27" t="s">
        <v>163</v>
      </c>
      <c r="B35" s="37">
        <v>165000</v>
      </c>
      <c r="C35" s="38">
        <v>165000</v>
      </c>
      <c r="D35" s="14">
        <f>5544391-4457457</f>
        <v>1086934</v>
      </c>
      <c r="E35" s="13">
        <v>5544391</v>
      </c>
      <c r="F35" s="39">
        <v>38000</v>
      </c>
      <c r="G35" s="38">
        <v>38000</v>
      </c>
      <c r="H35" s="52">
        <v>-37264</v>
      </c>
      <c r="I35" s="13">
        <v>-37264</v>
      </c>
      <c r="J35" s="39"/>
      <c r="K35" s="38"/>
      <c r="L35" s="52"/>
      <c r="M35" s="53"/>
      <c r="N35" s="52"/>
      <c r="O35" s="53"/>
      <c r="P35" s="52"/>
      <c r="Q35" s="53"/>
      <c r="R35" s="52"/>
      <c r="S35" s="53"/>
      <c r="T35" s="53"/>
      <c r="U35" s="12"/>
      <c r="V35" s="13"/>
      <c r="W35" s="39"/>
      <c r="X35" s="38"/>
      <c r="Y35" s="39">
        <f>+B35+D35+L35+N35+U35+F35+J35+P35+R35+H35</f>
        <v>1252670</v>
      </c>
      <c r="Z35" s="60">
        <f>+C35+E35+M35+O35+V35+G35+K35+Q35+S35+I35+W35</f>
        <v>5710127</v>
      </c>
    </row>
    <row r="36" spans="1:26" ht="12.75" hidden="1">
      <c r="A36" s="27" t="s">
        <v>164</v>
      </c>
      <c r="B36" s="37"/>
      <c r="C36" s="38"/>
      <c r="D36" s="14"/>
      <c r="E36" s="13"/>
      <c r="F36" s="39"/>
      <c r="G36" s="38"/>
      <c r="H36" s="52"/>
      <c r="I36" s="13"/>
      <c r="J36" s="39"/>
      <c r="K36" s="38"/>
      <c r="L36" s="52"/>
      <c r="M36" s="53"/>
      <c r="N36" s="52"/>
      <c r="O36" s="53"/>
      <c r="P36" s="52"/>
      <c r="Q36" s="53"/>
      <c r="R36" s="52"/>
      <c r="S36" s="53"/>
      <c r="T36" s="53"/>
      <c r="U36" s="12"/>
      <c r="V36" s="13"/>
      <c r="W36" s="62"/>
      <c r="X36" s="60"/>
      <c r="Y36" s="39"/>
      <c r="Z36" s="59">
        <f>+W36</f>
        <v>0</v>
      </c>
    </row>
    <row r="37" spans="1:26" ht="12.75" hidden="1">
      <c r="A37" s="27"/>
      <c r="B37" s="37"/>
      <c r="C37" s="38"/>
      <c r="D37" s="14"/>
      <c r="E37" s="13"/>
      <c r="F37" s="39"/>
      <c r="G37" s="38"/>
      <c r="H37" s="52"/>
      <c r="I37" s="13"/>
      <c r="J37" s="39"/>
      <c r="K37" s="38"/>
      <c r="L37" s="52"/>
      <c r="M37" s="53"/>
      <c r="N37" s="52"/>
      <c r="O37" s="53"/>
      <c r="P37" s="52"/>
      <c r="Q37" s="53"/>
      <c r="R37" s="52"/>
      <c r="S37" s="53"/>
      <c r="T37" s="53"/>
      <c r="U37" s="12"/>
      <c r="V37" s="13"/>
      <c r="W37" s="39"/>
      <c r="X37" s="38"/>
      <c r="Y37" s="39"/>
      <c r="Z37" s="60">
        <f>SUM(Z35:Z36)</f>
        <v>5710127</v>
      </c>
    </row>
    <row r="38" spans="1:26" ht="12.75">
      <c r="A38" s="27" t="s">
        <v>148</v>
      </c>
      <c r="B38" s="42"/>
      <c r="C38" s="43"/>
      <c r="D38" s="31"/>
      <c r="E38" s="20"/>
      <c r="F38" s="61"/>
      <c r="G38" s="43"/>
      <c r="H38" s="56"/>
      <c r="I38" s="20"/>
      <c r="J38" s="61"/>
      <c r="K38" s="43"/>
      <c r="L38" s="56"/>
      <c r="M38" s="57"/>
      <c r="N38" s="56"/>
      <c r="O38" s="57"/>
      <c r="P38" s="56"/>
      <c r="Q38" s="57"/>
      <c r="R38" s="56"/>
      <c r="S38" s="57"/>
      <c r="T38" s="57"/>
      <c r="U38" s="19"/>
      <c r="V38" s="20"/>
      <c r="W38" s="61"/>
      <c r="X38" s="43"/>
      <c r="Y38" s="61"/>
      <c r="Z38" s="46"/>
    </row>
    <row r="39" spans="1:26" ht="12.75">
      <c r="A39" s="27" t="s">
        <v>165</v>
      </c>
      <c r="B39" s="39">
        <f aca="true" t="shared" si="4" ref="B39:K39">+B31-B35</f>
        <v>890221</v>
      </c>
      <c r="C39" s="38">
        <f t="shared" si="4"/>
        <v>605772</v>
      </c>
      <c r="D39" s="14">
        <f t="shared" si="4"/>
        <v>1594971</v>
      </c>
      <c r="E39" s="13">
        <f t="shared" si="4"/>
        <v>12482952</v>
      </c>
      <c r="F39" s="39">
        <f t="shared" si="4"/>
        <v>-25010</v>
      </c>
      <c r="G39" s="38">
        <f t="shared" si="4"/>
        <v>42525</v>
      </c>
      <c r="H39" s="52">
        <f t="shared" si="4"/>
        <v>98895</v>
      </c>
      <c r="I39" s="13">
        <f t="shared" si="4"/>
        <v>300622</v>
      </c>
      <c r="J39" s="39">
        <f t="shared" si="4"/>
        <v>-124647</v>
      </c>
      <c r="K39" s="38">
        <f t="shared" si="4"/>
        <v>-146229</v>
      </c>
      <c r="L39" s="52"/>
      <c r="M39" s="53"/>
      <c r="N39" s="52"/>
      <c r="O39" s="53"/>
      <c r="P39" s="52"/>
      <c r="Q39" s="53"/>
      <c r="R39" s="52"/>
      <c r="S39" s="53"/>
      <c r="T39" s="53"/>
      <c r="U39" s="12"/>
      <c r="V39" s="13"/>
      <c r="W39" s="39"/>
      <c r="X39" s="38"/>
      <c r="Y39" s="39">
        <f>+Y31-Y35</f>
        <v>2434430</v>
      </c>
      <c r="Z39" s="53">
        <f>+Z33-Z37</f>
        <v>13285642</v>
      </c>
    </row>
    <row r="40" spans="1:26" ht="12.75">
      <c r="A40" s="27"/>
      <c r="B40" s="37"/>
      <c r="C40" s="38"/>
      <c r="D40" s="14"/>
      <c r="E40" s="13"/>
      <c r="F40" s="39"/>
      <c r="G40" s="38"/>
      <c r="H40" s="52"/>
      <c r="I40" s="13"/>
      <c r="J40" s="39"/>
      <c r="K40" s="38"/>
      <c r="L40" s="52"/>
      <c r="M40" s="53"/>
      <c r="N40" s="52"/>
      <c r="O40" s="53"/>
      <c r="P40" s="52"/>
      <c r="Q40" s="53"/>
      <c r="R40" s="52"/>
      <c r="S40" s="53"/>
      <c r="T40" s="53"/>
      <c r="U40" s="12"/>
      <c r="V40" s="13"/>
      <c r="W40" s="39"/>
      <c r="X40" s="38"/>
      <c r="Y40" s="39"/>
      <c r="Z40" s="60"/>
    </row>
    <row r="41" spans="1:26" ht="12.75">
      <c r="A41" s="27" t="s">
        <v>138</v>
      </c>
      <c r="B41" s="37"/>
      <c r="C41" s="38"/>
      <c r="D41" s="14"/>
      <c r="E41" s="13"/>
      <c r="F41" s="39"/>
      <c r="G41" s="38"/>
      <c r="H41" s="52"/>
      <c r="I41" s="13"/>
      <c r="J41" s="39"/>
      <c r="K41" s="38"/>
      <c r="L41" s="52"/>
      <c r="M41" s="53"/>
      <c r="N41" s="52"/>
      <c r="O41" s="53"/>
      <c r="P41" s="52"/>
      <c r="Q41" s="53"/>
      <c r="R41" s="52"/>
      <c r="S41" s="53"/>
      <c r="T41" s="53"/>
      <c r="U41" s="14"/>
      <c r="V41" s="13"/>
      <c r="W41" s="39"/>
      <c r="X41" s="38"/>
      <c r="Y41" s="39">
        <v>0</v>
      </c>
      <c r="Z41" s="60">
        <f>+X41</f>
        <v>0</v>
      </c>
    </row>
    <row r="42" spans="1:26" ht="12.75">
      <c r="A42" s="27" t="s">
        <v>166</v>
      </c>
      <c r="B42" s="37"/>
      <c r="C42" s="38">
        <v>0</v>
      </c>
      <c r="D42" s="14"/>
      <c r="E42" s="13"/>
      <c r="F42" s="39"/>
      <c r="G42" s="38"/>
      <c r="H42" s="52"/>
      <c r="I42" s="13"/>
      <c r="J42" s="39"/>
      <c r="K42" s="38"/>
      <c r="L42" s="52"/>
      <c r="M42" s="53"/>
      <c r="N42" s="52"/>
      <c r="O42" s="53"/>
      <c r="P42" s="52"/>
      <c r="Q42" s="53"/>
      <c r="R42" s="52"/>
      <c r="S42" s="53"/>
      <c r="T42" s="53"/>
      <c r="U42" s="14"/>
      <c r="V42" s="13"/>
      <c r="W42" s="39"/>
      <c r="X42" s="38"/>
      <c r="Y42" s="39"/>
      <c r="Z42" s="60">
        <f>+C42+X42</f>
        <v>0</v>
      </c>
    </row>
    <row r="43" spans="1:26" ht="12.75">
      <c r="A43" s="27" t="s">
        <v>167</v>
      </c>
      <c r="B43" s="37"/>
      <c r="C43" s="38">
        <v>0</v>
      </c>
      <c r="D43" s="14"/>
      <c r="E43" s="13">
        <v>0</v>
      </c>
      <c r="F43" s="39"/>
      <c r="G43" s="38"/>
      <c r="H43" s="52"/>
      <c r="I43" s="13"/>
      <c r="J43" s="39"/>
      <c r="K43" s="38"/>
      <c r="L43" s="52"/>
      <c r="M43" s="53"/>
      <c r="N43" s="52"/>
      <c r="O43" s="53"/>
      <c r="P43" s="52"/>
      <c r="Q43" s="53"/>
      <c r="R43" s="52"/>
      <c r="S43" s="53"/>
      <c r="T43" s="53"/>
      <c r="U43" s="14"/>
      <c r="V43" s="13"/>
      <c r="W43" s="39"/>
      <c r="X43" s="38"/>
      <c r="Y43" s="39"/>
      <c r="Z43" s="60">
        <f>E43+V43+W43-X43</f>
        <v>0</v>
      </c>
    </row>
    <row r="44" spans="1:26" ht="13.5" thickBot="1">
      <c r="A44" s="27"/>
      <c r="B44" s="44">
        <f>+B39-B41-B43</f>
        <v>890221</v>
      </c>
      <c r="C44" s="113">
        <f>+C39-C41-C43-C42</f>
        <v>605772</v>
      </c>
      <c r="D44" s="32">
        <f aca="true" t="shared" si="5" ref="D44:K44">+D39-D41-D43</f>
        <v>1594971</v>
      </c>
      <c r="E44" s="47">
        <f t="shared" si="5"/>
        <v>12482952</v>
      </c>
      <c r="F44" s="44">
        <f t="shared" si="5"/>
        <v>-25010</v>
      </c>
      <c r="G44" s="113">
        <f t="shared" si="5"/>
        <v>42525</v>
      </c>
      <c r="H44" s="44">
        <f t="shared" si="5"/>
        <v>98895</v>
      </c>
      <c r="I44" s="47">
        <f t="shared" si="5"/>
        <v>300622</v>
      </c>
      <c r="J44" s="44">
        <f t="shared" si="5"/>
        <v>-124647</v>
      </c>
      <c r="K44" s="113">
        <f t="shared" si="5"/>
        <v>-146229</v>
      </c>
      <c r="L44" s="44"/>
      <c r="M44" s="45"/>
      <c r="N44" s="44"/>
      <c r="O44" s="45"/>
      <c r="P44" s="44"/>
      <c r="Q44" s="45"/>
      <c r="R44" s="44"/>
      <c r="S44" s="45"/>
      <c r="T44" s="45"/>
      <c r="U44" s="32"/>
      <c r="V44" s="47"/>
      <c r="W44" s="44"/>
      <c r="X44" s="113"/>
      <c r="Y44" s="44">
        <f>+Y39+Y41-Y43</f>
        <v>2434430</v>
      </c>
      <c r="Z44" s="45">
        <f>+Z39+Z41-Z43+Z42</f>
        <v>13285642</v>
      </c>
    </row>
    <row r="45" spans="1:26" ht="13.5" thickTop="1">
      <c r="A45" s="28"/>
      <c r="B45" s="42"/>
      <c r="C45" s="46"/>
      <c r="D45" s="7"/>
      <c r="E45" s="21"/>
      <c r="F45" s="62"/>
      <c r="G45" s="46"/>
      <c r="H45" s="58"/>
      <c r="I45" s="21"/>
      <c r="J45" s="62"/>
      <c r="K45" s="46"/>
      <c r="L45" s="58"/>
      <c r="M45" s="59"/>
      <c r="N45" s="58"/>
      <c r="O45" s="59"/>
      <c r="P45" s="58"/>
      <c r="Q45" s="59"/>
      <c r="R45" s="58"/>
      <c r="S45" s="59"/>
      <c r="T45" s="59"/>
      <c r="U45" s="7"/>
      <c r="V45" s="21"/>
      <c r="W45" s="62"/>
      <c r="X45" s="46"/>
      <c r="Y45" s="62"/>
      <c r="Z45" s="46"/>
    </row>
    <row r="46" spans="2:26" ht="12.75">
      <c r="B46" s="2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s="110" customFormat="1" ht="12.75">
      <c r="A47" s="106"/>
      <c r="B47" s="107"/>
      <c r="C47" s="107"/>
      <c r="D47" s="107"/>
      <c r="E47" s="107"/>
      <c r="F47" s="108"/>
      <c r="G47" s="108"/>
      <c r="H47" s="108"/>
      <c r="I47" s="108"/>
      <c r="J47" s="107"/>
      <c r="K47" s="107"/>
      <c r="L47" s="107"/>
      <c r="M47" s="107"/>
      <c r="N47" s="108"/>
      <c r="O47" s="108"/>
      <c r="P47" s="109"/>
      <c r="Q47" s="107"/>
      <c r="R47" s="108"/>
      <c r="S47" s="108"/>
      <c r="T47" s="108"/>
      <c r="U47" s="109"/>
      <c r="V47" s="107"/>
      <c r="W47" s="107"/>
      <c r="X47" s="107"/>
      <c r="Y47" s="107"/>
      <c r="Z47" s="94"/>
    </row>
    <row r="48" spans="1:26" s="110" customFormat="1" ht="12.75">
      <c r="A48" s="106"/>
      <c r="F48" s="8"/>
      <c r="G48" s="8"/>
      <c r="H48" s="8"/>
      <c r="I48" s="8"/>
      <c r="N48" s="8"/>
      <c r="O48" s="8"/>
      <c r="R48" s="8"/>
      <c r="S48" s="8"/>
      <c r="T48" s="8"/>
      <c r="X48" s="8"/>
      <c r="Z48" s="95"/>
    </row>
    <row r="49" spans="1:26" s="110" customFormat="1" ht="12.75">
      <c r="A49" s="106"/>
      <c r="B49" s="8"/>
      <c r="C49" s="111"/>
      <c r="D49" s="111"/>
      <c r="E49" s="111"/>
      <c r="F49" s="8"/>
      <c r="G49" s="8"/>
      <c r="H49" s="8"/>
      <c r="I49" s="8"/>
      <c r="J49" s="111"/>
      <c r="K49" s="111"/>
      <c r="L49" s="111"/>
      <c r="M49" s="111"/>
      <c r="N49" s="8"/>
      <c r="O49" s="8"/>
      <c r="P49" s="111"/>
      <c r="Q49" s="111"/>
      <c r="R49" s="8"/>
      <c r="S49" s="8"/>
      <c r="T49" s="8"/>
      <c r="U49" s="111"/>
      <c r="V49" s="111"/>
      <c r="W49" s="111"/>
      <c r="X49" s="8"/>
      <c r="Y49" s="111"/>
      <c r="Z49" s="96"/>
    </row>
    <row r="50" spans="1:26" s="110" customFormat="1" ht="12.75">
      <c r="A50" s="106"/>
      <c r="B50" s="8"/>
      <c r="C50" s="111"/>
      <c r="D50" s="111"/>
      <c r="E50" s="111"/>
      <c r="F50" s="8"/>
      <c r="G50" s="8"/>
      <c r="H50" s="8"/>
      <c r="I50" s="8"/>
      <c r="J50" s="111"/>
      <c r="K50" s="111"/>
      <c r="L50" s="111"/>
      <c r="M50" s="111"/>
      <c r="N50" s="8"/>
      <c r="O50" s="8"/>
      <c r="P50" s="111"/>
      <c r="Q50" s="111"/>
      <c r="R50" s="8"/>
      <c r="S50" s="8"/>
      <c r="T50" s="8"/>
      <c r="U50" s="111"/>
      <c r="V50" s="111"/>
      <c r="W50" s="111"/>
      <c r="X50" s="8"/>
      <c r="Y50" s="111"/>
      <c r="Z50" s="96"/>
    </row>
    <row r="51" spans="1:26" s="110" customFormat="1" ht="12.75">
      <c r="A51" s="106"/>
      <c r="B51" s="8"/>
      <c r="C51" s="111"/>
      <c r="D51" s="111"/>
      <c r="E51" s="111"/>
      <c r="F51" s="8"/>
      <c r="G51" s="8"/>
      <c r="H51" s="8"/>
      <c r="I51" s="8"/>
      <c r="J51" s="111"/>
      <c r="K51" s="111"/>
      <c r="L51" s="111"/>
      <c r="M51" s="111"/>
      <c r="N51" s="8"/>
      <c r="O51" s="8"/>
      <c r="P51" s="111"/>
      <c r="Q51" s="111"/>
      <c r="R51" s="8"/>
      <c r="S51" s="8"/>
      <c r="T51" s="8"/>
      <c r="U51" s="111"/>
      <c r="V51" s="111"/>
      <c r="W51" s="111"/>
      <c r="X51" s="8"/>
      <c r="Y51" s="111"/>
      <c r="Z51" s="96"/>
    </row>
    <row r="52" spans="1:26" s="110" customFormat="1" ht="12.75">
      <c r="A52" s="106"/>
      <c r="B52" s="8"/>
      <c r="C52" s="111"/>
      <c r="D52" s="111"/>
      <c r="E52" s="111"/>
      <c r="F52" s="8"/>
      <c r="G52" s="8"/>
      <c r="H52" s="8"/>
      <c r="I52" s="8"/>
      <c r="J52" s="111"/>
      <c r="K52" s="111"/>
      <c r="L52" s="111"/>
      <c r="M52" s="111"/>
      <c r="N52" s="8"/>
      <c r="O52" s="8"/>
      <c r="P52" s="111"/>
      <c r="Q52" s="111"/>
      <c r="R52" s="8"/>
      <c r="S52" s="8"/>
      <c r="T52" s="8"/>
      <c r="U52" s="111"/>
      <c r="V52" s="111"/>
      <c r="W52" s="111"/>
      <c r="X52" s="8"/>
      <c r="Y52" s="111"/>
      <c r="Z52" s="96"/>
    </row>
    <row r="53" spans="1:26" s="110" customFormat="1" ht="12.75">
      <c r="A53" s="106"/>
      <c r="B53" s="8"/>
      <c r="C53" s="111"/>
      <c r="D53" s="111"/>
      <c r="E53" s="111"/>
      <c r="F53" s="8"/>
      <c r="G53" s="8"/>
      <c r="H53" s="8"/>
      <c r="I53" s="8"/>
      <c r="J53" s="111"/>
      <c r="K53" s="111"/>
      <c r="L53" s="111"/>
      <c r="M53" s="111"/>
      <c r="N53" s="8"/>
      <c r="O53" s="8"/>
      <c r="P53" s="111"/>
      <c r="Q53" s="111"/>
      <c r="R53" s="8"/>
      <c r="S53" s="8"/>
      <c r="T53" s="8"/>
      <c r="U53" s="111"/>
      <c r="V53" s="111"/>
      <c r="W53" s="111"/>
      <c r="X53" s="8"/>
      <c r="Y53" s="111"/>
      <c r="Z53" s="96"/>
    </row>
    <row r="54" spans="1:26" s="110" customFormat="1" ht="12.75">
      <c r="A54" s="10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96"/>
    </row>
    <row r="55" spans="1:26" s="110" customFormat="1" ht="12.75">
      <c r="A55" s="106"/>
      <c r="B55" s="112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V55" s="108"/>
      <c r="W55" s="108"/>
      <c r="X55" s="108"/>
      <c r="Y55" s="108"/>
      <c r="Z55" s="111"/>
    </row>
    <row r="56" spans="1:26" s="110" customFormat="1" ht="12.75">
      <c r="A56" s="106"/>
      <c r="B56" s="112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</row>
    <row r="57" spans="2:26" ht="12.75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2:26" ht="12.75"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2:26" ht="12.75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2:26" ht="12.75"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2:26" ht="12.75"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2:26" ht="12.75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2:26" ht="12.75"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2:26" ht="12.75"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2:26" ht="12.75"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2:26" ht="12.75"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2:26" ht="12.75"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2:26" ht="12.75"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2:26" ht="12.75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2:26" ht="12.75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2:26" ht="12.75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2:26" ht="12.75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2:26" ht="12.75"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2:26" ht="12.75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2:26" ht="12.75"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2:26" ht="12.75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2:26" ht="12.75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2:26" ht="12.75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2:26" ht="12.75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2:26" ht="12.75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2:26" ht="12.75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2:26" ht="12.75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2:26" ht="12.75"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2:26" ht="12.75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2:26" ht="12.75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2:26" ht="12.75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2:26" ht="12.75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2:26" ht="12.75"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2:26" ht="12.75"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2:26" ht="12.75"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2:26" ht="12.75"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2:26" ht="12.75"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2:26" ht="12.75"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2:26" ht="12.75"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2:26" ht="12.75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2:26" ht="12.75"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2:26" ht="12.75"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2:26" ht="12.75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2:26" ht="12.75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2:26" ht="12.75"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2:26" ht="12.75"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2:26" ht="12.75"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2:26" ht="12.75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2:26" ht="12.75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2:26" ht="12.75"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2:26" ht="12.75"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2:26" ht="12.75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2:26" ht="12.75"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2:26" ht="12.75"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2:26" ht="12.75"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2:26" ht="12.75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2:26" ht="12.75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2:26" ht="12.75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2:26" ht="12.75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2:26" ht="12.75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2:26" ht="12.75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2:26" ht="12.75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2:26" ht="12.75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2:26" ht="12.75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2:26" ht="12.75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2:26" ht="12.75"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2:26" ht="12.75"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2:26" ht="12.75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2:26" ht="12.75"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2:26" ht="12.75"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2:26" ht="12.75"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2:26" ht="12.75"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2:26" ht="12.75"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2:26" ht="12.75">
      <c r="B129" s="23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2:26" ht="12.75"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2:26" ht="12.75"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2:26" ht="12.75">
      <c r="B132" s="23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2:26" ht="12.75"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2:26" ht="12.75"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2:26" ht="12.75">
      <c r="B135" s="2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2:26" ht="12.75">
      <c r="B136" s="23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2:26" ht="12.75"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2:26" ht="12.75">
      <c r="B138" s="23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2:26" ht="12.75"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2:26" ht="12.75">
      <c r="B140" s="23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2:26" ht="12.75">
      <c r="B141" s="23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2:26" ht="12.75">
      <c r="B142" s="23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2:26" ht="12.75">
      <c r="B143" s="23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2:26" ht="12.75"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2:26" ht="12.75"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2:26" ht="12.75"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2:26" ht="12.75">
      <c r="B147" s="23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2:26" ht="12.75">
      <c r="B148" s="23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2:26" ht="12.75"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2:26" ht="12.75">
      <c r="B150" s="23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2:26" ht="12.75">
      <c r="B151" s="23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2:26" ht="12.75">
      <c r="B152" s="23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2:26" ht="12.75">
      <c r="B153" s="23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2:26" ht="12.75">
      <c r="B154" s="23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2:26" ht="12.75">
      <c r="B155" s="23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2:26" ht="12.75">
      <c r="B156" s="23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2:26" ht="12.75">
      <c r="B157" s="23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2:26" ht="12.75">
      <c r="B158" s="23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2:26" ht="12.75">
      <c r="B159" s="23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2:26" ht="12.75">
      <c r="B160" s="23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2:26" ht="12.75">
      <c r="B161" s="23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2:26" ht="12.75"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2:26" ht="12.75"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2:26" ht="12.75">
      <c r="B164" s="23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2:26" ht="12.75">
      <c r="B165" s="23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2:26" ht="12.75">
      <c r="B166" s="23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2:26" ht="12.75">
      <c r="B167" s="23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2:26" ht="12.75">
      <c r="B168" s="23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2:26" ht="12.75">
      <c r="B169" s="23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2:26" ht="12.75">
      <c r="B170" s="23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2:26" ht="12.75">
      <c r="B171" s="23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2:26" ht="12.75">
      <c r="B172" s="23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2:26" ht="12.75">
      <c r="B173" s="23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2:26" ht="12.75">
      <c r="B174" s="23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2:26" ht="12.75">
      <c r="B175" s="23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2:26" ht="12.75">
      <c r="B176" s="23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2:26" ht="12.75">
      <c r="B177" s="23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2:26" ht="12.75"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2:26" ht="12.75">
      <c r="B179" s="23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2:26" ht="12.75">
      <c r="B180" s="23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2:26" ht="12.75">
      <c r="B181" s="23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2:26" ht="12.75">
      <c r="B182" s="23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2:26" ht="12.75">
      <c r="B183" s="23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2:26" ht="12.75">
      <c r="B184" s="23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2:26" ht="12.75">
      <c r="B185" s="23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2:26" ht="12.75">
      <c r="B186" s="23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2:26" ht="12.75">
      <c r="B187" s="23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2:26" ht="12.75">
      <c r="B188" s="23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2:26" ht="12.75">
      <c r="B189" s="23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2:26" ht="12.75">
      <c r="B190" s="23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2:26" ht="12.75">
      <c r="B191" s="23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2:26" ht="12.75">
      <c r="B192" s="23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2:26" ht="12.75">
      <c r="B193" s="23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2:26" ht="12.75">
      <c r="B194" s="23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2:26" ht="12.75">
      <c r="B195" s="23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2:26" ht="12.75">
      <c r="B196" s="23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2:26" ht="12.75">
      <c r="B197" s="23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2:26" ht="12.75">
      <c r="B198" s="23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2:26" ht="12.75">
      <c r="B199" s="23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2:26" ht="12.75">
      <c r="B200" s="23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2:26" ht="12.75">
      <c r="B201" s="23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2:26" ht="12.75">
      <c r="B202" s="23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2:26" ht="12.75">
      <c r="B203" s="23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2:26" ht="12.75">
      <c r="B204" s="23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2:26" ht="12.75">
      <c r="B205" s="23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2:26" ht="12.75">
      <c r="B206" s="23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2:26" ht="12.75">
      <c r="B207" s="23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2:26" ht="12.75">
      <c r="B208" s="23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2:26" ht="12.75">
      <c r="B209" s="23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2:26" ht="12.75">
      <c r="B210" s="23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2:26" ht="12.75">
      <c r="B211" s="23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2:26" ht="12.75">
      <c r="B212" s="23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2:26" ht="12.75">
      <c r="B213" s="23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2:26" ht="12.75">
      <c r="B214" s="23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2:26" ht="12.75">
      <c r="B215" s="23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2:26" ht="12.75">
      <c r="B216" s="23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2:26" ht="12.75">
      <c r="B217" s="23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2:26" ht="12.75">
      <c r="B218" s="23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2:26" ht="12.75">
      <c r="B219" s="23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2:26" ht="12.75">
      <c r="B220" s="23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2:26" ht="12.75">
      <c r="B221" s="23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2:26" ht="12.75">
      <c r="B222" s="23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2:26" ht="12.75">
      <c r="B223" s="23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2:26" ht="12.75">
      <c r="B224" s="23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2:26" ht="12.75">
      <c r="B225" s="23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2:26" ht="12.75">
      <c r="B226" s="23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2:26" ht="12.75">
      <c r="B227" s="23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2:26" ht="12.75">
      <c r="B228" s="23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2:26" ht="12.75">
      <c r="B229" s="23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2:26" ht="12.75">
      <c r="B230" s="23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2:26" ht="12.75">
      <c r="B231" s="23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2:26" ht="12.75">
      <c r="B232" s="23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2:26" ht="12.75">
      <c r="B233" s="23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2:26" ht="12.75">
      <c r="B234" s="23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2:26" ht="12.75">
      <c r="B235" s="23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2:26" ht="12.75">
      <c r="B236" s="23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2:26" ht="12.75">
      <c r="B237" s="23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2:26" ht="12.75">
      <c r="B238" s="23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2:26" ht="12.75">
      <c r="B239" s="23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2:26" ht="12.75">
      <c r="B240" s="23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2:26" ht="12.75">
      <c r="B241" s="23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2:26" ht="12.75">
      <c r="B242" s="23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2:26" ht="12.75">
      <c r="B243" s="23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2:26" ht="12.75">
      <c r="B244" s="23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2:26" ht="12.75">
      <c r="B245" s="23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2:26" ht="12.75">
      <c r="B246" s="23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2:26" ht="12.75">
      <c r="B247" s="23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2:26" ht="12.75">
      <c r="B248" s="23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2:26" ht="12.75">
      <c r="B249" s="23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2:26" ht="12.75">
      <c r="B250" s="23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2:26" ht="12.75">
      <c r="B251" s="23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2:26" ht="12.75">
      <c r="B252" s="23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2:26" ht="12.75">
      <c r="B253" s="23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2:26" ht="12.75">
      <c r="B254" s="23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2:26" ht="12.75">
      <c r="B255" s="23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2:26" ht="12.75">
      <c r="B256" s="23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2:26" ht="12.75">
      <c r="B257" s="23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2:26" ht="12.75">
      <c r="B258" s="23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2:26" ht="12.75">
      <c r="B259" s="23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2:26" ht="12.75">
      <c r="B260" s="23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2:26" ht="12.75">
      <c r="B261" s="23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2:26" ht="12.75">
      <c r="B262" s="23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2:26" ht="12.75">
      <c r="B263" s="23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2:26" ht="12.75">
      <c r="B264" s="23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2:26" ht="12.75">
      <c r="B265" s="23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2:26" ht="12.75">
      <c r="B266" s="23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2:26" ht="12.75">
      <c r="B267" s="23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2:26" ht="12.75">
      <c r="B268" s="23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2:26" ht="12.75">
      <c r="B269" s="23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2:26" ht="12.75">
      <c r="B270" s="23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2:26" ht="12.75">
      <c r="B271" s="23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2:26" ht="12.75">
      <c r="B272" s="23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2:26" ht="12.75">
      <c r="B273" s="23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2:26" ht="12.75">
      <c r="B274" s="23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2:26" ht="12.75">
      <c r="B275" s="23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2:26" ht="12.75">
      <c r="B276" s="23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2:26" ht="12.75">
      <c r="B277" s="23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2:26" ht="12.75">
      <c r="B278" s="23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2:26" ht="12.75">
      <c r="B279" s="23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2:26" ht="12.75">
      <c r="B280" s="23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2:26" ht="12.75">
      <c r="B281" s="23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2:26" ht="12.75">
      <c r="B282" s="23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2:26" ht="12.75">
      <c r="B283" s="23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2:26" ht="12.75">
      <c r="B284" s="23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2:26" ht="12.75">
      <c r="B285" s="23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2:26" ht="12.75">
      <c r="B286" s="23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2:26" ht="12.75">
      <c r="B287" s="23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2:26" ht="12.75">
      <c r="B288" s="23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2:26" ht="12.75">
      <c r="B289" s="23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2:26" ht="12.75"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2:26" ht="12.75">
      <c r="B291" s="23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2:26" ht="12.75">
      <c r="B292" s="23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2:26" ht="12.75">
      <c r="B293" s="23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2:26" ht="12.75">
      <c r="B294" s="23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2:26" ht="12.75">
      <c r="B295" s="23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2:26" ht="12.75">
      <c r="B296" s="23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2:26" ht="12.75">
      <c r="B297" s="23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2:26" ht="12.75">
      <c r="B298" s="23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2:26" ht="12.75">
      <c r="B299" s="23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2:26" ht="12.75">
      <c r="B300" s="23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2:26" ht="12.75">
      <c r="B301" s="23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2:26" ht="12.75">
      <c r="B302" s="23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2:26" ht="12.75">
      <c r="B303" s="23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</sheetData>
  <mergeCells count="1">
    <mergeCell ref="W6:X6"/>
  </mergeCells>
  <printOptions/>
  <pageMargins left="0.17" right="0.17" top="0.6" bottom="1" header="0.5" footer="0.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8"/>
  <sheetViews>
    <sheetView zoomScale="75" zoomScaleNormal="75" workbookViewId="0" topLeftCell="A1">
      <selection activeCell="B9" sqref="B9"/>
    </sheetView>
  </sheetViews>
  <sheetFormatPr defaultColWidth="9.140625" defaultRowHeight="12.75"/>
  <cols>
    <col min="1" max="1" width="30.00390625" style="4" customWidth="1"/>
    <col min="2" max="2" width="14.7109375" style="4" customWidth="1"/>
    <col min="3" max="5" width="14.7109375" style="2" customWidth="1"/>
    <col min="6" max="7" width="14.7109375" style="2" hidden="1" customWidth="1"/>
    <col min="8" max="9" width="14.7109375" style="2" customWidth="1"/>
    <col min="10" max="10" width="14.28125" style="2" customWidth="1"/>
    <col min="11" max="11" width="14.7109375" style="2" customWidth="1"/>
    <col min="12" max="15" width="14.7109375" style="2" hidden="1" customWidth="1"/>
    <col min="16" max="17" width="14.7109375" style="2" customWidth="1"/>
    <col min="18" max="18" width="14.7109375" style="2" hidden="1" customWidth="1"/>
    <col min="19" max="19" width="14.7109375" style="2" customWidth="1"/>
    <col min="20" max="20" width="14.8515625" style="2" customWidth="1"/>
    <col min="21" max="16384" width="9.140625" style="2" customWidth="1"/>
  </cols>
  <sheetData>
    <row r="1" spans="1:2" ht="19.5">
      <c r="A1" s="1" t="s">
        <v>87</v>
      </c>
      <c r="B1" s="1"/>
    </row>
    <row r="2" spans="1:2" ht="19.5">
      <c r="A2" s="1"/>
      <c r="B2" s="1"/>
    </row>
    <row r="3" spans="1:2" ht="19.5">
      <c r="A3" s="3" t="s">
        <v>173</v>
      </c>
      <c r="B3" s="3"/>
    </row>
    <row r="6" spans="1:20" ht="12.75">
      <c r="A6" s="26" t="s">
        <v>89</v>
      </c>
      <c r="B6" s="99" t="s">
        <v>174</v>
      </c>
      <c r="C6" s="100"/>
      <c r="D6" s="101" t="s">
        <v>92</v>
      </c>
      <c r="E6" s="101"/>
      <c r="F6" s="99" t="s">
        <v>93</v>
      </c>
      <c r="G6" s="101"/>
      <c r="H6" s="99" t="s">
        <v>95</v>
      </c>
      <c r="I6" s="100"/>
      <c r="J6" s="99" t="s">
        <v>96</v>
      </c>
      <c r="K6" s="100"/>
      <c r="L6" s="99" t="s">
        <v>97</v>
      </c>
      <c r="M6" s="100"/>
      <c r="N6" s="99" t="s">
        <v>99</v>
      </c>
      <c r="O6" s="100"/>
      <c r="P6" s="101" t="s">
        <v>102</v>
      </c>
      <c r="Q6" s="101"/>
      <c r="R6" s="64"/>
      <c r="S6" s="102" t="s">
        <v>140</v>
      </c>
      <c r="T6" s="103"/>
    </row>
    <row r="7" spans="1:20" ht="12.75">
      <c r="A7" s="27"/>
      <c r="B7" s="33" t="s">
        <v>175</v>
      </c>
      <c r="C7" s="34" t="s">
        <v>142</v>
      </c>
      <c r="D7" s="33" t="s">
        <v>175</v>
      </c>
      <c r="E7" s="26" t="s">
        <v>142</v>
      </c>
      <c r="F7" s="48" t="s">
        <v>144</v>
      </c>
      <c r="G7" s="26" t="s">
        <v>142</v>
      </c>
      <c r="H7" s="33" t="s">
        <v>175</v>
      </c>
      <c r="I7" s="49" t="s">
        <v>142</v>
      </c>
      <c r="J7" s="33" t="s">
        <v>175</v>
      </c>
      <c r="K7" s="49" t="s">
        <v>142</v>
      </c>
      <c r="L7" s="33" t="s">
        <v>144</v>
      </c>
      <c r="M7" s="49" t="s">
        <v>142</v>
      </c>
      <c r="N7" s="33" t="s">
        <v>176</v>
      </c>
      <c r="O7" s="49" t="s">
        <v>142</v>
      </c>
      <c r="P7" s="33" t="s">
        <v>175</v>
      </c>
      <c r="Q7" s="26" t="s">
        <v>142</v>
      </c>
      <c r="R7" s="71" t="s">
        <v>145</v>
      </c>
      <c r="S7" s="33" t="s">
        <v>175</v>
      </c>
      <c r="T7" s="34" t="s">
        <v>142</v>
      </c>
    </row>
    <row r="8" spans="1:20" ht="12.75">
      <c r="A8" s="28"/>
      <c r="B8" s="35" t="s">
        <v>146</v>
      </c>
      <c r="C8" s="36" t="s">
        <v>146</v>
      </c>
      <c r="D8" s="30" t="s">
        <v>146</v>
      </c>
      <c r="E8" s="11" t="s">
        <v>146</v>
      </c>
      <c r="F8" s="50" t="s">
        <v>146</v>
      </c>
      <c r="G8" s="11" t="s">
        <v>146</v>
      </c>
      <c r="H8" s="50" t="s">
        <v>146</v>
      </c>
      <c r="I8" s="51" t="s">
        <v>146</v>
      </c>
      <c r="J8" s="50" t="s">
        <v>146</v>
      </c>
      <c r="K8" s="51" t="s">
        <v>146</v>
      </c>
      <c r="L8" s="50" t="s">
        <v>146</v>
      </c>
      <c r="M8" s="51" t="s">
        <v>146</v>
      </c>
      <c r="N8" s="50" t="s">
        <v>146</v>
      </c>
      <c r="O8" s="51" t="s">
        <v>146</v>
      </c>
      <c r="P8" s="30" t="s">
        <v>146</v>
      </c>
      <c r="Q8" s="11" t="s">
        <v>146</v>
      </c>
      <c r="R8" s="65"/>
      <c r="S8" s="35" t="s">
        <v>146</v>
      </c>
      <c r="T8" s="36" t="s">
        <v>146</v>
      </c>
    </row>
    <row r="9" spans="1:20" ht="12.75">
      <c r="A9" s="27" t="s">
        <v>147</v>
      </c>
      <c r="B9" s="37">
        <f>+C9-7008640</f>
        <v>9723395</v>
      </c>
      <c r="C9" s="38">
        <v>16732035</v>
      </c>
      <c r="D9" s="14">
        <f>+E9-2743835</f>
        <v>3275512</v>
      </c>
      <c r="E9" s="13">
        <v>6019347</v>
      </c>
      <c r="F9" s="52">
        <v>0</v>
      </c>
      <c r="G9" s="13">
        <v>0</v>
      </c>
      <c r="H9" s="52">
        <v>0</v>
      </c>
      <c r="I9" s="53">
        <v>0</v>
      </c>
      <c r="J9" s="52">
        <f>+K9-202368</f>
        <v>366446</v>
      </c>
      <c r="K9" s="53">
        <v>568814</v>
      </c>
      <c r="L9" s="52">
        <v>0</v>
      </c>
      <c r="M9" s="53">
        <v>0</v>
      </c>
      <c r="N9" s="52">
        <v>0</v>
      </c>
      <c r="O9" s="53">
        <v>0</v>
      </c>
      <c r="P9" s="14"/>
      <c r="Q9" s="13"/>
      <c r="R9" s="66">
        <v>0</v>
      </c>
      <c r="S9" s="39">
        <f>+B9+D9+J9+L9+P9+F9+H9+N9</f>
        <v>13365353</v>
      </c>
      <c r="T9" s="60">
        <f>+C9+E9+K9+M9+Q9+G9+R9+I9+O9</f>
        <v>23320196</v>
      </c>
    </row>
    <row r="10" spans="1:20" ht="12.75">
      <c r="A10" s="27" t="s">
        <v>148</v>
      </c>
      <c r="B10" s="37"/>
      <c r="C10" s="38"/>
      <c r="D10" s="14"/>
      <c r="E10" s="13"/>
      <c r="F10" s="52"/>
      <c r="G10" s="13"/>
      <c r="H10" s="52"/>
      <c r="I10" s="53"/>
      <c r="J10" s="52"/>
      <c r="K10" s="53"/>
      <c r="L10" s="52"/>
      <c r="M10" s="53"/>
      <c r="N10" s="52"/>
      <c r="O10" s="53"/>
      <c r="P10" s="14"/>
      <c r="Q10" s="13"/>
      <c r="R10" s="66"/>
      <c r="S10" s="39"/>
      <c r="T10" s="60"/>
    </row>
    <row r="11" spans="1:20" ht="12.75">
      <c r="A11" s="27" t="s">
        <v>149</v>
      </c>
      <c r="B11" s="37">
        <f>+C11-4771546</f>
        <v>6951691</v>
      </c>
      <c r="C11" s="38">
        <v>11723237</v>
      </c>
      <c r="D11" s="14">
        <f>+E11-1703588</f>
        <v>1828099</v>
      </c>
      <c r="E11" s="13">
        <v>3531687</v>
      </c>
      <c r="F11" s="52">
        <v>0</v>
      </c>
      <c r="G11" s="13"/>
      <c r="H11" s="52">
        <v>0</v>
      </c>
      <c r="I11" s="53">
        <v>0</v>
      </c>
      <c r="J11" s="52">
        <f>+K11-215765</f>
        <v>279836</v>
      </c>
      <c r="K11" s="53">
        <v>495601</v>
      </c>
      <c r="L11" s="52">
        <v>0</v>
      </c>
      <c r="M11" s="53">
        <v>8773</v>
      </c>
      <c r="N11" s="52">
        <v>0</v>
      </c>
      <c r="O11" s="53">
        <v>0</v>
      </c>
      <c r="P11" s="14"/>
      <c r="Q11" s="13"/>
      <c r="R11" s="66">
        <v>0</v>
      </c>
      <c r="S11" s="39">
        <f>+B11+D11+J11+L11+P11+F11+H11+N11</f>
        <v>9059626</v>
      </c>
      <c r="T11" s="60">
        <f>+C11+E11+K11+M11+Q11+G11+R11+I11+O11</f>
        <v>15759298</v>
      </c>
    </row>
    <row r="12" spans="1:20" ht="12.75">
      <c r="A12" s="27"/>
      <c r="B12" s="37"/>
      <c r="C12" s="38"/>
      <c r="D12" s="14"/>
      <c r="E12" s="13"/>
      <c r="F12" s="52"/>
      <c r="G12" s="13"/>
      <c r="H12" s="52"/>
      <c r="I12" s="53"/>
      <c r="J12" s="52"/>
      <c r="K12" s="53"/>
      <c r="L12" s="52"/>
      <c r="M12" s="53"/>
      <c r="N12" s="52"/>
      <c r="O12" s="53"/>
      <c r="P12" s="14"/>
      <c r="Q12" s="13"/>
      <c r="R12" s="66"/>
      <c r="S12" s="39"/>
      <c r="T12" s="60"/>
    </row>
    <row r="13" spans="1:20" ht="12.75">
      <c r="A13" s="27" t="s">
        <v>150</v>
      </c>
      <c r="B13" s="39">
        <f>+B9-B11</f>
        <v>2771704</v>
      </c>
      <c r="C13" s="38">
        <f>+C9-C11</f>
        <v>5008798</v>
      </c>
      <c r="D13" s="14">
        <f>+D9-D11</f>
        <v>1447413</v>
      </c>
      <c r="E13" s="13">
        <f>+E9-E11</f>
        <v>2487660</v>
      </c>
      <c r="F13" s="52">
        <f>+F9-F11</f>
        <v>0</v>
      </c>
      <c r="G13" s="13">
        <f aca="true" t="shared" si="0" ref="G13:Q13">+G9-G11</f>
        <v>0</v>
      </c>
      <c r="H13" s="52">
        <f t="shared" si="0"/>
        <v>0</v>
      </c>
      <c r="I13" s="53">
        <f t="shared" si="0"/>
        <v>0</v>
      </c>
      <c r="J13" s="52">
        <f t="shared" si="0"/>
        <v>86610</v>
      </c>
      <c r="K13" s="53">
        <f t="shared" si="0"/>
        <v>73213</v>
      </c>
      <c r="L13" s="52">
        <f t="shared" si="0"/>
        <v>0</v>
      </c>
      <c r="M13" s="53">
        <f t="shared" si="0"/>
        <v>-8773</v>
      </c>
      <c r="N13" s="52">
        <f t="shared" si="0"/>
        <v>0</v>
      </c>
      <c r="O13" s="53">
        <f t="shared" si="0"/>
        <v>0</v>
      </c>
      <c r="P13" s="12">
        <f t="shared" si="0"/>
        <v>0</v>
      </c>
      <c r="Q13" s="13">
        <f t="shared" si="0"/>
        <v>0</v>
      </c>
      <c r="R13" s="66"/>
      <c r="S13" s="39">
        <f>+S9-S11</f>
        <v>4305727</v>
      </c>
      <c r="T13" s="53">
        <f>+T9-T11</f>
        <v>7560898</v>
      </c>
    </row>
    <row r="14" spans="1:20" ht="12.75">
      <c r="A14" s="27" t="s">
        <v>148</v>
      </c>
      <c r="B14" s="39"/>
      <c r="C14" s="38"/>
      <c r="D14" s="14"/>
      <c r="E14" s="13"/>
      <c r="F14" s="52"/>
      <c r="G14" s="13"/>
      <c r="H14" s="52"/>
      <c r="I14" s="53"/>
      <c r="J14" s="52"/>
      <c r="K14" s="53"/>
      <c r="L14" s="52"/>
      <c r="M14" s="53"/>
      <c r="N14" s="52"/>
      <c r="O14" s="53"/>
      <c r="P14" s="12"/>
      <c r="Q14" s="13"/>
      <c r="R14" s="66"/>
      <c r="S14" s="39"/>
      <c r="T14" s="53"/>
    </row>
    <row r="15" spans="1:20" s="18" customFormat="1" ht="12.75">
      <c r="A15" s="29" t="s">
        <v>151</v>
      </c>
      <c r="B15" s="40">
        <f>+B13/B9</f>
        <v>0.28505516848796125</v>
      </c>
      <c r="C15" s="41">
        <f>+C13/C9</f>
        <v>0.29935378452172734</v>
      </c>
      <c r="D15" s="16">
        <f>+D13/D9</f>
        <v>0.4418890848209379</v>
      </c>
      <c r="E15" s="17">
        <f>+E13/E9</f>
        <v>0.4132773870654076</v>
      </c>
      <c r="F15" s="54"/>
      <c r="G15" s="17"/>
      <c r="H15" s="54"/>
      <c r="I15" s="55"/>
      <c r="J15" s="54">
        <f>+J13/J9</f>
        <v>0.23635133143764703</v>
      </c>
      <c r="K15" s="55">
        <f>+K13/K9</f>
        <v>0.12871167024721614</v>
      </c>
      <c r="L15" s="54"/>
      <c r="M15" s="55" t="e">
        <f>+M13/M9</f>
        <v>#DIV/0!</v>
      </c>
      <c r="N15" s="54"/>
      <c r="O15" s="55" t="e">
        <f>+O13/O9</f>
        <v>#DIV/0!</v>
      </c>
      <c r="P15" s="15"/>
      <c r="Q15" s="17"/>
      <c r="R15" s="67"/>
      <c r="S15" s="40">
        <f>+S13/S9</f>
        <v>0.32215587571835924</v>
      </c>
      <c r="T15" s="55">
        <f>+T13/T9</f>
        <v>0.32422103141843234</v>
      </c>
    </row>
    <row r="16" spans="1:20" ht="12.75">
      <c r="A16" s="27" t="s">
        <v>148</v>
      </c>
      <c r="B16" s="37"/>
      <c r="C16" s="38"/>
      <c r="D16" s="14"/>
      <c r="E16" s="13"/>
      <c r="F16" s="52"/>
      <c r="G16" s="13"/>
      <c r="H16" s="52"/>
      <c r="I16" s="53"/>
      <c r="J16" s="52"/>
      <c r="K16" s="53"/>
      <c r="L16" s="52"/>
      <c r="M16" s="53"/>
      <c r="N16" s="52"/>
      <c r="O16" s="53"/>
      <c r="P16" s="14"/>
      <c r="Q16" s="13"/>
      <c r="R16" s="66"/>
      <c r="S16" s="39"/>
      <c r="T16" s="60"/>
    </row>
    <row r="17" spans="1:20" ht="12.75">
      <c r="A17" s="27" t="s">
        <v>152</v>
      </c>
      <c r="B17" s="39">
        <f>+C17-560533</f>
        <v>568744</v>
      </c>
      <c r="C17" s="38">
        <f>990065+139212</f>
        <v>1129277</v>
      </c>
      <c r="D17" s="14">
        <f>+E17-358797</f>
        <v>403406</v>
      </c>
      <c r="E17" s="13">
        <v>762203</v>
      </c>
      <c r="F17" s="52">
        <v>540</v>
      </c>
      <c r="G17" s="13">
        <f>10+619+78+1162+540+540</f>
        <v>2949</v>
      </c>
      <c r="H17" s="52">
        <v>0</v>
      </c>
      <c r="I17" s="53">
        <f>3660-1105</f>
        <v>2555</v>
      </c>
      <c r="J17" s="52">
        <f>+K17-20773</f>
        <v>22321</v>
      </c>
      <c r="K17" s="53">
        <v>43094</v>
      </c>
      <c r="L17" s="52">
        <v>0</v>
      </c>
      <c r="M17" s="53">
        <v>7503</v>
      </c>
      <c r="N17" s="52">
        <v>0</v>
      </c>
      <c r="O17" s="53">
        <v>0</v>
      </c>
      <c r="P17" s="14">
        <f>+Q17-267542-1500000</f>
        <v>212960</v>
      </c>
      <c r="Q17" s="13">
        <v>1980502</v>
      </c>
      <c r="R17" s="66">
        <v>0</v>
      </c>
      <c r="S17" s="39">
        <f>+B17+D17+J17+L17+P17+F17+H17+N17</f>
        <v>1207971</v>
      </c>
      <c r="T17" s="60">
        <f>+C17+E17+K17+M17+Q17+G17+R17+I17+O17</f>
        <v>3928083</v>
      </c>
    </row>
    <row r="18" spans="1:20" ht="12.75">
      <c r="A18" s="27" t="s">
        <v>153</v>
      </c>
      <c r="B18" s="37">
        <f>+C18-41294</f>
        <v>42148</v>
      </c>
      <c r="C18" s="38">
        <v>83442</v>
      </c>
      <c r="D18" s="14">
        <f>+E18-42933</f>
        <v>60258</v>
      </c>
      <c r="E18" s="13">
        <v>103191</v>
      </c>
      <c r="F18" s="52"/>
      <c r="G18" s="13"/>
      <c r="H18" s="52"/>
      <c r="I18" s="53"/>
      <c r="J18" s="52">
        <f>+K18-9019</f>
        <v>4725</v>
      </c>
      <c r="K18" s="53">
        <v>13744</v>
      </c>
      <c r="L18" s="52"/>
      <c r="M18" s="53">
        <v>-2000</v>
      </c>
      <c r="N18" s="52"/>
      <c r="O18" s="53"/>
      <c r="P18" s="14"/>
      <c r="Q18" s="13"/>
      <c r="R18" s="66"/>
      <c r="S18" s="39">
        <f>+B18+D18+J18+L18+P18+F18+H18+N18</f>
        <v>107131</v>
      </c>
      <c r="T18" s="60">
        <f>+C18+E18+K18+M18+Q18+G18+R18+I18+O18</f>
        <v>198377</v>
      </c>
    </row>
    <row r="19" spans="1:20" ht="12.75">
      <c r="A19" s="27" t="s">
        <v>154</v>
      </c>
      <c r="B19" s="37">
        <v>0</v>
      </c>
      <c r="C19" s="38">
        <v>0</v>
      </c>
      <c r="D19" s="14">
        <v>0</v>
      </c>
      <c r="E19" s="13">
        <v>0</v>
      </c>
      <c r="F19" s="52"/>
      <c r="G19" s="13"/>
      <c r="H19" s="52"/>
      <c r="I19" s="53"/>
      <c r="J19" s="52"/>
      <c r="K19" s="53"/>
      <c r="L19" s="52">
        <v>0</v>
      </c>
      <c r="M19" s="53">
        <v>0</v>
      </c>
      <c r="N19" s="52">
        <v>0</v>
      </c>
      <c r="O19" s="53">
        <v>0</v>
      </c>
      <c r="P19" s="14"/>
      <c r="Q19" s="13"/>
      <c r="R19" s="66"/>
      <c r="S19" s="39">
        <f>+B19+D19+J19+L19+P19+F19+H19+N19</f>
        <v>0</v>
      </c>
      <c r="T19" s="60">
        <f>+C19+E19+K19+M19+Q19+G19+R19+I19+O19</f>
        <v>0</v>
      </c>
    </row>
    <row r="20" spans="1:20" ht="12.75">
      <c r="A20" s="27" t="s">
        <v>155</v>
      </c>
      <c r="B20" s="37">
        <f>+C20-10842</f>
        <v>10513</v>
      </c>
      <c r="C20" s="38">
        <v>21355</v>
      </c>
      <c r="D20" s="14">
        <f>+E20-793</f>
        <v>2021</v>
      </c>
      <c r="E20" s="13">
        <v>2814</v>
      </c>
      <c r="F20" s="52"/>
      <c r="G20" s="13"/>
      <c r="H20" s="52"/>
      <c r="I20" s="53"/>
      <c r="J20" s="52">
        <f>+K20-123</f>
        <v>113</v>
      </c>
      <c r="K20" s="53">
        <v>236</v>
      </c>
      <c r="L20" s="52">
        <v>0</v>
      </c>
      <c r="M20" s="53">
        <v>5</v>
      </c>
      <c r="N20" s="52">
        <v>0</v>
      </c>
      <c r="O20" s="53">
        <v>0</v>
      </c>
      <c r="P20" s="14">
        <f>+Q20-156745</f>
        <v>67011</v>
      </c>
      <c r="Q20" s="13">
        <v>223756</v>
      </c>
      <c r="R20" s="66"/>
      <c r="S20" s="39">
        <f>+B20+D20+J20+L20+P20+F20+H20+N20</f>
        <v>79658</v>
      </c>
      <c r="T20" s="60">
        <f>+C20+E20+K20+M20+Q20+G20+R20+I20+O20</f>
        <v>248166</v>
      </c>
    </row>
    <row r="21" spans="1:20" ht="12.75">
      <c r="A21" s="27" t="s">
        <v>156</v>
      </c>
      <c r="B21" s="37">
        <v>0</v>
      </c>
      <c r="C21" s="38">
        <v>0</v>
      </c>
      <c r="D21" s="14"/>
      <c r="E21" s="13"/>
      <c r="F21" s="52"/>
      <c r="G21" s="13"/>
      <c r="H21" s="52"/>
      <c r="I21" s="53"/>
      <c r="J21" s="52"/>
      <c r="K21" s="53"/>
      <c r="L21" s="52"/>
      <c r="M21" s="53"/>
      <c r="N21" s="52"/>
      <c r="O21" s="53"/>
      <c r="P21" s="14"/>
      <c r="Q21" s="13"/>
      <c r="R21" s="66"/>
      <c r="S21" s="39">
        <f>+B21+D21+J21+L21+P21+F21+H21+N21</f>
        <v>0</v>
      </c>
      <c r="T21" s="60">
        <f>+C21+E21+K21+M21+Q21+G21+R21+I21+O21</f>
        <v>0</v>
      </c>
    </row>
    <row r="22" spans="1:20" ht="12.75">
      <c r="A22" s="27" t="s">
        <v>109</v>
      </c>
      <c r="B22" s="42"/>
      <c r="C22" s="43"/>
      <c r="D22" s="31"/>
      <c r="E22" s="20"/>
      <c r="F22" s="56"/>
      <c r="G22" s="20"/>
      <c r="H22" s="56"/>
      <c r="I22" s="57"/>
      <c r="J22" s="56"/>
      <c r="K22" s="57"/>
      <c r="L22" s="56"/>
      <c r="M22" s="57"/>
      <c r="N22" s="56"/>
      <c r="O22" s="57"/>
      <c r="P22" s="31"/>
      <c r="Q22" s="20"/>
      <c r="R22" s="70">
        <v>0</v>
      </c>
      <c r="S22" s="61"/>
      <c r="T22" s="46">
        <v>0</v>
      </c>
    </row>
    <row r="23" spans="1:20" ht="12.75">
      <c r="A23" s="27" t="s">
        <v>157</v>
      </c>
      <c r="B23" s="39">
        <f>SUM(B17:B22)</f>
        <v>621405</v>
      </c>
      <c r="C23" s="38">
        <f>SUM(C17:C22)</f>
        <v>1234074</v>
      </c>
      <c r="D23" s="14">
        <f>SUM(D17:D22)</f>
        <v>465685</v>
      </c>
      <c r="E23" s="13">
        <f>SUM(E17:E22)</f>
        <v>868208</v>
      </c>
      <c r="F23" s="52">
        <f aca="true" t="shared" si="1" ref="F23:Q23">SUM(F17:F22)</f>
        <v>540</v>
      </c>
      <c r="G23" s="13">
        <f t="shared" si="1"/>
        <v>2949</v>
      </c>
      <c r="H23" s="52">
        <f t="shared" si="1"/>
        <v>0</v>
      </c>
      <c r="I23" s="53">
        <f t="shared" si="1"/>
        <v>2555</v>
      </c>
      <c r="J23" s="52">
        <f t="shared" si="1"/>
        <v>27159</v>
      </c>
      <c r="K23" s="53">
        <f t="shared" si="1"/>
        <v>57074</v>
      </c>
      <c r="L23" s="52">
        <f t="shared" si="1"/>
        <v>0</v>
      </c>
      <c r="M23" s="53">
        <f t="shared" si="1"/>
        <v>5508</v>
      </c>
      <c r="N23" s="52">
        <f>SUM(N17:N22)</f>
        <v>0</v>
      </c>
      <c r="O23" s="53">
        <f>SUM(O17:O22)</f>
        <v>0</v>
      </c>
      <c r="P23" s="12">
        <f t="shared" si="1"/>
        <v>279971</v>
      </c>
      <c r="Q23" s="13">
        <f t="shared" si="1"/>
        <v>2204258</v>
      </c>
      <c r="R23" s="66"/>
      <c r="S23" s="39">
        <f>SUM(S17:S22)</f>
        <v>1394760</v>
      </c>
      <c r="T23" s="53">
        <f>SUM(T17:T22)</f>
        <v>4374626</v>
      </c>
    </row>
    <row r="24" spans="1:20" ht="12.75">
      <c r="A24" s="27"/>
      <c r="B24" s="39"/>
      <c r="C24" s="38"/>
      <c r="D24" s="14"/>
      <c r="E24" s="13"/>
      <c r="F24" s="52"/>
      <c r="G24" s="13"/>
      <c r="H24" s="52"/>
      <c r="I24" s="53"/>
      <c r="J24" s="52"/>
      <c r="K24" s="53"/>
      <c r="L24" s="52"/>
      <c r="M24" s="53"/>
      <c r="N24" s="52"/>
      <c r="O24" s="53"/>
      <c r="P24" s="12"/>
      <c r="Q24" s="13"/>
      <c r="R24" s="66"/>
      <c r="S24" s="39"/>
      <c r="T24" s="60"/>
    </row>
    <row r="25" spans="1:20" ht="12.75">
      <c r="A25" s="27" t="s">
        <v>158</v>
      </c>
      <c r="B25" s="39">
        <f>+B13-B23</f>
        <v>2150299</v>
      </c>
      <c r="C25" s="38">
        <f>+C13-C23</f>
        <v>3774724</v>
      </c>
      <c r="D25" s="14">
        <f>+D13-D23</f>
        <v>981728</v>
      </c>
      <c r="E25" s="13">
        <f>+E13-E23</f>
        <v>1619452</v>
      </c>
      <c r="F25" s="52">
        <f>+F13-F23</f>
        <v>-540</v>
      </c>
      <c r="G25" s="13">
        <f aca="true" t="shared" si="2" ref="G25:Q25">+G13-G23</f>
        <v>-2949</v>
      </c>
      <c r="H25" s="52">
        <f t="shared" si="2"/>
        <v>0</v>
      </c>
      <c r="I25" s="53">
        <f t="shared" si="2"/>
        <v>-2555</v>
      </c>
      <c r="J25" s="52">
        <f t="shared" si="2"/>
        <v>59451</v>
      </c>
      <c r="K25" s="53">
        <f t="shared" si="2"/>
        <v>16139</v>
      </c>
      <c r="L25" s="52">
        <f t="shared" si="2"/>
        <v>0</v>
      </c>
      <c r="M25" s="53">
        <f t="shared" si="2"/>
        <v>-14281</v>
      </c>
      <c r="N25" s="52">
        <f>+N13-N23</f>
        <v>0</v>
      </c>
      <c r="O25" s="53">
        <f>+O13-O23</f>
        <v>0</v>
      </c>
      <c r="P25" s="12">
        <f t="shared" si="2"/>
        <v>-279971</v>
      </c>
      <c r="Q25" s="13">
        <f t="shared" si="2"/>
        <v>-2204258</v>
      </c>
      <c r="R25" s="66"/>
      <c r="S25" s="39">
        <f>+S13-S23</f>
        <v>2910967</v>
      </c>
      <c r="T25" s="53">
        <f>+T13-T23</f>
        <v>3186272</v>
      </c>
    </row>
    <row r="26" spans="1:20" ht="12.75">
      <c r="A26" s="27" t="s">
        <v>148</v>
      </c>
      <c r="B26" s="39"/>
      <c r="C26" s="38"/>
      <c r="D26" s="14"/>
      <c r="E26" s="13"/>
      <c r="F26" s="52"/>
      <c r="G26" s="13"/>
      <c r="H26" s="52"/>
      <c r="I26" s="53"/>
      <c r="J26" s="52"/>
      <c r="K26" s="53"/>
      <c r="L26" s="52"/>
      <c r="M26" s="53"/>
      <c r="N26" s="52"/>
      <c r="O26" s="53"/>
      <c r="P26" s="12"/>
      <c r="Q26" s="13"/>
      <c r="R26" s="66"/>
      <c r="S26" s="39"/>
      <c r="T26" s="53"/>
    </row>
    <row r="27" spans="1:20" s="18" customFormat="1" ht="12.75">
      <c r="A27" s="29" t="s">
        <v>159</v>
      </c>
      <c r="B27" s="40">
        <f>+B25/B9</f>
        <v>0.22114693478975192</v>
      </c>
      <c r="C27" s="41">
        <f>+C25/C9</f>
        <v>0.2255986196538556</v>
      </c>
      <c r="D27" s="16">
        <f>+D25/D9</f>
        <v>0.29971741822347164</v>
      </c>
      <c r="E27" s="17">
        <f>+E25/E9</f>
        <v>0.2690411434994527</v>
      </c>
      <c r="F27" s="54"/>
      <c r="G27" s="17"/>
      <c r="H27" s="54"/>
      <c r="I27" s="55"/>
      <c r="J27" s="54">
        <f>+J25/J9</f>
        <v>0.1622367279217129</v>
      </c>
      <c r="K27" s="55">
        <f>+K25/K9</f>
        <v>0.028373070986297804</v>
      </c>
      <c r="L27" s="54"/>
      <c r="M27" s="55" t="e">
        <f>+M25/M9</f>
        <v>#DIV/0!</v>
      </c>
      <c r="N27" s="54"/>
      <c r="O27" s="55" t="e">
        <f>+O25/O9</f>
        <v>#DIV/0!</v>
      </c>
      <c r="P27" s="15"/>
      <c r="Q27" s="17"/>
      <c r="R27" s="67"/>
      <c r="S27" s="40">
        <f>+S25/S9</f>
        <v>0.21779948498180332</v>
      </c>
      <c r="T27" s="55">
        <f>+T25/T9</f>
        <v>0.13663144169114189</v>
      </c>
    </row>
    <row r="28" spans="1:20" ht="12.75">
      <c r="A28" s="27" t="s">
        <v>148</v>
      </c>
      <c r="B28" s="37"/>
      <c r="C28" s="38"/>
      <c r="D28" s="14"/>
      <c r="E28" s="13"/>
      <c r="F28" s="52"/>
      <c r="G28" s="13"/>
      <c r="H28" s="52"/>
      <c r="I28" s="53"/>
      <c r="J28" s="52"/>
      <c r="K28" s="53"/>
      <c r="L28" s="52"/>
      <c r="M28" s="53"/>
      <c r="N28" s="52"/>
      <c r="O28" s="53"/>
      <c r="P28" s="14"/>
      <c r="Q28" s="13"/>
      <c r="R28" s="66"/>
      <c r="S28" s="39"/>
      <c r="T28" s="60"/>
    </row>
    <row r="29" spans="1:20" ht="12.75">
      <c r="A29" s="27" t="s">
        <v>160</v>
      </c>
      <c r="B29" s="37">
        <f>+C29-95968</f>
        <v>204380</v>
      </c>
      <c r="C29" s="38">
        <v>300348</v>
      </c>
      <c r="D29" s="14">
        <f>+E29-15226</f>
        <v>18528</v>
      </c>
      <c r="E29" s="13">
        <f>22950+10804</f>
        <v>33754</v>
      </c>
      <c r="F29" s="52"/>
      <c r="G29" s="13">
        <v>0</v>
      </c>
      <c r="H29" s="52"/>
      <c r="I29" s="53"/>
      <c r="J29" s="52">
        <f>+K29-4550</f>
        <v>7251</v>
      </c>
      <c r="K29" s="53">
        <v>11801</v>
      </c>
      <c r="L29" s="52">
        <v>0</v>
      </c>
      <c r="M29" s="53">
        <v>0</v>
      </c>
      <c r="N29" s="52">
        <v>430</v>
      </c>
      <c r="O29" s="53">
        <f>443+280+280+1+430+215+430</f>
        <v>2079</v>
      </c>
      <c r="P29" s="14">
        <f>+Q29-3687</f>
        <v>4693</v>
      </c>
      <c r="Q29" s="13">
        <v>8380</v>
      </c>
      <c r="R29" s="66">
        <v>0</v>
      </c>
      <c r="S29" s="39">
        <f>+B29+D29+J29+L29+P29+F29+H29+N29</f>
        <v>235282</v>
      </c>
      <c r="T29" s="60">
        <f>+C29+E29+K29+M29+Q29+G29+R29+I29+O29</f>
        <v>356362</v>
      </c>
    </row>
    <row r="30" spans="1:20" ht="12.75">
      <c r="A30" s="27" t="s">
        <v>148</v>
      </c>
      <c r="B30" s="42"/>
      <c r="C30" s="43"/>
      <c r="D30" s="31"/>
      <c r="E30" s="20"/>
      <c r="F30" s="56"/>
      <c r="G30" s="20"/>
      <c r="H30" s="56"/>
      <c r="I30" s="57"/>
      <c r="J30" s="56"/>
      <c r="K30" s="57"/>
      <c r="L30" s="56"/>
      <c r="M30" s="57"/>
      <c r="N30" s="56"/>
      <c r="O30" s="57"/>
      <c r="P30" s="31"/>
      <c r="Q30" s="20"/>
      <c r="R30" s="70"/>
      <c r="S30" s="61"/>
      <c r="T30" s="46"/>
    </row>
    <row r="31" spans="1:20" ht="12.75">
      <c r="A31" s="27" t="s">
        <v>177</v>
      </c>
      <c r="B31" s="39">
        <f aca="true" t="shared" si="3" ref="B31:T31">+B25+B29</f>
        <v>2354679</v>
      </c>
      <c r="C31" s="38">
        <f t="shared" si="3"/>
        <v>4075072</v>
      </c>
      <c r="D31" s="14">
        <f t="shared" si="3"/>
        <v>1000256</v>
      </c>
      <c r="E31" s="13">
        <f t="shared" si="3"/>
        <v>1653206</v>
      </c>
      <c r="F31" s="52">
        <f>+F25+F29</f>
        <v>-540</v>
      </c>
      <c r="G31" s="13">
        <f t="shared" si="3"/>
        <v>-2949</v>
      </c>
      <c r="H31" s="52">
        <f>+H25+H29</f>
        <v>0</v>
      </c>
      <c r="I31" s="53">
        <f>+I25+I29</f>
        <v>-2555</v>
      </c>
      <c r="J31" s="52">
        <f t="shared" si="3"/>
        <v>66702</v>
      </c>
      <c r="K31" s="53">
        <f t="shared" si="3"/>
        <v>27940</v>
      </c>
      <c r="L31" s="52">
        <f t="shared" si="3"/>
        <v>0</v>
      </c>
      <c r="M31" s="53">
        <f t="shared" si="3"/>
        <v>-14281</v>
      </c>
      <c r="N31" s="52">
        <f>+N25+N29</f>
        <v>430</v>
      </c>
      <c r="O31" s="53">
        <f>+O25+O29</f>
        <v>2079</v>
      </c>
      <c r="P31" s="12">
        <f>+P25+P29</f>
        <v>-275278</v>
      </c>
      <c r="Q31" s="13">
        <f t="shared" si="3"/>
        <v>-2195878</v>
      </c>
      <c r="R31" s="66"/>
      <c r="S31" s="39">
        <f t="shared" si="3"/>
        <v>3146249</v>
      </c>
      <c r="T31" s="53">
        <f t="shared" si="3"/>
        <v>3542634</v>
      </c>
    </row>
    <row r="32" spans="1:20" ht="12.75">
      <c r="A32" s="27" t="s">
        <v>148</v>
      </c>
      <c r="B32" s="37"/>
      <c r="C32" s="38"/>
      <c r="D32" s="14"/>
      <c r="E32" s="13"/>
      <c r="F32" s="52"/>
      <c r="G32" s="13"/>
      <c r="H32" s="52"/>
      <c r="I32" s="53"/>
      <c r="J32" s="52"/>
      <c r="K32" s="53"/>
      <c r="L32" s="52"/>
      <c r="M32" s="53"/>
      <c r="N32" s="52"/>
      <c r="O32" s="53"/>
      <c r="P32" s="12"/>
      <c r="Q32" s="13"/>
      <c r="R32" s="66"/>
      <c r="S32" s="39"/>
      <c r="T32" s="60"/>
    </row>
    <row r="33" spans="1:20" ht="12.75">
      <c r="A33" s="27" t="s">
        <v>178</v>
      </c>
      <c r="B33" s="37">
        <f>+C33-481710</f>
        <v>659310</v>
      </c>
      <c r="C33" s="38">
        <v>1141020</v>
      </c>
      <c r="D33" s="14">
        <f>+E33-182826</f>
        <v>280128</v>
      </c>
      <c r="E33" s="13">
        <v>462954</v>
      </c>
      <c r="F33" s="52"/>
      <c r="G33" s="13">
        <v>0</v>
      </c>
      <c r="H33" s="52"/>
      <c r="I33" s="53"/>
      <c r="J33" s="52">
        <f>+K33-437</f>
        <v>7386</v>
      </c>
      <c r="K33" s="53">
        <v>7823</v>
      </c>
      <c r="L33" s="52"/>
      <c r="M33" s="53"/>
      <c r="N33" s="52"/>
      <c r="O33" s="53"/>
      <c r="P33" s="12">
        <v>0</v>
      </c>
      <c r="Q33" s="13">
        <v>0</v>
      </c>
      <c r="R33" s="66"/>
      <c r="S33" s="39">
        <f>+S31*0.28</f>
        <v>880949.7200000001</v>
      </c>
      <c r="T33" s="60">
        <f>+T31*0.28</f>
        <v>991937.5200000001</v>
      </c>
    </row>
    <row r="34" spans="1:20" ht="12.75">
      <c r="A34" s="27" t="s">
        <v>148</v>
      </c>
      <c r="B34" s="42"/>
      <c r="C34" s="43"/>
      <c r="D34" s="31"/>
      <c r="E34" s="20"/>
      <c r="F34" s="56"/>
      <c r="G34" s="20"/>
      <c r="H34" s="56"/>
      <c r="I34" s="57"/>
      <c r="J34" s="56"/>
      <c r="K34" s="57"/>
      <c r="L34" s="56"/>
      <c r="M34" s="57"/>
      <c r="N34" s="56"/>
      <c r="O34" s="57"/>
      <c r="P34" s="19"/>
      <c r="Q34" s="20"/>
      <c r="R34" s="70"/>
      <c r="S34" s="61"/>
      <c r="T34" s="46"/>
    </row>
    <row r="35" spans="1:20" ht="12.75">
      <c r="A35" s="27" t="s">
        <v>165</v>
      </c>
      <c r="B35" s="39">
        <f aca="true" t="shared" si="4" ref="B35:T35">+B31-B33</f>
        <v>1695369</v>
      </c>
      <c r="C35" s="38">
        <f t="shared" si="4"/>
        <v>2934052</v>
      </c>
      <c r="D35" s="14">
        <f t="shared" si="4"/>
        <v>720128</v>
      </c>
      <c r="E35" s="13">
        <f t="shared" si="4"/>
        <v>1190252</v>
      </c>
      <c r="F35" s="52">
        <f>+F31-F33</f>
        <v>-540</v>
      </c>
      <c r="G35" s="13">
        <f t="shared" si="4"/>
        <v>-2949</v>
      </c>
      <c r="H35" s="52">
        <f>+H31-H33</f>
        <v>0</v>
      </c>
      <c r="I35" s="53">
        <f>+I31-I33</f>
        <v>-2555</v>
      </c>
      <c r="J35" s="52">
        <f t="shared" si="4"/>
        <v>59316</v>
      </c>
      <c r="K35" s="53">
        <f t="shared" si="4"/>
        <v>20117</v>
      </c>
      <c r="L35" s="52">
        <f t="shared" si="4"/>
        <v>0</v>
      </c>
      <c r="M35" s="53">
        <f t="shared" si="4"/>
        <v>-14281</v>
      </c>
      <c r="N35" s="52">
        <f>+N31-N33</f>
        <v>430</v>
      </c>
      <c r="O35" s="53">
        <f>+O31-O33</f>
        <v>2079</v>
      </c>
      <c r="P35" s="12">
        <f>+P31-P33</f>
        <v>-275278</v>
      </c>
      <c r="Q35" s="13">
        <f t="shared" si="4"/>
        <v>-2195878</v>
      </c>
      <c r="R35" s="66"/>
      <c r="S35" s="39">
        <f t="shared" si="4"/>
        <v>2265299.28</v>
      </c>
      <c r="T35" s="53">
        <f t="shared" si="4"/>
        <v>2550696.48</v>
      </c>
    </row>
    <row r="36" spans="1:20" ht="12.75">
      <c r="A36" s="27"/>
      <c r="B36" s="37"/>
      <c r="C36" s="38"/>
      <c r="D36" s="14"/>
      <c r="E36" s="13"/>
      <c r="F36" s="52"/>
      <c r="G36" s="13"/>
      <c r="H36" s="52"/>
      <c r="I36" s="53"/>
      <c r="J36" s="52"/>
      <c r="K36" s="53"/>
      <c r="L36" s="52"/>
      <c r="M36" s="53"/>
      <c r="N36" s="52"/>
      <c r="O36" s="53"/>
      <c r="P36" s="12"/>
      <c r="Q36" s="13"/>
      <c r="R36" s="66"/>
      <c r="S36" s="39"/>
      <c r="T36" s="60"/>
    </row>
    <row r="37" spans="1:20" ht="12.75">
      <c r="A37" s="27" t="s">
        <v>138</v>
      </c>
      <c r="B37" s="37"/>
      <c r="C37" s="38"/>
      <c r="D37" s="14"/>
      <c r="E37" s="13"/>
      <c r="F37" s="52"/>
      <c r="G37" s="13"/>
      <c r="H37" s="52"/>
      <c r="I37" s="53"/>
      <c r="J37" s="52"/>
      <c r="K37" s="53"/>
      <c r="L37" s="52">
        <v>0</v>
      </c>
      <c r="M37" s="53">
        <v>0</v>
      </c>
      <c r="N37" s="52">
        <v>0</v>
      </c>
      <c r="O37" s="53">
        <v>0</v>
      </c>
      <c r="P37" s="14"/>
      <c r="Q37" s="13"/>
      <c r="R37" s="66"/>
      <c r="S37" s="39">
        <f>+B37+D37+J37+L37+P37+F37+H37+N37</f>
        <v>0</v>
      </c>
      <c r="T37" s="60">
        <f>+C37+E37+K37+M37+Q37+G37+I37+O37</f>
        <v>0</v>
      </c>
    </row>
    <row r="38" spans="1:20" ht="12.75">
      <c r="A38" s="27" t="s">
        <v>179</v>
      </c>
      <c r="B38" s="37"/>
      <c r="C38" s="38">
        <v>0</v>
      </c>
      <c r="D38" s="14"/>
      <c r="E38" s="13"/>
      <c r="F38" s="52"/>
      <c r="G38" s="13"/>
      <c r="H38" s="52"/>
      <c r="I38" s="53"/>
      <c r="J38" s="52"/>
      <c r="K38" s="53"/>
      <c r="L38" s="52"/>
      <c r="M38" s="53"/>
      <c r="N38" s="52"/>
      <c r="O38" s="53"/>
      <c r="P38" s="14">
        <v>0</v>
      </c>
      <c r="Q38" s="13">
        <v>0</v>
      </c>
      <c r="R38" s="66"/>
      <c r="S38" s="39">
        <f>+B38+D38+J38+L38+P38+F38+H38+N38</f>
        <v>0</v>
      </c>
      <c r="T38" s="60">
        <f>+C38+E38+K38+M38+Q38+G38+I38+O38</f>
        <v>0</v>
      </c>
    </row>
    <row r="39" spans="1:20" ht="13.5" thickBot="1">
      <c r="A39" s="27"/>
      <c r="B39" s="44">
        <f>+B35-B37-B38</f>
        <v>1695369</v>
      </c>
      <c r="C39" s="45">
        <f aca="true" t="shared" si="5" ref="C39:S39">+C35-C37-C38</f>
        <v>2934052</v>
      </c>
      <c r="D39" s="32">
        <f t="shared" si="5"/>
        <v>720128</v>
      </c>
      <c r="E39" s="47">
        <f t="shared" si="5"/>
        <v>1190252</v>
      </c>
      <c r="F39" s="44">
        <f>+F35-F37-F38</f>
        <v>-540</v>
      </c>
      <c r="G39" s="47">
        <f t="shared" si="5"/>
        <v>-2949</v>
      </c>
      <c r="H39" s="44">
        <f>+H35-H37-H38</f>
        <v>0</v>
      </c>
      <c r="I39" s="45">
        <f>+I35-I37-I38</f>
        <v>-2555</v>
      </c>
      <c r="J39" s="44">
        <f t="shared" si="5"/>
        <v>59316</v>
      </c>
      <c r="K39" s="45">
        <f t="shared" si="5"/>
        <v>20117</v>
      </c>
      <c r="L39" s="44">
        <f t="shared" si="5"/>
        <v>0</v>
      </c>
      <c r="M39" s="45">
        <f t="shared" si="5"/>
        <v>-14281</v>
      </c>
      <c r="N39" s="44">
        <f>+N35-N37-N38</f>
        <v>430</v>
      </c>
      <c r="O39" s="45">
        <f>+O35-O37-O38</f>
        <v>2079</v>
      </c>
      <c r="P39" s="32">
        <f t="shared" si="5"/>
        <v>-275278</v>
      </c>
      <c r="Q39" s="47">
        <f t="shared" si="5"/>
        <v>-2195878</v>
      </c>
      <c r="R39" s="68"/>
      <c r="S39" s="44">
        <f t="shared" si="5"/>
        <v>2265299.28</v>
      </c>
      <c r="T39" s="45">
        <f>+T35-T37-T38</f>
        <v>2550696.48</v>
      </c>
    </row>
    <row r="40" spans="1:20" ht="13.5" thickTop="1">
      <c r="A40" s="28"/>
      <c r="B40" s="42"/>
      <c r="C40" s="46"/>
      <c r="D40" s="7"/>
      <c r="E40" s="21"/>
      <c r="F40" s="58"/>
      <c r="G40" s="21"/>
      <c r="H40" s="58"/>
      <c r="I40" s="59"/>
      <c r="J40" s="58"/>
      <c r="K40" s="59"/>
      <c r="L40" s="58"/>
      <c r="M40" s="59"/>
      <c r="N40" s="58"/>
      <c r="O40" s="59"/>
      <c r="P40" s="7"/>
      <c r="Q40" s="21"/>
      <c r="R40" s="69"/>
      <c r="S40" s="62"/>
      <c r="T40" s="46"/>
    </row>
    <row r="41" spans="2:20" ht="12.75">
      <c r="B41" s="2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2:19" ht="12.75">
      <c r="B42" s="23"/>
      <c r="C42" s="24"/>
      <c r="D42" s="24"/>
      <c r="E42" s="24"/>
      <c r="F42" s="24"/>
      <c r="G42" s="24"/>
      <c r="H42" s="75" t="s">
        <v>180</v>
      </c>
      <c r="I42" s="75" t="s">
        <v>144</v>
      </c>
      <c r="J42" s="75" t="s">
        <v>176</v>
      </c>
      <c r="K42" s="75" t="s">
        <v>141</v>
      </c>
      <c r="L42" s="24"/>
      <c r="M42" s="24"/>
      <c r="N42" s="24"/>
      <c r="O42" s="24"/>
      <c r="P42" s="75" t="s">
        <v>143</v>
      </c>
      <c r="Q42" s="75" t="s">
        <v>181</v>
      </c>
      <c r="R42" s="75"/>
      <c r="S42" s="75" t="s">
        <v>182</v>
      </c>
    </row>
    <row r="43" spans="1:18" ht="12.75">
      <c r="A43" s="4" t="s">
        <v>183</v>
      </c>
      <c r="B43" s="6"/>
      <c r="D43" s="6"/>
      <c r="E43" s="6"/>
      <c r="F43" s="6"/>
      <c r="G43" s="6"/>
      <c r="H43" s="6"/>
      <c r="L43" s="6"/>
      <c r="M43" s="6"/>
      <c r="N43" s="6"/>
      <c r="O43" s="6"/>
      <c r="R43" s="6"/>
    </row>
    <row r="44" spans="1:19" ht="13.5" thickBot="1">
      <c r="A44" s="4" t="s">
        <v>184</v>
      </c>
      <c r="B44" s="22"/>
      <c r="C44" s="6"/>
      <c r="D44" s="6"/>
      <c r="E44" s="6"/>
      <c r="F44" s="6"/>
      <c r="G44" s="6"/>
      <c r="H44" s="73">
        <v>2648502</v>
      </c>
      <c r="I44" s="73">
        <v>1719535</v>
      </c>
      <c r="J44" s="76">
        <v>2801030</v>
      </c>
      <c r="K44" s="76">
        <v>2375036</v>
      </c>
      <c r="L44" s="6"/>
      <c r="M44" s="6"/>
      <c r="N44" s="6"/>
      <c r="O44" s="6"/>
      <c r="P44" s="76">
        <v>2221216</v>
      </c>
      <c r="Q44" s="76">
        <v>2794188</v>
      </c>
      <c r="R44" s="73">
        <v>21802563.43</v>
      </c>
      <c r="S44" s="76">
        <v>1835097</v>
      </c>
    </row>
    <row r="45" spans="1:19" ht="13.5" thickTop="1">
      <c r="A45" s="4" t="s">
        <v>185</v>
      </c>
      <c r="B45" s="74"/>
      <c r="C45" s="6"/>
      <c r="D45" s="6"/>
      <c r="E45" s="6"/>
      <c r="F45" s="6"/>
      <c r="G45" s="6"/>
      <c r="H45" s="6">
        <v>272763</v>
      </c>
      <c r="I45" s="6">
        <v>79726</v>
      </c>
      <c r="J45" s="63">
        <v>650250</v>
      </c>
      <c r="K45" s="63">
        <v>350425</v>
      </c>
      <c r="L45" s="6"/>
      <c r="M45" s="6"/>
      <c r="N45" s="6"/>
      <c r="O45" s="6"/>
      <c r="P45" s="63">
        <v>460626</v>
      </c>
      <c r="Q45" s="63">
        <v>709745</v>
      </c>
      <c r="R45" s="6">
        <v>3145884.1</v>
      </c>
      <c r="S45" s="63">
        <v>80201</v>
      </c>
    </row>
    <row r="46" spans="2:19" ht="12.75">
      <c r="B46" s="22"/>
      <c r="C46" s="6"/>
      <c r="D46" s="6"/>
      <c r="E46" s="6"/>
      <c r="F46" s="6"/>
      <c r="G46" s="6"/>
      <c r="H46" s="6"/>
      <c r="I46" s="6"/>
      <c r="J46" s="63"/>
      <c r="K46" s="63"/>
      <c r="L46" s="6"/>
      <c r="M46" s="6"/>
      <c r="N46" s="6"/>
      <c r="O46" s="6"/>
      <c r="P46" s="63"/>
      <c r="Q46" s="63"/>
      <c r="R46" s="6"/>
      <c r="S46" s="63"/>
    </row>
    <row r="47" spans="1:19" ht="12.75">
      <c r="A47" s="4" t="s">
        <v>186</v>
      </c>
      <c r="B47" s="22"/>
      <c r="C47" s="6"/>
      <c r="D47" s="6"/>
      <c r="E47" s="6"/>
      <c r="F47" s="6"/>
      <c r="G47" s="6"/>
      <c r="H47" s="6"/>
      <c r="I47" s="6"/>
      <c r="J47" s="63"/>
      <c r="K47" s="63"/>
      <c r="L47" s="6"/>
      <c r="M47" s="6"/>
      <c r="N47" s="6"/>
      <c r="O47" s="6"/>
      <c r="P47" s="63"/>
      <c r="Q47" s="63"/>
      <c r="R47" s="6"/>
      <c r="S47" s="63"/>
    </row>
    <row r="48" spans="1:19" ht="13.5" thickBot="1">
      <c r="A48" s="4" t="s">
        <v>184</v>
      </c>
      <c r="B48" s="22"/>
      <c r="C48" s="6"/>
      <c r="D48" s="6"/>
      <c r="E48" s="6"/>
      <c r="F48" s="6"/>
      <c r="G48" s="6"/>
      <c r="H48" s="73">
        <v>1142291</v>
      </c>
      <c r="I48" s="73">
        <v>248298</v>
      </c>
      <c r="J48" s="76">
        <v>261133</v>
      </c>
      <c r="K48" s="76">
        <v>337287</v>
      </c>
      <c r="L48" s="6"/>
      <c r="M48" s="6"/>
      <c r="N48" s="6"/>
      <c r="O48" s="6"/>
      <c r="P48" s="76">
        <v>861208</v>
      </c>
      <c r="Q48" s="76">
        <v>517296</v>
      </c>
      <c r="R48" s="73">
        <v>9408748.71</v>
      </c>
      <c r="S48" s="76">
        <v>823584</v>
      </c>
    </row>
    <row r="49" spans="1:19" ht="13.5" thickTop="1">
      <c r="A49" s="4" t="s">
        <v>185</v>
      </c>
      <c r="B49" s="22"/>
      <c r="C49" s="6"/>
      <c r="D49" s="6"/>
      <c r="E49" s="6"/>
      <c r="F49" s="6"/>
      <c r="G49" s="6"/>
      <c r="H49" s="6">
        <v>-382937</v>
      </c>
      <c r="I49" s="6">
        <v>-166321</v>
      </c>
      <c r="J49" s="6">
        <v>-36894</v>
      </c>
      <c r="K49" s="6">
        <v>-85012</v>
      </c>
      <c r="L49" s="6"/>
      <c r="M49" s="6"/>
      <c r="N49" s="6"/>
      <c r="O49" s="6"/>
      <c r="P49" s="6">
        <v>55652</v>
      </c>
      <c r="Q49" s="6">
        <v>255182</v>
      </c>
      <c r="R49" s="6">
        <v>668883.49</v>
      </c>
      <c r="S49" s="6">
        <v>-155517</v>
      </c>
    </row>
    <row r="50" spans="2:20" ht="12.75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Q50" s="24"/>
      <c r="R50" s="24"/>
      <c r="S50" s="24"/>
      <c r="T50" s="63"/>
    </row>
    <row r="51" spans="2:20" ht="12.75"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2:20" ht="12.75"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2:20" ht="12.75">
      <c r="B53" s="23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2:20" ht="12.75">
      <c r="B54" s="23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2:20" ht="12.75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2:20" ht="12.75"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2:20" ht="12.75"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2:20" ht="12.75">
      <c r="B58" s="2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2:20" ht="12.75">
      <c r="B59" s="2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2:20" ht="12.75"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2:20" ht="12.75"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2:20" ht="12.75"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2:20" ht="12.75">
      <c r="B63" s="23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2:20" ht="12.75">
      <c r="B64" s="23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2:20" ht="12.75">
      <c r="B65" s="23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2:20" ht="12.75">
      <c r="B66" s="23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2:20" ht="12.75"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2:20" ht="12.75"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2:20" ht="12.75">
      <c r="B69" s="23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2:20" ht="12.75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2:20" ht="12.75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2:20" ht="12.75">
      <c r="B72" s="23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2:20" ht="12.75">
      <c r="B73" s="23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</row>
    <row r="74" spans="2:20" ht="12.75"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</row>
    <row r="75" spans="2:20" ht="12.75">
      <c r="B75" s="23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</row>
    <row r="76" spans="2:20" ht="12.75">
      <c r="B76" s="23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</row>
    <row r="77" spans="2:20" ht="12.75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</row>
    <row r="78" spans="2:20" ht="12.75">
      <c r="B78" s="23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</row>
    <row r="79" spans="2:20" ht="12.75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</row>
    <row r="80" spans="2:20" ht="12.75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</row>
    <row r="81" spans="2:20" ht="12.75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</row>
    <row r="82" spans="2:20" ht="12.75">
      <c r="B82" s="23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</row>
    <row r="83" spans="2:20" ht="12.75">
      <c r="B83" s="23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</row>
    <row r="84" spans="2:20" ht="12.75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</row>
    <row r="85" spans="2:20" ht="12.75"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</row>
    <row r="86" spans="2:20" ht="12.75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</row>
    <row r="87" spans="2:20" ht="12.75">
      <c r="B87" s="23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</row>
    <row r="88" spans="2:20" ht="12.75">
      <c r="B88" s="23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</row>
    <row r="89" spans="2:20" ht="12.75"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</row>
    <row r="90" spans="2:20" ht="12.75"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</row>
    <row r="91" spans="2:20" ht="12.75"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</row>
    <row r="92" spans="2:20" ht="12.75">
      <c r="B92" s="23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</row>
    <row r="93" spans="2:20" ht="12.75">
      <c r="B93" s="23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</row>
    <row r="94" spans="2:20" ht="12.75"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</row>
    <row r="95" spans="2:20" ht="12.75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</row>
    <row r="96" spans="2:20" ht="12.75"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</row>
    <row r="97" spans="2:20" ht="12.75">
      <c r="B97" s="23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</row>
    <row r="98" spans="2:20" ht="12.75">
      <c r="B98" s="23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</row>
    <row r="99" spans="2:20" ht="12.75">
      <c r="B99" s="23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</row>
    <row r="100" spans="2:20" ht="12.75">
      <c r="B100" s="23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</row>
    <row r="101" spans="2:20" ht="12.75">
      <c r="B101" s="23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</row>
    <row r="102" spans="2:20" ht="12.75">
      <c r="B102" s="23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</row>
    <row r="103" spans="2:20" ht="12.75">
      <c r="B103" s="23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</row>
    <row r="104" spans="2:20" ht="12.75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</row>
    <row r="105" spans="2:20" ht="12.75">
      <c r="B105" s="23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</row>
    <row r="106" spans="2:20" ht="12.75">
      <c r="B106" s="23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</row>
    <row r="107" spans="2:20" ht="12.75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</row>
    <row r="108" spans="2:20" ht="12.75">
      <c r="B108" s="23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</row>
    <row r="109" spans="2:20" ht="12.75">
      <c r="B109" s="23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</row>
    <row r="110" spans="2:20" ht="12.75">
      <c r="B110" s="23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</row>
    <row r="111" spans="2:20" ht="12.75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</row>
    <row r="112" spans="2:20" ht="12.75">
      <c r="B112" s="23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</row>
    <row r="113" spans="2:20" ht="12.75">
      <c r="B113" s="23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</row>
    <row r="114" spans="2:20" ht="12.75">
      <c r="B114" s="23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</row>
    <row r="115" spans="2:20" ht="12.75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</row>
    <row r="116" spans="2:20" ht="12.75">
      <c r="B116" s="23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</row>
    <row r="117" spans="2:20" ht="12.75">
      <c r="B117" s="23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</row>
    <row r="118" spans="2:20" ht="12.75">
      <c r="B118" s="23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</row>
    <row r="119" spans="2:20" ht="12.75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</row>
    <row r="120" spans="2:20" ht="12.75">
      <c r="B120" s="23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</row>
    <row r="121" spans="2:20" ht="12.75">
      <c r="B121" s="23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</row>
    <row r="122" spans="2:20" ht="12.75">
      <c r="B122" s="23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</row>
    <row r="123" spans="2:20" ht="12.75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</row>
    <row r="124" spans="2:20" ht="12.75">
      <c r="B124" s="23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</row>
    <row r="125" spans="2:20" ht="12.75"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</row>
    <row r="126" spans="2:20" ht="12.75">
      <c r="B126" s="23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</row>
    <row r="127" spans="2:20" ht="12.75"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</row>
    <row r="128" spans="2:20" ht="12.75">
      <c r="B128" s="23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</row>
    <row r="129" spans="2:20" ht="12.75">
      <c r="B129" s="23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</row>
    <row r="130" spans="2:20" ht="12.75"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</row>
    <row r="131" spans="2:20" ht="12.75"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</row>
    <row r="132" spans="2:20" ht="12.75">
      <c r="B132" s="23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</row>
    <row r="133" spans="2:20" ht="12.75">
      <c r="B133" s="23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</row>
    <row r="134" spans="2:20" ht="12.75"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</row>
    <row r="135" spans="2:20" ht="12.75">
      <c r="B135" s="23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</row>
    <row r="136" spans="2:20" ht="12.75">
      <c r="B136" s="23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</row>
    <row r="137" spans="2:20" ht="12.75">
      <c r="B137" s="23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</row>
    <row r="138" spans="2:20" ht="12.75">
      <c r="B138" s="23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</row>
    <row r="139" spans="2:20" ht="12.75">
      <c r="B139" s="23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</row>
    <row r="140" spans="2:20" ht="12.75">
      <c r="B140" s="23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</row>
    <row r="141" spans="2:20" ht="12.75">
      <c r="B141" s="23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</row>
    <row r="142" spans="2:20" ht="12.75">
      <c r="B142" s="23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</row>
    <row r="143" spans="2:20" ht="12.75">
      <c r="B143" s="23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</row>
    <row r="144" spans="2:20" ht="12.75">
      <c r="B144" s="23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</row>
    <row r="145" spans="2:20" ht="12.75">
      <c r="B145" s="23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</row>
    <row r="146" spans="2:20" ht="12.75">
      <c r="B146" s="23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</row>
    <row r="147" spans="2:20" ht="12.75">
      <c r="B147" s="23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</row>
    <row r="148" spans="2:20" ht="12.75">
      <c r="B148" s="23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</row>
    <row r="149" spans="2:20" ht="12.75">
      <c r="B149" s="23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</row>
    <row r="150" spans="2:20" ht="12.75">
      <c r="B150" s="23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</row>
    <row r="151" spans="2:20" ht="12.75">
      <c r="B151" s="23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</row>
    <row r="152" spans="2:20" ht="12.75">
      <c r="B152" s="23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</row>
    <row r="153" spans="2:20" ht="12.75">
      <c r="B153" s="23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</row>
    <row r="154" spans="2:20" ht="12.75">
      <c r="B154" s="23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</row>
    <row r="155" spans="2:20" ht="12.75">
      <c r="B155" s="23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</row>
    <row r="156" spans="2:20" ht="12.75">
      <c r="B156" s="23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</row>
    <row r="157" spans="2:20" ht="12.75">
      <c r="B157" s="23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</row>
    <row r="158" spans="2:20" ht="12.75">
      <c r="B158" s="23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</row>
    <row r="159" spans="2:20" ht="12.75">
      <c r="B159" s="23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</row>
    <row r="160" spans="2:20" ht="12.75">
      <c r="B160" s="23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</row>
    <row r="161" spans="2:20" ht="12.75">
      <c r="B161" s="23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</row>
    <row r="162" spans="2:20" ht="12.75">
      <c r="B162" s="23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</row>
    <row r="163" spans="2:20" ht="12.75">
      <c r="B163" s="23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</row>
    <row r="164" spans="2:20" ht="12.75">
      <c r="B164" s="23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</row>
    <row r="165" spans="2:20" ht="12.75">
      <c r="B165" s="23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</row>
    <row r="166" spans="2:20" ht="12.75">
      <c r="B166" s="23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</row>
    <row r="167" spans="2:20" ht="12.75">
      <c r="B167" s="23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</row>
    <row r="168" spans="2:20" ht="12.75">
      <c r="B168" s="23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</row>
    <row r="169" spans="2:20" ht="12.75">
      <c r="B169" s="23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</row>
    <row r="170" spans="2:20" ht="12.75">
      <c r="B170" s="23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</row>
    <row r="171" spans="2:20" ht="12.75">
      <c r="B171" s="23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</row>
    <row r="172" spans="2:20" ht="12.75">
      <c r="B172" s="23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</row>
    <row r="173" spans="2:20" ht="12.75">
      <c r="B173" s="23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</row>
    <row r="174" spans="2:20" ht="12.75">
      <c r="B174" s="23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</row>
    <row r="175" spans="2:20" ht="12.75">
      <c r="B175" s="23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</row>
    <row r="176" spans="2:20" ht="12.75">
      <c r="B176" s="23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</row>
    <row r="177" spans="2:20" ht="12.75">
      <c r="B177" s="23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</row>
    <row r="178" spans="2:20" ht="12.75">
      <c r="B178" s="23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</row>
    <row r="179" spans="2:20" ht="12.75">
      <c r="B179" s="23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</row>
    <row r="180" spans="2:20" ht="12.75">
      <c r="B180" s="23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</row>
    <row r="181" spans="2:20" ht="12.75">
      <c r="B181" s="23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</row>
    <row r="182" spans="2:20" ht="12.75">
      <c r="B182" s="23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</row>
    <row r="183" spans="2:20" ht="12.75">
      <c r="B183" s="23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</row>
    <row r="184" spans="2:20" ht="12.75">
      <c r="B184" s="23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</row>
    <row r="185" spans="2:20" ht="12.75">
      <c r="B185" s="23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</row>
    <row r="186" spans="2:20" ht="12.75">
      <c r="B186" s="23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</row>
    <row r="187" spans="2:20" ht="12.75">
      <c r="B187" s="23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</row>
    <row r="188" spans="2:20" ht="12.75">
      <c r="B188" s="23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</row>
    <row r="189" spans="2:20" ht="12.75">
      <c r="B189" s="23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</row>
    <row r="190" spans="2:20" ht="12.75">
      <c r="B190" s="23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</row>
    <row r="191" spans="2:20" ht="12.75">
      <c r="B191" s="23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</row>
    <row r="192" spans="2:20" ht="12.75">
      <c r="B192" s="23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</row>
    <row r="193" spans="2:20" ht="12.75">
      <c r="B193" s="23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</row>
    <row r="194" spans="2:20" ht="12.75">
      <c r="B194" s="23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</row>
    <row r="195" spans="2:20" ht="12.75">
      <c r="B195" s="23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</row>
    <row r="196" spans="2:20" ht="12.75">
      <c r="B196" s="23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</row>
    <row r="197" spans="2:20" ht="12.75">
      <c r="B197" s="23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</row>
    <row r="198" spans="2:20" ht="12.75">
      <c r="B198" s="23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</row>
    <row r="199" spans="2:20" ht="12.75">
      <c r="B199" s="23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</row>
    <row r="200" spans="2:20" ht="12.75">
      <c r="B200" s="23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</row>
    <row r="201" spans="2:20" ht="12.75">
      <c r="B201" s="23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</row>
    <row r="202" spans="2:20" ht="12.75">
      <c r="B202" s="23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</row>
    <row r="203" spans="2:20" ht="12.75">
      <c r="B203" s="23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</row>
    <row r="204" spans="2:20" ht="12.75">
      <c r="B204" s="23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</row>
    <row r="205" spans="2:20" ht="12.75">
      <c r="B205" s="23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</row>
    <row r="206" spans="2:20" ht="12.75">
      <c r="B206" s="23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</row>
    <row r="207" spans="2:20" ht="12.75">
      <c r="B207" s="23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</row>
    <row r="208" spans="2:20" ht="12.75">
      <c r="B208" s="23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</row>
    <row r="209" spans="2:20" ht="12.75">
      <c r="B209" s="23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</row>
    <row r="210" spans="2:20" ht="12.75">
      <c r="B210" s="23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</row>
    <row r="211" spans="2:20" ht="12.75">
      <c r="B211" s="23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</row>
    <row r="212" spans="2:20" ht="12.75">
      <c r="B212" s="23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</row>
    <row r="213" spans="2:20" ht="12.75">
      <c r="B213" s="23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</row>
    <row r="214" spans="2:20" ht="12.75">
      <c r="B214" s="23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</row>
    <row r="215" spans="2:20" ht="12.75">
      <c r="B215" s="23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</row>
    <row r="216" spans="2:20" ht="12.75">
      <c r="B216" s="23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</row>
    <row r="217" spans="2:20" ht="12.75">
      <c r="B217" s="23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</row>
    <row r="218" spans="2:20" ht="12.75">
      <c r="B218" s="23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</row>
    <row r="219" spans="2:20" ht="12.75">
      <c r="B219" s="23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</row>
    <row r="220" spans="2:20" ht="12.75">
      <c r="B220" s="23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</row>
    <row r="221" spans="2:20" ht="12.75">
      <c r="B221" s="23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</row>
    <row r="222" spans="2:20" ht="12.75">
      <c r="B222" s="23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</row>
    <row r="223" spans="2:20" ht="12.75">
      <c r="B223" s="23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</row>
    <row r="224" spans="2:20" ht="12.75">
      <c r="B224" s="23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</row>
    <row r="225" spans="2:20" ht="12.75">
      <c r="B225" s="23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</row>
    <row r="226" spans="2:20" ht="12.75">
      <c r="B226" s="23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</row>
    <row r="227" spans="2:20" ht="12.75">
      <c r="B227" s="23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</row>
    <row r="228" spans="2:20" ht="12.75">
      <c r="B228" s="23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</row>
    <row r="229" spans="2:20" ht="12.75">
      <c r="B229" s="23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</row>
    <row r="230" spans="2:20" ht="12.75">
      <c r="B230" s="23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</row>
    <row r="231" spans="2:20" ht="12.75">
      <c r="B231" s="23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</row>
    <row r="232" spans="2:20" ht="12.75">
      <c r="B232" s="23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</row>
    <row r="233" spans="2:20" ht="12.75">
      <c r="B233" s="23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</row>
    <row r="234" spans="2:20" ht="12.75">
      <c r="B234" s="23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</row>
    <row r="235" spans="2:20" ht="12.75">
      <c r="B235" s="23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</row>
    <row r="236" spans="2:20" ht="12.75">
      <c r="B236" s="23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</row>
    <row r="237" spans="2:20" ht="12.75">
      <c r="B237" s="23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</row>
    <row r="238" spans="2:20" ht="12.75">
      <c r="B238" s="23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</row>
    <row r="239" spans="2:20" ht="12.75">
      <c r="B239" s="23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</row>
    <row r="240" spans="2:20" ht="12.75">
      <c r="B240" s="23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</row>
    <row r="241" spans="2:20" ht="12.75">
      <c r="B241" s="23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</row>
    <row r="242" spans="2:20" ht="12.75">
      <c r="B242" s="23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</row>
    <row r="243" spans="2:20" ht="12.75">
      <c r="B243" s="23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</row>
    <row r="244" spans="2:20" ht="12.75">
      <c r="B244" s="23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</row>
    <row r="245" spans="2:20" ht="12.75">
      <c r="B245" s="23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</row>
    <row r="246" spans="2:20" ht="12.75">
      <c r="B246" s="23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</row>
    <row r="247" spans="2:20" ht="12.75">
      <c r="B247" s="23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</row>
    <row r="248" spans="2:20" ht="12.75">
      <c r="B248" s="23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</row>
    <row r="249" spans="2:20" ht="12.75">
      <c r="B249" s="23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</row>
    <row r="250" spans="2:20" ht="12.75">
      <c r="B250" s="23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</row>
    <row r="251" spans="2:20" ht="12.75">
      <c r="B251" s="23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</row>
    <row r="252" spans="2:20" ht="12.75">
      <c r="B252" s="23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</row>
    <row r="253" spans="2:20" ht="12.75">
      <c r="B253" s="23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</row>
    <row r="254" spans="2:20" ht="12.75">
      <c r="B254" s="23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</row>
    <row r="255" spans="2:20" ht="12.75">
      <c r="B255" s="23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</row>
    <row r="256" spans="2:20" ht="12.75">
      <c r="B256" s="23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</row>
    <row r="257" spans="2:20" ht="12.75">
      <c r="B257" s="23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</row>
    <row r="258" spans="2:20" ht="12.75">
      <c r="B258" s="23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</row>
    <row r="259" spans="2:20" ht="12.75">
      <c r="B259" s="23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</row>
    <row r="260" spans="2:20" ht="12.75">
      <c r="B260" s="23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</row>
    <row r="261" spans="2:20" ht="12.75">
      <c r="B261" s="23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</row>
    <row r="262" spans="2:20" ht="12.75">
      <c r="B262" s="23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</row>
    <row r="263" spans="2:20" ht="12.75">
      <c r="B263" s="23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</row>
    <row r="264" spans="2:20" ht="12.75">
      <c r="B264" s="23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</row>
    <row r="265" spans="2:20" ht="12.75">
      <c r="B265" s="23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</row>
    <row r="266" spans="2:20" ht="12.75">
      <c r="B266" s="23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</row>
    <row r="267" spans="2:20" ht="12.75">
      <c r="B267" s="23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</row>
    <row r="268" spans="2:20" ht="12.75">
      <c r="B268" s="23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</row>
    <row r="269" spans="2:20" ht="12.75">
      <c r="B269" s="23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</row>
    <row r="270" spans="2:20" ht="12.75">
      <c r="B270" s="23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</row>
    <row r="271" spans="2:20" ht="12.75">
      <c r="B271" s="23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</row>
    <row r="272" spans="2:20" ht="12.75">
      <c r="B272" s="23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</row>
    <row r="273" spans="2:20" ht="12.75">
      <c r="B273" s="23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</row>
    <row r="274" spans="2:20" ht="12.75">
      <c r="B274" s="23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</row>
    <row r="275" spans="2:20" ht="12.75">
      <c r="B275" s="23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</row>
    <row r="276" spans="2:20" ht="12.75">
      <c r="B276" s="23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</row>
    <row r="277" spans="2:20" ht="12.75">
      <c r="B277" s="23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</row>
    <row r="278" spans="2:20" ht="12.75">
      <c r="B278" s="23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</row>
    <row r="279" spans="2:20" ht="12.75">
      <c r="B279" s="23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</row>
    <row r="280" spans="2:20" ht="12.75">
      <c r="B280" s="23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</row>
    <row r="281" spans="2:20" ht="12.75">
      <c r="B281" s="23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</row>
    <row r="282" spans="2:20" ht="12.75">
      <c r="B282" s="23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</row>
    <row r="283" spans="2:20" ht="12.75">
      <c r="B283" s="23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</row>
    <row r="284" spans="2:20" ht="12.75">
      <c r="B284" s="23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</row>
    <row r="285" spans="2:20" ht="12.75">
      <c r="B285" s="23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</row>
    <row r="286" spans="2:20" ht="12.75">
      <c r="B286" s="23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</row>
    <row r="287" spans="2:20" ht="12.75">
      <c r="B287" s="23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</row>
    <row r="288" spans="2:20" ht="12.75">
      <c r="B288" s="23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</row>
    <row r="289" spans="2:20" ht="12.75">
      <c r="B289" s="23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</row>
    <row r="290" spans="2:20" ht="12.75">
      <c r="B290" s="23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</row>
    <row r="291" spans="2:20" ht="12.75">
      <c r="B291" s="23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</row>
    <row r="292" spans="2:20" ht="12.75">
      <c r="B292" s="23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</row>
    <row r="293" spans="2:20" ht="12.75">
      <c r="B293" s="23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</row>
    <row r="294" spans="2:20" ht="12.75">
      <c r="B294" s="23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</row>
    <row r="295" spans="2:20" ht="12.75">
      <c r="B295" s="23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</row>
    <row r="296" spans="2:20" ht="12.75">
      <c r="B296" s="23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</row>
    <row r="297" spans="2:20" ht="12.75">
      <c r="B297" s="23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</row>
    <row r="298" spans="2:20" ht="12.75">
      <c r="B298" s="23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</row>
  </sheetData>
  <printOptions/>
  <pageMargins left="0.12" right="0.17" top="0.77" bottom="1" header="0.5" footer="0.5"/>
  <pageSetup horizontalDpi="360" verticalDpi="36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20"/>
  <sheetViews>
    <sheetView tabSelected="1" zoomScale="75" zoomScaleNormal="75" workbookViewId="0" topLeftCell="S55">
      <selection activeCell="Z75" sqref="Z75"/>
    </sheetView>
  </sheetViews>
  <sheetFormatPr defaultColWidth="9.140625" defaultRowHeight="12.75"/>
  <cols>
    <col min="1" max="1" width="32.421875" style="4" customWidth="1"/>
    <col min="2" max="5" width="18.28125" style="2" customWidth="1"/>
    <col min="6" max="6" width="2.28125" style="2" customWidth="1"/>
    <col min="7" max="7" width="32.421875" style="4" customWidth="1"/>
    <col min="8" max="11" width="18.28125" style="2" customWidth="1"/>
    <col min="12" max="12" width="2.28125" style="2" customWidth="1"/>
    <col min="13" max="13" width="32.421875" style="4" customWidth="1"/>
    <col min="14" max="14" width="14.7109375" style="2" hidden="1" customWidth="1"/>
    <col min="15" max="18" width="18.28125" style="2" customWidth="1"/>
    <col min="19" max="19" width="2.00390625" style="2" customWidth="1"/>
    <col min="20" max="20" width="32.421875" style="4" customWidth="1"/>
    <col min="21" max="21" width="14.7109375" style="2" hidden="1" customWidth="1"/>
    <col min="22" max="25" width="18.28125" style="2" customWidth="1"/>
    <col min="26" max="16384" width="9.140625" style="2" customWidth="1"/>
  </cols>
  <sheetData>
    <row r="1" spans="1:20" ht="19.5">
      <c r="A1" s="1" t="s">
        <v>87</v>
      </c>
      <c r="G1" s="1" t="s">
        <v>87</v>
      </c>
      <c r="M1" s="1" t="s">
        <v>87</v>
      </c>
      <c r="T1" s="1" t="s">
        <v>87</v>
      </c>
    </row>
    <row r="2" spans="1:20" ht="12.75" customHeight="1">
      <c r="A2" s="1"/>
      <c r="G2" s="1"/>
      <c r="M2" s="1"/>
      <c r="T2" s="1"/>
    </row>
    <row r="3" spans="1:20" ht="12.75" customHeight="1">
      <c r="A3" s="77" t="s">
        <v>307</v>
      </c>
      <c r="G3" s="77" t="s">
        <v>287</v>
      </c>
      <c r="M3" s="77" t="s">
        <v>273</v>
      </c>
      <c r="T3" s="77" t="s">
        <v>352</v>
      </c>
    </row>
    <row r="4" spans="1:20" ht="12.75" customHeight="1">
      <c r="A4" s="77" t="s">
        <v>187</v>
      </c>
      <c r="G4" s="77" t="s">
        <v>187</v>
      </c>
      <c r="M4" s="77" t="s">
        <v>187</v>
      </c>
      <c r="T4" s="77" t="s">
        <v>187</v>
      </c>
    </row>
    <row r="5" spans="1:20" ht="12.75" customHeight="1">
      <c r="A5" s="1"/>
      <c r="G5" s="1"/>
      <c r="M5" s="1"/>
      <c r="T5" s="1"/>
    </row>
    <row r="6" spans="1:20" ht="19.5">
      <c r="A6" s="3" t="s">
        <v>188</v>
      </c>
      <c r="G6" s="3" t="s">
        <v>188</v>
      </c>
      <c r="M6" s="3" t="s">
        <v>188</v>
      </c>
      <c r="T6" s="3" t="s">
        <v>188</v>
      </c>
    </row>
    <row r="8" spans="1:25" ht="12.75">
      <c r="A8" s="26"/>
      <c r="B8" s="104" t="s">
        <v>189</v>
      </c>
      <c r="C8" s="105"/>
      <c r="D8" s="104" t="s">
        <v>190</v>
      </c>
      <c r="E8" s="105"/>
      <c r="G8" s="26"/>
      <c r="H8" s="104" t="s">
        <v>189</v>
      </c>
      <c r="I8" s="105"/>
      <c r="J8" s="104" t="s">
        <v>190</v>
      </c>
      <c r="K8" s="105"/>
      <c r="M8" s="26"/>
      <c r="N8" s="64"/>
      <c r="O8" s="104" t="s">
        <v>189</v>
      </c>
      <c r="P8" s="105"/>
      <c r="Q8" s="104" t="s">
        <v>190</v>
      </c>
      <c r="R8" s="105"/>
      <c r="T8" s="26"/>
      <c r="U8" s="64"/>
      <c r="V8" s="104" t="s">
        <v>189</v>
      </c>
      <c r="W8" s="105"/>
      <c r="X8" s="104" t="s">
        <v>190</v>
      </c>
      <c r="Y8" s="105"/>
    </row>
    <row r="9" spans="1:25" ht="12.75">
      <c r="A9" s="27"/>
      <c r="B9" s="33" t="s">
        <v>191</v>
      </c>
      <c r="C9" s="34" t="s">
        <v>192</v>
      </c>
      <c r="D9" s="33" t="s">
        <v>191</v>
      </c>
      <c r="E9" s="34" t="s">
        <v>192</v>
      </c>
      <c r="G9" s="27"/>
      <c r="H9" s="33" t="s">
        <v>191</v>
      </c>
      <c r="I9" s="34" t="s">
        <v>192</v>
      </c>
      <c r="J9" s="33" t="s">
        <v>191</v>
      </c>
      <c r="K9" s="34" t="s">
        <v>192</v>
      </c>
      <c r="M9" s="27"/>
      <c r="N9" s="71" t="s">
        <v>145</v>
      </c>
      <c r="O9" s="33" t="s">
        <v>191</v>
      </c>
      <c r="P9" s="34" t="s">
        <v>192</v>
      </c>
      <c r="Q9" s="33" t="s">
        <v>191</v>
      </c>
      <c r="R9" s="34" t="s">
        <v>192</v>
      </c>
      <c r="T9" s="27"/>
      <c r="U9" s="71" t="s">
        <v>145</v>
      </c>
      <c r="V9" s="33" t="s">
        <v>191</v>
      </c>
      <c r="W9" s="34" t="s">
        <v>192</v>
      </c>
      <c r="X9" s="33" t="s">
        <v>191</v>
      </c>
      <c r="Y9" s="34" t="s">
        <v>192</v>
      </c>
    </row>
    <row r="10" spans="1:25" ht="12.75">
      <c r="A10" s="27"/>
      <c r="B10" s="78" t="s">
        <v>193</v>
      </c>
      <c r="C10" s="79" t="s">
        <v>194</v>
      </c>
      <c r="D10" s="78" t="s">
        <v>193</v>
      </c>
      <c r="E10" s="79" t="s">
        <v>194</v>
      </c>
      <c r="G10" s="27"/>
      <c r="H10" s="78" t="s">
        <v>193</v>
      </c>
      <c r="I10" s="79" t="s">
        <v>194</v>
      </c>
      <c r="J10" s="78" t="s">
        <v>193</v>
      </c>
      <c r="K10" s="79" t="s">
        <v>194</v>
      </c>
      <c r="M10" s="27"/>
      <c r="N10" s="71"/>
      <c r="O10" s="78" t="s">
        <v>193</v>
      </c>
      <c r="P10" s="79" t="s">
        <v>194</v>
      </c>
      <c r="Q10" s="78" t="s">
        <v>193</v>
      </c>
      <c r="R10" s="79" t="s">
        <v>194</v>
      </c>
      <c r="T10" s="27"/>
      <c r="U10" s="71"/>
      <c r="V10" s="78" t="s">
        <v>193</v>
      </c>
      <c r="W10" s="79" t="s">
        <v>194</v>
      </c>
      <c r="X10" s="78" t="s">
        <v>193</v>
      </c>
      <c r="Y10" s="79" t="s">
        <v>194</v>
      </c>
    </row>
    <row r="11" spans="1:25" ht="12.75">
      <c r="A11" s="27"/>
      <c r="B11" s="78" t="s">
        <v>195</v>
      </c>
      <c r="C11" s="79" t="s">
        <v>195</v>
      </c>
      <c r="D11" s="78" t="s">
        <v>196</v>
      </c>
      <c r="E11" s="79" t="s">
        <v>197</v>
      </c>
      <c r="G11" s="27"/>
      <c r="H11" s="78" t="s">
        <v>195</v>
      </c>
      <c r="I11" s="79" t="s">
        <v>195</v>
      </c>
      <c r="J11" s="78" t="s">
        <v>196</v>
      </c>
      <c r="K11" s="79" t="s">
        <v>197</v>
      </c>
      <c r="M11" s="27"/>
      <c r="N11" s="71"/>
      <c r="O11" s="78" t="s">
        <v>195</v>
      </c>
      <c r="P11" s="79" t="s">
        <v>195</v>
      </c>
      <c r="Q11" s="78" t="s">
        <v>196</v>
      </c>
      <c r="R11" s="79" t="s">
        <v>197</v>
      </c>
      <c r="T11" s="27"/>
      <c r="U11" s="71"/>
      <c r="V11" s="78" t="s">
        <v>195</v>
      </c>
      <c r="W11" s="79" t="s">
        <v>195</v>
      </c>
      <c r="X11" s="78" t="s">
        <v>196</v>
      </c>
      <c r="Y11" s="79" t="s">
        <v>197</v>
      </c>
    </row>
    <row r="12" spans="1:25" ht="12.75">
      <c r="A12" s="27"/>
      <c r="B12" s="80" t="s">
        <v>308</v>
      </c>
      <c r="C12" s="81" t="s">
        <v>198</v>
      </c>
      <c r="D12" s="80" t="s">
        <v>308</v>
      </c>
      <c r="E12" s="81" t="s">
        <v>198</v>
      </c>
      <c r="G12" s="27"/>
      <c r="H12" s="80" t="s">
        <v>288</v>
      </c>
      <c r="I12" s="81" t="s">
        <v>218</v>
      </c>
      <c r="J12" s="80" t="s">
        <v>288</v>
      </c>
      <c r="K12" s="81" t="s">
        <v>218</v>
      </c>
      <c r="M12" s="27"/>
      <c r="N12" s="71"/>
      <c r="O12" s="80" t="s">
        <v>219</v>
      </c>
      <c r="P12" s="81" t="s">
        <v>220</v>
      </c>
      <c r="Q12" s="80" t="s">
        <v>219</v>
      </c>
      <c r="R12" s="81" t="s">
        <v>220</v>
      </c>
      <c r="T12" s="27"/>
      <c r="U12" s="71"/>
      <c r="V12" s="80" t="s">
        <v>353</v>
      </c>
      <c r="W12" s="81" t="s">
        <v>221</v>
      </c>
      <c r="X12" s="80" t="s">
        <v>353</v>
      </c>
      <c r="Y12" s="81" t="s">
        <v>221</v>
      </c>
    </row>
    <row r="13" spans="1:25" ht="12.75">
      <c r="A13" s="28"/>
      <c r="B13" s="35" t="s">
        <v>172</v>
      </c>
      <c r="C13" s="36" t="s">
        <v>172</v>
      </c>
      <c r="D13" s="35" t="s">
        <v>172</v>
      </c>
      <c r="E13" s="36" t="s">
        <v>172</v>
      </c>
      <c r="G13" s="28"/>
      <c r="H13" s="35" t="s">
        <v>172</v>
      </c>
      <c r="I13" s="36" t="s">
        <v>172</v>
      </c>
      <c r="J13" s="35" t="s">
        <v>172</v>
      </c>
      <c r="K13" s="36" t="s">
        <v>172</v>
      </c>
      <c r="M13" s="28"/>
      <c r="N13" s="65"/>
      <c r="O13" s="35" t="s">
        <v>172</v>
      </c>
      <c r="P13" s="36" t="s">
        <v>172</v>
      </c>
      <c r="Q13" s="35" t="s">
        <v>172</v>
      </c>
      <c r="R13" s="36" t="s">
        <v>172</v>
      </c>
      <c r="T13" s="28"/>
      <c r="U13" s="65"/>
      <c r="V13" s="35" t="s">
        <v>172</v>
      </c>
      <c r="W13" s="36" t="s">
        <v>172</v>
      </c>
      <c r="X13" s="35" t="s">
        <v>172</v>
      </c>
      <c r="Y13" s="36" t="s">
        <v>172</v>
      </c>
    </row>
    <row r="14" spans="1:25" ht="12.75">
      <c r="A14" s="27" t="s">
        <v>222</v>
      </c>
      <c r="B14" s="39">
        <f>+D14-J14</f>
        <v>29875</v>
      </c>
      <c r="C14" s="60">
        <f>+E14-K14</f>
        <v>22080</v>
      </c>
      <c r="D14" s="39">
        <v>106263</v>
      </c>
      <c r="E14" s="60">
        <v>62650</v>
      </c>
      <c r="G14" s="27" t="s">
        <v>222</v>
      </c>
      <c r="H14" s="39">
        <f>+J14-Q14</f>
        <v>29352</v>
      </c>
      <c r="I14" s="60">
        <f>+K14-R14</f>
        <v>17250</v>
      </c>
      <c r="J14" s="39">
        <v>76388</v>
      </c>
      <c r="K14" s="60">
        <v>40570</v>
      </c>
      <c r="M14" s="27" t="s">
        <v>222</v>
      </c>
      <c r="N14" s="66">
        <v>0</v>
      </c>
      <c r="O14" s="39">
        <f>+Q14-X14</f>
        <v>17657</v>
      </c>
      <c r="P14" s="60">
        <f>+R14-Y14</f>
        <v>1502</v>
      </c>
      <c r="Q14" s="39">
        <v>47036</v>
      </c>
      <c r="R14" s="60">
        <v>23320</v>
      </c>
      <c r="T14" s="27" t="s">
        <v>222</v>
      </c>
      <c r="U14" s="66">
        <v>0</v>
      </c>
      <c r="V14" s="39">
        <f>+X14</f>
        <v>29379</v>
      </c>
      <c r="W14" s="60">
        <f>+Y14</f>
        <v>21818</v>
      </c>
      <c r="X14" s="39">
        <v>29379</v>
      </c>
      <c r="Y14" s="60">
        <v>21818</v>
      </c>
    </row>
    <row r="15" spans="1:25" ht="12.75">
      <c r="A15" s="27" t="s">
        <v>148</v>
      </c>
      <c r="B15" s="39"/>
      <c r="C15" s="60"/>
      <c r="D15" s="39"/>
      <c r="E15" s="60"/>
      <c r="G15" s="27" t="s">
        <v>148</v>
      </c>
      <c r="H15" s="39"/>
      <c r="I15" s="60"/>
      <c r="J15" s="39"/>
      <c r="K15" s="60"/>
      <c r="M15" s="27" t="s">
        <v>148</v>
      </c>
      <c r="N15" s="66"/>
      <c r="O15" s="39"/>
      <c r="P15" s="60"/>
      <c r="Q15" s="39"/>
      <c r="R15" s="60"/>
      <c r="T15" s="27" t="s">
        <v>148</v>
      </c>
      <c r="U15" s="66"/>
      <c r="V15" s="39"/>
      <c r="W15" s="60"/>
      <c r="X15" s="39"/>
      <c r="Y15" s="60"/>
    </row>
    <row r="16" spans="1:25" ht="12.75">
      <c r="A16" s="27" t="s">
        <v>199</v>
      </c>
      <c r="B16" s="39">
        <f>+D16-J16</f>
        <v>0</v>
      </c>
      <c r="C16" s="60">
        <f>+E16-K16</f>
        <v>0</v>
      </c>
      <c r="D16" s="39">
        <v>0</v>
      </c>
      <c r="E16" s="60">
        <v>0</v>
      </c>
      <c r="G16" s="27" t="s">
        <v>199</v>
      </c>
      <c r="H16" s="39">
        <f>+J16-Q16</f>
        <v>0</v>
      </c>
      <c r="I16" s="60">
        <f>+K16-R16</f>
        <v>0</v>
      </c>
      <c r="J16" s="39">
        <v>0</v>
      </c>
      <c r="K16" s="60">
        <v>0</v>
      </c>
      <c r="M16" s="27" t="s">
        <v>199</v>
      </c>
      <c r="N16" s="66"/>
      <c r="O16" s="39">
        <f>+Q16-X16</f>
        <v>0</v>
      </c>
      <c r="P16" s="60">
        <f>+R16-Y16</f>
        <v>0</v>
      </c>
      <c r="Q16" s="39">
        <v>0</v>
      </c>
      <c r="R16" s="60">
        <v>0</v>
      </c>
      <c r="T16" s="27" t="s">
        <v>199</v>
      </c>
      <c r="U16" s="66"/>
      <c r="V16" s="39">
        <v>0</v>
      </c>
      <c r="W16" s="60">
        <v>0</v>
      </c>
      <c r="X16" s="39">
        <v>0</v>
      </c>
      <c r="Y16" s="60">
        <v>0</v>
      </c>
    </row>
    <row r="17" spans="1:25" ht="12.75">
      <c r="A17" s="27"/>
      <c r="B17" s="39"/>
      <c r="C17" s="60"/>
      <c r="D17" s="39"/>
      <c r="E17" s="60"/>
      <c r="G17" s="27"/>
      <c r="H17" s="39"/>
      <c r="I17" s="60"/>
      <c r="J17" s="39"/>
      <c r="K17" s="60"/>
      <c r="M17" s="27"/>
      <c r="N17" s="66"/>
      <c r="O17" s="39"/>
      <c r="P17" s="60"/>
      <c r="Q17" s="39"/>
      <c r="R17" s="60"/>
      <c r="T17" s="27"/>
      <c r="U17" s="66"/>
      <c r="V17" s="39"/>
      <c r="W17" s="60"/>
      <c r="X17" s="39"/>
      <c r="Y17" s="60"/>
    </row>
    <row r="18" spans="1:25" ht="12.75">
      <c r="A18" s="27" t="s">
        <v>223</v>
      </c>
      <c r="B18" s="61">
        <f>+D18-J18</f>
        <v>1648</v>
      </c>
      <c r="C18" s="46">
        <f>+E18-K18</f>
        <v>532</v>
      </c>
      <c r="D18" s="61">
        <v>3122</v>
      </c>
      <c r="E18" s="46">
        <v>1031</v>
      </c>
      <c r="G18" s="27" t="s">
        <v>223</v>
      </c>
      <c r="H18" s="61">
        <f>+J18-Q18</f>
        <v>343</v>
      </c>
      <c r="I18" s="46">
        <f>+K18-R18</f>
        <v>143</v>
      </c>
      <c r="J18" s="61">
        <v>1474</v>
      </c>
      <c r="K18" s="46">
        <v>499</v>
      </c>
      <c r="M18" s="27" t="s">
        <v>223</v>
      </c>
      <c r="N18" s="70">
        <v>0</v>
      </c>
      <c r="O18" s="61">
        <f>+Q18-X18</f>
        <v>974</v>
      </c>
      <c r="P18" s="46">
        <f>+R18-Y18</f>
        <v>-420</v>
      </c>
      <c r="Q18" s="61">
        <v>1131</v>
      </c>
      <c r="R18" s="46">
        <v>356</v>
      </c>
      <c r="T18" s="27" t="s">
        <v>223</v>
      </c>
      <c r="U18" s="70">
        <v>0</v>
      </c>
      <c r="V18" s="61">
        <f>+X18</f>
        <v>157</v>
      </c>
      <c r="W18" s="46">
        <f>+Y18</f>
        <v>776</v>
      </c>
      <c r="X18" s="61">
        <v>157</v>
      </c>
      <c r="Y18" s="46">
        <v>776</v>
      </c>
    </row>
    <row r="19" spans="1:25" ht="12.75">
      <c r="A19" s="27"/>
      <c r="B19" s="83">
        <f>+B14+B16+B18</f>
        <v>31523</v>
      </c>
      <c r="C19" s="84">
        <f>+C14+C16+C18</f>
        <v>22612</v>
      </c>
      <c r="D19" s="83">
        <f>+D14+D16+D18</f>
        <v>109385</v>
      </c>
      <c r="E19" s="84">
        <f>+E14+E16+E18</f>
        <v>63681</v>
      </c>
      <c r="G19" s="27"/>
      <c r="H19" s="83">
        <f>+H14+H16+H18</f>
        <v>29695</v>
      </c>
      <c r="I19" s="84">
        <f>+I14+I16+I18</f>
        <v>17393</v>
      </c>
      <c r="J19" s="83">
        <f>+J14+J16+J18</f>
        <v>77862</v>
      </c>
      <c r="K19" s="84">
        <f>+K14+K16+K18</f>
        <v>41069</v>
      </c>
      <c r="M19" s="27"/>
      <c r="N19" s="82"/>
      <c r="O19" s="83">
        <f>+O14+O16+O18</f>
        <v>18631</v>
      </c>
      <c r="P19" s="84">
        <f>+P14+P16+P18</f>
        <v>1082</v>
      </c>
      <c r="Q19" s="83">
        <f>+Q14+Q16+Q18</f>
        <v>48167</v>
      </c>
      <c r="R19" s="84">
        <f>+R14+R16+R18</f>
        <v>23676</v>
      </c>
      <c r="T19" s="27"/>
      <c r="U19" s="82"/>
      <c r="V19" s="83">
        <f>+V14+V16+V18</f>
        <v>29536</v>
      </c>
      <c r="W19" s="84">
        <f>+W14+W16+W18</f>
        <v>22594</v>
      </c>
      <c r="X19" s="83">
        <f>+X14+X16+X18</f>
        <v>29536</v>
      </c>
      <c r="Y19" s="84">
        <f>+Y14+Y16+Y18</f>
        <v>22594</v>
      </c>
    </row>
    <row r="20" spans="1:25" s="18" customFormat="1" ht="12.75">
      <c r="A20" s="29"/>
      <c r="B20" s="85"/>
      <c r="C20" s="55"/>
      <c r="D20" s="40"/>
      <c r="E20" s="55"/>
      <c r="G20" s="29"/>
      <c r="H20" s="85"/>
      <c r="I20" s="55"/>
      <c r="J20" s="40"/>
      <c r="K20" s="55"/>
      <c r="M20" s="29"/>
      <c r="N20" s="67"/>
      <c r="O20" s="85"/>
      <c r="P20" s="55"/>
      <c r="Q20" s="40"/>
      <c r="R20" s="55"/>
      <c r="T20" s="29"/>
      <c r="U20" s="67"/>
      <c r="V20" s="85"/>
      <c r="W20" s="55"/>
      <c r="X20" s="40"/>
      <c r="Y20" s="55"/>
    </row>
    <row r="21" spans="1:25" ht="12.75">
      <c r="A21" s="27" t="s">
        <v>224</v>
      </c>
      <c r="B21" s="37"/>
      <c r="C21" s="53"/>
      <c r="D21" s="37"/>
      <c r="E21" s="53"/>
      <c r="G21" s="27" t="s">
        <v>224</v>
      </c>
      <c r="H21" s="37"/>
      <c r="I21" s="53"/>
      <c r="J21" s="37"/>
      <c r="K21" s="53"/>
      <c r="M21" s="27" t="s">
        <v>224</v>
      </c>
      <c r="N21" s="66"/>
      <c r="O21" s="37"/>
      <c r="P21" s="53"/>
      <c r="Q21" s="37"/>
      <c r="R21" s="53"/>
      <c r="T21" s="27" t="s">
        <v>224</v>
      </c>
      <c r="U21" s="66"/>
      <c r="V21" s="37"/>
      <c r="W21" s="53"/>
      <c r="X21" s="37"/>
      <c r="Y21" s="53"/>
    </row>
    <row r="22" spans="1:25" ht="12.75">
      <c r="A22" s="27" t="s">
        <v>200</v>
      </c>
      <c r="B22" s="39"/>
      <c r="C22" s="53"/>
      <c r="D22" s="14"/>
      <c r="E22" s="53"/>
      <c r="G22" s="27" t="s">
        <v>200</v>
      </c>
      <c r="H22" s="39"/>
      <c r="I22" s="53"/>
      <c r="J22" s="14"/>
      <c r="K22" s="53"/>
      <c r="M22" s="27" t="s">
        <v>200</v>
      </c>
      <c r="N22" s="66"/>
      <c r="O22" s="39"/>
      <c r="P22" s="53"/>
      <c r="Q22" s="14"/>
      <c r="R22" s="53"/>
      <c r="T22" s="27" t="s">
        <v>200</v>
      </c>
      <c r="U22" s="66"/>
      <c r="V22" s="39"/>
      <c r="W22" s="53"/>
      <c r="X22" s="14"/>
      <c r="Y22" s="53"/>
    </row>
    <row r="23" spans="1:25" ht="12.75">
      <c r="A23" s="27" t="s">
        <v>201</v>
      </c>
      <c r="B23" s="39"/>
      <c r="C23" s="53"/>
      <c r="D23" s="14"/>
      <c r="E23" s="53"/>
      <c r="G23" s="27" t="s">
        <v>201</v>
      </c>
      <c r="H23" s="39"/>
      <c r="I23" s="53"/>
      <c r="J23" s="14"/>
      <c r="K23" s="53"/>
      <c r="M23" s="27" t="s">
        <v>201</v>
      </c>
      <c r="N23" s="66"/>
      <c r="O23" s="39"/>
      <c r="P23" s="53"/>
      <c r="Q23" s="14"/>
      <c r="R23" s="53"/>
      <c r="T23" s="27" t="s">
        <v>201</v>
      </c>
      <c r="U23" s="66"/>
      <c r="V23" s="39"/>
      <c r="W23" s="53"/>
      <c r="X23" s="14"/>
      <c r="Y23" s="53"/>
    </row>
    <row r="24" spans="1:25" ht="12.75">
      <c r="A24" s="27" t="s">
        <v>202</v>
      </c>
      <c r="B24" s="39"/>
      <c r="C24" s="53"/>
      <c r="D24" s="14"/>
      <c r="E24" s="53"/>
      <c r="G24" s="27" t="s">
        <v>202</v>
      </c>
      <c r="H24" s="39"/>
      <c r="I24" s="53"/>
      <c r="J24" s="14"/>
      <c r="K24" s="53"/>
      <c r="M24" s="27" t="s">
        <v>202</v>
      </c>
      <c r="N24" s="66"/>
      <c r="O24" s="39"/>
      <c r="P24" s="53"/>
      <c r="Q24" s="14"/>
      <c r="R24" s="53"/>
      <c r="T24" s="27" t="s">
        <v>202</v>
      </c>
      <c r="U24" s="66"/>
      <c r="V24" s="39"/>
      <c r="W24" s="53"/>
      <c r="X24" s="14"/>
      <c r="Y24" s="53"/>
    </row>
    <row r="25" spans="1:25" ht="12.75">
      <c r="A25" s="27" t="s">
        <v>203</v>
      </c>
      <c r="B25" s="39">
        <f>+D25-J25</f>
        <v>4710</v>
      </c>
      <c r="C25" s="53">
        <f>+E25-K25</f>
        <v>4330</v>
      </c>
      <c r="D25" s="14">
        <f>21062-D27-D29-D31</f>
        <v>26319</v>
      </c>
      <c r="E25" s="53">
        <f>17959-6442-E27-E29-E31</f>
        <v>15952</v>
      </c>
      <c r="G25" s="27" t="s">
        <v>203</v>
      </c>
      <c r="H25" s="39">
        <f>+J25-Q25</f>
        <v>8177</v>
      </c>
      <c r="I25" s="53">
        <f>+K25-R25</f>
        <v>5267</v>
      </c>
      <c r="J25" s="14">
        <f>18196-J27-J29-J31</f>
        <v>21609</v>
      </c>
      <c r="K25" s="53">
        <f>8144-K27-K29-K31</f>
        <v>11622</v>
      </c>
      <c r="M25" s="27" t="s">
        <v>203</v>
      </c>
      <c r="N25" s="66"/>
      <c r="O25" s="39">
        <f>+Q25-X25</f>
        <v>3975</v>
      </c>
      <c r="P25" s="53">
        <f>+R25-Y25</f>
        <v>802</v>
      </c>
      <c r="Q25" s="14">
        <f>10537-Q27-Q29-Q31</f>
        <v>13432</v>
      </c>
      <c r="R25" s="53">
        <f>3543-R27-R29-R31</f>
        <v>6355</v>
      </c>
      <c r="T25" s="27" t="s">
        <v>203</v>
      </c>
      <c r="U25" s="66"/>
      <c r="V25" s="39">
        <f>+X25</f>
        <v>9457</v>
      </c>
      <c r="W25" s="53">
        <f>+Y25</f>
        <v>5553</v>
      </c>
      <c r="X25" s="14">
        <f>7854-X27-X29</f>
        <v>9457</v>
      </c>
      <c r="Y25" s="53">
        <v>5553</v>
      </c>
    </row>
    <row r="26" spans="1:25" ht="12.75">
      <c r="A26" s="27"/>
      <c r="B26" s="39"/>
      <c r="C26" s="53"/>
      <c r="D26" s="14"/>
      <c r="E26" s="53"/>
      <c r="G26" s="27"/>
      <c r="H26" s="39"/>
      <c r="I26" s="53"/>
      <c r="J26" s="14"/>
      <c r="K26" s="53"/>
      <c r="M26" s="27"/>
      <c r="N26" s="66"/>
      <c r="O26" s="39"/>
      <c r="P26" s="53"/>
      <c r="Q26" s="14"/>
      <c r="R26" s="53"/>
      <c r="T26" s="27"/>
      <c r="U26" s="66"/>
      <c r="V26" s="39"/>
      <c r="W26" s="53"/>
      <c r="X26" s="14"/>
      <c r="Y26" s="53"/>
    </row>
    <row r="27" spans="1:25" ht="12.75">
      <c r="A27" s="27" t="s">
        <v>225</v>
      </c>
      <c r="B27" s="39">
        <f>+D27-J27</f>
        <v>-82</v>
      </c>
      <c r="C27" s="53">
        <f>+E27-K27</f>
        <v>-75</v>
      </c>
      <c r="D27" s="14">
        <v>-610</v>
      </c>
      <c r="E27" s="53">
        <v>-383</v>
      </c>
      <c r="G27" s="27" t="s">
        <v>225</v>
      </c>
      <c r="H27" s="39">
        <f>+J27-Q27</f>
        <v>-144</v>
      </c>
      <c r="I27" s="53">
        <f>+K27-R27</f>
        <v>-84</v>
      </c>
      <c r="J27" s="14">
        <f>-143-385</f>
        <v>-528</v>
      </c>
      <c r="K27" s="53">
        <v>-308</v>
      </c>
      <c r="M27" s="27" t="s">
        <v>225</v>
      </c>
      <c r="N27" s="66"/>
      <c r="O27" s="39">
        <f>+Q27-X27</f>
        <v>-337</v>
      </c>
      <c r="P27" s="53">
        <f>+R27-Y27</f>
        <v>-20</v>
      </c>
      <c r="Q27" s="14">
        <f>-95-289</f>
        <v>-384</v>
      </c>
      <c r="R27" s="53">
        <v>-224</v>
      </c>
      <c r="T27" s="27" t="s">
        <v>225</v>
      </c>
      <c r="U27" s="66"/>
      <c r="V27" s="39">
        <f>+X27</f>
        <v>-47</v>
      </c>
      <c r="W27" s="53">
        <f>+Y27</f>
        <v>-204</v>
      </c>
      <c r="X27" s="14">
        <v>-47</v>
      </c>
      <c r="Y27" s="53">
        <v>-204</v>
      </c>
    </row>
    <row r="28" spans="1:25" ht="12.75">
      <c r="A28" s="27"/>
      <c r="B28" s="39"/>
      <c r="C28" s="53"/>
      <c r="D28" s="14"/>
      <c r="E28" s="53"/>
      <c r="G28" s="27"/>
      <c r="H28" s="39"/>
      <c r="I28" s="53"/>
      <c r="J28" s="14"/>
      <c r="K28" s="53"/>
      <c r="M28" s="27"/>
      <c r="N28" s="66"/>
      <c r="O28" s="39"/>
      <c r="P28" s="53"/>
      <c r="Q28" s="14"/>
      <c r="R28" s="53"/>
      <c r="T28" s="27"/>
      <c r="U28" s="66"/>
      <c r="V28" s="39"/>
      <c r="W28" s="53"/>
      <c r="X28" s="14"/>
      <c r="Y28" s="53"/>
    </row>
    <row r="29" spans="1:25" ht="12.75">
      <c r="A29" s="27" t="s">
        <v>204</v>
      </c>
      <c r="B29" s="39">
        <f>+D29-J29</f>
        <v>-1762</v>
      </c>
      <c r="C29" s="53">
        <f>+E29-K29</f>
        <v>-496</v>
      </c>
      <c r="D29" s="14">
        <v>-4647</v>
      </c>
      <c r="E29" s="53">
        <v>-2166</v>
      </c>
      <c r="G29" s="27" t="s">
        <v>204</v>
      </c>
      <c r="H29" s="39">
        <f>+J29-Q29</f>
        <v>-374</v>
      </c>
      <c r="I29" s="53">
        <f>+K29-R29</f>
        <v>-582</v>
      </c>
      <c r="J29" s="14">
        <f>-2263-48-10-53-2-67-442</f>
        <v>-2885</v>
      </c>
      <c r="K29" s="53">
        <v>-1670</v>
      </c>
      <c r="M29" s="27" t="s">
        <v>204</v>
      </c>
      <c r="N29" s="66"/>
      <c r="O29" s="39">
        <f>+Q29-X29</f>
        <v>-955</v>
      </c>
      <c r="P29" s="53">
        <f>+R29-Y29</f>
        <v>4</v>
      </c>
      <c r="Q29" s="14">
        <f>-38-4-34-1-41-294-2099</f>
        <v>-2511</v>
      </c>
      <c r="R29" s="53">
        <v>-1088</v>
      </c>
      <c r="T29" s="27" t="s">
        <v>204</v>
      </c>
      <c r="U29" s="66"/>
      <c r="V29" s="39">
        <f>+X29</f>
        <v>-1556</v>
      </c>
      <c r="W29" s="53">
        <f>+Y29</f>
        <v>-1092</v>
      </c>
      <c r="X29" s="14">
        <f>-1357-21-178</f>
        <v>-1556</v>
      </c>
      <c r="Y29" s="53">
        <v>-1092</v>
      </c>
    </row>
    <row r="30" spans="1:25" ht="12.75">
      <c r="A30" s="27"/>
      <c r="B30" s="39"/>
      <c r="C30" s="53"/>
      <c r="D30" s="14"/>
      <c r="E30" s="53"/>
      <c r="G30" s="27"/>
      <c r="H30" s="39"/>
      <c r="I30" s="53"/>
      <c r="J30" s="14"/>
      <c r="K30" s="53"/>
      <c r="M30" s="27"/>
      <c r="N30" s="66"/>
      <c r="O30" s="39"/>
      <c r="P30" s="53"/>
      <c r="Q30" s="14"/>
      <c r="R30" s="53"/>
      <c r="T30" s="27"/>
      <c r="U30" s="66"/>
      <c r="V30" s="39"/>
      <c r="W30" s="53"/>
      <c r="X30" s="14"/>
      <c r="Y30" s="53"/>
    </row>
    <row r="31" spans="1:25" ht="12.75">
      <c r="A31" s="27" t="s">
        <v>205</v>
      </c>
      <c r="B31" s="61">
        <f>+D31-J31</f>
        <v>0</v>
      </c>
      <c r="C31" s="57">
        <f>+E31-K31</f>
        <v>-386</v>
      </c>
      <c r="D31" s="31">
        <v>0</v>
      </c>
      <c r="E31" s="57">
        <v>-1886</v>
      </c>
      <c r="G31" s="27" t="s">
        <v>205</v>
      </c>
      <c r="H31" s="61">
        <f>+J31-Q31</f>
        <v>0</v>
      </c>
      <c r="I31" s="57">
        <f>+K31-R31</f>
        <v>0</v>
      </c>
      <c r="J31" s="31">
        <v>0</v>
      </c>
      <c r="K31" s="57">
        <v>-1500</v>
      </c>
      <c r="M31" s="27" t="s">
        <v>205</v>
      </c>
      <c r="N31" s="70"/>
      <c r="O31" s="61">
        <f>+Q31-X31</f>
        <v>0</v>
      </c>
      <c r="P31" s="57">
        <f>+R31-Y31</f>
        <v>-1500</v>
      </c>
      <c r="Q31" s="31">
        <v>0</v>
      </c>
      <c r="R31" s="57">
        <v>-1500</v>
      </c>
      <c r="T31" s="27" t="s">
        <v>205</v>
      </c>
      <c r="U31" s="70"/>
      <c r="V31" s="61">
        <f>+X31</f>
        <v>0</v>
      </c>
      <c r="W31" s="57">
        <f>+Y31</f>
        <v>0</v>
      </c>
      <c r="X31" s="31">
        <v>0</v>
      </c>
      <c r="Y31" s="57">
        <v>0</v>
      </c>
    </row>
    <row r="32" spans="1:25" ht="12.75">
      <c r="A32" s="27"/>
      <c r="B32" s="39"/>
      <c r="C32" s="53"/>
      <c r="D32" s="14"/>
      <c r="E32" s="53"/>
      <c r="G32" s="27"/>
      <c r="H32" s="39"/>
      <c r="I32" s="53"/>
      <c r="J32" s="14"/>
      <c r="K32" s="53"/>
      <c r="M32" s="27"/>
      <c r="N32" s="66"/>
      <c r="O32" s="39"/>
      <c r="P32" s="53"/>
      <c r="Q32" s="14"/>
      <c r="R32" s="53"/>
      <c r="T32" s="27"/>
      <c r="U32" s="66"/>
      <c r="V32" s="39"/>
      <c r="W32" s="53"/>
      <c r="X32" s="14"/>
      <c r="Y32" s="53"/>
    </row>
    <row r="33" spans="1:25" ht="12.75">
      <c r="A33" s="27" t="s">
        <v>226</v>
      </c>
      <c r="B33" s="39"/>
      <c r="C33" s="53"/>
      <c r="D33" s="12"/>
      <c r="E33" s="53"/>
      <c r="G33" s="27" t="s">
        <v>226</v>
      </c>
      <c r="H33" s="39"/>
      <c r="I33" s="53"/>
      <c r="J33" s="12"/>
      <c r="K33" s="53"/>
      <c r="M33" s="27" t="s">
        <v>226</v>
      </c>
      <c r="N33" s="66"/>
      <c r="O33" s="39"/>
      <c r="P33" s="53"/>
      <c r="Q33" s="12"/>
      <c r="R33" s="53"/>
      <c r="T33" s="27" t="s">
        <v>226</v>
      </c>
      <c r="U33" s="66"/>
      <c r="V33" s="39"/>
      <c r="W33" s="53"/>
      <c r="X33" s="12"/>
      <c r="Y33" s="53"/>
    </row>
    <row r="34" spans="1:25" ht="12.75">
      <c r="A34" s="27" t="s">
        <v>230</v>
      </c>
      <c r="B34" s="39"/>
      <c r="C34" s="53"/>
      <c r="D34" s="12"/>
      <c r="E34" s="53"/>
      <c r="G34" s="27" t="s">
        <v>230</v>
      </c>
      <c r="H34" s="39"/>
      <c r="I34" s="53"/>
      <c r="J34" s="12"/>
      <c r="K34" s="53"/>
      <c r="M34" s="27" t="s">
        <v>230</v>
      </c>
      <c r="N34" s="66"/>
      <c r="O34" s="39"/>
      <c r="P34" s="53"/>
      <c r="Q34" s="12"/>
      <c r="R34" s="53"/>
      <c r="T34" s="27" t="s">
        <v>230</v>
      </c>
      <c r="U34" s="66"/>
      <c r="V34" s="39"/>
      <c r="W34" s="53"/>
      <c r="X34" s="12"/>
      <c r="Y34" s="53"/>
    </row>
    <row r="35" spans="1:25" ht="12.75">
      <c r="A35" s="27" t="s">
        <v>203</v>
      </c>
      <c r="B35" s="39">
        <f>+B25+B27+B29+B31</f>
        <v>2866</v>
      </c>
      <c r="C35" s="53">
        <f>+C25+C27+C29+C31</f>
        <v>3373</v>
      </c>
      <c r="D35" s="12">
        <f>+D25+D27+D29+D31</f>
        <v>21062</v>
      </c>
      <c r="E35" s="53">
        <f>+E25+E27+E29+E31</f>
        <v>11517</v>
      </c>
      <c r="G35" s="27" t="s">
        <v>203</v>
      </c>
      <c r="H35" s="39">
        <f>+H25+H27+H29+H31</f>
        <v>7659</v>
      </c>
      <c r="I35" s="53">
        <f>+I25+I27+I29+I31</f>
        <v>4601</v>
      </c>
      <c r="J35" s="12">
        <f>+J25+J27+J29+J31</f>
        <v>18196</v>
      </c>
      <c r="K35" s="53">
        <f>+K25+K27+K29+K31</f>
        <v>8144</v>
      </c>
      <c r="M35" s="27" t="s">
        <v>203</v>
      </c>
      <c r="N35" s="66"/>
      <c r="O35" s="39">
        <f>+O25+O27+O29+O31</f>
        <v>2683</v>
      </c>
      <c r="P35" s="53">
        <f>+P25+P27+P29+P31</f>
        <v>-714</v>
      </c>
      <c r="Q35" s="12">
        <f>+Q25+Q27+Q29+Q31</f>
        <v>10537</v>
      </c>
      <c r="R35" s="53">
        <f>+R25+R27+R29+R31</f>
        <v>3543</v>
      </c>
      <c r="T35" s="27" t="s">
        <v>203</v>
      </c>
      <c r="U35" s="66"/>
      <c r="V35" s="39">
        <f>+V25+V27+V29+V31</f>
        <v>7854</v>
      </c>
      <c r="W35" s="53">
        <f>+W25+W27+W29+W31</f>
        <v>4257</v>
      </c>
      <c r="X35" s="12">
        <f>+X25+X27+X29+X31</f>
        <v>7854</v>
      </c>
      <c r="Y35" s="53">
        <f>+Y25+Y27+Y29+Y31</f>
        <v>4257</v>
      </c>
    </row>
    <row r="36" spans="1:25" ht="12.75">
      <c r="A36" s="27"/>
      <c r="B36" s="39"/>
      <c r="C36" s="53"/>
      <c r="D36" s="12"/>
      <c r="E36" s="53"/>
      <c r="G36" s="27"/>
      <c r="H36" s="39"/>
      <c r="I36" s="53"/>
      <c r="J36" s="12"/>
      <c r="K36" s="53"/>
      <c r="M36" s="27"/>
      <c r="N36" s="66"/>
      <c r="O36" s="39"/>
      <c r="P36" s="53"/>
      <c r="Q36" s="12"/>
      <c r="R36" s="53"/>
      <c r="T36" s="27"/>
      <c r="U36" s="66"/>
      <c r="V36" s="39"/>
      <c r="W36" s="53"/>
      <c r="X36" s="12"/>
      <c r="Y36" s="53"/>
    </row>
    <row r="37" spans="1:25" ht="12.75">
      <c r="A37" s="27" t="s">
        <v>227</v>
      </c>
      <c r="B37" s="39"/>
      <c r="C37" s="53"/>
      <c r="D37" s="12"/>
      <c r="E37" s="53"/>
      <c r="G37" s="27" t="s">
        <v>227</v>
      </c>
      <c r="H37" s="39"/>
      <c r="I37" s="53"/>
      <c r="J37" s="12"/>
      <c r="K37" s="53"/>
      <c r="M37" s="27" t="s">
        <v>227</v>
      </c>
      <c r="N37" s="66"/>
      <c r="O37" s="39"/>
      <c r="P37" s="53"/>
      <c r="Q37" s="12"/>
      <c r="R37" s="53"/>
      <c r="T37" s="27" t="s">
        <v>227</v>
      </c>
      <c r="U37" s="66"/>
      <c r="V37" s="39"/>
      <c r="W37" s="53"/>
      <c r="X37" s="12"/>
      <c r="Y37" s="53"/>
    </row>
    <row r="38" spans="1:25" ht="12.75">
      <c r="A38" s="27" t="s">
        <v>228</v>
      </c>
      <c r="B38" s="39">
        <f>+D38-J38</f>
        <v>951</v>
      </c>
      <c r="C38" s="53">
        <f>+E38-K38</f>
        <v>6442</v>
      </c>
      <c r="D38" s="12">
        <v>4701</v>
      </c>
      <c r="E38" s="53">
        <v>6442</v>
      </c>
      <c r="G38" s="27" t="s">
        <v>228</v>
      </c>
      <c r="H38" s="39">
        <f>+J38-Q38</f>
        <v>1365</v>
      </c>
      <c r="I38" s="53">
        <f>+K38-R38</f>
        <v>0</v>
      </c>
      <c r="J38" s="12">
        <v>3750</v>
      </c>
      <c r="K38" s="53">
        <v>0</v>
      </c>
      <c r="M38" s="27" t="s">
        <v>228</v>
      </c>
      <c r="N38" s="66"/>
      <c r="O38" s="39">
        <f>+Q38-X38</f>
        <v>1506</v>
      </c>
      <c r="P38" s="53">
        <f>+R38-Y38</f>
        <v>-1164</v>
      </c>
      <c r="Q38" s="12">
        <v>2385</v>
      </c>
      <c r="R38" s="53">
        <v>0</v>
      </c>
      <c r="T38" s="27" t="s">
        <v>228</v>
      </c>
      <c r="U38" s="66"/>
      <c r="V38" s="39">
        <f>+X38</f>
        <v>879</v>
      </c>
      <c r="W38" s="53">
        <f>+Y38</f>
        <v>1164</v>
      </c>
      <c r="X38" s="12">
        <v>879</v>
      </c>
      <c r="Y38" s="53">
        <v>1164</v>
      </c>
    </row>
    <row r="39" spans="1:25" ht="12.75">
      <c r="A39" s="27" t="s">
        <v>148</v>
      </c>
      <c r="B39" s="61"/>
      <c r="C39" s="57"/>
      <c r="D39" s="31"/>
      <c r="E39" s="57"/>
      <c r="G39" s="27" t="s">
        <v>148</v>
      </c>
      <c r="H39" s="61"/>
      <c r="I39" s="57"/>
      <c r="J39" s="31"/>
      <c r="K39" s="57"/>
      <c r="M39" s="27" t="s">
        <v>148</v>
      </c>
      <c r="N39" s="70"/>
      <c r="O39" s="61"/>
      <c r="P39" s="57"/>
      <c r="Q39" s="31"/>
      <c r="R39" s="57"/>
      <c r="T39" s="27" t="s">
        <v>148</v>
      </c>
      <c r="U39" s="70"/>
      <c r="V39" s="61"/>
      <c r="W39" s="57"/>
      <c r="X39" s="31"/>
      <c r="Y39" s="57"/>
    </row>
    <row r="40" spans="1:25" ht="12.75">
      <c r="A40" s="27"/>
      <c r="B40" s="39"/>
      <c r="C40" s="53"/>
      <c r="D40" s="14"/>
      <c r="E40" s="53"/>
      <c r="G40" s="27"/>
      <c r="H40" s="39"/>
      <c r="I40" s="53"/>
      <c r="J40" s="14"/>
      <c r="K40" s="53"/>
      <c r="M40" s="27"/>
      <c r="N40" s="66"/>
      <c r="O40" s="39"/>
      <c r="P40" s="53"/>
      <c r="Q40" s="14"/>
      <c r="R40" s="53"/>
      <c r="T40" s="27"/>
      <c r="U40" s="66"/>
      <c r="V40" s="39"/>
      <c r="W40" s="53"/>
      <c r="X40" s="14"/>
      <c r="Y40" s="53"/>
    </row>
    <row r="41" spans="1:25" ht="12.75">
      <c r="A41" s="27" t="s">
        <v>229</v>
      </c>
      <c r="B41" s="39"/>
      <c r="C41" s="53"/>
      <c r="D41" s="39"/>
      <c r="E41" s="53"/>
      <c r="G41" s="27" t="s">
        <v>229</v>
      </c>
      <c r="H41" s="39"/>
      <c r="I41" s="53"/>
      <c r="J41" s="39"/>
      <c r="K41" s="53"/>
      <c r="M41" s="27" t="s">
        <v>229</v>
      </c>
      <c r="N41" s="66"/>
      <c r="O41" s="39"/>
      <c r="P41" s="53"/>
      <c r="Q41" s="39"/>
      <c r="R41" s="53"/>
      <c r="T41" s="27" t="s">
        <v>229</v>
      </c>
      <c r="U41" s="66"/>
      <c r="V41" s="39"/>
      <c r="W41" s="53"/>
      <c r="X41" s="39"/>
      <c r="Y41" s="53"/>
    </row>
    <row r="42" spans="1:25" ht="12.75">
      <c r="A42" s="27" t="s">
        <v>202</v>
      </c>
      <c r="B42" s="39"/>
      <c r="C42" s="53"/>
      <c r="D42" s="12"/>
      <c r="E42" s="53"/>
      <c r="G42" s="27" t="s">
        <v>202</v>
      </c>
      <c r="H42" s="39"/>
      <c r="I42" s="53"/>
      <c r="J42" s="12"/>
      <c r="K42" s="53"/>
      <c r="M42" s="27" t="s">
        <v>202</v>
      </c>
      <c r="N42" s="66"/>
      <c r="O42" s="39"/>
      <c r="P42" s="53"/>
      <c r="Q42" s="12"/>
      <c r="R42" s="53"/>
      <c r="T42" s="27" t="s">
        <v>202</v>
      </c>
      <c r="U42" s="66"/>
      <c r="V42" s="39"/>
      <c r="W42" s="53"/>
      <c r="X42" s="12"/>
      <c r="Y42" s="53"/>
    </row>
    <row r="43" spans="1:25" ht="12.75">
      <c r="A43" s="27" t="s">
        <v>203</v>
      </c>
      <c r="B43" s="39">
        <f>+B35+B38</f>
        <v>3817</v>
      </c>
      <c r="C43" s="53">
        <f>+C35+C38</f>
        <v>9815</v>
      </c>
      <c r="D43" s="12">
        <f>+D35+D38</f>
        <v>25763</v>
      </c>
      <c r="E43" s="53">
        <f>+E35+E38</f>
        <v>17959</v>
      </c>
      <c r="G43" s="27" t="s">
        <v>203</v>
      </c>
      <c r="H43" s="39">
        <f>+H35+H38</f>
        <v>9024</v>
      </c>
      <c r="I43" s="53">
        <f>+I35+I38</f>
        <v>4601</v>
      </c>
      <c r="J43" s="12">
        <f>+J35+J38</f>
        <v>21946</v>
      </c>
      <c r="K43" s="53">
        <f>+K35+K38</f>
        <v>8144</v>
      </c>
      <c r="M43" s="27" t="s">
        <v>203</v>
      </c>
      <c r="N43" s="66"/>
      <c r="O43" s="39">
        <f>+O35+O38</f>
        <v>4189</v>
      </c>
      <c r="P43" s="53">
        <f>+P35+P38</f>
        <v>-1878</v>
      </c>
      <c r="Q43" s="12">
        <f>+Q35+Q38</f>
        <v>12922</v>
      </c>
      <c r="R43" s="53">
        <f>+R35+R38</f>
        <v>3543</v>
      </c>
      <c r="T43" s="27" t="s">
        <v>203</v>
      </c>
      <c r="U43" s="66"/>
      <c r="V43" s="39">
        <f>+V35+V38</f>
        <v>8733</v>
      </c>
      <c r="W43" s="53">
        <f>+W35+W38</f>
        <v>5421</v>
      </c>
      <c r="X43" s="12">
        <f>+X35+X38</f>
        <v>8733</v>
      </c>
      <c r="Y43" s="53">
        <f>+Y35+Y38</f>
        <v>5421</v>
      </c>
    </row>
    <row r="44" spans="1:25" ht="12.75">
      <c r="A44" s="27"/>
      <c r="B44" s="39"/>
      <c r="C44" s="53"/>
      <c r="D44" s="12"/>
      <c r="E44" s="53"/>
      <c r="G44" s="27"/>
      <c r="H44" s="39"/>
      <c r="I44" s="53"/>
      <c r="J44" s="12"/>
      <c r="K44" s="53"/>
      <c r="M44" s="27"/>
      <c r="N44" s="66"/>
      <c r="O44" s="39"/>
      <c r="P44" s="53"/>
      <c r="Q44" s="12"/>
      <c r="R44" s="53"/>
      <c r="T44" s="27"/>
      <c r="U44" s="66"/>
      <c r="V44" s="39"/>
      <c r="W44" s="53"/>
      <c r="X44" s="12"/>
      <c r="Y44" s="53"/>
    </row>
    <row r="45" spans="1:25" ht="12.75">
      <c r="A45" s="27" t="s">
        <v>231</v>
      </c>
      <c r="B45" s="61">
        <f>+D45-J45</f>
        <v>-981</v>
      </c>
      <c r="C45" s="57">
        <f>+E45-K45</f>
        <v>-3569</v>
      </c>
      <c r="D45" s="19">
        <v>-7197</v>
      </c>
      <c r="E45" s="57">
        <v>-5849</v>
      </c>
      <c r="G45" s="27" t="s">
        <v>231</v>
      </c>
      <c r="H45" s="61">
        <f>+J45-Q45</f>
        <v>-2493</v>
      </c>
      <c r="I45" s="57">
        <f>+K45-R45</f>
        <v>-1288</v>
      </c>
      <c r="J45" s="19">
        <v>-6216</v>
      </c>
      <c r="K45" s="57">
        <v>-2280</v>
      </c>
      <c r="M45" s="27" t="s">
        <v>231</v>
      </c>
      <c r="N45" s="70"/>
      <c r="O45" s="61">
        <f>+Q45-X45</f>
        <v>-1167</v>
      </c>
      <c r="P45" s="57">
        <f>+R45-Y45</f>
        <v>606</v>
      </c>
      <c r="Q45" s="19">
        <v>-3723</v>
      </c>
      <c r="R45" s="57">
        <v>-992</v>
      </c>
      <c r="T45" s="27" t="s">
        <v>231</v>
      </c>
      <c r="U45" s="70"/>
      <c r="V45" s="61">
        <f>+X45</f>
        <v>-2556</v>
      </c>
      <c r="W45" s="57">
        <f>+Y45</f>
        <v>-1598</v>
      </c>
      <c r="X45" s="19">
        <v>-2556</v>
      </c>
      <c r="Y45" s="57">
        <v>-1598</v>
      </c>
    </row>
    <row r="46" spans="1:25" ht="12.75">
      <c r="A46" s="27"/>
      <c r="B46" s="39"/>
      <c r="C46" s="53"/>
      <c r="D46" s="12"/>
      <c r="E46" s="53"/>
      <c r="G46" s="27"/>
      <c r="H46" s="39"/>
      <c r="I46" s="53"/>
      <c r="J46" s="12"/>
      <c r="K46" s="53"/>
      <c r="M46" s="27"/>
      <c r="N46" s="66"/>
      <c r="O46" s="39"/>
      <c r="P46" s="53"/>
      <c r="Q46" s="12"/>
      <c r="R46" s="53"/>
      <c r="T46" s="27"/>
      <c r="U46" s="66"/>
      <c r="V46" s="39"/>
      <c r="W46" s="53"/>
      <c r="X46" s="12"/>
      <c r="Y46" s="53"/>
    </row>
    <row r="47" spans="1:25" ht="12.75">
      <c r="A47" s="27" t="s">
        <v>232</v>
      </c>
      <c r="B47" s="39"/>
      <c r="C47" s="53"/>
      <c r="D47" s="39"/>
      <c r="E47" s="53"/>
      <c r="G47" s="27" t="s">
        <v>232</v>
      </c>
      <c r="H47" s="39"/>
      <c r="I47" s="53"/>
      <c r="J47" s="39"/>
      <c r="K47" s="53"/>
      <c r="M47" s="27" t="s">
        <v>232</v>
      </c>
      <c r="N47" s="66"/>
      <c r="O47" s="39"/>
      <c r="P47" s="53"/>
      <c r="Q47" s="39"/>
      <c r="R47" s="53"/>
      <c r="T47" s="27" t="s">
        <v>232</v>
      </c>
      <c r="U47" s="66"/>
      <c r="V47" s="39"/>
      <c r="W47" s="53"/>
      <c r="X47" s="39"/>
      <c r="Y47" s="53"/>
    </row>
    <row r="48" spans="1:25" ht="12.75">
      <c r="A48" s="27" t="s">
        <v>206</v>
      </c>
      <c r="B48" s="39">
        <f>+B43+B45</f>
        <v>2836</v>
      </c>
      <c r="C48" s="53">
        <f>+C43+C45</f>
        <v>6246</v>
      </c>
      <c r="D48" s="12">
        <f>+D43+D45</f>
        <v>18566</v>
      </c>
      <c r="E48" s="53">
        <f>+E43+E45</f>
        <v>12110</v>
      </c>
      <c r="G48" s="27" t="s">
        <v>206</v>
      </c>
      <c r="H48" s="39">
        <f>+H43+H45</f>
        <v>6531</v>
      </c>
      <c r="I48" s="53">
        <f>+I43+I45</f>
        <v>3313</v>
      </c>
      <c r="J48" s="12">
        <f>+J43+J45</f>
        <v>15730</v>
      </c>
      <c r="K48" s="53">
        <f>+K43+K45</f>
        <v>5864</v>
      </c>
      <c r="M48" s="27" t="s">
        <v>206</v>
      </c>
      <c r="N48" s="66"/>
      <c r="O48" s="39">
        <f>+O43+O45</f>
        <v>3022</v>
      </c>
      <c r="P48" s="53">
        <f>+P43+P45</f>
        <v>-1272</v>
      </c>
      <c r="Q48" s="12">
        <f>+Q43+Q45</f>
        <v>9199</v>
      </c>
      <c r="R48" s="53">
        <f>+R43+R45</f>
        <v>2551</v>
      </c>
      <c r="T48" s="27" t="s">
        <v>206</v>
      </c>
      <c r="U48" s="66"/>
      <c r="V48" s="39">
        <f>+V43+V45</f>
        <v>6177</v>
      </c>
      <c r="W48" s="53">
        <f>+W43+W45</f>
        <v>3823</v>
      </c>
      <c r="X48" s="12">
        <f>+X43+X45</f>
        <v>6177</v>
      </c>
      <c r="Y48" s="53">
        <f>+Y43+Y45</f>
        <v>3823</v>
      </c>
    </row>
    <row r="49" spans="1:25" ht="12.75">
      <c r="A49" s="27" t="s">
        <v>148</v>
      </c>
      <c r="B49" s="39"/>
      <c r="C49" s="53"/>
      <c r="D49" s="12"/>
      <c r="E49" s="53"/>
      <c r="G49" s="27" t="s">
        <v>148</v>
      </c>
      <c r="H49" s="39"/>
      <c r="I49" s="53"/>
      <c r="J49" s="12"/>
      <c r="K49" s="53"/>
      <c r="M49" s="27" t="s">
        <v>148</v>
      </c>
      <c r="N49" s="66"/>
      <c r="O49" s="39"/>
      <c r="P49" s="53"/>
      <c r="Q49" s="12"/>
      <c r="R49" s="53"/>
      <c r="T49" s="27" t="s">
        <v>148</v>
      </c>
      <c r="U49" s="66"/>
      <c r="V49" s="39"/>
      <c r="W49" s="53"/>
      <c r="X49" s="12"/>
      <c r="Y49" s="53"/>
    </row>
    <row r="50" spans="1:25" ht="12.75">
      <c r="A50" s="27" t="s">
        <v>209</v>
      </c>
      <c r="B50" s="61">
        <f>+D50-J50</f>
        <v>-2406</v>
      </c>
      <c r="C50" s="57">
        <f>+E50-K50</f>
        <v>-3333</v>
      </c>
      <c r="D50" s="19">
        <v>-9140</v>
      </c>
      <c r="E50" s="57">
        <v>-3333</v>
      </c>
      <c r="G50" s="27" t="s">
        <v>209</v>
      </c>
      <c r="H50" s="61">
        <f>+J50-Q50</f>
        <v>-2690</v>
      </c>
      <c r="I50" s="57">
        <f>+K50-R50</f>
        <v>0</v>
      </c>
      <c r="J50" s="19">
        <v>-6734</v>
      </c>
      <c r="K50" s="57">
        <v>0</v>
      </c>
      <c r="M50" s="27" t="s">
        <v>209</v>
      </c>
      <c r="N50" s="70"/>
      <c r="O50" s="61">
        <f>+Q50-X50</f>
        <v>-1229</v>
      </c>
      <c r="P50" s="57">
        <f>+R50-Y50</f>
        <v>1421</v>
      </c>
      <c r="Q50" s="19">
        <v>-4044</v>
      </c>
      <c r="R50" s="57">
        <v>0</v>
      </c>
      <c r="T50" s="27" t="s">
        <v>209</v>
      </c>
      <c r="U50" s="70"/>
      <c r="V50" s="61">
        <f>+X50</f>
        <v>-2815</v>
      </c>
      <c r="W50" s="57">
        <f>+Y50</f>
        <v>-1421</v>
      </c>
      <c r="X50" s="19">
        <v>-2815</v>
      </c>
      <c r="Y50" s="57">
        <v>-1421</v>
      </c>
    </row>
    <row r="51" spans="1:25" ht="12.75">
      <c r="A51" s="27"/>
      <c r="B51" s="39"/>
      <c r="C51" s="53"/>
      <c r="D51" s="12"/>
      <c r="E51" s="53"/>
      <c r="G51" s="27"/>
      <c r="H51" s="39"/>
      <c r="I51" s="53"/>
      <c r="J51" s="12"/>
      <c r="K51" s="53"/>
      <c r="M51" s="27"/>
      <c r="N51" s="66"/>
      <c r="O51" s="39"/>
      <c r="P51" s="53"/>
      <c r="Q51" s="12"/>
      <c r="R51" s="53"/>
      <c r="T51" s="27"/>
      <c r="U51" s="66"/>
      <c r="V51" s="39"/>
      <c r="W51" s="53"/>
      <c r="X51" s="12"/>
      <c r="Y51" s="53"/>
    </row>
    <row r="52" spans="1:25" ht="12.75">
      <c r="A52" s="27" t="s">
        <v>233</v>
      </c>
      <c r="B52" s="39"/>
      <c r="C52" s="53"/>
      <c r="D52" s="39"/>
      <c r="E52" s="53"/>
      <c r="G52" s="27" t="s">
        <v>233</v>
      </c>
      <c r="H52" s="39"/>
      <c r="I52" s="53"/>
      <c r="J52" s="39"/>
      <c r="K52" s="53"/>
      <c r="M52" s="27" t="s">
        <v>233</v>
      </c>
      <c r="N52" s="66"/>
      <c r="O52" s="39"/>
      <c r="P52" s="53"/>
      <c r="Q52" s="39"/>
      <c r="R52" s="53"/>
      <c r="T52" s="27" t="s">
        <v>233</v>
      </c>
      <c r="U52" s="66"/>
      <c r="V52" s="39"/>
      <c r="W52" s="53"/>
      <c r="X52" s="39"/>
      <c r="Y52" s="53"/>
    </row>
    <row r="53" spans="1:25" ht="12.75">
      <c r="A53" s="27" t="s">
        <v>234</v>
      </c>
      <c r="B53" s="39"/>
      <c r="C53" s="53"/>
      <c r="D53" s="12"/>
      <c r="E53" s="53"/>
      <c r="G53" s="27" t="s">
        <v>234</v>
      </c>
      <c r="H53" s="39"/>
      <c r="I53" s="53"/>
      <c r="J53" s="12"/>
      <c r="K53" s="53"/>
      <c r="M53" s="27" t="s">
        <v>234</v>
      </c>
      <c r="N53" s="66"/>
      <c r="O53" s="39"/>
      <c r="P53" s="53"/>
      <c r="Q53" s="12"/>
      <c r="R53" s="53"/>
      <c r="T53" s="27" t="s">
        <v>234</v>
      </c>
      <c r="U53" s="66"/>
      <c r="V53" s="39"/>
      <c r="W53" s="53"/>
      <c r="X53" s="12"/>
      <c r="Y53" s="53"/>
    </row>
    <row r="54" spans="1:25" ht="12.75">
      <c r="A54" s="27" t="s">
        <v>207</v>
      </c>
      <c r="B54" s="39">
        <f>+B48+B50</f>
        <v>430</v>
      </c>
      <c r="C54" s="53">
        <f>+C48+C50</f>
        <v>2913</v>
      </c>
      <c r="D54" s="14">
        <f>+D48+D50</f>
        <v>9426</v>
      </c>
      <c r="E54" s="53">
        <f>+E48+E50</f>
        <v>8777</v>
      </c>
      <c r="G54" s="27" t="s">
        <v>207</v>
      </c>
      <c r="H54" s="39">
        <f>+H48+H50</f>
        <v>3841</v>
      </c>
      <c r="I54" s="53">
        <f>+I48+I50</f>
        <v>3313</v>
      </c>
      <c r="J54" s="14">
        <f>+J48+J50</f>
        <v>8996</v>
      </c>
      <c r="K54" s="53">
        <f>+K48+K50</f>
        <v>5864</v>
      </c>
      <c r="M54" s="27" t="s">
        <v>207</v>
      </c>
      <c r="N54" s="66"/>
      <c r="O54" s="39">
        <f>+O48+O50</f>
        <v>1793</v>
      </c>
      <c r="P54" s="53">
        <f>+P48+P50</f>
        <v>149</v>
      </c>
      <c r="Q54" s="14">
        <f>+Q48+Q50</f>
        <v>5155</v>
      </c>
      <c r="R54" s="53">
        <f>+R48+R50</f>
        <v>2551</v>
      </c>
      <c r="T54" s="27" t="s">
        <v>207</v>
      </c>
      <c r="U54" s="66"/>
      <c r="V54" s="39">
        <f>+V48+V50</f>
        <v>3362</v>
      </c>
      <c r="W54" s="53">
        <f>+W48+W50</f>
        <v>2402</v>
      </c>
      <c r="X54" s="14">
        <f>+X48+X50</f>
        <v>3362</v>
      </c>
      <c r="Y54" s="53">
        <f>+Y48+Y50</f>
        <v>2402</v>
      </c>
    </row>
    <row r="55" spans="1:25" ht="12.75">
      <c r="A55" s="27"/>
      <c r="B55" s="39"/>
      <c r="C55" s="53"/>
      <c r="D55" s="14"/>
      <c r="E55" s="53"/>
      <c r="G55" s="27"/>
      <c r="H55" s="39"/>
      <c r="I55" s="53"/>
      <c r="J55" s="14"/>
      <c r="K55" s="53"/>
      <c r="M55" s="27"/>
      <c r="N55" s="66"/>
      <c r="O55" s="39"/>
      <c r="P55" s="53"/>
      <c r="Q55" s="14"/>
      <c r="R55" s="53"/>
      <c r="T55" s="27"/>
      <c r="U55" s="66"/>
      <c r="V55" s="39"/>
      <c r="W55" s="53"/>
      <c r="X55" s="14"/>
      <c r="Y55" s="53"/>
    </row>
    <row r="56" spans="1:25" ht="12.75">
      <c r="A56" s="27" t="s">
        <v>208</v>
      </c>
      <c r="B56" s="39">
        <f>+D56-J56</f>
        <v>0</v>
      </c>
      <c r="C56" s="53">
        <f>+E56-K56</f>
        <v>0</v>
      </c>
      <c r="D56" s="14">
        <v>0</v>
      </c>
      <c r="E56" s="53">
        <v>0</v>
      </c>
      <c r="G56" s="27" t="s">
        <v>208</v>
      </c>
      <c r="H56" s="39">
        <f>+J56-Q56</f>
        <v>0</v>
      </c>
      <c r="I56" s="53">
        <f>+K56-R56</f>
        <v>0</v>
      </c>
      <c r="J56" s="14">
        <v>0</v>
      </c>
      <c r="K56" s="53">
        <v>0</v>
      </c>
      <c r="M56" s="27" t="s">
        <v>208</v>
      </c>
      <c r="N56" s="66"/>
      <c r="O56" s="39">
        <f>+Q56-X56</f>
        <v>0</v>
      </c>
      <c r="P56" s="53">
        <f>+R56-Y56</f>
        <v>0</v>
      </c>
      <c r="Q56" s="14">
        <v>0</v>
      </c>
      <c r="R56" s="53">
        <v>0</v>
      </c>
      <c r="T56" s="27" t="s">
        <v>208</v>
      </c>
      <c r="U56" s="66"/>
      <c r="V56" s="39">
        <v>0</v>
      </c>
      <c r="W56" s="53">
        <v>0</v>
      </c>
      <c r="X56" s="14">
        <v>0</v>
      </c>
      <c r="Y56" s="53">
        <v>0</v>
      </c>
    </row>
    <row r="57" spans="1:25" ht="12.75">
      <c r="A57" s="27"/>
      <c r="B57" s="39"/>
      <c r="C57" s="53"/>
      <c r="D57" s="14"/>
      <c r="E57" s="53"/>
      <c r="G57" s="27"/>
      <c r="H57" s="39"/>
      <c r="I57" s="53"/>
      <c r="J57" s="14"/>
      <c r="K57" s="53"/>
      <c r="M57" s="27"/>
      <c r="N57" s="66"/>
      <c r="O57" s="39"/>
      <c r="P57" s="53"/>
      <c r="Q57" s="14"/>
      <c r="R57" s="53"/>
      <c r="T57" s="27"/>
      <c r="U57" s="66"/>
      <c r="V57" s="39"/>
      <c r="W57" s="53"/>
      <c r="X57" s="14"/>
      <c r="Y57" s="53"/>
    </row>
    <row r="58" spans="1:25" ht="12.75">
      <c r="A58" s="27" t="s">
        <v>209</v>
      </c>
      <c r="B58" s="39">
        <f>+D58-J58</f>
        <v>0</v>
      </c>
      <c r="C58" s="53">
        <f>+E58-K58</f>
        <v>0</v>
      </c>
      <c r="D58" s="14">
        <v>0</v>
      </c>
      <c r="E58" s="53">
        <v>0</v>
      </c>
      <c r="G58" s="27" t="s">
        <v>209</v>
      </c>
      <c r="H58" s="39">
        <f>+J58-Q58</f>
        <v>0</v>
      </c>
      <c r="I58" s="53">
        <f>+K58-R58</f>
        <v>0</v>
      </c>
      <c r="J58" s="14">
        <v>0</v>
      </c>
      <c r="K58" s="53">
        <v>0</v>
      </c>
      <c r="M58" s="27" t="s">
        <v>209</v>
      </c>
      <c r="N58" s="66"/>
      <c r="O58" s="39">
        <f>+Q58-X58</f>
        <v>0</v>
      </c>
      <c r="P58" s="53">
        <f>+R58-Y58</f>
        <v>0</v>
      </c>
      <c r="Q58" s="14">
        <v>0</v>
      </c>
      <c r="R58" s="53">
        <v>0</v>
      </c>
      <c r="T58" s="27" t="s">
        <v>209</v>
      </c>
      <c r="U58" s="66"/>
      <c r="V58" s="39">
        <v>0</v>
      </c>
      <c r="W58" s="53">
        <v>0</v>
      </c>
      <c r="X58" s="14">
        <v>0</v>
      </c>
      <c r="Y58" s="53">
        <v>0</v>
      </c>
    </row>
    <row r="59" spans="1:25" ht="12.75">
      <c r="A59" s="27"/>
      <c r="B59" s="39"/>
      <c r="C59" s="53"/>
      <c r="D59" s="14"/>
      <c r="E59" s="53"/>
      <c r="G59" s="27"/>
      <c r="H59" s="39"/>
      <c r="I59" s="53"/>
      <c r="J59" s="14"/>
      <c r="K59" s="53"/>
      <c r="M59" s="27"/>
      <c r="N59" s="66"/>
      <c r="O59" s="39"/>
      <c r="P59" s="53"/>
      <c r="Q59" s="14"/>
      <c r="R59" s="53"/>
      <c r="T59" s="27"/>
      <c r="U59" s="66"/>
      <c r="V59" s="39"/>
      <c r="W59" s="53"/>
      <c r="X59" s="14"/>
      <c r="Y59" s="53"/>
    </row>
    <row r="60" spans="1:25" ht="12.75">
      <c r="A60" s="27" t="s">
        <v>210</v>
      </c>
      <c r="B60" s="39"/>
      <c r="C60" s="53"/>
      <c r="D60" s="14"/>
      <c r="E60" s="53"/>
      <c r="G60" s="27" t="s">
        <v>210</v>
      </c>
      <c r="H60" s="39"/>
      <c r="I60" s="53"/>
      <c r="J60" s="14"/>
      <c r="K60" s="53"/>
      <c r="M60" s="27" t="s">
        <v>210</v>
      </c>
      <c r="N60" s="66"/>
      <c r="O60" s="39"/>
      <c r="P60" s="53"/>
      <c r="Q60" s="14"/>
      <c r="R60" s="53"/>
      <c r="T60" s="27" t="s">
        <v>210</v>
      </c>
      <c r="U60" s="66"/>
      <c r="V60" s="39"/>
      <c r="W60" s="53"/>
      <c r="X60" s="14"/>
      <c r="Y60" s="53"/>
    </row>
    <row r="61" spans="1:25" ht="12.75">
      <c r="A61" s="27" t="s">
        <v>211</v>
      </c>
      <c r="B61" s="61">
        <f>+D61-J61</f>
        <v>0</v>
      </c>
      <c r="C61" s="57">
        <f>+E61-K61</f>
        <v>0</v>
      </c>
      <c r="D61" s="31">
        <v>0</v>
      </c>
      <c r="E61" s="57">
        <v>0</v>
      </c>
      <c r="G61" s="27" t="s">
        <v>211</v>
      </c>
      <c r="H61" s="61">
        <f>+J61-Q61</f>
        <v>0</v>
      </c>
      <c r="I61" s="57">
        <f>+K61-R61</f>
        <v>0</v>
      </c>
      <c r="J61" s="31">
        <v>0</v>
      </c>
      <c r="K61" s="57">
        <v>0</v>
      </c>
      <c r="M61" s="27" t="s">
        <v>211</v>
      </c>
      <c r="N61" s="70"/>
      <c r="O61" s="61">
        <f>+Q61-X61</f>
        <v>0</v>
      </c>
      <c r="P61" s="57">
        <f>+R61-Y61</f>
        <v>0</v>
      </c>
      <c r="Q61" s="31">
        <v>0</v>
      </c>
      <c r="R61" s="57">
        <v>0</v>
      </c>
      <c r="T61" s="27" t="s">
        <v>211</v>
      </c>
      <c r="U61" s="70"/>
      <c r="V61" s="61">
        <v>0</v>
      </c>
      <c r="W61" s="57">
        <v>0</v>
      </c>
      <c r="X61" s="31">
        <v>0</v>
      </c>
      <c r="Y61" s="57">
        <v>0</v>
      </c>
    </row>
    <row r="62" spans="1:25" ht="12.75">
      <c r="A62" s="27"/>
      <c r="B62" s="39"/>
      <c r="C62" s="53"/>
      <c r="D62" s="14"/>
      <c r="E62" s="53"/>
      <c r="G62" s="27"/>
      <c r="H62" s="39"/>
      <c r="I62" s="53"/>
      <c r="J62" s="14"/>
      <c r="K62" s="53"/>
      <c r="M62" s="27"/>
      <c r="N62" s="66"/>
      <c r="O62" s="39"/>
      <c r="P62" s="53"/>
      <c r="Q62" s="14"/>
      <c r="R62" s="53"/>
      <c r="T62" s="27"/>
      <c r="U62" s="66"/>
      <c r="V62" s="39"/>
      <c r="W62" s="53"/>
      <c r="X62" s="14"/>
      <c r="Y62" s="53"/>
    </row>
    <row r="63" spans="1:25" ht="12.75">
      <c r="A63" s="27" t="s">
        <v>235</v>
      </c>
      <c r="B63" s="37"/>
      <c r="C63" s="53"/>
      <c r="D63" s="37"/>
      <c r="E63" s="53"/>
      <c r="G63" s="27" t="s">
        <v>235</v>
      </c>
      <c r="H63" s="37"/>
      <c r="I63" s="53"/>
      <c r="J63" s="37"/>
      <c r="K63" s="53"/>
      <c r="M63" s="27" t="s">
        <v>235</v>
      </c>
      <c r="N63" s="66"/>
      <c r="O63" s="37"/>
      <c r="P63" s="53"/>
      <c r="Q63" s="37"/>
      <c r="R63" s="53"/>
      <c r="T63" s="27" t="s">
        <v>235</v>
      </c>
      <c r="U63" s="66"/>
      <c r="V63" s="37"/>
      <c r="W63" s="53"/>
      <c r="X63" s="37"/>
      <c r="Y63" s="53"/>
    </row>
    <row r="64" spans="1:25" ht="12.75">
      <c r="A64" s="27" t="s">
        <v>211</v>
      </c>
      <c r="B64" s="39">
        <f>+B54-B61</f>
        <v>430</v>
      </c>
      <c r="C64" s="53">
        <f>+C54-C61</f>
        <v>2913</v>
      </c>
      <c r="D64" s="14">
        <f>+D54-D61</f>
        <v>9426</v>
      </c>
      <c r="E64" s="53">
        <f>+E54-E61</f>
        <v>8777</v>
      </c>
      <c r="G64" s="27" t="s">
        <v>211</v>
      </c>
      <c r="H64" s="39">
        <f>+H54-H61</f>
        <v>3841</v>
      </c>
      <c r="I64" s="53">
        <f>+I54-I61</f>
        <v>3313</v>
      </c>
      <c r="J64" s="14">
        <f>+J54-J61</f>
        <v>8996</v>
      </c>
      <c r="K64" s="53">
        <f>+K54-K61</f>
        <v>5864</v>
      </c>
      <c r="M64" s="27" t="s">
        <v>211</v>
      </c>
      <c r="N64" s="66"/>
      <c r="O64" s="39">
        <f>+O54-O61</f>
        <v>1793</v>
      </c>
      <c r="P64" s="53">
        <f>+P54-P61</f>
        <v>149</v>
      </c>
      <c r="Q64" s="14">
        <f>+Q54-Q61</f>
        <v>5155</v>
      </c>
      <c r="R64" s="53">
        <f>+R54-R61</f>
        <v>2551</v>
      </c>
      <c r="T64" s="27" t="s">
        <v>211</v>
      </c>
      <c r="U64" s="66"/>
      <c r="V64" s="39">
        <f>+V54-V61</f>
        <v>3362</v>
      </c>
      <c r="W64" s="53">
        <f>+W54-W61</f>
        <v>2402</v>
      </c>
      <c r="X64" s="14">
        <f>+X54-X61</f>
        <v>3362</v>
      </c>
      <c r="Y64" s="53">
        <f>+Y54-Y61</f>
        <v>2402</v>
      </c>
    </row>
    <row r="65" spans="1:25" ht="12.75">
      <c r="A65" s="28"/>
      <c r="B65" s="62"/>
      <c r="C65" s="59"/>
      <c r="D65" s="7"/>
      <c r="E65" s="59"/>
      <c r="G65" s="28"/>
      <c r="H65" s="62"/>
      <c r="I65" s="59"/>
      <c r="J65" s="7"/>
      <c r="K65" s="59"/>
      <c r="M65" s="28"/>
      <c r="N65" s="69"/>
      <c r="O65" s="62"/>
      <c r="P65" s="59"/>
      <c r="Q65" s="7"/>
      <c r="R65" s="59"/>
      <c r="T65" s="28"/>
      <c r="U65" s="69"/>
      <c r="V65" s="62"/>
      <c r="W65" s="59"/>
      <c r="X65" s="7"/>
      <c r="Y65" s="59"/>
    </row>
    <row r="66" spans="2:25" ht="12.75">
      <c r="B66" s="6"/>
      <c r="C66" s="6"/>
      <c r="D66" s="6"/>
      <c r="E66" s="6"/>
      <c r="H66" s="6"/>
      <c r="I66" s="6"/>
      <c r="J66" s="6"/>
      <c r="K66" s="6"/>
      <c r="N66" s="6"/>
      <c r="O66" s="6"/>
      <c r="P66" s="6"/>
      <c r="Q66" s="6"/>
      <c r="R66" s="6"/>
      <c r="U66" s="6"/>
      <c r="V66" s="6"/>
      <c r="W66" s="6"/>
      <c r="X66" s="6"/>
      <c r="Y66" s="6"/>
    </row>
    <row r="67" spans="1:25" ht="12.75">
      <c r="A67" s="4" t="s">
        <v>236</v>
      </c>
      <c r="B67" s="24"/>
      <c r="C67" s="24"/>
      <c r="D67" s="24"/>
      <c r="E67" s="24"/>
      <c r="G67" s="4" t="s">
        <v>236</v>
      </c>
      <c r="H67" s="24"/>
      <c r="I67" s="24"/>
      <c r="J67" s="24"/>
      <c r="K67" s="24"/>
      <c r="M67" s="4" t="s">
        <v>236</v>
      </c>
      <c r="N67" s="24"/>
      <c r="O67" s="24"/>
      <c r="P67" s="24"/>
      <c r="Q67" s="24"/>
      <c r="R67" s="24"/>
      <c r="T67" s="4" t="s">
        <v>236</v>
      </c>
      <c r="U67" s="24"/>
      <c r="V67" s="24"/>
      <c r="W67" s="24"/>
      <c r="X67" s="24"/>
      <c r="Y67" s="24"/>
    </row>
    <row r="68" spans="1:25" ht="12.75">
      <c r="A68" s="4" t="s">
        <v>237</v>
      </c>
      <c r="B68" s="24"/>
      <c r="C68" s="24"/>
      <c r="D68" s="24"/>
      <c r="E68" s="24"/>
      <c r="G68" s="4" t="s">
        <v>237</v>
      </c>
      <c r="H68" s="24"/>
      <c r="I68" s="24"/>
      <c r="J68" s="24"/>
      <c r="K68" s="24"/>
      <c r="M68" s="4" t="s">
        <v>237</v>
      </c>
      <c r="N68" s="24"/>
      <c r="O68" s="24"/>
      <c r="P68" s="24"/>
      <c r="Q68" s="24"/>
      <c r="R68" s="24"/>
      <c r="T68" s="4" t="s">
        <v>237</v>
      </c>
      <c r="U68" s="24"/>
      <c r="V68" s="24"/>
      <c r="W68" s="24"/>
      <c r="X68" s="24"/>
      <c r="Y68" s="24"/>
    </row>
    <row r="69" spans="1:25" ht="12.75">
      <c r="A69" s="4" t="s">
        <v>238</v>
      </c>
      <c r="B69" s="24"/>
      <c r="C69" s="24"/>
      <c r="D69" s="24"/>
      <c r="E69" s="24"/>
      <c r="G69" s="4" t="s">
        <v>238</v>
      </c>
      <c r="H69" s="24"/>
      <c r="I69" s="24"/>
      <c r="J69" s="24"/>
      <c r="K69" s="24"/>
      <c r="M69" s="4" t="s">
        <v>238</v>
      </c>
      <c r="N69" s="24"/>
      <c r="O69" s="24"/>
      <c r="P69" s="24"/>
      <c r="Q69" s="24"/>
      <c r="R69" s="24"/>
      <c r="T69" s="4" t="s">
        <v>238</v>
      </c>
      <c r="U69" s="24"/>
      <c r="V69" s="24"/>
      <c r="W69" s="24"/>
      <c r="X69" s="24"/>
      <c r="Y69" s="24"/>
    </row>
    <row r="70" spans="1:25" ht="12.75">
      <c r="A70" s="4" t="s">
        <v>239</v>
      </c>
      <c r="B70" s="24"/>
      <c r="C70" s="24"/>
      <c r="D70" s="24"/>
      <c r="E70" s="24"/>
      <c r="G70" s="4" t="s">
        <v>239</v>
      </c>
      <c r="H70" s="24"/>
      <c r="I70" s="24"/>
      <c r="J70" s="24"/>
      <c r="K70" s="24"/>
      <c r="M70" s="4" t="s">
        <v>239</v>
      </c>
      <c r="N70" s="24"/>
      <c r="O70" s="24"/>
      <c r="P70" s="24"/>
      <c r="Q70" s="24"/>
      <c r="R70" s="24"/>
      <c r="T70" s="4" t="s">
        <v>239</v>
      </c>
      <c r="U70" s="24"/>
      <c r="V70" s="24"/>
      <c r="W70" s="24"/>
      <c r="X70" s="24"/>
      <c r="Y70" s="24"/>
    </row>
    <row r="71" spans="1:25" ht="12.75">
      <c r="A71" s="4" t="s">
        <v>212</v>
      </c>
      <c r="B71" s="24"/>
      <c r="C71" s="24"/>
      <c r="D71" s="24"/>
      <c r="E71" s="24"/>
      <c r="G71" s="4" t="s">
        <v>212</v>
      </c>
      <c r="H71" s="24"/>
      <c r="I71" s="24"/>
      <c r="J71" s="24"/>
      <c r="K71" s="24"/>
      <c r="M71" s="4" t="s">
        <v>212</v>
      </c>
      <c r="N71" s="24"/>
      <c r="O71" s="24"/>
      <c r="P71" s="24"/>
      <c r="Q71" s="24"/>
      <c r="R71" s="24"/>
      <c r="T71" s="4" t="s">
        <v>212</v>
      </c>
      <c r="U71" s="24"/>
      <c r="V71" s="24"/>
      <c r="W71" s="24"/>
      <c r="X71" s="24"/>
      <c r="Y71" s="24"/>
    </row>
    <row r="72" spans="1:25" ht="12.75">
      <c r="A72" s="4" t="s">
        <v>213</v>
      </c>
      <c r="B72" s="86">
        <f>+B54/19855*100</f>
        <v>2.1657013346764042</v>
      </c>
      <c r="C72" s="86">
        <f>+C54/19855*100</f>
        <v>14.671367413749687</v>
      </c>
      <c r="D72" s="86">
        <f>+D54/19855*100</f>
        <v>47.474187861999496</v>
      </c>
      <c r="E72" s="86">
        <f>+E54/19855*100</f>
        <v>44.20548980105767</v>
      </c>
      <c r="G72" s="4" t="s">
        <v>213</v>
      </c>
      <c r="H72" s="86">
        <f>+H54/19855*100</f>
        <v>19.345253084865274</v>
      </c>
      <c r="I72" s="86">
        <f>+I54/19855*100</f>
        <v>16.685973306471922</v>
      </c>
      <c r="J72" s="86">
        <f>+J54/19855*100</f>
        <v>45.3084865273231</v>
      </c>
      <c r="K72" s="86">
        <f>+K54/19855*100</f>
        <v>29.53412238730798</v>
      </c>
      <c r="M72" s="4" t="s">
        <v>213</v>
      </c>
      <c r="N72" s="24"/>
      <c r="O72" s="86">
        <f>+O54/19855*100</f>
        <v>9.030470914127424</v>
      </c>
      <c r="P72" s="86">
        <f>+P54/19855*100</f>
        <v>0.750440695039033</v>
      </c>
      <c r="Q72" s="86">
        <f>+Q54/19855*100</f>
        <v>25.963233442457817</v>
      </c>
      <c r="R72" s="86">
        <f>+R54/19855*100</f>
        <v>12.84814908083606</v>
      </c>
      <c r="T72" s="4" t="s">
        <v>213</v>
      </c>
      <c r="U72" s="24"/>
      <c r="V72" s="86">
        <f>+V54/19855*100</f>
        <v>16.932762528330393</v>
      </c>
      <c r="W72" s="86">
        <f>+W54/19855*100</f>
        <v>12.097708385797029</v>
      </c>
      <c r="X72" s="86">
        <f>+X54/19855*100</f>
        <v>16.932762528330393</v>
      </c>
      <c r="Y72" s="86">
        <f>+Y54/19855*100</f>
        <v>12.097708385797029</v>
      </c>
    </row>
    <row r="73" spans="2:25" ht="12.75">
      <c r="B73" s="24"/>
      <c r="C73" s="24"/>
      <c r="D73" s="24"/>
      <c r="E73" s="24"/>
      <c r="H73" s="24"/>
      <c r="I73" s="24"/>
      <c r="J73" s="24"/>
      <c r="K73" s="24"/>
      <c r="N73" s="24"/>
      <c r="O73" s="24"/>
      <c r="P73" s="24"/>
      <c r="Q73" s="24"/>
      <c r="R73" s="24"/>
      <c r="U73" s="24"/>
      <c r="V73" s="24"/>
      <c r="W73" s="24"/>
      <c r="X73" s="24"/>
      <c r="Y73" s="24"/>
    </row>
    <row r="74" spans="1:25" ht="12.75">
      <c r="A74" s="4" t="s">
        <v>240</v>
      </c>
      <c r="B74" s="24"/>
      <c r="C74" s="24"/>
      <c r="D74" s="24"/>
      <c r="E74" s="24"/>
      <c r="G74" s="4" t="s">
        <v>240</v>
      </c>
      <c r="H74" s="24"/>
      <c r="I74" s="24"/>
      <c r="J74" s="24"/>
      <c r="K74" s="24"/>
      <c r="M74" s="4" t="s">
        <v>240</v>
      </c>
      <c r="N74" s="24"/>
      <c r="O74" s="24"/>
      <c r="P74" s="24"/>
      <c r="Q74" s="24"/>
      <c r="R74" s="24"/>
      <c r="T74" s="4" t="s">
        <v>240</v>
      </c>
      <c r="U74" s="24"/>
      <c r="V74" s="24"/>
      <c r="W74" s="24"/>
      <c r="X74" s="24"/>
      <c r="Y74" s="24"/>
    </row>
    <row r="75" spans="1:25" ht="12.75">
      <c r="A75" s="4" t="s">
        <v>213</v>
      </c>
      <c r="B75" s="24"/>
      <c r="C75" s="24"/>
      <c r="D75" s="24"/>
      <c r="E75" s="24"/>
      <c r="G75" s="4" t="s">
        <v>213</v>
      </c>
      <c r="H75" s="24"/>
      <c r="I75" s="24"/>
      <c r="J75" s="24"/>
      <c r="K75" s="24"/>
      <c r="M75" s="4" t="s">
        <v>213</v>
      </c>
      <c r="N75" s="24"/>
      <c r="O75" s="86">
        <f>+O72</f>
        <v>9.030470914127424</v>
      </c>
      <c r="P75" s="86">
        <f>+P72</f>
        <v>0.750440695039033</v>
      </c>
      <c r="Q75" s="86">
        <f>+Q72</f>
        <v>25.963233442457817</v>
      </c>
      <c r="R75" s="86">
        <f>+R72</f>
        <v>12.84814908083606</v>
      </c>
      <c r="T75" s="4" t="s">
        <v>213</v>
      </c>
      <c r="U75" s="24"/>
      <c r="V75" s="86">
        <v>16.9</v>
      </c>
      <c r="W75" s="86">
        <v>12.1</v>
      </c>
      <c r="X75" s="86">
        <v>16.9</v>
      </c>
      <c r="Y75" s="86">
        <v>12.1</v>
      </c>
    </row>
    <row r="76" spans="2:25" ht="12.75">
      <c r="B76" s="24"/>
      <c r="C76" s="24"/>
      <c r="D76" s="24"/>
      <c r="E76" s="24"/>
      <c r="H76" s="24"/>
      <c r="I76" s="24"/>
      <c r="J76" s="24"/>
      <c r="K76" s="24"/>
      <c r="N76" s="24"/>
      <c r="O76" s="24"/>
      <c r="P76" s="24"/>
      <c r="Q76" s="24"/>
      <c r="R76" s="24"/>
      <c r="U76" s="24"/>
      <c r="V76" s="24"/>
      <c r="W76" s="24"/>
      <c r="X76" s="24"/>
      <c r="Y76" s="24"/>
    </row>
    <row r="77" spans="2:25" ht="12.75">
      <c r="B77" s="24"/>
      <c r="C77" s="24"/>
      <c r="D77" s="24"/>
      <c r="E77" s="24"/>
      <c r="H77" s="24"/>
      <c r="I77" s="24"/>
      <c r="J77" s="24"/>
      <c r="K77" s="24"/>
      <c r="N77" s="24"/>
      <c r="O77" s="24"/>
      <c r="P77" s="24"/>
      <c r="Q77" s="24"/>
      <c r="R77" s="24"/>
      <c r="U77" s="24"/>
      <c r="V77" s="24"/>
      <c r="W77" s="24"/>
      <c r="X77" s="24"/>
      <c r="Y77" s="24"/>
    </row>
    <row r="78" spans="2:25" ht="12.75">
      <c r="B78" s="24"/>
      <c r="C78" s="24"/>
      <c r="D78" s="24"/>
      <c r="E78" s="24"/>
      <c r="H78" s="24"/>
      <c r="I78" s="24"/>
      <c r="J78" s="24"/>
      <c r="K78" s="24"/>
      <c r="N78" s="24"/>
      <c r="O78" s="24"/>
      <c r="P78" s="24"/>
      <c r="Q78" s="24"/>
      <c r="R78" s="24"/>
      <c r="U78" s="24"/>
      <c r="V78" s="24"/>
      <c r="W78" s="24"/>
      <c r="X78" s="24"/>
      <c r="Y78" s="24"/>
    </row>
    <row r="79" spans="2:25" ht="12.75">
      <c r="B79" s="24"/>
      <c r="C79" s="24"/>
      <c r="D79" s="24"/>
      <c r="E79" s="24"/>
      <c r="H79" s="24"/>
      <c r="I79" s="24"/>
      <c r="J79" s="24"/>
      <c r="K79" s="24"/>
      <c r="N79" s="24"/>
      <c r="O79" s="24"/>
      <c r="P79" s="24"/>
      <c r="Q79" s="24"/>
      <c r="R79" s="24"/>
      <c r="U79" s="24"/>
      <c r="V79" s="24"/>
      <c r="W79" s="24"/>
      <c r="X79" s="24"/>
      <c r="Y79" s="24"/>
    </row>
    <row r="80" spans="2:25" ht="12.75">
      <c r="B80" s="24"/>
      <c r="C80" s="24"/>
      <c r="D80" s="24"/>
      <c r="E80" s="24"/>
      <c r="H80" s="24"/>
      <c r="I80" s="24"/>
      <c r="J80" s="24"/>
      <c r="K80" s="24"/>
      <c r="N80" s="24"/>
      <c r="O80" s="24"/>
      <c r="P80" s="24"/>
      <c r="Q80" s="24"/>
      <c r="R80" s="24"/>
      <c r="U80" s="24"/>
      <c r="V80" s="24"/>
      <c r="W80" s="24"/>
      <c r="X80" s="24"/>
      <c r="Y80" s="24"/>
    </row>
    <row r="81" spans="2:25" ht="12.75">
      <c r="B81" s="24"/>
      <c r="C81" s="24"/>
      <c r="D81" s="24"/>
      <c r="E81" s="24"/>
      <c r="H81" s="24"/>
      <c r="I81" s="24"/>
      <c r="J81" s="24"/>
      <c r="K81" s="24"/>
      <c r="N81" s="24"/>
      <c r="O81" s="24"/>
      <c r="P81" s="24"/>
      <c r="Q81" s="24"/>
      <c r="R81" s="24"/>
      <c r="U81" s="24"/>
      <c r="V81" s="24"/>
      <c r="W81" s="24"/>
      <c r="X81" s="24"/>
      <c r="Y81" s="24"/>
    </row>
    <row r="82" spans="2:25" ht="12.75">
      <c r="B82" s="24"/>
      <c r="C82" s="24"/>
      <c r="D82" s="24"/>
      <c r="E82" s="24"/>
      <c r="H82" s="24"/>
      <c r="I82" s="24"/>
      <c r="J82" s="24"/>
      <c r="K82" s="24"/>
      <c r="N82" s="24"/>
      <c r="O82" s="24"/>
      <c r="P82" s="24"/>
      <c r="Q82" s="24"/>
      <c r="R82" s="24"/>
      <c r="U82" s="24"/>
      <c r="V82" s="24"/>
      <c r="W82" s="24"/>
      <c r="X82" s="24"/>
      <c r="Y82" s="24"/>
    </row>
    <row r="83" spans="2:25" ht="12.75">
      <c r="B83" s="24"/>
      <c r="C83" s="24"/>
      <c r="D83" s="24"/>
      <c r="E83" s="24"/>
      <c r="H83" s="24"/>
      <c r="I83" s="24"/>
      <c r="J83" s="24"/>
      <c r="K83" s="24"/>
      <c r="N83" s="24"/>
      <c r="O83" s="24"/>
      <c r="P83" s="24"/>
      <c r="Q83" s="24"/>
      <c r="R83" s="24"/>
      <c r="U83" s="24"/>
      <c r="V83" s="24"/>
      <c r="W83" s="24"/>
      <c r="X83" s="24"/>
      <c r="Y83" s="24"/>
    </row>
    <row r="84" spans="2:25" ht="12.75">
      <c r="B84" s="24"/>
      <c r="C84" s="24"/>
      <c r="D84" s="24"/>
      <c r="E84" s="24"/>
      <c r="H84" s="24"/>
      <c r="I84" s="24"/>
      <c r="J84" s="24"/>
      <c r="K84" s="24"/>
      <c r="N84" s="24"/>
      <c r="O84" s="24"/>
      <c r="P84" s="24"/>
      <c r="Q84" s="24"/>
      <c r="R84" s="24"/>
      <c r="U84" s="24"/>
      <c r="V84" s="24"/>
      <c r="W84" s="24"/>
      <c r="X84" s="24"/>
      <c r="Y84" s="24"/>
    </row>
    <row r="85" spans="2:25" ht="12.75">
      <c r="B85" s="24"/>
      <c r="C85" s="24"/>
      <c r="D85" s="24"/>
      <c r="E85" s="24"/>
      <c r="H85" s="24"/>
      <c r="I85" s="24"/>
      <c r="J85" s="24"/>
      <c r="K85" s="24"/>
      <c r="N85" s="24"/>
      <c r="O85" s="24"/>
      <c r="P85" s="24"/>
      <c r="Q85" s="24"/>
      <c r="R85" s="24"/>
      <c r="U85" s="24"/>
      <c r="V85" s="24"/>
      <c r="W85" s="24"/>
      <c r="X85" s="24"/>
      <c r="Y85" s="24"/>
    </row>
    <row r="86" spans="2:25" ht="12.75">
      <c r="B86" s="24"/>
      <c r="C86" s="24"/>
      <c r="D86" s="24"/>
      <c r="E86" s="24"/>
      <c r="H86" s="24"/>
      <c r="I86" s="24"/>
      <c r="J86" s="24"/>
      <c r="K86" s="24"/>
      <c r="N86" s="24"/>
      <c r="O86" s="24"/>
      <c r="P86" s="24"/>
      <c r="Q86" s="24"/>
      <c r="R86" s="24"/>
      <c r="U86" s="24"/>
      <c r="V86" s="24"/>
      <c r="W86" s="24"/>
      <c r="X86" s="24"/>
      <c r="Y86" s="24"/>
    </row>
    <row r="87" spans="2:25" ht="12.75">
      <c r="B87" s="24"/>
      <c r="C87" s="24"/>
      <c r="D87" s="24"/>
      <c r="E87" s="24"/>
      <c r="H87" s="24"/>
      <c r="I87" s="24"/>
      <c r="J87" s="24"/>
      <c r="K87" s="24"/>
      <c r="N87" s="24"/>
      <c r="O87" s="24"/>
      <c r="P87" s="24"/>
      <c r="Q87" s="24"/>
      <c r="R87" s="24"/>
      <c r="U87" s="24"/>
      <c r="V87" s="24"/>
      <c r="W87" s="24"/>
      <c r="X87" s="24"/>
      <c r="Y87" s="24"/>
    </row>
    <row r="88" spans="2:25" ht="12.75">
      <c r="B88" s="24"/>
      <c r="C88" s="24"/>
      <c r="D88" s="24"/>
      <c r="E88" s="24"/>
      <c r="H88" s="24"/>
      <c r="I88" s="24"/>
      <c r="J88" s="24"/>
      <c r="K88" s="24"/>
      <c r="N88" s="24"/>
      <c r="O88" s="24"/>
      <c r="P88" s="24"/>
      <c r="Q88" s="24"/>
      <c r="R88" s="24"/>
      <c r="U88" s="24"/>
      <c r="V88" s="24"/>
      <c r="W88" s="24"/>
      <c r="X88" s="24"/>
      <c r="Y88" s="24"/>
    </row>
    <row r="89" spans="2:25" ht="12.75">
      <c r="B89" s="24"/>
      <c r="C89" s="24"/>
      <c r="D89" s="24"/>
      <c r="E89" s="24"/>
      <c r="H89" s="24"/>
      <c r="I89" s="24"/>
      <c r="J89" s="24"/>
      <c r="K89" s="24"/>
      <c r="N89" s="24"/>
      <c r="O89" s="24"/>
      <c r="P89" s="24"/>
      <c r="Q89" s="24"/>
      <c r="R89" s="24"/>
      <c r="U89" s="24"/>
      <c r="V89" s="24"/>
      <c r="W89" s="24"/>
      <c r="X89" s="24"/>
      <c r="Y89" s="24"/>
    </row>
    <row r="90" spans="2:25" ht="12.75">
      <c r="B90" s="24"/>
      <c r="C90" s="24"/>
      <c r="D90" s="24"/>
      <c r="E90" s="24"/>
      <c r="H90" s="24"/>
      <c r="I90" s="24"/>
      <c r="J90" s="24"/>
      <c r="K90" s="24"/>
      <c r="N90" s="24"/>
      <c r="O90" s="24"/>
      <c r="P90" s="24"/>
      <c r="Q90" s="24"/>
      <c r="R90" s="24"/>
      <c r="U90" s="24"/>
      <c r="V90" s="24"/>
      <c r="W90" s="24"/>
      <c r="X90" s="24"/>
      <c r="Y90" s="24"/>
    </row>
    <row r="91" spans="2:25" ht="12.75">
      <c r="B91" s="24"/>
      <c r="C91" s="24"/>
      <c r="D91" s="24"/>
      <c r="E91" s="24"/>
      <c r="H91" s="24"/>
      <c r="I91" s="24"/>
      <c r="J91" s="24"/>
      <c r="K91" s="24"/>
      <c r="N91" s="24"/>
      <c r="O91" s="24"/>
      <c r="P91" s="24"/>
      <c r="Q91" s="24"/>
      <c r="R91" s="24"/>
      <c r="U91" s="24"/>
      <c r="V91" s="24"/>
      <c r="W91" s="24"/>
      <c r="X91" s="24"/>
      <c r="Y91" s="24"/>
    </row>
    <row r="92" spans="2:25" ht="12.75">
      <c r="B92" s="24"/>
      <c r="C92" s="24"/>
      <c r="D92" s="24"/>
      <c r="E92" s="24"/>
      <c r="H92" s="24"/>
      <c r="I92" s="24"/>
      <c r="J92" s="24"/>
      <c r="K92" s="24"/>
      <c r="N92" s="24"/>
      <c r="O92" s="24"/>
      <c r="P92" s="24"/>
      <c r="Q92" s="24"/>
      <c r="R92" s="24"/>
      <c r="U92" s="24"/>
      <c r="V92" s="24"/>
      <c r="W92" s="24"/>
      <c r="X92" s="24"/>
      <c r="Y92" s="24"/>
    </row>
    <row r="93" spans="2:25" ht="12.75">
      <c r="B93" s="24"/>
      <c r="C93" s="24"/>
      <c r="D93" s="24"/>
      <c r="E93" s="24"/>
      <c r="H93" s="24"/>
      <c r="I93" s="24"/>
      <c r="J93" s="24"/>
      <c r="K93" s="24"/>
      <c r="N93" s="24"/>
      <c r="O93" s="24"/>
      <c r="P93" s="24"/>
      <c r="Q93" s="24"/>
      <c r="R93" s="24"/>
      <c r="U93" s="24"/>
      <c r="V93" s="24"/>
      <c r="W93" s="24"/>
      <c r="X93" s="24"/>
      <c r="Y93" s="24"/>
    </row>
    <row r="94" spans="2:25" ht="12.75">
      <c r="B94" s="24"/>
      <c r="C94" s="24"/>
      <c r="D94" s="24"/>
      <c r="E94" s="24"/>
      <c r="H94" s="24"/>
      <c r="I94" s="24"/>
      <c r="J94" s="24"/>
      <c r="K94" s="24"/>
      <c r="N94" s="24"/>
      <c r="O94" s="24"/>
      <c r="P94" s="24"/>
      <c r="Q94" s="24"/>
      <c r="R94" s="24"/>
      <c r="U94" s="24"/>
      <c r="V94" s="24"/>
      <c r="W94" s="24"/>
      <c r="X94" s="24"/>
      <c r="Y94" s="24"/>
    </row>
    <row r="95" spans="2:25" ht="12.75">
      <c r="B95" s="24"/>
      <c r="C95" s="24"/>
      <c r="D95" s="24"/>
      <c r="E95" s="24"/>
      <c r="H95" s="24"/>
      <c r="I95" s="24"/>
      <c r="J95" s="24"/>
      <c r="K95" s="24"/>
      <c r="N95" s="24"/>
      <c r="O95" s="24"/>
      <c r="P95" s="24"/>
      <c r="Q95" s="24"/>
      <c r="R95" s="24"/>
      <c r="U95" s="24"/>
      <c r="V95" s="24"/>
      <c r="W95" s="24"/>
      <c r="X95" s="24"/>
      <c r="Y95" s="24"/>
    </row>
    <row r="96" spans="2:25" ht="12.75">
      <c r="B96" s="24"/>
      <c r="C96" s="24"/>
      <c r="D96" s="24"/>
      <c r="E96" s="24"/>
      <c r="H96" s="24"/>
      <c r="I96" s="24"/>
      <c r="J96" s="24"/>
      <c r="K96" s="24"/>
      <c r="N96" s="24"/>
      <c r="O96" s="24"/>
      <c r="P96" s="24"/>
      <c r="Q96" s="24"/>
      <c r="R96" s="24"/>
      <c r="U96" s="24"/>
      <c r="V96" s="24"/>
      <c r="W96" s="24"/>
      <c r="X96" s="24"/>
      <c r="Y96" s="24"/>
    </row>
    <row r="97" spans="2:25" ht="12.75">
      <c r="B97" s="24"/>
      <c r="C97" s="24"/>
      <c r="D97" s="24"/>
      <c r="E97" s="24"/>
      <c r="H97" s="24"/>
      <c r="I97" s="24"/>
      <c r="J97" s="24"/>
      <c r="K97" s="24"/>
      <c r="N97" s="24"/>
      <c r="O97" s="24"/>
      <c r="P97" s="24"/>
      <c r="Q97" s="24"/>
      <c r="R97" s="24"/>
      <c r="U97" s="24"/>
      <c r="V97" s="24"/>
      <c r="W97" s="24"/>
      <c r="X97" s="24"/>
      <c r="Y97" s="24"/>
    </row>
    <row r="98" spans="2:25" ht="12.75">
      <c r="B98" s="24"/>
      <c r="C98" s="24"/>
      <c r="D98" s="24"/>
      <c r="E98" s="24"/>
      <c r="H98" s="24"/>
      <c r="I98" s="24"/>
      <c r="J98" s="24"/>
      <c r="K98" s="24"/>
      <c r="N98" s="24"/>
      <c r="O98" s="24"/>
      <c r="P98" s="24"/>
      <c r="Q98" s="24"/>
      <c r="R98" s="24"/>
      <c r="U98" s="24"/>
      <c r="V98" s="24"/>
      <c r="W98" s="24"/>
      <c r="X98" s="24"/>
      <c r="Y98" s="24"/>
    </row>
    <row r="99" spans="2:25" ht="12.75">
      <c r="B99" s="24"/>
      <c r="C99" s="24"/>
      <c r="D99" s="24"/>
      <c r="E99" s="24"/>
      <c r="H99" s="24"/>
      <c r="I99" s="24"/>
      <c r="J99" s="24"/>
      <c r="K99" s="24"/>
      <c r="N99" s="24"/>
      <c r="O99" s="24"/>
      <c r="P99" s="24"/>
      <c r="Q99" s="24"/>
      <c r="R99" s="24"/>
      <c r="U99" s="24"/>
      <c r="V99" s="24"/>
      <c r="W99" s="24"/>
      <c r="X99" s="24"/>
      <c r="Y99" s="24"/>
    </row>
    <row r="100" spans="2:25" ht="12.75">
      <c r="B100" s="24"/>
      <c r="C100" s="24"/>
      <c r="D100" s="24"/>
      <c r="E100" s="24"/>
      <c r="H100" s="24"/>
      <c r="I100" s="24"/>
      <c r="J100" s="24"/>
      <c r="K100" s="24"/>
      <c r="N100" s="24"/>
      <c r="O100" s="24"/>
      <c r="P100" s="24"/>
      <c r="Q100" s="24"/>
      <c r="R100" s="24"/>
      <c r="U100" s="24"/>
      <c r="V100" s="24"/>
      <c r="W100" s="24"/>
      <c r="X100" s="24"/>
      <c r="Y100" s="24"/>
    </row>
    <row r="101" spans="2:25" ht="12.75">
      <c r="B101" s="24"/>
      <c r="C101" s="24"/>
      <c r="D101" s="24"/>
      <c r="E101" s="24"/>
      <c r="H101" s="24"/>
      <c r="I101" s="24"/>
      <c r="J101" s="24"/>
      <c r="K101" s="24"/>
      <c r="N101" s="24"/>
      <c r="O101" s="24"/>
      <c r="P101" s="24"/>
      <c r="Q101" s="24"/>
      <c r="R101" s="24"/>
      <c r="U101" s="24"/>
      <c r="V101" s="24"/>
      <c r="W101" s="24"/>
      <c r="X101" s="24"/>
      <c r="Y101" s="24"/>
    </row>
    <row r="102" spans="2:25" ht="12.75">
      <c r="B102" s="24"/>
      <c r="C102" s="24"/>
      <c r="D102" s="24"/>
      <c r="E102" s="24"/>
      <c r="H102" s="24"/>
      <c r="I102" s="24"/>
      <c r="J102" s="24"/>
      <c r="K102" s="24"/>
      <c r="N102" s="24"/>
      <c r="O102" s="24"/>
      <c r="P102" s="24"/>
      <c r="Q102" s="24"/>
      <c r="R102" s="24"/>
      <c r="U102" s="24"/>
      <c r="V102" s="24"/>
      <c r="W102" s="24"/>
      <c r="X102" s="24"/>
      <c r="Y102" s="24"/>
    </row>
    <row r="103" spans="2:25" ht="12.75">
      <c r="B103" s="24"/>
      <c r="C103" s="24"/>
      <c r="D103" s="24"/>
      <c r="E103" s="24"/>
      <c r="H103" s="24"/>
      <c r="I103" s="24"/>
      <c r="J103" s="24"/>
      <c r="K103" s="24"/>
      <c r="N103" s="24"/>
      <c r="O103" s="24"/>
      <c r="P103" s="24"/>
      <c r="Q103" s="24"/>
      <c r="R103" s="24"/>
      <c r="U103" s="24"/>
      <c r="V103" s="24"/>
      <c r="W103" s="24"/>
      <c r="X103" s="24"/>
      <c r="Y103" s="24"/>
    </row>
    <row r="104" spans="2:25" ht="12.75">
      <c r="B104" s="24"/>
      <c r="C104" s="24"/>
      <c r="D104" s="24"/>
      <c r="E104" s="24"/>
      <c r="H104" s="24"/>
      <c r="I104" s="24"/>
      <c r="J104" s="24"/>
      <c r="K104" s="24"/>
      <c r="N104" s="24"/>
      <c r="O104" s="24"/>
      <c r="P104" s="24"/>
      <c r="Q104" s="24"/>
      <c r="R104" s="24"/>
      <c r="U104" s="24"/>
      <c r="V104" s="24"/>
      <c r="W104" s="24"/>
      <c r="X104" s="24"/>
      <c r="Y104" s="24"/>
    </row>
    <row r="105" spans="2:25" ht="12.75">
      <c r="B105" s="24"/>
      <c r="C105" s="24"/>
      <c r="D105" s="24"/>
      <c r="E105" s="24"/>
      <c r="H105" s="24"/>
      <c r="I105" s="24"/>
      <c r="J105" s="24"/>
      <c r="K105" s="24"/>
      <c r="N105" s="24"/>
      <c r="O105" s="24"/>
      <c r="P105" s="24"/>
      <c r="Q105" s="24"/>
      <c r="R105" s="24"/>
      <c r="U105" s="24"/>
      <c r="V105" s="24"/>
      <c r="W105" s="24"/>
      <c r="X105" s="24"/>
      <c r="Y105" s="24"/>
    </row>
    <row r="106" spans="2:25" ht="12.75">
      <c r="B106" s="24"/>
      <c r="C106" s="24"/>
      <c r="D106" s="24"/>
      <c r="E106" s="24"/>
      <c r="H106" s="24"/>
      <c r="I106" s="24"/>
      <c r="J106" s="24"/>
      <c r="K106" s="24"/>
      <c r="N106" s="24"/>
      <c r="O106" s="24"/>
      <c r="P106" s="24"/>
      <c r="Q106" s="24"/>
      <c r="R106" s="24"/>
      <c r="U106" s="24"/>
      <c r="V106" s="24"/>
      <c r="W106" s="24"/>
      <c r="X106" s="24"/>
      <c r="Y106" s="24"/>
    </row>
    <row r="107" spans="2:25" ht="12.75">
      <c r="B107" s="24"/>
      <c r="C107" s="24"/>
      <c r="D107" s="24"/>
      <c r="E107" s="24"/>
      <c r="H107" s="24"/>
      <c r="I107" s="24"/>
      <c r="J107" s="24"/>
      <c r="K107" s="24"/>
      <c r="N107" s="24"/>
      <c r="O107" s="24"/>
      <c r="P107" s="24"/>
      <c r="Q107" s="24"/>
      <c r="R107" s="24"/>
      <c r="U107" s="24"/>
      <c r="V107" s="24"/>
      <c r="W107" s="24"/>
      <c r="X107" s="24"/>
      <c r="Y107" s="24"/>
    </row>
    <row r="108" spans="2:25" ht="12.75">
      <c r="B108" s="24"/>
      <c r="C108" s="24"/>
      <c r="D108" s="24"/>
      <c r="E108" s="24"/>
      <c r="H108" s="24"/>
      <c r="I108" s="24"/>
      <c r="J108" s="24"/>
      <c r="K108" s="24"/>
      <c r="N108" s="24"/>
      <c r="O108" s="24"/>
      <c r="P108" s="24"/>
      <c r="Q108" s="24"/>
      <c r="R108" s="24"/>
      <c r="U108" s="24"/>
      <c r="V108" s="24"/>
      <c r="W108" s="24"/>
      <c r="X108" s="24"/>
      <c r="Y108" s="24"/>
    </row>
    <row r="109" spans="2:25" ht="12.75">
      <c r="B109" s="24"/>
      <c r="C109" s="24"/>
      <c r="D109" s="24"/>
      <c r="E109" s="24"/>
      <c r="H109" s="24"/>
      <c r="I109" s="24"/>
      <c r="J109" s="24"/>
      <c r="K109" s="24"/>
      <c r="N109" s="24"/>
      <c r="O109" s="24"/>
      <c r="P109" s="24"/>
      <c r="Q109" s="24"/>
      <c r="R109" s="24"/>
      <c r="U109" s="24"/>
      <c r="V109" s="24"/>
      <c r="W109" s="24"/>
      <c r="X109" s="24"/>
      <c r="Y109" s="24"/>
    </row>
    <row r="110" spans="2:25" ht="12.75">
      <c r="B110" s="24"/>
      <c r="C110" s="24"/>
      <c r="D110" s="24"/>
      <c r="E110" s="24"/>
      <c r="H110" s="24"/>
      <c r="I110" s="24"/>
      <c r="J110" s="24"/>
      <c r="K110" s="24"/>
      <c r="N110" s="24"/>
      <c r="O110" s="24"/>
      <c r="P110" s="24"/>
      <c r="Q110" s="24"/>
      <c r="R110" s="24"/>
      <c r="U110" s="24"/>
      <c r="V110" s="24"/>
      <c r="W110" s="24"/>
      <c r="X110" s="24"/>
      <c r="Y110" s="24"/>
    </row>
    <row r="111" spans="2:25" ht="12.75">
      <c r="B111" s="24"/>
      <c r="C111" s="24"/>
      <c r="D111" s="24"/>
      <c r="E111" s="24"/>
      <c r="H111" s="24"/>
      <c r="I111" s="24"/>
      <c r="J111" s="24"/>
      <c r="K111" s="24"/>
      <c r="N111" s="24"/>
      <c r="O111" s="24"/>
      <c r="P111" s="24"/>
      <c r="Q111" s="24"/>
      <c r="R111" s="24"/>
      <c r="U111" s="24"/>
      <c r="V111" s="24"/>
      <c r="W111" s="24"/>
      <c r="X111" s="24"/>
      <c r="Y111" s="24"/>
    </row>
    <row r="112" spans="2:25" ht="12.75">
      <c r="B112" s="24"/>
      <c r="C112" s="24"/>
      <c r="D112" s="24"/>
      <c r="E112" s="24"/>
      <c r="H112" s="24"/>
      <c r="I112" s="24"/>
      <c r="J112" s="24"/>
      <c r="K112" s="24"/>
      <c r="N112" s="24"/>
      <c r="O112" s="24"/>
      <c r="P112" s="24"/>
      <c r="Q112" s="24"/>
      <c r="R112" s="24"/>
      <c r="U112" s="24"/>
      <c r="V112" s="24"/>
      <c r="W112" s="24"/>
      <c r="X112" s="24"/>
      <c r="Y112" s="24"/>
    </row>
    <row r="113" spans="2:25" ht="12.75">
      <c r="B113" s="24"/>
      <c r="C113" s="24"/>
      <c r="D113" s="24"/>
      <c r="E113" s="24"/>
      <c r="H113" s="24"/>
      <c r="I113" s="24"/>
      <c r="J113" s="24"/>
      <c r="K113" s="24"/>
      <c r="N113" s="24"/>
      <c r="O113" s="24"/>
      <c r="P113" s="24"/>
      <c r="Q113" s="24"/>
      <c r="R113" s="24"/>
      <c r="U113" s="24"/>
      <c r="V113" s="24"/>
      <c r="W113" s="24"/>
      <c r="X113" s="24"/>
      <c r="Y113" s="24"/>
    </row>
    <row r="114" spans="2:25" ht="12.75">
      <c r="B114" s="24"/>
      <c r="C114" s="24"/>
      <c r="D114" s="24"/>
      <c r="E114" s="24"/>
      <c r="H114" s="24"/>
      <c r="I114" s="24"/>
      <c r="J114" s="24"/>
      <c r="K114" s="24"/>
      <c r="N114" s="24"/>
      <c r="O114" s="24"/>
      <c r="P114" s="24"/>
      <c r="Q114" s="24"/>
      <c r="R114" s="24"/>
      <c r="U114" s="24"/>
      <c r="V114" s="24"/>
      <c r="W114" s="24"/>
      <c r="X114" s="24"/>
      <c r="Y114" s="24"/>
    </row>
    <row r="115" spans="2:25" ht="12.75">
      <c r="B115" s="24"/>
      <c r="C115" s="24"/>
      <c r="D115" s="24"/>
      <c r="E115" s="24"/>
      <c r="H115" s="24"/>
      <c r="I115" s="24"/>
      <c r="J115" s="24"/>
      <c r="K115" s="24"/>
      <c r="N115" s="24"/>
      <c r="O115" s="24"/>
      <c r="P115" s="24"/>
      <c r="Q115" s="24"/>
      <c r="R115" s="24"/>
      <c r="U115" s="24"/>
      <c r="V115" s="24"/>
      <c r="W115" s="24"/>
      <c r="X115" s="24"/>
      <c r="Y115" s="24"/>
    </row>
    <row r="116" spans="2:25" ht="12.75">
      <c r="B116" s="24"/>
      <c r="C116" s="24"/>
      <c r="D116" s="24"/>
      <c r="E116" s="24"/>
      <c r="H116" s="24"/>
      <c r="I116" s="24"/>
      <c r="J116" s="24"/>
      <c r="K116" s="24"/>
      <c r="N116" s="24"/>
      <c r="O116" s="24"/>
      <c r="P116" s="24"/>
      <c r="Q116" s="24"/>
      <c r="R116" s="24"/>
      <c r="U116" s="24"/>
      <c r="V116" s="24"/>
      <c r="W116" s="24"/>
      <c r="X116" s="24"/>
      <c r="Y116" s="24"/>
    </row>
    <row r="117" spans="2:25" ht="12.75">
      <c r="B117" s="24"/>
      <c r="C117" s="24"/>
      <c r="D117" s="24"/>
      <c r="E117" s="24"/>
      <c r="H117" s="24"/>
      <c r="I117" s="24"/>
      <c r="J117" s="24"/>
      <c r="K117" s="24"/>
      <c r="N117" s="24"/>
      <c r="O117" s="24"/>
      <c r="P117" s="24"/>
      <c r="Q117" s="24"/>
      <c r="R117" s="24"/>
      <c r="U117" s="24"/>
      <c r="V117" s="24"/>
      <c r="W117" s="24"/>
      <c r="X117" s="24"/>
      <c r="Y117" s="24"/>
    </row>
    <row r="118" spans="2:25" ht="12.75">
      <c r="B118" s="24"/>
      <c r="C118" s="24"/>
      <c r="D118" s="24"/>
      <c r="E118" s="24"/>
      <c r="H118" s="24"/>
      <c r="I118" s="24"/>
      <c r="J118" s="24"/>
      <c r="K118" s="24"/>
      <c r="N118" s="24"/>
      <c r="O118" s="24"/>
      <c r="P118" s="24"/>
      <c r="Q118" s="24"/>
      <c r="R118" s="24"/>
      <c r="U118" s="24"/>
      <c r="V118" s="24"/>
      <c r="W118" s="24"/>
      <c r="X118" s="24"/>
      <c r="Y118" s="24"/>
    </row>
    <row r="119" spans="2:25" ht="12.75">
      <c r="B119" s="24"/>
      <c r="C119" s="24"/>
      <c r="D119" s="24"/>
      <c r="E119" s="24"/>
      <c r="H119" s="24"/>
      <c r="I119" s="24"/>
      <c r="J119" s="24"/>
      <c r="K119" s="24"/>
      <c r="N119" s="24"/>
      <c r="O119" s="24"/>
      <c r="P119" s="24"/>
      <c r="Q119" s="24"/>
      <c r="R119" s="24"/>
      <c r="U119" s="24"/>
      <c r="V119" s="24"/>
      <c r="W119" s="24"/>
      <c r="X119" s="24"/>
      <c r="Y119" s="24"/>
    </row>
    <row r="120" spans="2:25" ht="12.75">
      <c r="B120" s="24"/>
      <c r="C120" s="24"/>
      <c r="D120" s="24"/>
      <c r="E120" s="24"/>
      <c r="H120" s="24"/>
      <c r="I120" s="24"/>
      <c r="J120" s="24"/>
      <c r="K120" s="24"/>
      <c r="N120" s="24"/>
      <c r="O120" s="24"/>
      <c r="P120" s="24"/>
      <c r="Q120" s="24"/>
      <c r="R120" s="24"/>
      <c r="U120" s="24"/>
      <c r="V120" s="24"/>
      <c r="W120" s="24"/>
      <c r="X120" s="24"/>
      <c r="Y120" s="24"/>
    </row>
    <row r="121" spans="2:25" ht="12.75">
      <c r="B121" s="24"/>
      <c r="C121" s="24"/>
      <c r="D121" s="24"/>
      <c r="E121" s="24"/>
      <c r="H121" s="24"/>
      <c r="I121" s="24"/>
      <c r="J121" s="24"/>
      <c r="K121" s="24"/>
      <c r="N121" s="24"/>
      <c r="O121" s="24"/>
      <c r="P121" s="24"/>
      <c r="Q121" s="24"/>
      <c r="R121" s="24"/>
      <c r="U121" s="24"/>
      <c r="V121" s="24"/>
      <c r="W121" s="24"/>
      <c r="X121" s="24"/>
      <c r="Y121" s="24"/>
    </row>
    <row r="122" spans="2:25" ht="12.75">
      <c r="B122" s="24"/>
      <c r="C122" s="24"/>
      <c r="D122" s="24"/>
      <c r="E122" s="24"/>
      <c r="H122" s="24"/>
      <c r="I122" s="24"/>
      <c r="J122" s="24"/>
      <c r="K122" s="24"/>
      <c r="N122" s="24"/>
      <c r="O122" s="24"/>
      <c r="P122" s="24"/>
      <c r="Q122" s="24"/>
      <c r="R122" s="24"/>
      <c r="U122" s="24"/>
      <c r="V122" s="24"/>
      <c r="W122" s="24"/>
      <c r="X122" s="24"/>
      <c r="Y122" s="24"/>
    </row>
    <row r="123" spans="2:25" ht="12.75">
      <c r="B123" s="24"/>
      <c r="C123" s="24"/>
      <c r="D123" s="24"/>
      <c r="E123" s="24"/>
      <c r="H123" s="24"/>
      <c r="I123" s="24"/>
      <c r="J123" s="24"/>
      <c r="K123" s="24"/>
      <c r="N123" s="24"/>
      <c r="O123" s="24"/>
      <c r="P123" s="24"/>
      <c r="Q123" s="24"/>
      <c r="R123" s="24"/>
      <c r="U123" s="24"/>
      <c r="V123" s="24"/>
      <c r="W123" s="24"/>
      <c r="X123" s="24"/>
      <c r="Y123" s="24"/>
    </row>
    <row r="124" spans="2:25" ht="12.75">
      <c r="B124" s="24"/>
      <c r="C124" s="24"/>
      <c r="D124" s="24"/>
      <c r="E124" s="24"/>
      <c r="H124" s="24"/>
      <c r="I124" s="24"/>
      <c r="J124" s="24"/>
      <c r="K124" s="24"/>
      <c r="N124" s="24"/>
      <c r="O124" s="24"/>
      <c r="P124" s="24"/>
      <c r="Q124" s="24"/>
      <c r="R124" s="24"/>
      <c r="U124" s="24"/>
      <c r="V124" s="24"/>
      <c r="W124" s="24"/>
      <c r="X124" s="24"/>
      <c r="Y124" s="24"/>
    </row>
    <row r="125" spans="2:25" ht="12.75">
      <c r="B125" s="24"/>
      <c r="C125" s="24"/>
      <c r="D125" s="24"/>
      <c r="E125" s="24"/>
      <c r="H125" s="24"/>
      <c r="I125" s="24"/>
      <c r="J125" s="24"/>
      <c r="K125" s="24"/>
      <c r="N125" s="24"/>
      <c r="O125" s="24"/>
      <c r="P125" s="24"/>
      <c r="Q125" s="24"/>
      <c r="R125" s="24"/>
      <c r="U125" s="24"/>
      <c r="V125" s="24"/>
      <c r="W125" s="24"/>
      <c r="X125" s="24"/>
      <c r="Y125" s="24"/>
    </row>
    <row r="126" spans="2:25" ht="12.75">
      <c r="B126" s="24"/>
      <c r="C126" s="24"/>
      <c r="D126" s="24"/>
      <c r="E126" s="24"/>
      <c r="H126" s="24"/>
      <c r="I126" s="24"/>
      <c r="J126" s="24"/>
      <c r="K126" s="24"/>
      <c r="N126" s="24"/>
      <c r="O126" s="24"/>
      <c r="P126" s="24"/>
      <c r="Q126" s="24"/>
      <c r="R126" s="24"/>
      <c r="U126" s="24"/>
      <c r="V126" s="24"/>
      <c r="W126" s="24"/>
      <c r="X126" s="24"/>
      <c r="Y126" s="24"/>
    </row>
    <row r="127" spans="2:25" ht="12.75">
      <c r="B127" s="24"/>
      <c r="C127" s="24"/>
      <c r="D127" s="24"/>
      <c r="E127" s="24"/>
      <c r="H127" s="24"/>
      <c r="I127" s="24"/>
      <c r="J127" s="24"/>
      <c r="K127" s="24"/>
      <c r="N127" s="24"/>
      <c r="O127" s="24"/>
      <c r="P127" s="24"/>
      <c r="Q127" s="24"/>
      <c r="R127" s="24"/>
      <c r="U127" s="24"/>
      <c r="V127" s="24"/>
      <c r="W127" s="24"/>
      <c r="X127" s="24"/>
      <c r="Y127" s="24"/>
    </row>
    <row r="128" spans="2:25" ht="12.75">
      <c r="B128" s="24"/>
      <c r="C128" s="24"/>
      <c r="D128" s="24"/>
      <c r="E128" s="24"/>
      <c r="H128" s="24"/>
      <c r="I128" s="24"/>
      <c r="J128" s="24"/>
      <c r="K128" s="24"/>
      <c r="N128" s="24"/>
      <c r="O128" s="24"/>
      <c r="P128" s="24"/>
      <c r="Q128" s="24"/>
      <c r="R128" s="24"/>
      <c r="U128" s="24"/>
      <c r="V128" s="24"/>
      <c r="W128" s="24"/>
      <c r="X128" s="24"/>
      <c r="Y128" s="24"/>
    </row>
    <row r="129" spans="2:25" ht="12.75">
      <c r="B129" s="24"/>
      <c r="C129" s="24"/>
      <c r="D129" s="24"/>
      <c r="E129" s="24"/>
      <c r="H129" s="24"/>
      <c r="I129" s="24"/>
      <c r="J129" s="24"/>
      <c r="K129" s="24"/>
      <c r="N129" s="24"/>
      <c r="O129" s="24"/>
      <c r="P129" s="24"/>
      <c r="Q129" s="24"/>
      <c r="R129" s="24"/>
      <c r="U129" s="24"/>
      <c r="V129" s="24"/>
      <c r="W129" s="24"/>
      <c r="X129" s="24"/>
      <c r="Y129" s="24"/>
    </row>
    <row r="130" spans="2:25" ht="12.75">
      <c r="B130" s="24"/>
      <c r="C130" s="24"/>
      <c r="D130" s="24"/>
      <c r="E130" s="24"/>
      <c r="H130" s="24"/>
      <c r="I130" s="24"/>
      <c r="J130" s="24"/>
      <c r="K130" s="24"/>
      <c r="N130" s="24"/>
      <c r="O130" s="24"/>
      <c r="P130" s="24"/>
      <c r="Q130" s="24"/>
      <c r="R130" s="24"/>
      <c r="U130" s="24"/>
      <c r="V130" s="24"/>
      <c r="W130" s="24"/>
      <c r="X130" s="24"/>
      <c r="Y130" s="24"/>
    </row>
    <row r="131" spans="2:25" ht="12.75">
      <c r="B131" s="24"/>
      <c r="C131" s="24"/>
      <c r="D131" s="24"/>
      <c r="E131" s="24"/>
      <c r="H131" s="24"/>
      <c r="I131" s="24"/>
      <c r="J131" s="24"/>
      <c r="K131" s="24"/>
      <c r="N131" s="24"/>
      <c r="O131" s="24"/>
      <c r="P131" s="24"/>
      <c r="Q131" s="24"/>
      <c r="R131" s="24"/>
      <c r="U131" s="24"/>
      <c r="V131" s="24"/>
      <c r="W131" s="24"/>
      <c r="X131" s="24"/>
      <c r="Y131" s="24"/>
    </row>
    <row r="132" spans="2:25" ht="12.75">
      <c r="B132" s="24"/>
      <c r="C132" s="24"/>
      <c r="D132" s="24"/>
      <c r="E132" s="24"/>
      <c r="H132" s="24"/>
      <c r="I132" s="24"/>
      <c r="J132" s="24"/>
      <c r="K132" s="24"/>
      <c r="N132" s="24"/>
      <c r="O132" s="24"/>
      <c r="P132" s="24"/>
      <c r="Q132" s="24"/>
      <c r="R132" s="24"/>
      <c r="U132" s="24"/>
      <c r="V132" s="24"/>
      <c r="W132" s="24"/>
      <c r="X132" s="24"/>
      <c r="Y132" s="24"/>
    </row>
    <row r="133" spans="2:25" ht="12.75">
      <c r="B133" s="24"/>
      <c r="C133" s="24"/>
      <c r="D133" s="24"/>
      <c r="E133" s="24"/>
      <c r="H133" s="24"/>
      <c r="I133" s="24"/>
      <c r="J133" s="24"/>
      <c r="K133" s="24"/>
      <c r="N133" s="24"/>
      <c r="O133" s="24"/>
      <c r="P133" s="24"/>
      <c r="Q133" s="24"/>
      <c r="R133" s="24"/>
      <c r="U133" s="24"/>
      <c r="V133" s="24"/>
      <c r="W133" s="24"/>
      <c r="X133" s="24"/>
      <c r="Y133" s="24"/>
    </row>
    <row r="134" spans="2:25" ht="12.75">
      <c r="B134" s="24"/>
      <c r="C134" s="24"/>
      <c r="D134" s="24"/>
      <c r="E134" s="24"/>
      <c r="H134" s="24"/>
      <c r="I134" s="24"/>
      <c r="J134" s="24"/>
      <c r="K134" s="24"/>
      <c r="N134" s="24"/>
      <c r="O134" s="24"/>
      <c r="P134" s="24"/>
      <c r="Q134" s="24"/>
      <c r="R134" s="24"/>
      <c r="U134" s="24"/>
      <c r="V134" s="24"/>
      <c r="W134" s="24"/>
      <c r="X134" s="24"/>
      <c r="Y134" s="24"/>
    </row>
    <row r="135" spans="2:25" ht="12.75">
      <c r="B135" s="24"/>
      <c r="C135" s="24"/>
      <c r="D135" s="24"/>
      <c r="E135" s="24"/>
      <c r="H135" s="24"/>
      <c r="I135" s="24"/>
      <c r="J135" s="24"/>
      <c r="K135" s="24"/>
      <c r="N135" s="24"/>
      <c r="O135" s="24"/>
      <c r="P135" s="24"/>
      <c r="Q135" s="24"/>
      <c r="R135" s="24"/>
      <c r="U135" s="24"/>
      <c r="V135" s="24"/>
      <c r="W135" s="24"/>
      <c r="X135" s="24"/>
      <c r="Y135" s="24"/>
    </row>
    <row r="136" spans="2:25" ht="12.75">
      <c r="B136" s="24"/>
      <c r="C136" s="24"/>
      <c r="D136" s="24"/>
      <c r="E136" s="24"/>
      <c r="H136" s="24"/>
      <c r="I136" s="24"/>
      <c r="J136" s="24"/>
      <c r="K136" s="24"/>
      <c r="N136" s="24"/>
      <c r="O136" s="24"/>
      <c r="P136" s="24"/>
      <c r="Q136" s="24"/>
      <c r="R136" s="24"/>
      <c r="U136" s="24"/>
      <c r="V136" s="24"/>
      <c r="W136" s="24"/>
      <c r="X136" s="24"/>
      <c r="Y136" s="24"/>
    </row>
    <row r="137" spans="2:25" ht="12.75">
      <c r="B137" s="24"/>
      <c r="C137" s="24"/>
      <c r="D137" s="24"/>
      <c r="E137" s="24"/>
      <c r="H137" s="24"/>
      <c r="I137" s="24"/>
      <c r="J137" s="24"/>
      <c r="K137" s="24"/>
      <c r="N137" s="24"/>
      <c r="O137" s="24"/>
      <c r="P137" s="24"/>
      <c r="Q137" s="24"/>
      <c r="R137" s="24"/>
      <c r="U137" s="24"/>
      <c r="V137" s="24"/>
      <c r="W137" s="24"/>
      <c r="X137" s="24"/>
      <c r="Y137" s="24"/>
    </row>
    <row r="138" spans="2:25" ht="12.75">
      <c r="B138" s="24"/>
      <c r="C138" s="24"/>
      <c r="D138" s="24"/>
      <c r="E138" s="24"/>
      <c r="H138" s="24"/>
      <c r="I138" s="24"/>
      <c r="J138" s="24"/>
      <c r="K138" s="24"/>
      <c r="N138" s="24"/>
      <c r="O138" s="24"/>
      <c r="P138" s="24"/>
      <c r="Q138" s="24"/>
      <c r="R138" s="24"/>
      <c r="U138" s="24"/>
      <c r="V138" s="24"/>
      <c r="W138" s="24"/>
      <c r="X138" s="24"/>
      <c r="Y138" s="24"/>
    </row>
    <row r="139" spans="2:25" ht="12.75">
      <c r="B139" s="24"/>
      <c r="C139" s="24"/>
      <c r="D139" s="24"/>
      <c r="E139" s="24"/>
      <c r="H139" s="24"/>
      <c r="I139" s="24"/>
      <c r="J139" s="24"/>
      <c r="K139" s="24"/>
      <c r="N139" s="24"/>
      <c r="O139" s="24"/>
      <c r="P139" s="24"/>
      <c r="Q139" s="24"/>
      <c r="R139" s="24"/>
      <c r="U139" s="24"/>
      <c r="V139" s="24"/>
      <c r="W139" s="24"/>
      <c r="X139" s="24"/>
      <c r="Y139" s="24"/>
    </row>
    <row r="140" spans="2:25" ht="12.75">
      <c r="B140" s="24"/>
      <c r="C140" s="24"/>
      <c r="D140" s="24"/>
      <c r="E140" s="24"/>
      <c r="H140" s="24"/>
      <c r="I140" s="24"/>
      <c r="J140" s="24"/>
      <c r="K140" s="24"/>
      <c r="N140" s="24"/>
      <c r="O140" s="24"/>
      <c r="P140" s="24"/>
      <c r="Q140" s="24"/>
      <c r="R140" s="24"/>
      <c r="U140" s="24"/>
      <c r="V140" s="24"/>
      <c r="W140" s="24"/>
      <c r="X140" s="24"/>
      <c r="Y140" s="24"/>
    </row>
    <row r="141" spans="2:25" ht="12.75">
      <c r="B141" s="24"/>
      <c r="C141" s="24"/>
      <c r="D141" s="24"/>
      <c r="E141" s="24"/>
      <c r="H141" s="24"/>
      <c r="I141" s="24"/>
      <c r="J141" s="24"/>
      <c r="K141" s="24"/>
      <c r="N141" s="24"/>
      <c r="O141" s="24"/>
      <c r="P141" s="24"/>
      <c r="Q141" s="24"/>
      <c r="R141" s="24"/>
      <c r="U141" s="24"/>
      <c r="V141" s="24"/>
      <c r="W141" s="24"/>
      <c r="X141" s="24"/>
      <c r="Y141" s="24"/>
    </row>
    <row r="142" spans="2:25" ht="12.75">
      <c r="B142" s="24"/>
      <c r="C142" s="24"/>
      <c r="D142" s="24"/>
      <c r="E142" s="24"/>
      <c r="H142" s="24"/>
      <c r="I142" s="24"/>
      <c r="J142" s="24"/>
      <c r="K142" s="24"/>
      <c r="N142" s="24"/>
      <c r="O142" s="24"/>
      <c r="P142" s="24"/>
      <c r="Q142" s="24"/>
      <c r="R142" s="24"/>
      <c r="U142" s="24"/>
      <c r="V142" s="24"/>
      <c r="W142" s="24"/>
      <c r="X142" s="24"/>
      <c r="Y142" s="24"/>
    </row>
    <row r="143" spans="2:25" ht="12.75">
      <c r="B143" s="24"/>
      <c r="C143" s="24"/>
      <c r="D143" s="24"/>
      <c r="E143" s="24"/>
      <c r="H143" s="24"/>
      <c r="I143" s="24"/>
      <c r="J143" s="24"/>
      <c r="K143" s="24"/>
      <c r="N143" s="24"/>
      <c r="O143" s="24"/>
      <c r="P143" s="24"/>
      <c r="Q143" s="24"/>
      <c r="R143" s="24"/>
      <c r="U143" s="24"/>
      <c r="V143" s="24"/>
      <c r="W143" s="24"/>
      <c r="X143" s="24"/>
      <c r="Y143" s="24"/>
    </row>
    <row r="144" spans="2:25" ht="12.75">
      <c r="B144" s="24"/>
      <c r="C144" s="24"/>
      <c r="D144" s="24"/>
      <c r="E144" s="24"/>
      <c r="H144" s="24"/>
      <c r="I144" s="24"/>
      <c r="J144" s="24"/>
      <c r="K144" s="24"/>
      <c r="N144" s="24"/>
      <c r="O144" s="24"/>
      <c r="P144" s="24"/>
      <c r="Q144" s="24"/>
      <c r="R144" s="24"/>
      <c r="U144" s="24"/>
      <c r="V144" s="24"/>
      <c r="W144" s="24"/>
      <c r="X144" s="24"/>
      <c r="Y144" s="24"/>
    </row>
    <row r="145" spans="2:25" ht="12.75">
      <c r="B145" s="24"/>
      <c r="C145" s="24"/>
      <c r="D145" s="24"/>
      <c r="E145" s="24"/>
      <c r="H145" s="24"/>
      <c r="I145" s="24"/>
      <c r="J145" s="24"/>
      <c r="K145" s="24"/>
      <c r="N145" s="24"/>
      <c r="O145" s="24"/>
      <c r="P145" s="24"/>
      <c r="Q145" s="24"/>
      <c r="R145" s="24"/>
      <c r="U145" s="24"/>
      <c r="V145" s="24"/>
      <c r="W145" s="24"/>
      <c r="X145" s="24"/>
      <c r="Y145" s="24"/>
    </row>
    <row r="146" spans="2:25" ht="12.75">
      <c r="B146" s="24"/>
      <c r="C146" s="24"/>
      <c r="D146" s="24"/>
      <c r="E146" s="24"/>
      <c r="H146" s="24"/>
      <c r="I146" s="24"/>
      <c r="J146" s="24"/>
      <c r="K146" s="24"/>
      <c r="N146" s="24"/>
      <c r="O146" s="24"/>
      <c r="P146" s="24"/>
      <c r="Q146" s="24"/>
      <c r="R146" s="24"/>
      <c r="U146" s="24"/>
      <c r="V146" s="24"/>
      <c r="W146" s="24"/>
      <c r="X146" s="24"/>
      <c r="Y146" s="24"/>
    </row>
    <row r="147" spans="2:25" ht="12.75">
      <c r="B147" s="24"/>
      <c r="C147" s="24"/>
      <c r="D147" s="24"/>
      <c r="E147" s="24"/>
      <c r="H147" s="24"/>
      <c r="I147" s="24"/>
      <c r="J147" s="24"/>
      <c r="K147" s="24"/>
      <c r="N147" s="24"/>
      <c r="O147" s="24"/>
      <c r="P147" s="24"/>
      <c r="Q147" s="24"/>
      <c r="R147" s="24"/>
      <c r="U147" s="24"/>
      <c r="V147" s="24"/>
      <c r="W147" s="24"/>
      <c r="X147" s="24"/>
      <c r="Y147" s="24"/>
    </row>
    <row r="148" spans="2:25" ht="12.75">
      <c r="B148" s="24"/>
      <c r="C148" s="24"/>
      <c r="D148" s="24"/>
      <c r="E148" s="24"/>
      <c r="H148" s="24"/>
      <c r="I148" s="24"/>
      <c r="J148" s="24"/>
      <c r="K148" s="24"/>
      <c r="N148" s="24"/>
      <c r="O148" s="24"/>
      <c r="P148" s="24"/>
      <c r="Q148" s="24"/>
      <c r="R148" s="24"/>
      <c r="U148" s="24"/>
      <c r="V148" s="24"/>
      <c r="W148" s="24"/>
      <c r="X148" s="24"/>
      <c r="Y148" s="24"/>
    </row>
    <row r="149" spans="2:25" ht="12.75">
      <c r="B149" s="24"/>
      <c r="C149" s="24"/>
      <c r="D149" s="24"/>
      <c r="E149" s="24"/>
      <c r="H149" s="24"/>
      <c r="I149" s="24"/>
      <c r="J149" s="24"/>
      <c r="K149" s="24"/>
      <c r="N149" s="24"/>
      <c r="O149" s="24"/>
      <c r="P149" s="24"/>
      <c r="Q149" s="24"/>
      <c r="R149" s="24"/>
      <c r="U149" s="24"/>
      <c r="V149" s="24"/>
      <c r="W149" s="24"/>
      <c r="X149" s="24"/>
      <c r="Y149" s="24"/>
    </row>
    <row r="150" spans="2:25" ht="12.75">
      <c r="B150" s="24"/>
      <c r="C150" s="24"/>
      <c r="D150" s="24"/>
      <c r="E150" s="24"/>
      <c r="H150" s="24"/>
      <c r="I150" s="24"/>
      <c r="J150" s="24"/>
      <c r="K150" s="24"/>
      <c r="N150" s="24"/>
      <c r="O150" s="24"/>
      <c r="P150" s="24"/>
      <c r="Q150" s="24"/>
      <c r="R150" s="24"/>
      <c r="U150" s="24"/>
      <c r="V150" s="24"/>
      <c r="W150" s="24"/>
      <c r="X150" s="24"/>
      <c r="Y150" s="24"/>
    </row>
    <row r="151" spans="2:25" ht="12.75">
      <c r="B151" s="24"/>
      <c r="C151" s="24"/>
      <c r="D151" s="24"/>
      <c r="E151" s="24"/>
      <c r="H151" s="24"/>
      <c r="I151" s="24"/>
      <c r="J151" s="24"/>
      <c r="K151" s="24"/>
      <c r="N151" s="24"/>
      <c r="O151" s="24"/>
      <c r="P151" s="24"/>
      <c r="Q151" s="24"/>
      <c r="R151" s="24"/>
      <c r="U151" s="24"/>
      <c r="V151" s="24"/>
      <c r="W151" s="24"/>
      <c r="X151" s="24"/>
      <c r="Y151" s="24"/>
    </row>
    <row r="152" spans="2:25" ht="12.75">
      <c r="B152" s="24"/>
      <c r="C152" s="24"/>
      <c r="D152" s="24"/>
      <c r="E152" s="24"/>
      <c r="H152" s="24"/>
      <c r="I152" s="24"/>
      <c r="J152" s="24"/>
      <c r="K152" s="24"/>
      <c r="N152" s="24"/>
      <c r="O152" s="24"/>
      <c r="P152" s="24"/>
      <c r="Q152" s="24"/>
      <c r="R152" s="24"/>
      <c r="U152" s="24"/>
      <c r="V152" s="24"/>
      <c r="W152" s="24"/>
      <c r="X152" s="24"/>
      <c r="Y152" s="24"/>
    </row>
    <row r="153" spans="2:25" ht="12.75">
      <c r="B153" s="24"/>
      <c r="C153" s="24"/>
      <c r="D153" s="24"/>
      <c r="E153" s="24"/>
      <c r="H153" s="24"/>
      <c r="I153" s="24"/>
      <c r="J153" s="24"/>
      <c r="K153" s="24"/>
      <c r="N153" s="24"/>
      <c r="O153" s="24"/>
      <c r="P153" s="24"/>
      <c r="Q153" s="24"/>
      <c r="R153" s="24"/>
      <c r="U153" s="24"/>
      <c r="V153" s="24"/>
      <c r="W153" s="24"/>
      <c r="X153" s="24"/>
      <c r="Y153" s="24"/>
    </row>
    <row r="154" spans="2:25" ht="12.75">
      <c r="B154" s="24"/>
      <c r="C154" s="24"/>
      <c r="D154" s="24"/>
      <c r="E154" s="24"/>
      <c r="H154" s="24"/>
      <c r="I154" s="24"/>
      <c r="J154" s="24"/>
      <c r="K154" s="24"/>
      <c r="N154" s="24"/>
      <c r="O154" s="24"/>
      <c r="P154" s="24"/>
      <c r="Q154" s="24"/>
      <c r="R154" s="24"/>
      <c r="U154" s="24"/>
      <c r="V154" s="24"/>
      <c r="W154" s="24"/>
      <c r="X154" s="24"/>
      <c r="Y154" s="24"/>
    </row>
    <row r="155" spans="2:25" ht="12.75">
      <c r="B155" s="24"/>
      <c r="C155" s="24"/>
      <c r="D155" s="24"/>
      <c r="E155" s="24"/>
      <c r="H155" s="24"/>
      <c r="I155" s="24"/>
      <c r="J155" s="24"/>
      <c r="K155" s="24"/>
      <c r="N155" s="24"/>
      <c r="O155" s="24"/>
      <c r="P155" s="24"/>
      <c r="Q155" s="24"/>
      <c r="R155" s="24"/>
      <c r="U155" s="24"/>
      <c r="V155" s="24"/>
      <c r="W155" s="24"/>
      <c r="X155" s="24"/>
      <c r="Y155" s="24"/>
    </row>
    <row r="156" spans="2:25" ht="12.75">
      <c r="B156" s="24"/>
      <c r="C156" s="24"/>
      <c r="D156" s="24"/>
      <c r="E156" s="24"/>
      <c r="H156" s="24"/>
      <c r="I156" s="24"/>
      <c r="J156" s="24"/>
      <c r="K156" s="24"/>
      <c r="N156" s="24"/>
      <c r="O156" s="24"/>
      <c r="P156" s="24"/>
      <c r="Q156" s="24"/>
      <c r="R156" s="24"/>
      <c r="U156" s="24"/>
      <c r="V156" s="24"/>
      <c r="W156" s="24"/>
      <c r="X156" s="24"/>
      <c r="Y156" s="24"/>
    </row>
    <row r="157" spans="2:25" ht="12.75">
      <c r="B157" s="24"/>
      <c r="C157" s="24"/>
      <c r="D157" s="24"/>
      <c r="E157" s="24"/>
      <c r="H157" s="24"/>
      <c r="I157" s="24"/>
      <c r="J157" s="24"/>
      <c r="K157" s="24"/>
      <c r="N157" s="24"/>
      <c r="O157" s="24"/>
      <c r="P157" s="24"/>
      <c r="Q157" s="24"/>
      <c r="R157" s="24"/>
      <c r="U157" s="24"/>
      <c r="V157" s="24"/>
      <c r="W157" s="24"/>
      <c r="X157" s="24"/>
      <c r="Y157" s="24"/>
    </row>
    <row r="158" spans="2:25" ht="12.75">
      <c r="B158" s="24"/>
      <c r="C158" s="24"/>
      <c r="D158" s="24"/>
      <c r="E158" s="24"/>
      <c r="H158" s="24"/>
      <c r="I158" s="24"/>
      <c r="J158" s="24"/>
      <c r="K158" s="24"/>
      <c r="N158" s="24"/>
      <c r="O158" s="24"/>
      <c r="P158" s="24"/>
      <c r="Q158" s="24"/>
      <c r="R158" s="24"/>
      <c r="U158" s="24"/>
      <c r="V158" s="24"/>
      <c r="W158" s="24"/>
      <c r="X158" s="24"/>
      <c r="Y158" s="24"/>
    </row>
    <row r="159" spans="2:25" ht="12.75">
      <c r="B159" s="24"/>
      <c r="C159" s="24"/>
      <c r="D159" s="24"/>
      <c r="E159" s="24"/>
      <c r="H159" s="24"/>
      <c r="I159" s="24"/>
      <c r="J159" s="24"/>
      <c r="K159" s="24"/>
      <c r="N159" s="24"/>
      <c r="O159" s="24"/>
      <c r="P159" s="24"/>
      <c r="Q159" s="24"/>
      <c r="R159" s="24"/>
      <c r="U159" s="24"/>
      <c r="V159" s="24"/>
      <c r="W159" s="24"/>
      <c r="X159" s="24"/>
      <c r="Y159" s="24"/>
    </row>
    <row r="160" spans="2:25" ht="12.75">
      <c r="B160" s="24"/>
      <c r="C160" s="24"/>
      <c r="D160" s="24"/>
      <c r="E160" s="24"/>
      <c r="H160" s="24"/>
      <c r="I160" s="24"/>
      <c r="J160" s="24"/>
      <c r="K160" s="24"/>
      <c r="N160" s="24"/>
      <c r="O160" s="24"/>
      <c r="P160" s="24"/>
      <c r="Q160" s="24"/>
      <c r="R160" s="24"/>
      <c r="U160" s="24"/>
      <c r="V160" s="24"/>
      <c r="W160" s="24"/>
      <c r="X160" s="24"/>
      <c r="Y160" s="24"/>
    </row>
    <row r="161" spans="2:25" ht="12.75">
      <c r="B161" s="24"/>
      <c r="C161" s="24"/>
      <c r="D161" s="24"/>
      <c r="E161" s="24"/>
      <c r="H161" s="24"/>
      <c r="I161" s="24"/>
      <c r="J161" s="24"/>
      <c r="K161" s="24"/>
      <c r="N161" s="24"/>
      <c r="O161" s="24"/>
      <c r="P161" s="24"/>
      <c r="Q161" s="24"/>
      <c r="R161" s="24"/>
      <c r="U161" s="24"/>
      <c r="V161" s="24"/>
      <c r="W161" s="24"/>
      <c r="X161" s="24"/>
      <c r="Y161" s="24"/>
    </row>
    <row r="162" spans="2:25" ht="12.75">
      <c r="B162" s="24"/>
      <c r="C162" s="24"/>
      <c r="D162" s="24"/>
      <c r="E162" s="24"/>
      <c r="H162" s="24"/>
      <c r="I162" s="24"/>
      <c r="J162" s="24"/>
      <c r="K162" s="24"/>
      <c r="N162" s="24"/>
      <c r="O162" s="24"/>
      <c r="P162" s="24"/>
      <c r="Q162" s="24"/>
      <c r="R162" s="24"/>
      <c r="U162" s="24"/>
      <c r="V162" s="24"/>
      <c r="W162" s="24"/>
      <c r="X162" s="24"/>
      <c r="Y162" s="24"/>
    </row>
    <row r="163" spans="2:25" ht="12.75">
      <c r="B163" s="24"/>
      <c r="C163" s="24"/>
      <c r="D163" s="24"/>
      <c r="E163" s="24"/>
      <c r="H163" s="24"/>
      <c r="I163" s="24"/>
      <c r="J163" s="24"/>
      <c r="K163" s="24"/>
      <c r="N163" s="24"/>
      <c r="O163" s="24"/>
      <c r="P163" s="24"/>
      <c r="Q163" s="24"/>
      <c r="R163" s="24"/>
      <c r="U163" s="24"/>
      <c r="V163" s="24"/>
      <c r="W163" s="24"/>
      <c r="X163" s="24"/>
      <c r="Y163" s="24"/>
    </row>
    <row r="164" spans="2:25" ht="12.75">
      <c r="B164" s="24"/>
      <c r="C164" s="24"/>
      <c r="D164" s="24"/>
      <c r="E164" s="24"/>
      <c r="H164" s="24"/>
      <c r="I164" s="24"/>
      <c r="J164" s="24"/>
      <c r="K164" s="24"/>
      <c r="N164" s="24"/>
      <c r="O164" s="24"/>
      <c r="P164" s="24"/>
      <c r="Q164" s="24"/>
      <c r="R164" s="24"/>
      <c r="U164" s="24"/>
      <c r="V164" s="24"/>
      <c r="W164" s="24"/>
      <c r="X164" s="24"/>
      <c r="Y164" s="24"/>
    </row>
    <row r="165" spans="2:25" ht="12.75">
      <c r="B165" s="24"/>
      <c r="C165" s="24"/>
      <c r="D165" s="24"/>
      <c r="E165" s="24"/>
      <c r="H165" s="24"/>
      <c r="I165" s="24"/>
      <c r="J165" s="24"/>
      <c r="K165" s="24"/>
      <c r="N165" s="24"/>
      <c r="O165" s="24"/>
      <c r="P165" s="24"/>
      <c r="Q165" s="24"/>
      <c r="R165" s="24"/>
      <c r="U165" s="24"/>
      <c r="V165" s="24"/>
      <c r="W165" s="24"/>
      <c r="X165" s="24"/>
      <c r="Y165" s="24"/>
    </row>
    <row r="166" spans="2:25" ht="12.75">
      <c r="B166" s="24"/>
      <c r="C166" s="24"/>
      <c r="D166" s="24"/>
      <c r="E166" s="24"/>
      <c r="H166" s="24"/>
      <c r="I166" s="24"/>
      <c r="J166" s="24"/>
      <c r="K166" s="24"/>
      <c r="N166" s="24"/>
      <c r="O166" s="24"/>
      <c r="P166" s="24"/>
      <c r="Q166" s="24"/>
      <c r="R166" s="24"/>
      <c r="U166" s="24"/>
      <c r="V166" s="24"/>
      <c r="W166" s="24"/>
      <c r="X166" s="24"/>
      <c r="Y166" s="24"/>
    </row>
    <row r="167" spans="2:25" ht="12.75">
      <c r="B167" s="24"/>
      <c r="C167" s="24"/>
      <c r="D167" s="24"/>
      <c r="E167" s="24"/>
      <c r="H167" s="24"/>
      <c r="I167" s="24"/>
      <c r="J167" s="24"/>
      <c r="K167" s="24"/>
      <c r="N167" s="24"/>
      <c r="O167" s="24"/>
      <c r="P167" s="24"/>
      <c r="Q167" s="24"/>
      <c r="R167" s="24"/>
      <c r="U167" s="24"/>
      <c r="V167" s="24"/>
      <c r="W167" s="24"/>
      <c r="X167" s="24"/>
      <c r="Y167" s="24"/>
    </row>
    <row r="168" spans="2:25" ht="12.75">
      <c r="B168" s="24"/>
      <c r="C168" s="24"/>
      <c r="D168" s="24"/>
      <c r="E168" s="24"/>
      <c r="H168" s="24"/>
      <c r="I168" s="24"/>
      <c r="J168" s="24"/>
      <c r="K168" s="24"/>
      <c r="N168" s="24"/>
      <c r="O168" s="24"/>
      <c r="P168" s="24"/>
      <c r="Q168" s="24"/>
      <c r="R168" s="24"/>
      <c r="U168" s="24"/>
      <c r="V168" s="24"/>
      <c r="W168" s="24"/>
      <c r="X168" s="24"/>
      <c r="Y168" s="24"/>
    </row>
    <row r="169" spans="2:25" ht="12.75">
      <c r="B169" s="24"/>
      <c r="C169" s="24"/>
      <c r="D169" s="24"/>
      <c r="E169" s="24"/>
      <c r="H169" s="24"/>
      <c r="I169" s="24"/>
      <c r="J169" s="24"/>
      <c r="K169" s="24"/>
      <c r="N169" s="24"/>
      <c r="O169" s="24"/>
      <c r="P169" s="24"/>
      <c r="Q169" s="24"/>
      <c r="R169" s="24"/>
      <c r="U169" s="24"/>
      <c r="V169" s="24"/>
      <c r="W169" s="24"/>
      <c r="X169" s="24"/>
      <c r="Y169" s="24"/>
    </row>
    <row r="170" spans="2:25" ht="12.75">
      <c r="B170" s="24"/>
      <c r="C170" s="24"/>
      <c r="D170" s="24"/>
      <c r="E170" s="24"/>
      <c r="H170" s="24"/>
      <c r="I170" s="24"/>
      <c r="J170" s="24"/>
      <c r="K170" s="24"/>
      <c r="N170" s="24"/>
      <c r="O170" s="24"/>
      <c r="P170" s="24"/>
      <c r="Q170" s="24"/>
      <c r="R170" s="24"/>
      <c r="U170" s="24"/>
      <c r="V170" s="24"/>
      <c r="W170" s="24"/>
      <c r="X170" s="24"/>
      <c r="Y170" s="24"/>
    </row>
    <row r="171" spans="2:25" ht="12.75">
      <c r="B171" s="24"/>
      <c r="C171" s="24"/>
      <c r="D171" s="24"/>
      <c r="E171" s="24"/>
      <c r="H171" s="24"/>
      <c r="I171" s="24"/>
      <c r="J171" s="24"/>
      <c r="K171" s="24"/>
      <c r="N171" s="24"/>
      <c r="O171" s="24"/>
      <c r="P171" s="24"/>
      <c r="Q171" s="24"/>
      <c r="R171" s="24"/>
      <c r="U171" s="24"/>
      <c r="V171" s="24"/>
      <c r="W171" s="24"/>
      <c r="X171" s="24"/>
      <c r="Y171" s="24"/>
    </row>
    <row r="172" spans="2:25" ht="12.75">
      <c r="B172" s="24"/>
      <c r="C172" s="24"/>
      <c r="D172" s="24"/>
      <c r="E172" s="24"/>
      <c r="H172" s="24"/>
      <c r="I172" s="24"/>
      <c r="J172" s="24"/>
      <c r="K172" s="24"/>
      <c r="N172" s="24"/>
      <c r="O172" s="24"/>
      <c r="P172" s="24"/>
      <c r="Q172" s="24"/>
      <c r="R172" s="24"/>
      <c r="U172" s="24"/>
      <c r="V172" s="24"/>
      <c r="W172" s="24"/>
      <c r="X172" s="24"/>
      <c r="Y172" s="24"/>
    </row>
    <row r="173" spans="2:25" ht="12.75">
      <c r="B173" s="24"/>
      <c r="C173" s="24"/>
      <c r="D173" s="24"/>
      <c r="E173" s="24"/>
      <c r="H173" s="24"/>
      <c r="I173" s="24"/>
      <c r="J173" s="24"/>
      <c r="K173" s="24"/>
      <c r="N173" s="24"/>
      <c r="O173" s="24"/>
      <c r="P173" s="24"/>
      <c r="Q173" s="24"/>
      <c r="R173" s="24"/>
      <c r="U173" s="24"/>
      <c r="V173" s="24"/>
      <c r="W173" s="24"/>
      <c r="X173" s="24"/>
      <c r="Y173" s="24"/>
    </row>
    <row r="174" spans="2:25" ht="12.75">
      <c r="B174" s="24"/>
      <c r="C174" s="24"/>
      <c r="D174" s="24"/>
      <c r="E174" s="24"/>
      <c r="H174" s="24"/>
      <c r="I174" s="24"/>
      <c r="J174" s="24"/>
      <c r="K174" s="24"/>
      <c r="N174" s="24"/>
      <c r="O174" s="24"/>
      <c r="P174" s="24"/>
      <c r="Q174" s="24"/>
      <c r="R174" s="24"/>
      <c r="U174" s="24"/>
      <c r="V174" s="24"/>
      <c r="W174" s="24"/>
      <c r="X174" s="24"/>
      <c r="Y174" s="24"/>
    </row>
    <row r="175" spans="2:25" ht="12.75">
      <c r="B175" s="24"/>
      <c r="C175" s="24"/>
      <c r="D175" s="24"/>
      <c r="E175" s="24"/>
      <c r="H175" s="24"/>
      <c r="I175" s="24"/>
      <c r="J175" s="24"/>
      <c r="K175" s="24"/>
      <c r="N175" s="24"/>
      <c r="O175" s="24"/>
      <c r="P175" s="24"/>
      <c r="Q175" s="24"/>
      <c r="R175" s="24"/>
      <c r="U175" s="24"/>
      <c r="V175" s="24"/>
      <c r="W175" s="24"/>
      <c r="X175" s="24"/>
      <c r="Y175" s="24"/>
    </row>
    <row r="176" spans="2:25" ht="12.75">
      <c r="B176" s="24"/>
      <c r="C176" s="24"/>
      <c r="D176" s="24"/>
      <c r="E176" s="24"/>
      <c r="H176" s="24"/>
      <c r="I176" s="24"/>
      <c r="J176" s="24"/>
      <c r="K176" s="24"/>
      <c r="N176" s="24"/>
      <c r="O176" s="24"/>
      <c r="P176" s="24"/>
      <c r="Q176" s="24"/>
      <c r="R176" s="24"/>
      <c r="U176" s="24"/>
      <c r="V176" s="24"/>
      <c r="W176" s="24"/>
      <c r="X176" s="24"/>
      <c r="Y176" s="24"/>
    </row>
    <row r="177" spans="2:25" ht="12.75">
      <c r="B177" s="24"/>
      <c r="C177" s="24"/>
      <c r="D177" s="24"/>
      <c r="E177" s="24"/>
      <c r="H177" s="24"/>
      <c r="I177" s="24"/>
      <c r="J177" s="24"/>
      <c r="K177" s="24"/>
      <c r="N177" s="24"/>
      <c r="O177" s="24"/>
      <c r="P177" s="24"/>
      <c r="Q177" s="24"/>
      <c r="R177" s="24"/>
      <c r="U177" s="24"/>
      <c r="V177" s="24"/>
      <c r="W177" s="24"/>
      <c r="X177" s="24"/>
      <c r="Y177" s="24"/>
    </row>
    <row r="178" spans="2:25" ht="12.75">
      <c r="B178" s="24"/>
      <c r="C178" s="24"/>
      <c r="D178" s="24"/>
      <c r="E178" s="24"/>
      <c r="H178" s="24"/>
      <c r="I178" s="24"/>
      <c r="J178" s="24"/>
      <c r="K178" s="24"/>
      <c r="N178" s="24"/>
      <c r="O178" s="24"/>
      <c r="P178" s="24"/>
      <c r="Q178" s="24"/>
      <c r="R178" s="24"/>
      <c r="U178" s="24"/>
      <c r="V178" s="24"/>
      <c r="W178" s="24"/>
      <c r="X178" s="24"/>
      <c r="Y178" s="24"/>
    </row>
    <row r="179" spans="2:25" ht="12.75">
      <c r="B179" s="24"/>
      <c r="C179" s="24"/>
      <c r="D179" s="24"/>
      <c r="E179" s="24"/>
      <c r="H179" s="24"/>
      <c r="I179" s="24"/>
      <c r="J179" s="24"/>
      <c r="K179" s="24"/>
      <c r="N179" s="24"/>
      <c r="O179" s="24"/>
      <c r="P179" s="24"/>
      <c r="Q179" s="24"/>
      <c r="R179" s="24"/>
      <c r="U179" s="24"/>
      <c r="V179" s="24"/>
      <c r="W179" s="24"/>
      <c r="X179" s="24"/>
      <c r="Y179" s="24"/>
    </row>
    <row r="180" spans="2:25" ht="12.75">
      <c r="B180" s="24"/>
      <c r="C180" s="24"/>
      <c r="D180" s="24"/>
      <c r="E180" s="24"/>
      <c r="H180" s="24"/>
      <c r="I180" s="24"/>
      <c r="J180" s="24"/>
      <c r="K180" s="24"/>
      <c r="N180" s="24"/>
      <c r="O180" s="24"/>
      <c r="P180" s="24"/>
      <c r="Q180" s="24"/>
      <c r="R180" s="24"/>
      <c r="U180" s="24"/>
      <c r="V180" s="24"/>
      <c r="W180" s="24"/>
      <c r="X180" s="24"/>
      <c r="Y180" s="24"/>
    </row>
    <row r="181" spans="2:25" ht="12.75">
      <c r="B181" s="24"/>
      <c r="C181" s="24"/>
      <c r="D181" s="24"/>
      <c r="E181" s="24"/>
      <c r="H181" s="24"/>
      <c r="I181" s="24"/>
      <c r="J181" s="24"/>
      <c r="K181" s="24"/>
      <c r="N181" s="24"/>
      <c r="O181" s="24"/>
      <c r="P181" s="24"/>
      <c r="Q181" s="24"/>
      <c r="R181" s="24"/>
      <c r="U181" s="24"/>
      <c r="V181" s="24"/>
      <c r="W181" s="24"/>
      <c r="X181" s="24"/>
      <c r="Y181" s="24"/>
    </row>
    <row r="182" spans="2:25" ht="12.75">
      <c r="B182" s="24"/>
      <c r="C182" s="24"/>
      <c r="D182" s="24"/>
      <c r="E182" s="24"/>
      <c r="H182" s="24"/>
      <c r="I182" s="24"/>
      <c r="J182" s="24"/>
      <c r="K182" s="24"/>
      <c r="N182" s="24"/>
      <c r="O182" s="24"/>
      <c r="P182" s="24"/>
      <c r="Q182" s="24"/>
      <c r="R182" s="24"/>
      <c r="U182" s="24"/>
      <c r="V182" s="24"/>
      <c r="W182" s="24"/>
      <c r="X182" s="24"/>
      <c r="Y182" s="24"/>
    </row>
    <row r="183" spans="2:25" ht="12.75">
      <c r="B183" s="24"/>
      <c r="C183" s="24"/>
      <c r="D183" s="24"/>
      <c r="E183" s="24"/>
      <c r="H183" s="24"/>
      <c r="I183" s="24"/>
      <c r="J183" s="24"/>
      <c r="K183" s="24"/>
      <c r="N183" s="24"/>
      <c r="O183" s="24"/>
      <c r="P183" s="24"/>
      <c r="Q183" s="24"/>
      <c r="R183" s="24"/>
      <c r="U183" s="24"/>
      <c r="V183" s="24"/>
      <c r="W183" s="24"/>
      <c r="X183" s="24"/>
      <c r="Y183" s="24"/>
    </row>
    <row r="184" spans="2:25" ht="12.75">
      <c r="B184" s="24"/>
      <c r="C184" s="24"/>
      <c r="D184" s="24"/>
      <c r="E184" s="24"/>
      <c r="H184" s="24"/>
      <c r="I184" s="24"/>
      <c r="J184" s="24"/>
      <c r="K184" s="24"/>
      <c r="N184" s="24"/>
      <c r="O184" s="24"/>
      <c r="P184" s="24"/>
      <c r="Q184" s="24"/>
      <c r="R184" s="24"/>
      <c r="U184" s="24"/>
      <c r="V184" s="24"/>
      <c r="W184" s="24"/>
      <c r="X184" s="24"/>
      <c r="Y184" s="24"/>
    </row>
    <row r="185" spans="2:25" ht="12.75">
      <c r="B185" s="24"/>
      <c r="C185" s="24"/>
      <c r="D185" s="24"/>
      <c r="E185" s="24"/>
      <c r="H185" s="24"/>
      <c r="I185" s="24"/>
      <c r="J185" s="24"/>
      <c r="K185" s="24"/>
      <c r="N185" s="24"/>
      <c r="O185" s="24"/>
      <c r="P185" s="24"/>
      <c r="Q185" s="24"/>
      <c r="R185" s="24"/>
      <c r="U185" s="24"/>
      <c r="V185" s="24"/>
      <c r="W185" s="24"/>
      <c r="X185" s="24"/>
      <c r="Y185" s="24"/>
    </row>
    <row r="186" spans="2:25" ht="12.75">
      <c r="B186" s="24"/>
      <c r="C186" s="24"/>
      <c r="D186" s="24"/>
      <c r="E186" s="24"/>
      <c r="H186" s="24"/>
      <c r="I186" s="24"/>
      <c r="J186" s="24"/>
      <c r="K186" s="24"/>
      <c r="N186" s="24"/>
      <c r="O186" s="24"/>
      <c r="P186" s="24"/>
      <c r="Q186" s="24"/>
      <c r="R186" s="24"/>
      <c r="U186" s="24"/>
      <c r="V186" s="24"/>
      <c r="W186" s="24"/>
      <c r="X186" s="24"/>
      <c r="Y186" s="24"/>
    </row>
    <row r="187" spans="2:25" ht="12.75">
      <c r="B187" s="24"/>
      <c r="C187" s="24"/>
      <c r="D187" s="24"/>
      <c r="E187" s="24"/>
      <c r="H187" s="24"/>
      <c r="I187" s="24"/>
      <c r="J187" s="24"/>
      <c r="K187" s="24"/>
      <c r="N187" s="24"/>
      <c r="O187" s="24"/>
      <c r="P187" s="24"/>
      <c r="Q187" s="24"/>
      <c r="R187" s="24"/>
      <c r="U187" s="24"/>
      <c r="V187" s="24"/>
      <c r="W187" s="24"/>
      <c r="X187" s="24"/>
      <c r="Y187" s="24"/>
    </row>
    <row r="188" spans="2:25" ht="12.75">
      <c r="B188" s="24"/>
      <c r="C188" s="24"/>
      <c r="D188" s="24"/>
      <c r="E188" s="24"/>
      <c r="H188" s="24"/>
      <c r="I188" s="24"/>
      <c r="J188" s="24"/>
      <c r="K188" s="24"/>
      <c r="N188" s="24"/>
      <c r="O188" s="24"/>
      <c r="P188" s="24"/>
      <c r="Q188" s="24"/>
      <c r="R188" s="24"/>
      <c r="U188" s="24"/>
      <c r="V188" s="24"/>
      <c r="W188" s="24"/>
      <c r="X188" s="24"/>
      <c r="Y188" s="24"/>
    </row>
    <row r="189" spans="2:25" ht="12.75">
      <c r="B189" s="24"/>
      <c r="C189" s="24"/>
      <c r="D189" s="24"/>
      <c r="E189" s="24"/>
      <c r="H189" s="24"/>
      <c r="I189" s="24"/>
      <c r="J189" s="24"/>
      <c r="K189" s="24"/>
      <c r="N189" s="24"/>
      <c r="O189" s="24"/>
      <c r="P189" s="24"/>
      <c r="Q189" s="24"/>
      <c r="R189" s="24"/>
      <c r="U189" s="24"/>
      <c r="V189" s="24"/>
      <c r="W189" s="24"/>
      <c r="X189" s="24"/>
      <c r="Y189" s="24"/>
    </row>
    <row r="190" spans="2:25" ht="12.75">
      <c r="B190" s="24"/>
      <c r="C190" s="24"/>
      <c r="D190" s="24"/>
      <c r="E190" s="24"/>
      <c r="H190" s="24"/>
      <c r="I190" s="24"/>
      <c r="J190" s="24"/>
      <c r="K190" s="24"/>
      <c r="N190" s="24"/>
      <c r="O190" s="24"/>
      <c r="P190" s="24"/>
      <c r="Q190" s="24"/>
      <c r="R190" s="24"/>
      <c r="U190" s="24"/>
      <c r="V190" s="24"/>
      <c r="W190" s="24"/>
      <c r="X190" s="24"/>
      <c r="Y190" s="24"/>
    </row>
    <row r="191" spans="2:25" ht="12.75">
      <c r="B191" s="24"/>
      <c r="C191" s="24"/>
      <c r="D191" s="24"/>
      <c r="E191" s="24"/>
      <c r="H191" s="24"/>
      <c r="I191" s="24"/>
      <c r="J191" s="24"/>
      <c r="K191" s="24"/>
      <c r="N191" s="24"/>
      <c r="O191" s="24"/>
      <c r="P191" s="24"/>
      <c r="Q191" s="24"/>
      <c r="R191" s="24"/>
      <c r="U191" s="24"/>
      <c r="V191" s="24"/>
      <c r="W191" s="24"/>
      <c r="X191" s="24"/>
      <c r="Y191" s="24"/>
    </row>
    <row r="192" spans="2:25" ht="12.75">
      <c r="B192" s="24"/>
      <c r="C192" s="24"/>
      <c r="D192" s="24"/>
      <c r="E192" s="24"/>
      <c r="H192" s="24"/>
      <c r="I192" s="24"/>
      <c r="J192" s="24"/>
      <c r="K192" s="24"/>
      <c r="N192" s="24"/>
      <c r="O192" s="24"/>
      <c r="P192" s="24"/>
      <c r="Q192" s="24"/>
      <c r="R192" s="24"/>
      <c r="U192" s="24"/>
      <c r="V192" s="24"/>
      <c r="W192" s="24"/>
      <c r="X192" s="24"/>
      <c r="Y192" s="24"/>
    </row>
    <row r="193" spans="2:25" ht="12.75">
      <c r="B193" s="24"/>
      <c r="C193" s="24"/>
      <c r="D193" s="24"/>
      <c r="E193" s="24"/>
      <c r="H193" s="24"/>
      <c r="I193" s="24"/>
      <c r="J193" s="24"/>
      <c r="K193" s="24"/>
      <c r="N193" s="24"/>
      <c r="O193" s="24"/>
      <c r="P193" s="24"/>
      <c r="Q193" s="24"/>
      <c r="R193" s="24"/>
      <c r="U193" s="24"/>
      <c r="V193" s="24"/>
      <c r="W193" s="24"/>
      <c r="X193" s="24"/>
      <c r="Y193" s="24"/>
    </row>
    <row r="194" spans="2:25" ht="12.75">
      <c r="B194" s="24"/>
      <c r="C194" s="24"/>
      <c r="D194" s="24"/>
      <c r="E194" s="24"/>
      <c r="H194" s="24"/>
      <c r="I194" s="24"/>
      <c r="J194" s="24"/>
      <c r="K194" s="24"/>
      <c r="N194" s="24"/>
      <c r="O194" s="24"/>
      <c r="P194" s="24"/>
      <c r="Q194" s="24"/>
      <c r="R194" s="24"/>
      <c r="U194" s="24"/>
      <c r="V194" s="24"/>
      <c r="W194" s="24"/>
      <c r="X194" s="24"/>
      <c r="Y194" s="24"/>
    </row>
    <row r="195" spans="2:25" ht="12.75">
      <c r="B195" s="24"/>
      <c r="C195" s="24"/>
      <c r="D195" s="24"/>
      <c r="E195" s="24"/>
      <c r="H195" s="24"/>
      <c r="I195" s="24"/>
      <c r="J195" s="24"/>
      <c r="K195" s="24"/>
      <c r="N195" s="24"/>
      <c r="O195" s="24"/>
      <c r="P195" s="24"/>
      <c r="Q195" s="24"/>
      <c r="R195" s="24"/>
      <c r="U195" s="24"/>
      <c r="V195" s="24"/>
      <c r="W195" s="24"/>
      <c r="X195" s="24"/>
      <c r="Y195" s="24"/>
    </row>
    <row r="196" spans="2:25" ht="12.75">
      <c r="B196" s="24"/>
      <c r="C196" s="24"/>
      <c r="D196" s="24"/>
      <c r="E196" s="24"/>
      <c r="H196" s="24"/>
      <c r="I196" s="24"/>
      <c r="J196" s="24"/>
      <c r="K196" s="24"/>
      <c r="N196" s="24"/>
      <c r="O196" s="24"/>
      <c r="P196" s="24"/>
      <c r="Q196" s="24"/>
      <c r="R196" s="24"/>
      <c r="U196" s="24"/>
      <c r="V196" s="24"/>
      <c r="W196" s="24"/>
      <c r="X196" s="24"/>
      <c r="Y196" s="24"/>
    </row>
    <row r="197" spans="2:25" ht="12.75">
      <c r="B197" s="24"/>
      <c r="C197" s="24"/>
      <c r="D197" s="24"/>
      <c r="E197" s="24"/>
      <c r="H197" s="24"/>
      <c r="I197" s="24"/>
      <c r="J197" s="24"/>
      <c r="K197" s="24"/>
      <c r="N197" s="24"/>
      <c r="O197" s="24"/>
      <c r="P197" s="24"/>
      <c r="Q197" s="24"/>
      <c r="R197" s="24"/>
      <c r="U197" s="24"/>
      <c r="V197" s="24"/>
      <c r="W197" s="24"/>
      <c r="X197" s="24"/>
      <c r="Y197" s="24"/>
    </row>
    <row r="198" spans="2:25" ht="12.75">
      <c r="B198" s="24"/>
      <c r="C198" s="24"/>
      <c r="D198" s="24"/>
      <c r="E198" s="24"/>
      <c r="H198" s="24"/>
      <c r="I198" s="24"/>
      <c r="J198" s="24"/>
      <c r="K198" s="24"/>
      <c r="N198" s="24"/>
      <c r="O198" s="24"/>
      <c r="P198" s="24"/>
      <c r="Q198" s="24"/>
      <c r="R198" s="24"/>
      <c r="U198" s="24"/>
      <c r="V198" s="24"/>
      <c r="W198" s="24"/>
      <c r="X198" s="24"/>
      <c r="Y198" s="24"/>
    </row>
    <row r="199" spans="2:25" ht="12.75">
      <c r="B199" s="24"/>
      <c r="C199" s="24"/>
      <c r="D199" s="24"/>
      <c r="E199" s="24"/>
      <c r="H199" s="24"/>
      <c r="I199" s="24"/>
      <c r="J199" s="24"/>
      <c r="K199" s="24"/>
      <c r="N199" s="24"/>
      <c r="O199" s="24"/>
      <c r="P199" s="24"/>
      <c r="Q199" s="24"/>
      <c r="R199" s="24"/>
      <c r="U199" s="24"/>
      <c r="V199" s="24"/>
      <c r="W199" s="24"/>
      <c r="X199" s="24"/>
      <c r="Y199" s="24"/>
    </row>
    <row r="200" spans="2:25" ht="12.75">
      <c r="B200" s="24"/>
      <c r="C200" s="24"/>
      <c r="D200" s="24"/>
      <c r="E200" s="24"/>
      <c r="H200" s="24"/>
      <c r="I200" s="24"/>
      <c r="J200" s="24"/>
      <c r="K200" s="24"/>
      <c r="N200" s="24"/>
      <c r="O200" s="24"/>
      <c r="P200" s="24"/>
      <c r="Q200" s="24"/>
      <c r="R200" s="24"/>
      <c r="U200" s="24"/>
      <c r="V200" s="24"/>
      <c r="W200" s="24"/>
      <c r="X200" s="24"/>
      <c r="Y200" s="24"/>
    </row>
    <row r="201" spans="2:25" ht="12.75">
      <c r="B201" s="24"/>
      <c r="C201" s="24"/>
      <c r="D201" s="24"/>
      <c r="E201" s="24"/>
      <c r="H201" s="24"/>
      <c r="I201" s="24"/>
      <c r="J201" s="24"/>
      <c r="K201" s="24"/>
      <c r="N201" s="24"/>
      <c r="O201" s="24"/>
      <c r="P201" s="24"/>
      <c r="Q201" s="24"/>
      <c r="R201" s="24"/>
      <c r="U201" s="24"/>
      <c r="V201" s="24"/>
      <c r="W201" s="24"/>
      <c r="X201" s="24"/>
      <c r="Y201" s="24"/>
    </row>
    <row r="202" spans="2:25" ht="12.75">
      <c r="B202" s="24"/>
      <c r="C202" s="24"/>
      <c r="D202" s="24"/>
      <c r="E202" s="24"/>
      <c r="H202" s="24"/>
      <c r="I202" s="24"/>
      <c r="J202" s="24"/>
      <c r="K202" s="24"/>
      <c r="N202" s="24"/>
      <c r="O202" s="24"/>
      <c r="P202" s="24"/>
      <c r="Q202" s="24"/>
      <c r="R202" s="24"/>
      <c r="U202" s="24"/>
      <c r="V202" s="24"/>
      <c r="W202" s="24"/>
      <c r="X202" s="24"/>
      <c r="Y202" s="24"/>
    </row>
    <row r="203" spans="2:25" ht="12.75">
      <c r="B203" s="24"/>
      <c r="C203" s="24"/>
      <c r="D203" s="24"/>
      <c r="E203" s="24"/>
      <c r="H203" s="24"/>
      <c r="I203" s="24"/>
      <c r="J203" s="24"/>
      <c r="K203" s="24"/>
      <c r="N203" s="24"/>
      <c r="O203" s="24"/>
      <c r="P203" s="24"/>
      <c r="Q203" s="24"/>
      <c r="R203" s="24"/>
      <c r="U203" s="24"/>
      <c r="V203" s="24"/>
      <c r="W203" s="24"/>
      <c r="X203" s="24"/>
      <c r="Y203" s="24"/>
    </row>
    <row r="204" spans="2:25" ht="12.75">
      <c r="B204" s="24"/>
      <c r="C204" s="24"/>
      <c r="D204" s="24"/>
      <c r="E204" s="24"/>
      <c r="H204" s="24"/>
      <c r="I204" s="24"/>
      <c r="J204" s="24"/>
      <c r="K204" s="24"/>
      <c r="N204" s="24"/>
      <c r="O204" s="24"/>
      <c r="P204" s="24"/>
      <c r="Q204" s="24"/>
      <c r="R204" s="24"/>
      <c r="U204" s="24"/>
      <c r="V204" s="24"/>
      <c r="W204" s="24"/>
      <c r="X204" s="24"/>
      <c r="Y204" s="24"/>
    </row>
    <row r="205" spans="2:25" ht="12.75">
      <c r="B205" s="24"/>
      <c r="C205" s="24"/>
      <c r="D205" s="24"/>
      <c r="E205" s="24"/>
      <c r="H205" s="24"/>
      <c r="I205" s="24"/>
      <c r="J205" s="24"/>
      <c r="K205" s="24"/>
      <c r="N205" s="24"/>
      <c r="O205" s="24"/>
      <c r="P205" s="24"/>
      <c r="Q205" s="24"/>
      <c r="R205" s="24"/>
      <c r="U205" s="24"/>
      <c r="V205" s="24"/>
      <c r="W205" s="24"/>
      <c r="X205" s="24"/>
      <c r="Y205" s="24"/>
    </row>
    <row r="206" spans="2:25" ht="12.75">
      <c r="B206" s="24"/>
      <c r="C206" s="24"/>
      <c r="D206" s="24"/>
      <c r="E206" s="24"/>
      <c r="H206" s="24"/>
      <c r="I206" s="24"/>
      <c r="J206" s="24"/>
      <c r="K206" s="24"/>
      <c r="N206" s="24"/>
      <c r="O206" s="24"/>
      <c r="P206" s="24"/>
      <c r="Q206" s="24"/>
      <c r="R206" s="24"/>
      <c r="U206" s="24"/>
      <c r="V206" s="24"/>
      <c r="W206" s="24"/>
      <c r="X206" s="24"/>
      <c r="Y206" s="24"/>
    </row>
    <row r="207" spans="2:25" ht="12.75">
      <c r="B207" s="24"/>
      <c r="C207" s="24"/>
      <c r="D207" s="24"/>
      <c r="E207" s="24"/>
      <c r="H207" s="24"/>
      <c r="I207" s="24"/>
      <c r="J207" s="24"/>
      <c r="K207" s="24"/>
      <c r="N207" s="24"/>
      <c r="O207" s="24"/>
      <c r="P207" s="24"/>
      <c r="Q207" s="24"/>
      <c r="R207" s="24"/>
      <c r="U207" s="24"/>
      <c r="V207" s="24"/>
      <c r="W207" s="24"/>
      <c r="X207" s="24"/>
      <c r="Y207" s="24"/>
    </row>
    <row r="208" spans="2:25" ht="12.75">
      <c r="B208" s="24"/>
      <c r="C208" s="24"/>
      <c r="D208" s="24"/>
      <c r="E208" s="24"/>
      <c r="H208" s="24"/>
      <c r="I208" s="24"/>
      <c r="J208" s="24"/>
      <c r="K208" s="24"/>
      <c r="N208" s="24"/>
      <c r="O208" s="24"/>
      <c r="P208" s="24"/>
      <c r="Q208" s="24"/>
      <c r="R208" s="24"/>
      <c r="U208" s="24"/>
      <c r="V208" s="24"/>
      <c r="W208" s="24"/>
      <c r="X208" s="24"/>
      <c r="Y208" s="24"/>
    </row>
    <row r="209" spans="2:25" ht="12.75">
      <c r="B209" s="24"/>
      <c r="C209" s="24"/>
      <c r="D209" s="24"/>
      <c r="E209" s="24"/>
      <c r="H209" s="24"/>
      <c r="I209" s="24"/>
      <c r="J209" s="24"/>
      <c r="K209" s="24"/>
      <c r="N209" s="24"/>
      <c r="O209" s="24"/>
      <c r="P209" s="24"/>
      <c r="Q209" s="24"/>
      <c r="R209" s="24"/>
      <c r="U209" s="24"/>
      <c r="V209" s="24"/>
      <c r="W209" s="24"/>
      <c r="X209" s="24"/>
      <c r="Y209" s="24"/>
    </row>
    <row r="210" spans="2:25" ht="12.75">
      <c r="B210" s="24"/>
      <c r="C210" s="24"/>
      <c r="D210" s="24"/>
      <c r="E210" s="24"/>
      <c r="H210" s="24"/>
      <c r="I210" s="24"/>
      <c r="J210" s="24"/>
      <c r="K210" s="24"/>
      <c r="N210" s="24"/>
      <c r="O210" s="24"/>
      <c r="P210" s="24"/>
      <c r="Q210" s="24"/>
      <c r="R210" s="24"/>
      <c r="U210" s="24"/>
      <c r="V210" s="24"/>
      <c r="W210" s="24"/>
      <c r="X210" s="24"/>
      <c r="Y210" s="24"/>
    </row>
    <row r="211" spans="2:25" ht="12.75">
      <c r="B211" s="24"/>
      <c r="C211" s="24"/>
      <c r="D211" s="24"/>
      <c r="E211" s="24"/>
      <c r="H211" s="24"/>
      <c r="I211" s="24"/>
      <c r="J211" s="24"/>
      <c r="K211" s="24"/>
      <c r="N211" s="24"/>
      <c r="O211" s="24"/>
      <c r="P211" s="24"/>
      <c r="Q211" s="24"/>
      <c r="R211" s="24"/>
      <c r="U211" s="24"/>
      <c r="V211" s="24"/>
      <c r="W211" s="24"/>
      <c r="X211" s="24"/>
      <c r="Y211" s="24"/>
    </row>
    <row r="212" spans="2:25" ht="12.75">
      <c r="B212" s="24"/>
      <c r="C212" s="24"/>
      <c r="D212" s="24"/>
      <c r="E212" s="24"/>
      <c r="H212" s="24"/>
      <c r="I212" s="24"/>
      <c r="J212" s="24"/>
      <c r="K212" s="24"/>
      <c r="N212" s="24"/>
      <c r="O212" s="24"/>
      <c r="P212" s="24"/>
      <c r="Q212" s="24"/>
      <c r="R212" s="24"/>
      <c r="U212" s="24"/>
      <c r="V212" s="24"/>
      <c r="W212" s="24"/>
      <c r="X212" s="24"/>
      <c r="Y212" s="24"/>
    </row>
    <row r="213" spans="2:25" ht="12.75">
      <c r="B213" s="24"/>
      <c r="C213" s="24"/>
      <c r="D213" s="24"/>
      <c r="E213" s="24"/>
      <c r="H213" s="24"/>
      <c r="I213" s="24"/>
      <c r="J213" s="24"/>
      <c r="K213" s="24"/>
      <c r="N213" s="24"/>
      <c r="O213" s="24"/>
      <c r="P213" s="24"/>
      <c r="Q213" s="24"/>
      <c r="R213" s="24"/>
      <c r="U213" s="24"/>
      <c r="V213" s="24"/>
      <c r="W213" s="24"/>
      <c r="X213" s="24"/>
      <c r="Y213" s="24"/>
    </row>
    <row r="214" spans="2:25" ht="12.75">
      <c r="B214" s="24"/>
      <c r="C214" s="24"/>
      <c r="D214" s="24"/>
      <c r="E214" s="24"/>
      <c r="H214" s="24"/>
      <c r="I214" s="24"/>
      <c r="J214" s="24"/>
      <c r="K214" s="24"/>
      <c r="N214" s="24"/>
      <c r="O214" s="24"/>
      <c r="P214" s="24"/>
      <c r="Q214" s="24"/>
      <c r="R214" s="24"/>
      <c r="U214" s="24"/>
      <c r="V214" s="24"/>
      <c r="W214" s="24"/>
      <c r="X214" s="24"/>
      <c r="Y214" s="24"/>
    </row>
    <row r="215" spans="2:25" ht="12.75">
      <c r="B215" s="24"/>
      <c r="C215" s="24"/>
      <c r="D215" s="24"/>
      <c r="E215" s="24"/>
      <c r="H215" s="24"/>
      <c r="I215" s="24"/>
      <c r="J215" s="24"/>
      <c r="K215" s="24"/>
      <c r="N215" s="24"/>
      <c r="O215" s="24"/>
      <c r="P215" s="24"/>
      <c r="Q215" s="24"/>
      <c r="R215" s="24"/>
      <c r="U215" s="24"/>
      <c r="V215" s="24"/>
      <c r="W215" s="24"/>
      <c r="X215" s="24"/>
      <c r="Y215" s="24"/>
    </row>
    <row r="216" spans="2:25" ht="12.75">
      <c r="B216" s="24"/>
      <c r="C216" s="24"/>
      <c r="D216" s="24"/>
      <c r="E216" s="24"/>
      <c r="H216" s="24"/>
      <c r="I216" s="24"/>
      <c r="J216" s="24"/>
      <c r="K216" s="24"/>
      <c r="N216" s="24"/>
      <c r="O216" s="24"/>
      <c r="P216" s="24"/>
      <c r="Q216" s="24"/>
      <c r="R216" s="24"/>
      <c r="U216" s="24"/>
      <c r="V216" s="24"/>
      <c r="W216" s="24"/>
      <c r="X216" s="24"/>
      <c r="Y216" s="24"/>
    </row>
    <row r="217" spans="2:25" ht="12.75">
      <c r="B217" s="24"/>
      <c r="C217" s="24"/>
      <c r="D217" s="24"/>
      <c r="E217" s="24"/>
      <c r="H217" s="24"/>
      <c r="I217" s="24"/>
      <c r="J217" s="24"/>
      <c r="K217" s="24"/>
      <c r="N217" s="24"/>
      <c r="O217" s="24"/>
      <c r="P217" s="24"/>
      <c r="Q217" s="24"/>
      <c r="R217" s="24"/>
      <c r="U217" s="24"/>
      <c r="V217" s="24"/>
      <c r="W217" s="24"/>
      <c r="X217" s="24"/>
      <c r="Y217" s="24"/>
    </row>
    <row r="218" spans="2:25" ht="12.75">
      <c r="B218" s="24"/>
      <c r="C218" s="24"/>
      <c r="D218" s="24"/>
      <c r="E218" s="24"/>
      <c r="H218" s="24"/>
      <c r="I218" s="24"/>
      <c r="J218" s="24"/>
      <c r="K218" s="24"/>
      <c r="N218" s="24"/>
      <c r="O218" s="24"/>
      <c r="P218" s="24"/>
      <c r="Q218" s="24"/>
      <c r="R218" s="24"/>
      <c r="U218" s="24"/>
      <c r="V218" s="24"/>
      <c r="W218" s="24"/>
      <c r="X218" s="24"/>
      <c r="Y218" s="24"/>
    </row>
    <row r="219" spans="2:25" ht="12.75">
      <c r="B219" s="24"/>
      <c r="C219" s="24"/>
      <c r="D219" s="24"/>
      <c r="E219" s="24"/>
      <c r="H219" s="24"/>
      <c r="I219" s="24"/>
      <c r="J219" s="24"/>
      <c r="K219" s="24"/>
      <c r="N219" s="24"/>
      <c r="O219" s="24"/>
      <c r="P219" s="24"/>
      <c r="Q219" s="24"/>
      <c r="R219" s="24"/>
      <c r="U219" s="24"/>
      <c r="V219" s="24"/>
      <c r="W219" s="24"/>
      <c r="X219" s="24"/>
      <c r="Y219" s="24"/>
    </row>
    <row r="220" spans="2:25" ht="12.75">
      <c r="B220" s="24"/>
      <c r="C220" s="24"/>
      <c r="D220" s="24"/>
      <c r="E220" s="24"/>
      <c r="H220" s="24"/>
      <c r="I220" s="24"/>
      <c r="J220" s="24"/>
      <c r="K220" s="24"/>
      <c r="N220" s="24"/>
      <c r="O220" s="24"/>
      <c r="P220" s="24"/>
      <c r="Q220" s="24"/>
      <c r="R220" s="24"/>
      <c r="U220" s="24"/>
      <c r="V220" s="24"/>
      <c r="W220" s="24"/>
      <c r="X220" s="24"/>
      <c r="Y220" s="24"/>
    </row>
    <row r="221" spans="2:25" ht="12.75">
      <c r="B221" s="24"/>
      <c r="C221" s="24"/>
      <c r="D221" s="24"/>
      <c r="E221" s="24"/>
      <c r="H221" s="24"/>
      <c r="I221" s="24"/>
      <c r="J221" s="24"/>
      <c r="K221" s="24"/>
      <c r="N221" s="24"/>
      <c r="O221" s="24"/>
      <c r="P221" s="24"/>
      <c r="Q221" s="24"/>
      <c r="R221" s="24"/>
      <c r="U221" s="24"/>
      <c r="V221" s="24"/>
      <c r="W221" s="24"/>
      <c r="X221" s="24"/>
      <c r="Y221" s="24"/>
    </row>
    <row r="222" spans="2:25" ht="12.75">
      <c r="B222" s="24"/>
      <c r="C222" s="24"/>
      <c r="D222" s="24"/>
      <c r="E222" s="24"/>
      <c r="H222" s="24"/>
      <c r="I222" s="24"/>
      <c r="J222" s="24"/>
      <c r="K222" s="24"/>
      <c r="N222" s="24"/>
      <c r="O222" s="24"/>
      <c r="P222" s="24"/>
      <c r="Q222" s="24"/>
      <c r="R222" s="24"/>
      <c r="U222" s="24"/>
      <c r="V222" s="24"/>
      <c r="W222" s="24"/>
      <c r="X222" s="24"/>
      <c r="Y222" s="24"/>
    </row>
    <row r="223" spans="2:25" ht="12.75">
      <c r="B223" s="24"/>
      <c r="C223" s="24"/>
      <c r="D223" s="24"/>
      <c r="E223" s="24"/>
      <c r="H223" s="24"/>
      <c r="I223" s="24"/>
      <c r="J223" s="24"/>
      <c r="K223" s="24"/>
      <c r="N223" s="24"/>
      <c r="O223" s="24"/>
      <c r="P223" s="24"/>
      <c r="Q223" s="24"/>
      <c r="R223" s="24"/>
      <c r="U223" s="24"/>
      <c r="V223" s="24"/>
      <c r="W223" s="24"/>
      <c r="X223" s="24"/>
      <c r="Y223" s="24"/>
    </row>
    <row r="224" spans="2:25" ht="12.75">
      <c r="B224" s="24"/>
      <c r="C224" s="24"/>
      <c r="D224" s="24"/>
      <c r="E224" s="24"/>
      <c r="H224" s="24"/>
      <c r="I224" s="24"/>
      <c r="J224" s="24"/>
      <c r="K224" s="24"/>
      <c r="N224" s="24"/>
      <c r="O224" s="24"/>
      <c r="P224" s="24"/>
      <c r="Q224" s="24"/>
      <c r="R224" s="24"/>
      <c r="U224" s="24"/>
      <c r="V224" s="24"/>
      <c r="W224" s="24"/>
      <c r="X224" s="24"/>
      <c r="Y224" s="24"/>
    </row>
    <row r="225" spans="2:25" ht="12.75">
      <c r="B225" s="24"/>
      <c r="C225" s="24"/>
      <c r="D225" s="24"/>
      <c r="E225" s="24"/>
      <c r="H225" s="24"/>
      <c r="I225" s="24"/>
      <c r="J225" s="24"/>
      <c r="K225" s="24"/>
      <c r="N225" s="24"/>
      <c r="O225" s="24"/>
      <c r="P225" s="24"/>
      <c r="Q225" s="24"/>
      <c r="R225" s="24"/>
      <c r="U225" s="24"/>
      <c r="V225" s="24"/>
      <c r="W225" s="24"/>
      <c r="X225" s="24"/>
      <c r="Y225" s="24"/>
    </row>
    <row r="226" spans="2:25" ht="12.75">
      <c r="B226" s="24"/>
      <c r="C226" s="24"/>
      <c r="D226" s="24"/>
      <c r="E226" s="24"/>
      <c r="H226" s="24"/>
      <c r="I226" s="24"/>
      <c r="J226" s="24"/>
      <c r="K226" s="24"/>
      <c r="N226" s="24"/>
      <c r="O226" s="24"/>
      <c r="P226" s="24"/>
      <c r="Q226" s="24"/>
      <c r="R226" s="24"/>
      <c r="U226" s="24"/>
      <c r="V226" s="24"/>
      <c r="W226" s="24"/>
      <c r="X226" s="24"/>
      <c r="Y226" s="24"/>
    </row>
    <row r="227" spans="2:25" ht="12.75">
      <c r="B227" s="24"/>
      <c r="C227" s="24"/>
      <c r="D227" s="24"/>
      <c r="E227" s="24"/>
      <c r="H227" s="24"/>
      <c r="I227" s="24"/>
      <c r="J227" s="24"/>
      <c r="K227" s="24"/>
      <c r="N227" s="24"/>
      <c r="O227" s="24"/>
      <c r="P227" s="24"/>
      <c r="Q227" s="24"/>
      <c r="R227" s="24"/>
      <c r="U227" s="24"/>
      <c r="V227" s="24"/>
      <c r="W227" s="24"/>
      <c r="X227" s="24"/>
      <c r="Y227" s="24"/>
    </row>
    <row r="228" spans="2:25" ht="12.75">
      <c r="B228" s="24"/>
      <c r="C228" s="24"/>
      <c r="D228" s="24"/>
      <c r="E228" s="24"/>
      <c r="H228" s="24"/>
      <c r="I228" s="24"/>
      <c r="J228" s="24"/>
      <c r="K228" s="24"/>
      <c r="N228" s="24"/>
      <c r="O228" s="24"/>
      <c r="P228" s="24"/>
      <c r="Q228" s="24"/>
      <c r="R228" s="24"/>
      <c r="U228" s="24"/>
      <c r="V228" s="24"/>
      <c r="W228" s="24"/>
      <c r="X228" s="24"/>
      <c r="Y228" s="24"/>
    </row>
    <row r="229" spans="2:25" ht="12.75">
      <c r="B229" s="24"/>
      <c r="C229" s="24"/>
      <c r="D229" s="24"/>
      <c r="E229" s="24"/>
      <c r="H229" s="24"/>
      <c r="I229" s="24"/>
      <c r="J229" s="24"/>
      <c r="K229" s="24"/>
      <c r="N229" s="24"/>
      <c r="O229" s="24"/>
      <c r="P229" s="24"/>
      <c r="Q229" s="24"/>
      <c r="R229" s="24"/>
      <c r="U229" s="24"/>
      <c r="V229" s="24"/>
      <c r="W229" s="24"/>
      <c r="X229" s="24"/>
      <c r="Y229" s="24"/>
    </row>
    <row r="230" spans="2:25" ht="12.75">
      <c r="B230" s="24"/>
      <c r="C230" s="24"/>
      <c r="D230" s="24"/>
      <c r="E230" s="24"/>
      <c r="H230" s="24"/>
      <c r="I230" s="24"/>
      <c r="J230" s="24"/>
      <c r="K230" s="24"/>
      <c r="N230" s="24"/>
      <c r="O230" s="24"/>
      <c r="P230" s="24"/>
      <c r="Q230" s="24"/>
      <c r="R230" s="24"/>
      <c r="U230" s="24"/>
      <c r="V230" s="24"/>
      <c r="W230" s="24"/>
      <c r="X230" s="24"/>
      <c r="Y230" s="24"/>
    </row>
    <row r="231" spans="2:25" ht="12.75">
      <c r="B231" s="24"/>
      <c r="C231" s="24"/>
      <c r="D231" s="24"/>
      <c r="E231" s="24"/>
      <c r="H231" s="24"/>
      <c r="I231" s="24"/>
      <c r="J231" s="24"/>
      <c r="K231" s="24"/>
      <c r="N231" s="24"/>
      <c r="O231" s="24"/>
      <c r="P231" s="24"/>
      <c r="Q231" s="24"/>
      <c r="R231" s="24"/>
      <c r="U231" s="24"/>
      <c r="V231" s="24"/>
      <c r="W231" s="24"/>
      <c r="X231" s="24"/>
      <c r="Y231" s="24"/>
    </row>
    <row r="232" spans="2:25" ht="12.75">
      <c r="B232" s="24"/>
      <c r="C232" s="24"/>
      <c r="D232" s="24"/>
      <c r="E232" s="24"/>
      <c r="H232" s="24"/>
      <c r="I232" s="24"/>
      <c r="J232" s="24"/>
      <c r="K232" s="24"/>
      <c r="N232" s="24"/>
      <c r="O232" s="24"/>
      <c r="P232" s="24"/>
      <c r="Q232" s="24"/>
      <c r="R232" s="24"/>
      <c r="U232" s="24"/>
      <c r="V232" s="24"/>
      <c r="W232" s="24"/>
      <c r="X232" s="24"/>
      <c r="Y232" s="24"/>
    </row>
    <row r="233" spans="2:25" ht="12.75">
      <c r="B233" s="24"/>
      <c r="C233" s="24"/>
      <c r="D233" s="24"/>
      <c r="E233" s="24"/>
      <c r="H233" s="24"/>
      <c r="I233" s="24"/>
      <c r="J233" s="24"/>
      <c r="K233" s="24"/>
      <c r="N233" s="24"/>
      <c r="O233" s="24"/>
      <c r="P233" s="24"/>
      <c r="Q233" s="24"/>
      <c r="R233" s="24"/>
      <c r="U233" s="24"/>
      <c r="V233" s="24"/>
      <c r="W233" s="24"/>
      <c r="X233" s="24"/>
      <c r="Y233" s="24"/>
    </row>
    <row r="234" spans="2:25" ht="12.75">
      <c r="B234" s="24"/>
      <c r="C234" s="24"/>
      <c r="D234" s="24"/>
      <c r="E234" s="24"/>
      <c r="H234" s="24"/>
      <c r="I234" s="24"/>
      <c r="J234" s="24"/>
      <c r="K234" s="24"/>
      <c r="N234" s="24"/>
      <c r="O234" s="24"/>
      <c r="P234" s="24"/>
      <c r="Q234" s="24"/>
      <c r="R234" s="24"/>
      <c r="U234" s="24"/>
      <c r="V234" s="24"/>
      <c r="W234" s="24"/>
      <c r="X234" s="24"/>
      <c r="Y234" s="24"/>
    </row>
    <row r="235" spans="2:25" ht="12.75">
      <c r="B235" s="24"/>
      <c r="C235" s="24"/>
      <c r="D235" s="24"/>
      <c r="E235" s="24"/>
      <c r="H235" s="24"/>
      <c r="I235" s="24"/>
      <c r="J235" s="24"/>
      <c r="K235" s="24"/>
      <c r="N235" s="24"/>
      <c r="O235" s="24"/>
      <c r="P235" s="24"/>
      <c r="Q235" s="24"/>
      <c r="R235" s="24"/>
      <c r="U235" s="24"/>
      <c r="V235" s="24"/>
      <c r="W235" s="24"/>
      <c r="X235" s="24"/>
      <c r="Y235" s="24"/>
    </row>
    <row r="236" spans="2:25" ht="12.75">
      <c r="B236" s="24"/>
      <c r="C236" s="24"/>
      <c r="D236" s="24"/>
      <c r="E236" s="24"/>
      <c r="H236" s="24"/>
      <c r="I236" s="24"/>
      <c r="J236" s="24"/>
      <c r="K236" s="24"/>
      <c r="N236" s="24"/>
      <c r="O236" s="24"/>
      <c r="P236" s="24"/>
      <c r="Q236" s="24"/>
      <c r="R236" s="24"/>
      <c r="U236" s="24"/>
      <c r="V236" s="24"/>
      <c r="W236" s="24"/>
      <c r="X236" s="24"/>
      <c r="Y236" s="24"/>
    </row>
    <row r="237" spans="2:25" ht="12.75">
      <c r="B237" s="24"/>
      <c r="C237" s="24"/>
      <c r="D237" s="24"/>
      <c r="E237" s="24"/>
      <c r="H237" s="24"/>
      <c r="I237" s="24"/>
      <c r="J237" s="24"/>
      <c r="K237" s="24"/>
      <c r="N237" s="24"/>
      <c r="O237" s="24"/>
      <c r="P237" s="24"/>
      <c r="Q237" s="24"/>
      <c r="R237" s="24"/>
      <c r="U237" s="24"/>
      <c r="V237" s="24"/>
      <c r="W237" s="24"/>
      <c r="X237" s="24"/>
      <c r="Y237" s="24"/>
    </row>
    <row r="238" spans="2:25" ht="12.75">
      <c r="B238" s="24"/>
      <c r="C238" s="24"/>
      <c r="D238" s="24"/>
      <c r="E238" s="24"/>
      <c r="H238" s="24"/>
      <c r="I238" s="24"/>
      <c r="J238" s="24"/>
      <c r="K238" s="24"/>
      <c r="N238" s="24"/>
      <c r="O238" s="24"/>
      <c r="P238" s="24"/>
      <c r="Q238" s="24"/>
      <c r="R238" s="24"/>
      <c r="U238" s="24"/>
      <c r="V238" s="24"/>
      <c r="W238" s="24"/>
      <c r="X238" s="24"/>
      <c r="Y238" s="24"/>
    </row>
    <row r="239" spans="2:25" ht="12.75">
      <c r="B239" s="24"/>
      <c r="C239" s="24"/>
      <c r="D239" s="24"/>
      <c r="E239" s="24"/>
      <c r="H239" s="24"/>
      <c r="I239" s="24"/>
      <c r="J239" s="24"/>
      <c r="K239" s="24"/>
      <c r="N239" s="24"/>
      <c r="O239" s="24"/>
      <c r="P239" s="24"/>
      <c r="Q239" s="24"/>
      <c r="R239" s="24"/>
      <c r="U239" s="24"/>
      <c r="V239" s="24"/>
      <c r="W239" s="24"/>
      <c r="X239" s="24"/>
      <c r="Y239" s="24"/>
    </row>
    <row r="240" spans="2:25" ht="12.75">
      <c r="B240" s="24"/>
      <c r="C240" s="24"/>
      <c r="D240" s="24"/>
      <c r="E240" s="24"/>
      <c r="H240" s="24"/>
      <c r="I240" s="24"/>
      <c r="J240" s="24"/>
      <c r="K240" s="24"/>
      <c r="N240" s="24"/>
      <c r="O240" s="24"/>
      <c r="P240" s="24"/>
      <c r="Q240" s="24"/>
      <c r="R240" s="24"/>
      <c r="U240" s="24"/>
      <c r="V240" s="24"/>
      <c r="W240" s="24"/>
      <c r="X240" s="24"/>
      <c r="Y240" s="24"/>
    </row>
    <row r="241" spans="2:25" ht="12.75">
      <c r="B241" s="24"/>
      <c r="C241" s="24"/>
      <c r="D241" s="24"/>
      <c r="E241" s="24"/>
      <c r="H241" s="24"/>
      <c r="I241" s="24"/>
      <c r="J241" s="24"/>
      <c r="K241" s="24"/>
      <c r="N241" s="24"/>
      <c r="O241" s="24"/>
      <c r="P241" s="24"/>
      <c r="Q241" s="24"/>
      <c r="R241" s="24"/>
      <c r="U241" s="24"/>
      <c r="V241" s="24"/>
      <c r="W241" s="24"/>
      <c r="X241" s="24"/>
      <c r="Y241" s="24"/>
    </row>
    <row r="242" spans="2:25" ht="12.75">
      <c r="B242" s="24"/>
      <c r="C242" s="24"/>
      <c r="D242" s="24"/>
      <c r="E242" s="24"/>
      <c r="H242" s="24"/>
      <c r="I242" s="24"/>
      <c r="J242" s="24"/>
      <c r="K242" s="24"/>
      <c r="N242" s="24"/>
      <c r="O242" s="24"/>
      <c r="P242" s="24"/>
      <c r="Q242" s="24"/>
      <c r="R242" s="24"/>
      <c r="U242" s="24"/>
      <c r="V242" s="24"/>
      <c r="W242" s="24"/>
      <c r="X242" s="24"/>
      <c r="Y242" s="24"/>
    </row>
    <row r="243" spans="2:25" ht="12.75">
      <c r="B243" s="24"/>
      <c r="C243" s="24"/>
      <c r="D243" s="24"/>
      <c r="E243" s="24"/>
      <c r="H243" s="24"/>
      <c r="I243" s="24"/>
      <c r="J243" s="24"/>
      <c r="K243" s="24"/>
      <c r="N243" s="24"/>
      <c r="O243" s="24"/>
      <c r="P243" s="24"/>
      <c r="Q243" s="24"/>
      <c r="R243" s="24"/>
      <c r="U243" s="24"/>
      <c r="V243" s="24"/>
      <c r="W243" s="24"/>
      <c r="X243" s="24"/>
      <c r="Y243" s="24"/>
    </row>
    <row r="244" spans="2:25" ht="12.75">
      <c r="B244" s="24"/>
      <c r="C244" s="24"/>
      <c r="D244" s="24"/>
      <c r="E244" s="24"/>
      <c r="H244" s="24"/>
      <c r="I244" s="24"/>
      <c r="J244" s="24"/>
      <c r="K244" s="24"/>
      <c r="N244" s="24"/>
      <c r="O244" s="24"/>
      <c r="P244" s="24"/>
      <c r="Q244" s="24"/>
      <c r="R244" s="24"/>
      <c r="U244" s="24"/>
      <c r="V244" s="24"/>
      <c r="W244" s="24"/>
      <c r="X244" s="24"/>
      <c r="Y244" s="24"/>
    </row>
    <row r="245" spans="2:25" ht="12.75">
      <c r="B245" s="24"/>
      <c r="C245" s="24"/>
      <c r="D245" s="24"/>
      <c r="E245" s="24"/>
      <c r="H245" s="24"/>
      <c r="I245" s="24"/>
      <c r="J245" s="24"/>
      <c r="K245" s="24"/>
      <c r="N245" s="24"/>
      <c r="O245" s="24"/>
      <c r="P245" s="24"/>
      <c r="Q245" s="24"/>
      <c r="R245" s="24"/>
      <c r="U245" s="24"/>
      <c r="V245" s="24"/>
      <c r="W245" s="24"/>
      <c r="X245" s="24"/>
      <c r="Y245" s="24"/>
    </row>
    <row r="246" spans="2:25" ht="12.75">
      <c r="B246" s="24"/>
      <c r="C246" s="24"/>
      <c r="D246" s="24"/>
      <c r="E246" s="24"/>
      <c r="H246" s="24"/>
      <c r="I246" s="24"/>
      <c r="J246" s="24"/>
      <c r="K246" s="24"/>
      <c r="N246" s="24"/>
      <c r="O246" s="24"/>
      <c r="P246" s="24"/>
      <c r="Q246" s="24"/>
      <c r="R246" s="24"/>
      <c r="U246" s="24"/>
      <c r="V246" s="24"/>
      <c r="W246" s="24"/>
      <c r="X246" s="24"/>
      <c r="Y246" s="24"/>
    </row>
    <row r="247" spans="2:25" ht="12.75">
      <c r="B247" s="24"/>
      <c r="C247" s="24"/>
      <c r="D247" s="24"/>
      <c r="E247" s="24"/>
      <c r="H247" s="24"/>
      <c r="I247" s="24"/>
      <c r="J247" s="24"/>
      <c r="K247" s="24"/>
      <c r="N247" s="24"/>
      <c r="O247" s="24"/>
      <c r="P247" s="24"/>
      <c r="Q247" s="24"/>
      <c r="R247" s="24"/>
      <c r="U247" s="24"/>
      <c r="V247" s="24"/>
      <c r="W247" s="24"/>
      <c r="X247" s="24"/>
      <c r="Y247" s="24"/>
    </row>
    <row r="248" spans="2:25" ht="12.75">
      <c r="B248" s="24"/>
      <c r="C248" s="24"/>
      <c r="D248" s="24"/>
      <c r="E248" s="24"/>
      <c r="H248" s="24"/>
      <c r="I248" s="24"/>
      <c r="J248" s="24"/>
      <c r="K248" s="24"/>
      <c r="N248" s="24"/>
      <c r="O248" s="24"/>
      <c r="P248" s="24"/>
      <c r="Q248" s="24"/>
      <c r="R248" s="24"/>
      <c r="U248" s="24"/>
      <c r="V248" s="24"/>
      <c r="W248" s="24"/>
      <c r="X248" s="24"/>
      <c r="Y248" s="24"/>
    </row>
    <row r="249" spans="2:25" ht="12.75">
      <c r="B249" s="24"/>
      <c r="C249" s="24"/>
      <c r="D249" s="24"/>
      <c r="E249" s="24"/>
      <c r="H249" s="24"/>
      <c r="I249" s="24"/>
      <c r="J249" s="24"/>
      <c r="K249" s="24"/>
      <c r="N249" s="24"/>
      <c r="O249" s="24"/>
      <c r="P249" s="24"/>
      <c r="Q249" s="24"/>
      <c r="R249" s="24"/>
      <c r="U249" s="24"/>
      <c r="V249" s="24"/>
      <c r="W249" s="24"/>
      <c r="X249" s="24"/>
      <c r="Y249" s="24"/>
    </row>
    <row r="250" spans="2:25" ht="12.75">
      <c r="B250" s="24"/>
      <c r="C250" s="24"/>
      <c r="D250" s="24"/>
      <c r="E250" s="24"/>
      <c r="H250" s="24"/>
      <c r="I250" s="24"/>
      <c r="J250" s="24"/>
      <c r="K250" s="24"/>
      <c r="N250" s="24"/>
      <c r="O250" s="24"/>
      <c r="P250" s="24"/>
      <c r="Q250" s="24"/>
      <c r="R250" s="24"/>
      <c r="U250" s="24"/>
      <c r="V250" s="24"/>
      <c r="W250" s="24"/>
      <c r="X250" s="24"/>
      <c r="Y250" s="24"/>
    </row>
    <row r="251" spans="2:25" ht="12.75">
      <c r="B251" s="24"/>
      <c r="C251" s="24"/>
      <c r="D251" s="24"/>
      <c r="E251" s="24"/>
      <c r="H251" s="24"/>
      <c r="I251" s="24"/>
      <c r="J251" s="24"/>
      <c r="K251" s="24"/>
      <c r="N251" s="24"/>
      <c r="O251" s="24"/>
      <c r="P251" s="24"/>
      <c r="Q251" s="24"/>
      <c r="R251" s="24"/>
      <c r="U251" s="24"/>
      <c r="V251" s="24"/>
      <c r="W251" s="24"/>
      <c r="X251" s="24"/>
      <c r="Y251" s="24"/>
    </row>
    <row r="252" spans="2:25" ht="12.75">
      <c r="B252" s="24"/>
      <c r="C252" s="24"/>
      <c r="D252" s="24"/>
      <c r="E252" s="24"/>
      <c r="H252" s="24"/>
      <c r="I252" s="24"/>
      <c r="J252" s="24"/>
      <c r="K252" s="24"/>
      <c r="N252" s="24"/>
      <c r="O252" s="24"/>
      <c r="P252" s="24"/>
      <c r="Q252" s="24"/>
      <c r="R252" s="24"/>
      <c r="U252" s="24"/>
      <c r="V252" s="24"/>
      <c r="W252" s="24"/>
      <c r="X252" s="24"/>
      <c r="Y252" s="24"/>
    </row>
    <row r="253" spans="2:25" ht="12.75">
      <c r="B253" s="24"/>
      <c r="C253" s="24"/>
      <c r="D253" s="24"/>
      <c r="E253" s="24"/>
      <c r="H253" s="24"/>
      <c r="I253" s="24"/>
      <c r="J253" s="24"/>
      <c r="K253" s="24"/>
      <c r="N253" s="24"/>
      <c r="O253" s="24"/>
      <c r="P253" s="24"/>
      <c r="Q253" s="24"/>
      <c r="R253" s="24"/>
      <c r="U253" s="24"/>
      <c r="V253" s="24"/>
      <c r="W253" s="24"/>
      <c r="X253" s="24"/>
      <c r="Y253" s="24"/>
    </row>
    <row r="254" spans="2:25" ht="12.75">
      <c r="B254" s="24"/>
      <c r="C254" s="24"/>
      <c r="D254" s="24"/>
      <c r="E254" s="24"/>
      <c r="H254" s="24"/>
      <c r="I254" s="24"/>
      <c r="J254" s="24"/>
      <c r="K254" s="24"/>
      <c r="N254" s="24"/>
      <c r="O254" s="24"/>
      <c r="P254" s="24"/>
      <c r="Q254" s="24"/>
      <c r="R254" s="24"/>
      <c r="U254" s="24"/>
      <c r="V254" s="24"/>
      <c r="W254" s="24"/>
      <c r="X254" s="24"/>
      <c r="Y254" s="24"/>
    </row>
    <row r="255" spans="2:25" ht="12.75">
      <c r="B255" s="24"/>
      <c r="C255" s="24"/>
      <c r="D255" s="24"/>
      <c r="E255" s="24"/>
      <c r="H255" s="24"/>
      <c r="I255" s="24"/>
      <c r="J255" s="24"/>
      <c r="K255" s="24"/>
      <c r="N255" s="24"/>
      <c r="O255" s="24"/>
      <c r="P255" s="24"/>
      <c r="Q255" s="24"/>
      <c r="R255" s="24"/>
      <c r="U255" s="24"/>
      <c r="V255" s="24"/>
      <c r="W255" s="24"/>
      <c r="X255" s="24"/>
      <c r="Y255" s="24"/>
    </row>
    <row r="256" spans="2:25" ht="12.75">
      <c r="B256" s="24"/>
      <c r="C256" s="24"/>
      <c r="D256" s="24"/>
      <c r="E256" s="24"/>
      <c r="H256" s="24"/>
      <c r="I256" s="24"/>
      <c r="J256" s="24"/>
      <c r="K256" s="24"/>
      <c r="N256" s="24"/>
      <c r="O256" s="24"/>
      <c r="P256" s="24"/>
      <c r="Q256" s="24"/>
      <c r="R256" s="24"/>
      <c r="U256" s="24"/>
      <c r="V256" s="24"/>
      <c r="W256" s="24"/>
      <c r="X256" s="24"/>
      <c r="Y256" s="24"/>
    </row>
    <row r="257" spans="2:25" ht="12.75">
      <c r="B257" s="24"/>
      <c r="C257" s="24"/>
      <c r="D257" s="24"/>
      <c r="E257" s="24"/>
      <c r="H257" s="24"/>
      <c r="I257" s="24"/>
      <c r="J257" s="24"/>
      <c r="K257" s="24"/>
      <c r="N257" s="24"/>
      <c r="O257" s="24"/>
      <c r="P257" s="24"/>
      <c r="Q257" s="24"/>
      <c r="R257" s="24"/>
      <c r="U257" s="24"/>
      <c r="V257" s="24"/>
      <c r="W257" s="24"/>
      <c r="X257" s="24"/>
      <c r="Y257" s="24"/>
    </row>
    <row r="258" spans="2:25" ht="12.75">
      <c r="B258" s="24"/>
      <c r="C258" s="24"/>
      <c r="D258" s="24"/>
      <c r="E258" s="24"/>
      <c r="H258" s="24"/>
      <c r="I258" s="24"/>
      <c r="J258" s="24"/>
      <c r="K258" s="24"/>
      <c r="N258" s="24"/>
      <c r="O258" s="24"/>
      <c r="P258" s="24"/>
      <c r="Q258" s="24"/>
      <c r="R258" s="24"/>
      <c r="U258" s="24"/>
      <c r="V258" s="24"/>
      <c r="W258" s="24"/>
      <c r="X258" s="24"/>
      <c r="Y258" s="24"/>
    </row>
    <row r="259" spans="2:25" ht="12.75">
      <c r="B259" s="24"/>
      <c r="C259" s="24"/>
      <c r="D259" s="24"/>
      <c r="E259" s="24"/>
      <c r="H259" s="24"/>
      <c r="I259" s="24"/>
      <c r="J259" s="24"/>
      <c r="K259" s="24"/>
      <c r="N259" s="24"/>
      <c r="O259" s="24"/>
      <c r="P259" s="24"/>
      <c r="Q259" s="24"/>
      <c r="R259" s="24"/>
      <c r="U259" s="24"/>
      <c r="V259" s="24"/>
      <c r="W259" s="24"/>
      <c r="X259" s="24"/>
      <c r="Y259" s="24"/>
    </row>
    <row r="260" spans="2:25" ht="12.75">
      <c r="B260" s="24"/>
      <c r="C260" s="24"/>
      <c r="D260" s="24"/>
      <c r="E260" s="24"/>
      <c r="H260" s="24"/>
      <c r="I260" s="24"/>
      <c r="J260" s="24"/>
      <c r="K260" s="24"/>
      <c r="N260" s="24"/>
      <c r="O260" s="24"/>
      <c r="P260" s="24"/>
      <c r="Q260" s="24"/>
      <c r="R260" s="24"/>
      <c r="U260" s="24"/>
      <c r="V260" s="24"/>
      <c r="W260" s="24"/>
      <c r="X260" s="24"/>
      <c r="Y260" s="24"/>
    </row>
    <row r="261" spans="2:25" ht="12.75">
      <c r="B261" s="24"/>
      <c r="C261" s="24"/>
      <c r="D261" s="24"/>
      <c r="E261" s="24"/>
      <c r="H261" s="24"/>
      <c r="I261" s="24"/>
      <c r="J261" s="24"/>
      <c r="K261" s="24"/>
      <c r="N261" s="24"/>
      <c r="O261" s="24"/>
      <c r="P261" s="24"/>
      <c r="Q261" s="24"/>
      <c r="R261" s="24"/>
      <c r="U261" s="24"/>
      <c r="V261" s="24"/>
      <c r="W261" s="24"/>
      <c r="X261" s="24"/>
      <c r="Y261" s="24"/>
    </row>
    <row r="262" spans="2:25" ht="12.75">
      <c r="B262" s="24"/>
      <c r="C262" s="24"/>
      <c r="D262" s="24"/>
      <c r="E262" s="24"/>
      <c r="H262" s="24"/>
      <c r="I262" s="24"/>
      <c r="J262" s="24"/>
      <c r="K262" s="24"/>
      <c r="N262" s="24"/>
      <c r="O262" s="24"/>
      <c r="P262" s="24"/>
      <c r="Q262" s="24"/>
      <c r="R262" s="24"/>
      <c r="U262" s="24"/>
      <c r="V262" s="24"/>
      <c r="W262" s="24"/>
      <c r="X262" s="24"/>
      <c r="Y262" s="24"/>
    </row>
    <row r="263" spans="2:25" ht="12.75">
      <c r="B263" s="24"/>
      <c r="C263" s="24"/>
      <c r="D263" s="24"/>
      <c r="E263" s="24"/>
      <c r="H263" s="24"/>
      <c r="I263" s="24"/>
      <c r="J263" s="24"/>
      <c r="K263" s="24"/>
      <c r="N263" s="24"/>
      <c r="O263" s="24"/>
      <c r="P263" s="24"/>
      <c r="Q263" s="24"/>
      <c r="R263" s="24"/>
      <c r="U263" s="24"/>
      <c r="V263" s="24"/>
      <c r="W263" s="24"/>
      <c r="X263" s="24"/>
      <c r="Y263" s="24"/>
    </row>
    <row r="264" spans="2:25" ht="12.75">
      <c r="B264" s="24"/>
      <c r="C264" s="24"/>
      <c r="D264" s="24"/>
      <c r="E264" s="24"/>
      <c r="H264" s="24"/>
      <c r="I264" s="24"/>
      <c r="J264" s="24"/>
      <c r="K264" s="24"/>
      <c r="N264" s="24"/>
      <c r="O264" s="24"/>
      <c r="P264" s="24"/>
      <c r="Q264" s="24"/>
      <c r="R264" s="24"/>
      <c r="U264" s="24"/>
      <c r="V264" s="24"/>
      <c r="W264" s="24"/>
      <c r="X264" s="24"/>
      <c r="Y264" s="24"/>
    </row>
    <row r="265" spans="2:25" ht="12.75">
      <c r="B265" s="24"/>
      <c r="C265" s="24"/>
      <c r="D265" s="24"/>
      <c r="E265" s="24"/>
      <c r="H265" s="24"/>
      <c r="I265" s="24"/>
      <c r="J265" s="24"/>
      <c r="K265" s="24"/>
      <c r="N265" s="24"/>
      <c r="O265" s="24"/>
      <c r="P265" s="24"/>
      <c r="Q265" s="24"/>
      <c r="R265" s="24"/>
      <c r="U265" s="24"/>
      <c r="V265" s="24"/>
      <c r="W265" s="24"/>
      <c r="X265" s="24"/>
      <c r="Y265" s="24"/>
    </row>
    <row r="266" spans="2:25" ht="12.75">
      <c r="B266" s="24"/>
      <c r="C266" s="24"/>
      <c r="D266" s="24"/>
      <c r="E266" s="24"/>
      <c r="H266" s="24"/>
      <c r="I266" s="24"/>
      <c r="J266" s="24"/>
      <c r="K266" s="24"/>
      <c r="N266" s="24"/>
      <c r="O266" s="24"/>
      <c r="P266" s="24"/>
      <c r="Q266" s="24"/>
      <c r="R266" s="24"/>
      <c r="U266" s="24"/>
      <c r="V266" s="24"/>
      <c r="W266" s="24"/>
      <c r="X266" s="24"/>
      <c r="Y266" s="24"/>
    </row>
    <row r="267" spans="2:25" ht="12.75">
      <c r="B267" s="24"/>
      <c r="C267" s="24"/>
      <c r="D267" s="24"/>
      <c r="E267" s="24"/>
      <c r="H267" s="24"/>
      <c r="I267" s="24"/>
      <c r="J267" s="24"/>
      <c r="K267" s="24"/>
      <c r="N267" s="24"/>
      <c r="O267" s="24"/>
      <c r="P267" s="24"/>
      <c r="Q267" s="24"/>
      <c r="R267" s="24"/>
      <c r="U267" s="24"/>
      <c r="V267" s="24"/>
      <c r="W267" s="24"/>
      <c r="X267" s="24"/>
      <c r="Y267" s="24"/>
    </row>
    <row r="268" spans="2:25" ht="12.75">
      <c r="B268" s="24"/>
      <c r="C268" s="24"/>
      <c r="D268" s="24"/>
      <c r="E268" s="24"/>
      <c r="H268" s="24"/>
      <c r="I268" s="24"/>
      <c r="J268" s="24"/>
      <c r="K268" s="24"/>
      <c r="N268" s="24"/>
      <c r="O268" s="24"/>
      <c r="P268" s="24"/>
      <c r="Q268" s="24"/>
      <c r="R268" s="24"/>
      <c r="U268" s="24"/>
      <c r="V268" s="24"/>
      <c r="W268" s="24"/>
      <c r="X268" s="24"/>
      <c r="Y268" s="24"/>
    </row>
    <row r="269" spans="2:25" ht="12.75">
      <c r="B269" s="24"/>
      <c r="C269" s="24"/>
      <c r="D269" s="24"/>
      <c r="E269" s="24"/>
      <c r="H269" s="24"/>
      <c r="I269" s="24"/>
      <c r="J269" s="24"/>
      <c r="K269" s="24"/>
      <c r="N269" s="24"/>
      <c r="O269" s="24"/>
      <c r="P269" s="24"/>
      <c r="Q269" s="24"/>
      <c r="R269" s="24"/>
      <c r="U269" s="24"/>
      <c r="V269" s="24"/>
      <c r="W269" s="24"/>
      <c r="X269" s="24"/>
      <c r="Y269" s="24"/>
    </row>
    <row r="270" spans="2:25" ht="12.75">
      <c r="B270" s="24"/>
      <c r="C270" s="24"/>
      <c r="D270" s="24"/>
      <c r="E270" s="24"/>
      <c r="H270" s="24"/>
      <c r="I270" s="24"/>
      <c r="J270" s="24"/>
      <c r="K270" s="24"/>
      <c r="N270" s="24"/>
      <c r="O270" s="24"/>
      <c r="P270" s="24"/>
      <c r="Q270" s="24"/>
      <c r="R270" s="24"/>
      <c r="U270" s="24"/>
      <c r="V270" s="24"/>
      <c r="W270" s="24"/>
      <c r="X270" s="24"/>
      <c r="Y270" s="24"/>
    </row>
    <row r="271" spans="2:25" ht="12.75">
      <c r="B271" s="24"/>
      <c r="C271" s="24"/>
      <c r="D271" s="24"/>
      <c r="E271" s="24"/>
      <c r="H271" s="24"/>
      <c r="I271" s="24"/>
      <c r="J271" s="24"/>
      <c r="K271" s="24"/>
      <c r="N271" s="24"/>
      <c r="O271" s="24"/>
      <c r="P271" s="24"/>
      <c r="Q271" s="24"/>
      <c r="R271" s="24"/>
      <c r="U271" s="24"/>
      <c r="V271" s="24"/>
      <c r="W271" s="24"/>
      <c r="X271" s="24"/>
      <c r="Y271" s="24"/>
    </row>
    <row r="272" spans="2:25" ht="12.75">
      <c r="B272" s="24"/>
      <c r="C272" s="24"/>
      <c r="D272" s="24"/>
      <c r="E272" s="24"/>
      <c r="H272" s="24"/>
      <c r="I272" s="24"/>
      <c r="J272" s="24"/>
      <c r="K272" s="24"/>
      <c r="N272" s="24"/>
      <c r="O272" s="24"/>
      <c r="P272" s="24"/>
      <c r="Q272" s="24"/>
      <c r="R272" s="24"/>
      <c r="U272" s="24"/>
      <c r="V272" s="24"/>
      <c r="W272" s="24"/>
      <c r="X272" s="24"/>
      <c r="Y272" s="24"/>
    </row>
    <row r="273" spans="2:25" ht="12.75">
      <c r="B273" s="24"/>
      <c r="C273" s="24"/>
      <c r="D273" s="24"/>
      <c r="E273" s="24"/>
      <c r="H273" s="24"/>
      <c r="I273" s="24"/>
      <c r="J273" s="24"/>
      <c r="K273" s="24"/>
      <c r="N273" s="24"/>
      <c r="O273" s="24"/>
      <c r="P273" s="24"/>
      <c r="Q273" s="24"/>
      <c r="R273" s="24"/>
      <c r="U273" s="24"/>
      <c r="V273" s="24"/>
      <c r="W273" s="24"/>
      <c r="X273" s="24"/>
      <c r="Y273" s="24"/>
    </row>
    <row r="274" spans="2:25" ht="12.75">
      <c r="B274" s="24"/>
      <c r="C274" s="24"/>
      <c r="D274" s="24"/>
      <c r="E274" s="24"/>
      <c r="H274" s="24"/>
      <c r="I274" s="24"/>
      <c r="J274" s="24"/>
      <c r="K274" s="24"/>
      <c r="N274" s="24"/>
      <c r="O274" s="24"/>
      <c r="P274" s="24"/>
      <c r="Q274" s="24"/>
      <c r="R274" s="24"/>
      <c r="U274" s="24"/>
      <c r="V274" s="24"/>
      <c r="W274" s="24"/>
      <c r="X274" s="24"/>
      <c r="Y274" s="24"/>
    </row>
    <row r="275" spans="2:25" ht="12.75">
      <c r="B275" s="24"/>
      <c r="C275" s="24"/>
      <c r="D275" s="24"/>
      <c r="E275" s="24"/>
      <c r="H275" s="24"/>
      <c r="I275" s="24"/>
      <c r="J275" s="24"/>
      <c r="K275" s="24"/>
      <c r="N275" s="24"/>
      <c r="O275" s="24"/>
      <c r="P275" s="24"/>
      <c r="Q275" s="24"/>
      <c r="R275" s="24"/>
      <c r="U275" s="24"/>
      <c r="V275" s="24"/>
      <c r="W275" s="24"/>
      <c r="X275" s="24"/>
      <c r="Y275" s="24"/>
    </row>
    <row r="276" spans="2:25" ht="12.75">
      <c r="B276" s="24"/>
      <c r="C276" s="24"/>
      <c r="D276" s="24"/>
      <c r="E276" s="24"/>
      <c r="H276" s="24"/>
      <c r="I276" s="24"/>
      <c r="J276" s="24"/>
      <c r="K276" s="24"/>
      <c r="N276" s="24"/>
      <c r="O276" s="24"/>
      <c r="P276" s="24"/>
      <c r="Q276" s="24"/>
      <c r="R276" s="24"/>
      <c r="U276" s="24"/>
      <c r="V276" s="24"/>
      <c r="W276" s="24"/>
      <c r="X276" s="24"/>
      <c r="Y276" s="24"/>
    </row>
    <row r="277" spans="2:25" ht="12.75">
      <c r="B277" s="24"/>
      <c r="C277" s="24"/>
      <c r="D277" s="24"/>
      <c r="E277" s="24"/>
      <c r="H277" s="24"/>
      <c r="I277" s="24"/>
      <c r="J277" s="24"/>
      <c r="K277" s="24"/>
      <c r="N277" s="24"/>
      <c r="O277" s="24"/>
      <c r="P277" s="24"/>
      <c r="Q277" s="24"/>
      <c r="R277" s="24"/>
      <c r="U277" s="24"/>
      <c r="V277" s="24"/>
      <c r="W277" s="24"/>
      <c r="X277" s="24"/>
      <c r="Y277" s="24"/>
    </row>
    <row r="278" spans="2:25" ht="12.75">
      <c r="B278" s="24"/>
      <c r="C278" s="24"/>
      <c r="D278" s="24"/>
      <c r="E278" s="24"/>
      <c r="H278" s="24"/>
      <c r="I278" s="24"/>
      <c r="J278" s="24"/>
      <c r="K278" s="24"/>
      <c r="N278" s="24"/>
      <c r="O278" s="24"/>
      <c r="P278" s="24"/>
      <c r="Q278" s="24"/>
      <c r="R278" s="24"/>
      <c r="U278" s="24"/>
      <c r="V278" s="24"/>
      <c r="W278" s="24"/>
      <c r="X278" s="24"/>
      <c r="Y278" s="24"/>
    </row>
    <row r="279" spans="2:25" ht="12.75">
      <c r="B279" s="24"/>
      <c r="C279" s="24"/>
      <c r="D279" s="24"/>
      <c r="E279" s="24"/>
      <c r="H279" s="24"/>
      <c r="I279" s="24"/>
      <c r="J279" s="24"/>
      <c r="K279" s="24"/>
      <c r="N279" s="24"/>
      <c r="O279" s="24"/>
      <c r="P279" s="24"/>
      <c r="Q279" s="24"/>
      <c r="R279" s="24"/>
      <c r="U279" s="24"/>
      <c r="V279" s="24"/>
      <c r="W279" s="24"/>
      <c r="X279" s="24"/>
      <c r="Y279" s="24"/>
    </row>
    <row r="280" spans="2:25" ht="12.75">
      <c r="B280" s="24"/>
      <c r="C280" s="24"/>
      <c r="D280" s="24"/>
      <c r="E280" s="24"/>
      <c r="H280" s="24"/>
      <c r="I280" s="24"/>
      <c r="J280" s="24"/>
      <c r="K280" s="24"/>
      <c r="N280" s="24"/>
      <c r="O280" s="24"/>
      <c r="P280" s="24"/>
      <c r="Q280" s="24"/>
      <c r="R280" s="24"/>
      <c r="U280" s="24"/>
      <c r="V280" s="24"/>
      <c r="W280" s="24"/>
      <c r="X280" s="24"/>
      <c r="Y280" s="24"/>
    </row>
    <row r="281" spans="2:25" ht="12.75">
      <c r="B281" s="24"/>
      <c r="C281" s="24"/>
      <c r="D281" s="24"/>
      <c r="E281" s="24"/>
      <c r="H281" s="24"/>
      <c r="I281" s="24"/>
      <c r="J281" s="24"/>
      <c r="K281" s="24"/>
      <c r="N281" s="24"/>
      <c r="O281" s="24"/>
      <c r="P281" s="24"/>
      <c r="Q281" s="24"/>
      <c r="R281" s="24"/>
      <c r="U281" s="24"/>
      <c r="V281" s="24"/>
      <c r="W281" s="24"/>
      <c r="X281" s="24"/>
      <c r="Y281" s="24"/>
    </row>
    <row r="282" spans="2:25" ht="12.75">
      <c r="B282" s="24"/>
      <c r="C282" s="24"/>
      <c r="D282" s="24"/>
      <c r="E282" s="24"/>
      <c r="H282" s="24"/>
      <c r="I282" s="24"/>
      <c r="J282" s="24"/>
      <c r="K282" s="24"/>
      <c r="N282" s="24"/>
      <c r="O282" s="24"/>
      <c r="P282" s="24"/>
      <c r="Q282" s="24"/>
      <c r="R282" s="24"/>
      <c r="U282" s="24"/>
      <c r="V282" s="24"/>
      <c r="W282" s="24"/>
      <c r="X282" s="24"/>
      <c r="Y282" s="24"/>
    </row>
    <row r="283" spans="2:25" ht="12.75">
      <c r="B283" s="24"/>
      <c r="C283" s="24"/>
      <c r="D283" s="24"/>
      <c r="E283" s="24"/>
      <c r="H283" s="24"/>
      <c r="I283" s="24"/>
      <c r="J283" s="24"/>
      <c r="K283" s="24"/>
      <c r="N283" s="24"/>
      <c r="O283" s="24"/>
      <c r="P283" s="24"/>
      <c r="Q283" s="24"/>
      <c r="R283" s="24"/>
      <c r="U283" s="24"/>
      <c r="V283" s="24"/>
      <c r="W283" s="24"/>
      <c r="X283" s="24"/>
      <c r="Y283" s="24"/>
    </row>
    <row r="284" spans="2:25" ht="12.75">
      <c r="B284" s="24"/>
      <c r="C284" s="24"/>
      <c r="D284" s="24"/>
      <c r="E284" s="24"/>
      <c r="H284" s="24"/>
      <c r="I284" s="24"/>
      <c r="J284" s="24"/>
      <c r="K284" s="24"/>
      <c r="N284" s="24"/>
      <c r="O284" s="24"/>
      <c r="P284" s="24"/>
      <c r="Q284" s="24"/>
      <c r="R284" s="24"/>
      <c r="U284" s="24"/>
      <c r="V284" s="24"/>
      <c r="W284" s="24"/>
      <c r="X284" s="24"/>
      <c r="Y284" s="24"/>
    </row>
    <row r="285" spans="2:25" ht="12.75">
      <c r="B285" s="24"/>
      <c r="C285" s="24"/>
      <c r="D285" s="24"/>
      <c r="E285" s="24"/>
      <c r="H285" s="24"/>
      <c r="I285" s="24"/>
      <c r="J285" s="24"/>
      <c r="K285" s="24"/>
      <c r="N285" s="24"/>
      <c r="O285" s="24"/>
      <c r="P285" s="24"/>
      <c r="Q285" s="24"/>
      <c r="R285" s="24"/>
      <c r="U285" s="24"/>
      <c r="V285" s="24"/>
      <c r="W285" s="24"/>
      <c r="X285" s="24"/>
      <c r="Y285" s="24"/>
    </row>
    <row r="286" spans="2:25" ht="12.75">
      <c r="B286" s="24"/>
      <c r="C286" s="24"/>
      <c r="D286" s="24"/>
      <c r="E286" s="24"/>
      <c r="H286" s="24"/>
      <c r="I286" s="24"/>
      <c r="J286" s="24"/>
      <c r="K286" s="24"/>
      <c r="N286" s="24"/>
      <c r="O286" s="24"/>
      <c r="P286" s="24"/>
      <c r="Q286" s="24"/>
      <c r="R286" s="24"/>
      <c r="U286" s="24"/>
      <c r="V286" s="24"/>
      <c r="W286" s="24"/>
      <c r="X286" s="24"/>
      <c r="Y286" s="24"/>
    </row>
    <row r="287" spans="2:25" ht="12.75">
      <c r="B287" s="24"/>
      <c r="C287" s="24"/>
      <c r="D287" s="24"/>
      <c r="E287" s="24"/>
      <c r="H287" s="24"/>
      <c r="I287" s="24"/>
      <c r="J287" s="24"/>
      <c r="K287" s="24"/>
      <c r="N287" s="24"/>
      <c r="O287" s="24"/>
      <c r="P287" s="24"/>
      <c r="Q287" s="24"/>
      <c r="R287" s="24"/>
      <c r="U287" s="24"/>
      <c r="V287" s="24"/>
      <c r="W287" s="24"/>
      <c r="X287" s="24"/>
      <c r="Y287" s="24"/>
    </row>
    <row r="288" spans="2:25" ht="12.75">
      <c r="B288" s="24"/>
      <c r="C288" s="24"/>
      <c r="D288" s="24"/>
      <c r="E288" s="24"/>
      <c r="H288" s="24"/>
      <c r="I288" s="24"/>
      <c r="J288" s="24"/>
      <c r="K288" s="24"/>
      <c r="N288" s="24"/>
      <c r="O288" s="24"/>
      <c r="P288" s="24"/>
      <c r="Q288" s="24"/>
      <c r="R288" s="24"/>
      <c r="U288" s="24"/>
      <c r="V288" s="24"/>
      <c r="W288" s="24"/>
      <c r="X288" s="24"/>
      <c r="Y288" s="24"/>
    </row>
    <row r="289" spans="2:25" ht="12.75">
      <c r="B289" s="24"/>
      <c r="C289" s="24"/>
      <c r="D289" s="24"/>
      <c r="E289" s="24"/>
      <c r="H289" s="24"/>
      <c r="I289" s="24"/>
      <c r="J289" s="24"/>
      <c r="K289" s="24"/>
      <c r="N289" s="24"/>
      <c r="O289" s="24"/>
      <c r="P289" s="24"/>
      <c r="Q289" s="24"/>
      <c r="R289" s="24"/>
      <c r="U289" s="24"/>
      <c r="V289" s="24"/>
      <c r="W289" s="24"/>
      <c r="X289" s="24"/>
      <c r="Y289" s="24"/>
    </row>
    <row r="290" spans="2:25" ht="12.75">
      <c r="B290" s="24"/>
      <c r="C290" s="24"/>
      <c r="D290" s="24"/>
      <c r="E290" s="24"/>
      <c r="H290" s="24"/>
      <c r="I290" s="24"/>
      <c r="J290" s="24"/>
      <c r="K290" s="24"/>
      <c r="N290" s="24"/>
      <c r="O290" s="24"/>
      <c r="P290" s="24"/>
      <c r="Q290" s="24"/>
      <c r="R290" s="24"/>
      <c r="U290" s="24"/>
      <c r="V290" s="24"/>
      <c r="W290" s="24"/>
      <c r="X290" s="24"/>
      <c r="Y290" s="24"/>
    </row>
    <row r="291" spans="2:25" ht="12.75">
      <c r="B291" s="24"/>
      <c r="C291" s="24"/>
      <c r="D291" s="24"/>
      <c r="E291" s="24"/>
      <c r="H291" s="24"/>
      <c r="I291" s="24"/>
      <c r="J291" s="24"/>
      <c r="K291" s="24"/>
      <c r="N291" s="24"/>
      <c r="O291" s="24"/>
      <c r="P291" s="24"/>
      <c r="Q291" s="24"/>
      <c r="R291" s="24"/>
      <c r="U291" s="24"/>
      <c r="V291" s="24"/>
      <c r="W291" s="24"/>
      <c r="X291" s="24"/>
      <c r="Y291" s="24"/>
    </row>
    <row r="292" spans="2:25" ht="12.75">
      <c r="B292" s="24"/>
      <c r="C292" s="24"/>
      <c r="D292" s="24"/>
      <c r="E292" s="24"/>
      <c r="H292" s="24"/>
      <c r="I292" s="24"/>
      <c r="J292" s="24"/>
      <c r="K292" s="24"/>
      <c r="N292" s="24"/>
      <c r="O292" s="24"/>
      <c r="P292" s="24"/>
      <c r="Q292" s="24"/>
      <c r="R292" s="24"/>
      <c r="U292" s="24"/>
      <c r="V292" s="24"/>
      <c r="W292" s="24"/>
      <c r="X292" s="24"/>
      <c r="Y292" s="24"/>
    </row>
    <row r="293" spans="2:25" ht="12.75">
      <c r="B293" s="24"/>
      <c r="C293" s="24"/>
      <c r="D293" s="24"/>
      <c r="E293" s="24"/>
      <c r="H293" s="24"/>
      <c r="I293" s="24"/>
      <c r="J293" s="24"/>
      <c r="K293" s="24"/>
      <c r="N293" s="24"/>
      <c r="O293" s="24"/>
      <c r="P293" s="24"/>
      <c r="Q293" s="24"/>
      <c r="R293" s="24"/>
      <c r="U293" s="24"/>
      <c r="V293" s="24"/>
      <c r="W293" s="24"/>
      <c r="X293" s="24"/>
      <c r="Y293" s="24"/>
    </row>
    <row r="294" spans="2:25" ht="12.75">
      <c r="B294" s="24"/>
      <c r="C294" s="24"/>
      <c r="D294" s="24"/>
      <c r="E294" s="24"/>
      <c r="H294" s="24"/>
      <c r="I294" s="24"/>
      <c r="J294" s="24"/>
      <c r="K294" s="24"/>
      <c r="N294" s="24"/>
      <c r="O294" s="24"/>
      <c r="P294" s="24"/>
      <c r="Q294" s="24"/>
      <c r="R294" s="24"/>
      <c r="U294" s="24"/>
      <c r="V294" s="24"/>
      <c r="W294" s="24"/>
      <c r="X294" s="24"/>
      <c r="Y294" s="24"/>
    </row>
    <row r="295" spans="2:25" ht="12.75">
      <c r="B295" s="24"/>
      <c r="C295" s="24"/>
      <c r="D295" s="24"/>
      <c r="E295" s="24"/>
      <c r="H295" s="24"/>
      <c r="I295" s="24"/>
      <c r="J295" s="24"/>
      <c r="K295" s="24"/>
      <c r="N295" s="24"/>
      <c r="O295" s="24"/>
      <c r="P295" s="24"/>
      <c r="Q295" s="24"/>
      <c r="R295" s="24"/>
      <c r="U295" s="24"/>
      <c r="V295" s="24"/>
      <c r="W295" s="24"/>
      <c r="X295" s="24"/>
      <c r="Y295" s="24"/>
    </row>
    <row r="296" spans="2:25" ht="12.75">
      <c r="B296" s="24"/>
      <c r="C296" s="24"/>
      <c r="D296" s="24"/>
      <c r="E296" s="24"/>
      <c r="H296" s="24"/>
      <c r="I296" s="24"/>
      <c r="J296" s="24"/>
      <c r="K296" s="24"/>
      <c r="N296" s="24"/>
      <c r="O296" s="24"/>
      <c r="P296" s="24"/>
      <c r="Q296" s="24"/>
      <c r="R296" s="24"/>
      <c r="U296" s="24"/>
      <c r="V296" s="24"/>
      <c r="W296" s="24"/>
      <c r="X296" s="24"/>
      <c r="Y296" s="24"/>
    </row>
    <row r="297" spans="2:25" ht="12.75">
      <c r="B297" s="24"/>
      <c r="C297" s="24"/>
      <c r="D297" s="24"/>
      <c r="E297" s="24"/>
      <c r="H297" s="24"/>
      <c r="I297" s="24"/>
      <c r="J297" s="24"/>
      <c r="K297" s="24"/>
      <c r="N297" s="24"/>
      <c r="O297" s="24"/>
      <c r="P297" s="24"/>
      <c r="Q297" s="24"/>
      <c r="R297" s="24"/>
      <c r="U297" s="24"/>
      <c r="V297" s="24"/>
      <c r="W297" s="24"/>
      <c r="X297" s="24"/>
      <c r="Y297" s="24"/>
    </row>
    <row r="298" spans="2:25" ht="12.75">
      <c r="B298" s="24"/>
      <c r="C298" s="24"/>
      <c r="D298" s="24"/>
      <c r="E298" s="24"/>
      <c r="H298" s="24"/>
      <c r="I298" s="24"/>
      <c r="J298" s="24"/>
      <c r="K298" s="24"/>
      <c r="N298" s="24"/>
      <c r="O298" s="24"/>
      <c r="P298" s="24"/>
      <c r="Q298" s="24"/>
      <c r="R298" s="24"/>
      <c r="U298" s="24"/>
      <c r="V298" s="24"/>
      <c r="W298" s="24"/>
      <c r="X298" s="24"/>
      <c r="Y298" s="24"/>
    </row>
    <row r="299" spans="2:25" ht="12.75">
      <c r="B299" s="24"/>
      <c r="C299" s="24"/>
      <c r="D299" s="24"/>
      <c r="E299" s="24"/>
      <c r="H299" s="24"/>
      <c r="I299" s="24"/>
      <c r="J299" s="24"/>
      <c r="K299" s="24"/>
      <c r="N299" s="24"/>
      <c r="O299" s="24"/>
      <c r="P299" s="24"/>
      <c r="Q299" s="24"/>
      <c r="R299" s="24"/>
      <c r="U299" s="24"/>
      <c r="V299" s="24"/>
      <c r="W299" s="24"/>
      <c r="X299" s="24"/>
      <c r="Y299" s="24"/>
    </row>
    <row r="300" spans="2:25" ht="12.75">
      <c r="B300" s="24"/>
      <c r="C300" s="24"/>
      <c r="D300" s="24"/>
      <c r="E300" s="24"/>
      <c r="H300" s="24"/>
      <c r="I300" s="24"/>
      <c r="J300" s="24"/>
      <c r="K300" s="24"/>
      <c r="N300" s="24"/>
      <c r="O300" s="24"/>
      <c r="P300" s="24"/>
      <c r="Q300" s="24"/>
      <c r="R300" s="24"/>
      <c r="U300" s="24"/>
      <c r="V300" s="24"/>
      <c r="W300" s="24"/>
      <c r="X300" s="24"/>
      <c r="Y300" s="24"/>
    </row>
    <row r="301" spans="2:25" ht="12.75">
      <c r="B301" s="24"/>
      <c r="C301" s="24"/>
      <c r="D301" s="24"/>
      <c r="E301" s="24"/>
      <c r="H301" s="24"/>
      <c r="I301" s="24"/>
      <c r="J301" s="24"/>
      <c r="K301" s="24"/>
      <c r="N301" s="24"/>
      <c r="O301" s="24"/>
      <c r="P301" s="24"/>
      <c r="Q301" s="24"/>
      <c r="R301" s="24"/>
      <c r="U301" s="24"/>
      <c r="V301" s="24"/>
      <c r="W301" s="24"/>
      <c r="X301" s="24"/>
      <c r="Y301" s="24"/>
    </row>
    <row r="302" spans="2:25" ht="12.75">
      <c r="B302" s="24"/>
      <c r="C302" s="24"/>
      <c r="D302" s="24"/>
      <c r="E302" s="24"/>
      <c r="H302" s="24"/>
      <c r="I302" s="24"/>
      <c r="J302" s="24"/>
      <c r="K302" s="24"/>
      <c r="N302" s="24"/>
      <c r="O302" s="24"/>
      <c r="P302" s="24"/>
      <c r="Q302" s="24"/>
      <c r="R302" s="24"/>
      <c r="U302" s="24"/>
      <c r="V302" s="24"/>
      <c r="W302" s="24"/>
      <c r="X302" s="24"/>
      <c r="Y302" s="24"/>
    </row>
    <row r="303" spans="2:25" ht="12.75">
      <c r="B303" s="24"/>
      <c r="C303" s="24"/>
      <c r="D303" s="24"/>
      <c r="E303" s="24"/>
      <c r="H303" s="24"/>
      <c r="I303" s="24"/>
      <c r="J303" s="24"/>
      <c r="K303" s="24"/>
      <c r="N303" s="24"/>
      <c r="O303" s="24"/>
      <c r="P303" s="24"/>
      <c r="Q303" s="24"/>
      <c r="R303" s="24"/>
      <c r="U303" s="24"/>
      <c r="V303" s="24"/>
      <c r="W303" s="24"/>
      <c r="X303" s="24"/>
      <c r="Y303" s="24"/>
    </row>
    <row r="304" spans="2:25" ht="12.75">
      <c r="B304" s="24"/>
      <c r="C304" s="24"/>
      <c r="D304" s="24"/>
      <c r="E304" s="24"/>
      <c r="H304" s="24"/>
      <c r="I304" s="24"/>
      <c r="J304" s="24"/>
      <c r="K304" s="24"/>
      <c r="N304" s="24"/>
      <c r="O304" s="24"/>
      <c r="P304" s="24"/>
      <c r="Q304" s="24"/>
      <c r="R304" s="24"/>
      <c r="U304" s="24"/>
      <c r="V304" s="24"/>
      <c r="W304" s="24"/>
      <c r="X304" s="24"/>
      <c r="Y304" s="24"/>
    </row>
    <row r="305" spans="2:25" ht="12.75">
      <c r="B305" s="24"/>
      <c r="C305" s="24"/>
      <c r="D305" s="24"/>
      <c r="E305" s="24"/>
      <c r="H305" s="24"/>
      <c r="I305" s="24"/>
      <c r="J305" s="24"/>
      <c r="K305" s="24"/>
      <c r="N305" s="24"/>
      <c r="O305" s="24"/>
      <c r="P305" s="24"/>
      <c r="Q305" s="24"/>
      <c r="R305" s="24"/>
      <c r="U305" s="24"/>
      <c r="V305" s="24"/>
      <c r="W305" s="24"/>
      <c r="X305" s="24"/>
      <c r="Y305" s="24"/>
    </row>
    <row r="306" spans="2:25" ht="12.75">
      <c r="B306" s="24"/>
      <c r="C306" s="24"/>
      <c r="D306" s="24"/>
      <c r="E306" s="24"/>
      <c r="H306" s="24"/>
      <c r="I306" s="24"/>
      <c r="J306" s="24"/>
      <c r="K306" s="24"/>
      <c r="N306" s="24"/>
      <c r="O306" s="24"/>
      <c r="P306" s="24"/>
      <c r="Q306" s="24"/>
      <c r="R306" s="24"/>
      <c r="U306" s="24"/>
      <c r="V306" s="24"/>
      <c r="W306" s="24"/>
      <c r="X306" s="24"/>
      <c r="Y306" s="24"/>
    </row>
    <row r="307" spans="2:25" ht="12.75">
      <c r="B307" s="24"/>
      <c r="C307" s="24"/>
      <c r="D307" s="24"/>
      <c r="E307" s="24"/>
      <c r="H307" s="24"/>
      <c r="I307" s="24"/>
      <c r="J307" s="24"/>
      <c r="K307" s="24"/>
      <c r="N307" s="24"/>
      <c r="O307" s="24"/>
      <c r="P307" s="24"/>
      <c r="Q307" s="24"/>
      <c r="R307" s="24"/>
      <c r="U307" s="24"/>
      <c r="V307" s="24"/>
      <c r="W307" s="24"/>
      <c r="X307" s="24"/>
      <c r="Y307" s="24"/>
    </row>
    <row r="308" spans="2:25" ht="12.75">
      <c r="B308" s="24"/>
      <c r="C308" s="24"/>
      <c r="D308" s="24"/>
      <c r="E308" s="24"/>
      <c r="H308" s="24"/>
      <c r="I308" s="24"/>
      <c r="J308" s="24"/>
      <c r="K308" s="24"/>
      <c r="N308" s="24"/>
      <c r="O308" s="24"/>
      <c r="P308" s="24"/>
      <c r="Q308" s="24"/>
      <c r="R308" s="24"/>
      <c r="U308" s="24"/>
      <c r="V308" s="24"/>
      <c r="W308" s="24"/>
      <c r="X308" s="24"/>
      <c r="Y308" s="24"/>
    </row>
    <row r="309" spans="2:25" ht="12.75">
      <c r="B309" s="24"/>
      <c r="C309" s="24"/>
      <c r="D309" s="24"/>
      <c r="E309" s="24"/>
      <c r="H309" s="24"/>
      <c r="I309" s="24"/>
      <c r="J309" s="24"/>
      <c r="K309" s="24"/>
      <c r="N309" s="24"/>
      <c r="O309" s="24"/>
      <c r="P309" s="24"/>
      <c r="Q309" s="24"/>
      <c r="R309" s="24"/>
      <c r="U309" s="24"/>
      <c r="V309" s="24"/>
      <c r="W309" s="24"/>
      <c r="X309" s="24"/>
      <c r="Y309" s="24"/>
    </row>
    <row r="310" spans="2:25" ht="12.75">
      <c r="B310" s="24"/>
      <c r="C310" s="24"/>
      <c r="D310" s="24"/>
      <c r="E310" s="24"/>
      <c r="H310" s="24"/>
      <c r="I310" s="24"/>
      <c r="J310" s="24"/>
      <c r="K310" s="24"/>
      <c r="N310" s="24"/>
      <c r="O310" s="24"/>
      <c r="P310" s="24"/>
      <c r="Q310" s="24"/>
      <c r="R310" s="24"/>
      <c r="U310" s="24"/>
      <c r="V310" s="24"/>
      <c r="W310" s="24"/>
      <c r="X310" s="24"/>
      <c r="Y310" s="24"/>
    </row>
    <row r="311" spans="2:25" ht="12.75">
      <c r="B311" s="24"/>
      <c r="C311" s="24"/>
      <c r="D311" s="24"/>
      <c r="E311" s="24"/>
      <c r="H311" s="24"/>
      <c r="I311" s="24"/>
      <c r="J311" s="24"/>
      <c r="K311" s="24"/>
      <c r="N311" s="24"/>
      <c r="O311" s="24"/>
      <c r="P311" s="24"/>
      <c r="Q311" s="24"/>
      <c r="R311" s="24"/>
      <c r="U311" s="24"/>
      <c r="V311" s="24"/>
      <c r="W311" s="24"/>
      <c r="X311" s="24"/>
      <c r="Y311" s="24"/>
    </row>
    <row r="312" spans="2:25" ht="12.75">
      <c r="B312" s="24"/>
      <c r="C312" s="24"/>
      <c r="D312" s="24"/>
      <c r="E312" s="24"/>
      <c r="H312" s="24"/>
      <c r="I312" s="24"/>
      <c r="J312" s="24"/>
      <c r="K312" s="24"/>
      <c r="N312" s="24"/>
      <c r="O312" s="24"/>
      <c r="P312" s="24"/>
      <c r="Q312" s="24"/>
      <c r="R312" s="24"/>
      <c r="U312" s="24"/>
      <c r="V312" s="24"/>
      <c r="W312" s="24"/>
      <c r="X312" s="24"/>
      <c r="Y312" s="24"/>
    </row>
    <row r="313" spans="2:25" ht="12.75">
      <c r="B313" s="24"/>
      <c r="C313" s="24"/>
      <c r="D313" s="24"/>
      <c r="E313" s="24"/>
      <c r="H313" s="24"/>
      <c r="I313" s="24"/>
      <c r="J313" s="24"/>
      <c r="K313" s="24"/>
      <c r="N313" s="24"/>
      <c r="O313" s="24"/>
      <c r="P313" s="24"/>
      <c r="Q313" s="24"/>
      <c r="R313" s="24"/>
      <c r="U313" s="24"/>
      <c r="V313" s="24"/>
      <c r="W313" s="24"/>
      <c r="X313" s="24"/>
      <c r="Y313" s="24"/>
    </row>
    <row r="314" spans="2:25" ht="12.75">
      <c r="B314" s="24"/>
      <c r="C314" s="24"/>
      <c r="D314" s="24"/>
      <c r="E314" s="24"/>
      <c r="H314" s="24"/>
      <c r="I314" s="24"/>
      <c r="J314" s="24"/>
      <c r="K314" s="24"/>
      <c r="N314" s="24"/>
      <c r="O314" s="24"/>
      <c r="P314" s="24"/>
      <c r="Q314" s="24"/>
      <c r="R314" s="24"/>
      <c r="U314" s="24"/>
      <c r="V314" s="24"/>
      <c r="W314" s="24"/>
      <c r="X314" s="24"/>
      <c r="Y314" s="24"/>
    </row>
    <row r="315" spans="2:25" ht="12.75">
      <c r="B315" s="24"/>
      <c r="C315" s="24"/>
      <c r="D315" s="24"/>
      <c r="E315" s="24"/>
      <c r="H315" s="24"/>
      <c r="I315" s="24"/>
      <c r="J315" s="24"/>
      <c r="K315" s="24"/>
      <c r="N315" s="24"/>
      <c r="O315" s="24"/>
      <c r="P315" s="24"/>
      <c r="Q315" s="24"/>
      <c r="R315" s="24"/>
      <c r="U315" s="24"/>
      <c r="V315" s="24"/>
      <c r="W315" s="24"/>
      <c r="X315" s="24"/>
      <c r="Y315" s="24"/>
    </row>
    <row r="316" spans="2:25" ht="12.75">
      <c r="B316" s="24"/>
      <c r="C316" s="24"/>
      <c r="D316" s="24"/>
      <c r="E316" s="24"/>
      <c r="H316" s="24"/>
      <c r="I316" s="24"/>
      <c r="J316" s="24"/>
      <c r="K316" s="24"/>
      <c r="N316" s="24"/>
      <c r="O316" s="24"/>
      <c r="P316" s="24"/>
      <c r="Q316" s="24"/>
      <c r="R316" s="24"/>
      <c r="U316" s="24"/>
      <c r="V316" s="24"/>
      <c r="W316" s="24"/>
      <c r="X316" s="24"/>
      <c r="Y316" s="24"/>
    </row>
    <row r="317" spans="2:25" ht="12.75">
      <c r="B317" s="24"/>
      <c r="C317" s="24"/>
      <c r="D317" s="24"/>
      <c r="E317" s="24"/>
      <c r="H317" s="24"/>
      <c r="I317" s="24"/>
      <c r="J317" s="24"/>
      <c r="K317" s="24"/>
      <c r="N317" s="24"/>
      <c r="O317" s="24"/>
      <c r="P317" s="24"/>
      <c r="Q317" s="24"/>
      <c r="R317" s="24"/>
      <c r="U317" s="24"/>
      <c r="V317" s="24"/>
      <c r="W317" s="24"/>
      <c r="X317" s="24"/>
      <c r="Y317" s="24"/>
    </row>
    <row r="318" spans="2:25" ht="12.75">
      <c r="B318" s="24"/>
      <c r="C318" s="24"/>
      <c r="D318" s="24"/>
      <c r="E318" s="24"/>
      <c r="H318" s="24"/>
      <c r="I318" s="24"/>
      <c r="J318" s="24"/>
      <c r="K318" s="24"/>
      <c r="N318" s="24"/>
      <c r="O318" s="24"/>
      <c r="P318" s="24"/>
      <c r="Q318" s="24"/>
      <c r="R318" s="24"/>
      <c r="U318" s="24"/>
      <c r="V318" s="24"/>
      <c r="W318" s="24"/>
      <c r="X318" s="24"/>
      <c r="Y318" s="24"/>
    </row>
    <row r="319" spans="2:25" ht="12.75">
      <c r="B319" s="24"/>
      <c r="C319" s="24"/>
      <c r="D319" s="24"/>
      <c r="E319" s="24"/>
      <c r="H319" s="24"/>
      <c r="I319" s="24"/>
      <c r="J319" s="24"/>
      <c r="K319" s="24"/>
      <c r="N319" s="24"/>
      <c r="O319" s="24"/>
      <c r="P319" s="24"/>
      <c r="Q319" s="24"/>
      <c r="R319" s="24"/>
      <c r="U319" s="24"/>
      <c r="V319" s="24"/>
      <c r="W319" s="24"/>
      <c r="X319" s="24"/>
      <c r="Y319" s="24"/>
    </row>
    <row r="320" spans="2:25" ht="12.75">
      <c r="B320" s="24"/>
      <c r="C320" s="24"/>
      <c r="D320" s="24"/>
      <c r="E320" s="24"/>
      <c r="H320" s="24"/>
      <c r="I320" s="24"/>
      <c r="J320" s="24"/>
      <c r="K320" s="24"/>
      <c r="N320" s="24"/>
      <c r="O320" s="24"/>
      <c r="P320" s="24"/>
      <c r="Q320" s="24"/>
      <c r="R320" s="24"/>
      <c r="U320" s="24"/>
      <c r="V320" s="24"/>
      <c r="W320" s="24"/>
      <c r="X320" s="24"/>
      <c r="Y320" s="24"/>
    </row>
  </sheetData>
  <printOptions/>
  <pageMargins left="0.45" right="0.22" top="0.52" bottom="0.23" header="0.25" footer="0.16"/>
  <pageSetup horizontalDpi="600" verticalDpi="600" orientation="portrait" paperSize="9" scale="90" r:id="rId1"/>
  <rowBreaks count="1" manualBreakCount="1"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B53" sqref="B53"/>
    </sheetView>
  </sheetViews>
  <sheetFormatPr defaultColWidth="9.140625" defaultRowHeight="12.75"/>
  <cols>
    <col min="1" max="1" width="39.57421875" style="4" customWidth="1"/>
    <col min="2" max="2" width="13.57421875" style="63" customWidth="1"/>
    <col min="3" max="3" width="6.28125" style="2" customWidth="1"/>
    <col min="4" max="4" width="13.57421875" style="63" customWidth="1"/>
    <col min="5" max="16384" width="9.140625" style="2" customWidth="1"/>
  </cols>
  <sheetData>
    <row r="1" ht="19.5">
      <c r="A1" s="1" t="s">
        <v>87</v>
      </c>
    </row>
    <row r="2" ht="19.5">
      <c r="A2" s="1"/>
    </row>
    <row r="3" ht="19.5">
      <c r="A3" s="3" t="s">
        <v>214</v>
      </c>
    </row>
    <row r="4" spans="1:4" ht="12.75">
      <c r="A4" s="2"/>
      <c r="B4" s="91"/>
      <c r="C4" s="92"/>
      <c r="D4" s="93"/>
    </row>
    <row r="5" spans="2:4" ht="12.75">
      <c r="B5" s="87" t="s">
        <v>241</v>
      </c>
      <c r="C5" s="5"/>
      <c r="D5" s="87" t="s">
        <v>243</v>
      </c>
    </row>
    <row r="6" spans="2:4" ht="12.75">
      <c r="B6" s="87" t="s">
        <v>242</v>
      </c>
      <c r="C6" s="5"/>
      <c r="D6" s="87" t="s">
        <v>244</v>
      </c>
    </row>
    <row r="7" spans="1:4" ht="12.75">
      <c r="A7" s="5"/>
      <c r="B7" s="87" t="s">
        <v>195</v>
      </c>
      <c r="C7" s="5"/>
      <c r="D7" s="87" t="s">
        <v>245</v>
      </c>
    </row>
    <row r="8" spans="1:4" ht="12.75">
      <c r="A8" s="5"/>
      <c r="B8" s="87"/>
      <c r="C8" s="5"/>
      <c r="D8" s="87" t="s">
        <v>246</v>
      </c>
    </row>
    <row r="9" spans="1:4" ht="12.75">
      <c r="A9" s="5"/>
      <c r="B9" s="131" t="s">
        <v>354</v>
      </c>
      <c r="C9" s="5"/>
      <c r="D9" s="131" t="s">
        <v>308</v>
      </c>
    </row>
    <row r="10" spans="2:4" ht="12.75">
      <c r="B10" s="87" t="s">
        <v>172</v>
      </c>
      <c r="C10" s="5"/>
      <c r="D10" s="87" t="s">
        <v>172</v>
      </c>
    </row>
    <row r="11" spans="2:3" ht="12.75">
      <c r="B11" s="87"/>
      <c r="C11" s="5"/>
    </row>
    <row r="12" spans="1:4" ht="12.75">
      <c r="A12" s="4" t="s">
        <v>247</v>
      </c>
      <c r="B12" s="63">
        <v>54812</v>
      </c>
      <c r="D12" s="63">
        <v>55099</v>
      </c>
    </row>
    <row r="13" spans="1:4" ht="12.75">
      <c r="A13" s="4" t="s">
        <v>248</v>
      </c>
      <c r="B13" s="63">
        <v>48637</v>
      </c>
      <c r="D13" s="63">
        <v>48191</v>
      </c>
    </row>
    <row r="14" spans="1:4" ht="12.75">
      <c r="A14" s="4" t="s">
        <v>249</v>
      </c>
      <c r="B14" s="63">
        <v>3178</v>
      </c>
      <c r="D14" s="63">
        <v>3202</v>
      </c>
    </row>
    <row r="15" spans="1:4" ht="12.75">
      <c r="A15" s="4" t="s">
        <v>274</v>
      </c>
      <c r="B15" s="88">
        <v>5661</v>
      </c>
      <c r="D15" s="88">
        <v>6104</v>
      </c>
    </row>
    <row r="16" spans="2:4" ht="12.75">
      <c r="B16" s="63">
        <f>SUM(B12:B15)</f>
        <v>112288</v>
      </c>
      <c r="D16" s="63">
        <f>SUM(D12:D15)</f>
        <v>112596</v>
      </c>
    </row>
    <row r="18" ht="12.75">
      <c r="A18" s="4" t="s">
        <v>250</v>
      </c>
    </row>
    <row r="19" spans="1:4" ht="12.75">
      <c r="A19" s="4" t="s">
        <v>251</v>
      </c>
      <c r="B19" s="63">
        <v>13163</v>
      </c>
      <c r="D19" s="63">
        <v>12464</v>
      </c>
    </row>
    <row r="20" spans="1:4" ht="12.75">
      <c r="A20" s="4" t="s">
        <v>252</v>
      </c>
      <c r="B20" s="63">
        <v>23479</v>
      </c>
      <c r="D20" s="63">
        <v>22673</v>
      </c>
    </row>
    <row r="21" spans="1:4" ht="12.75">
      <c r="A21" s="4" t="s">
        <v>256</v>
      </c>
      <c r="B21" s="63">
        <f>2913</f>
        <v>2913</v>
      </c>
      <c r="D21" s="63">
        <v>2616</v>
      </c>
    </row>
    <row r="22" spans="1:4" ht="12.75">
      <c r="A22" s="4" t="s">
        <v>253</v>
      </c>
      <c r="B22" s="63">
        <v>24038</v>
      </c>
      <c r="D22" s="63">
        <v>22526</v>
      </c>
    </row>
    <row r="23" spans="1:4" ht="12.75">
      <c r="A23" s="4" t="s">
        <v>254</v>
      </c>
      <c r="B23" s="88">
        <v>6622</v>
      </c>
      <c r="C23" s="110"/>
      <c r="D23" s="88">
        <v>3941</v>
      </c>
    </row>
    <row r="24" spans="2:4" ht="12.75">
      <c r="B24" s="63">
        <f>SUM(B19:B23)</f>
        <v>70215</v>
      </c>
      <c r="D24" s="63">
        <f>SUM(D19:D23)</f>
        <v>64220</v>
      </c>
    </row>
    <row r="26" ht="12.75">
      <c r="A26" s="4" t="s">
        <v>255</v>
      </c>
    </row>
    <row r="27" spans="1:4" ht="12.75">
      <c r="A27" s="4" t="s">
        <v>257</v>
      </c>
      <c r="B27" s="63">
        <v>9205</v>
      </c>
      <c r="D27" s="63">
        <v>8611</v>
      </c>
    </row>
    <row r="28" spans="1:4" ht="12.75">
      <c r="A28" s="4" t="s">
        <v>258</v>
      </c>
      <c r="B28" s="63">
        <v>28250</v>
      </c>
      <c r="D28" s="63">
        <f>37827-8611</f>
        <v>29216</v>
      </c>
    </row>
    <row r="29" spans="1:4" ht="12.75">
      <c r="A29" s="4" t="s">
        <v>259</v>
      </c>
      <c r="B29" s="63">
        <v>3000</v>
      </c>
      <c r="D29" s="63">
        <v>3000</v>
      </c>
    </row>
    <row r="30" spans="1:4" ht="12.75">
      <c r="A30" s="4" t="s">
        <v>260</v>
      </c>
      <c r="B30" s="63">
        <v>6080</v>
      </c>
      <c r="D30" s="63">
        <v>6076</v>
      </c>
    </row>
    <row r="31" spans="1:4" ht="12.75">
      <c r="A31" s="4" t="s">
        <v>261</v>
      </c>
      <c r="B31" s="63">
        <v>572</v>
      </c>
      <c r="D31" s="63">
        <v>572</v>
      </c>
    </row>
    <row r="32" spans="2:4" ht="12.75">
      <c r="B32" s="89">
        <f>SUM(B27:B31)</f>
        <v>47107</v>
      </c>
      <c r="D32" s="89">
        <f>SUM(D27:D31)</f>
        <v>47475</v>
      </c>
    </row>
    <row r="33" spans="1:4" ht="12.75">
      <c r="A33" s="4" t="s">
        <v>272</v>
      </c>
      <c r="B33" s="63">
        <f>+B24-B32</f>
        <v>23108</v>
      </c>
      <c r="D33" s="63">
        <f>+D24-D32</f>
        <v>16745</v>
      </c>
    </row>
    <row r="34" spans="1:4" ht="13.5" thickBot="1">
      <c r="A34" s="2"/>
      <c r="B34" s="90">
        <f>+B16+B33</f>
        <v>135396</v>
      </c>
      <c r="D34" s="90">
        <f>+D16+D33</f>
        <v>129341</v>
      </c>
    </row>
    <row r="35" ht="13.5" thickTop="1"/>
    <row r="37" ht="12.75">
      <c r="A37" s="4" t="s">
        <v>215</v>
      </c>
    </row>
    <row r="38" spans="1:4" ht="12.75">
      <c r="A38" s="4" t="s">
        <v>262</v>
      </c>
      <c r="B38" s="63">
        <v>19855</v>
      </c>
      <c r="D38" s="63">
        <v>19855</v>
      </c>
    </row>
    <row r="39" ht="12.75">
      <c r="A39" s="4" t="s">
        <v>263</v>
      </c>
    </row>
    <row r="40" spans="1:4" ht="12.75">
      <c r="A40" s="4" t="s">
        <v>264</v>
      </c>
      <c r="B40" s="63">
        <f>1415</f>
        <v>1415</v>
      </c>
      <c r="D40" s="63">
        <f>1415</f>
        <v>1415</v>
      </c>
    </row>
    <row r="41" spans="1:4" ht="12.75">
      <c r="A41" s="4" t="s">
        <v>265</v>
      </c>
      <c r="B41" s="63">
        <v>2812</v>
      </c>
      <c r="D41" s="63">
        <v>2812</v>
      </c>
    </row>
    <row r="42" spans="1:4" ht="12.75">
      <c r="A42" s="4" t="s">
        <v>266</v>
      </c>
      <c r="B42" s="63">
        <v>618</v>
      </c>
      <c r="D42" s="63">
        <v>618</v>
      </c>
    </row>
    <row r="43" spans="1:4" ht="12.75">
      <c r="A43" s="4" t="s">
        <v>267</v>
      </c>
      <c r="B43" s="88">
        <f>+D43+3362</f>
        <v>62072</v>
      </c>
      <c r="D43" s="88">
        <v>58710</v>
      </c>
    </row>
    <row r="44" spans="1:4" ht="12.75">
      <c r="A44" s="4" t="s">
        <v>148</v>
      </c>
      <c r="B44" s="63">
        <f>SUM(B38:B43)</f>
        <v>86772</v>
      </c>
      <c r="D44" s="63">
        <f>SUM(D38:D43)</f>
        <v>83410</v>
      </c>
    </row>
    <row r="46" spans="1:4" ht="12.75">
      <c r="A46" s="4" t="s">
        <v>268</v>
      </c>
      <c r="B46" s="63">
        <v>47144</v>
      </c>
      <c r="C46" s="2" t="s">
        <v>148</v>
      </c>
      <c r="D46" s="63">
        <v>44451</v>
      </c>
    </row>
    <row r="47" spans="1:4" ht="12.75">
      <c r="A47" s="4" t="s">
        <v>269</v>
      </c>
      <c r="B47" s="63">
        <f>+conbs!P50/1000</f>
        <v>0</v>
      </c>
      <c r="D47" s="63">
        <f>+conbs!R50/1000</f>
        <v>0</v>
      </c>
    </row>
    <row r="48" spans="1:4" ht="12.75">
      <c r="A48" s="4" t="s">
        <v>270</v>
      </c>
      <c r="B48" s="63">
        <v>1480</v>
      </c>
      <c r="D48" s="63">
        <v>1480</v>
      </c>
    </row>
    <row r="49" spans="2:4" ht="13.5" thickBot="1">
      <c r="B49" s="90">
        <f>SUM(B44:B48)</f>
        <v>135396</v>
      </c>
      <c r="D49" s="90">
        <f>SUM(D44:D48)</f>
        <v>129341</v>
      </c>
    </row>
    <row r="50" ht="13.5" thickTop="1"/>
    <row r="51" spans="1:4" ht="12.75">
      <c r="A51" s="4" t="s">
        <v>271</v>
      </c>
      <c r="B51" s="2">
        <f>(B44-B15-B14)/B38</f>
        <v>3.925107025938051</v>
      </c>
      <c r="D51" s="2">
        <f>(D44-D15-D14)/D38</f>
        <v>3.7322588768572147</v>
      </c>
    </row>
  </sheetData>
  <printOptions/>
  <pageMargins left="1.32" right="0.75" top="0.71" bottom="0.31" header="0.25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HIROTAKO HOLDINGS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MACGYVER</dc:creator>
  <cp:keywords/>
  <dc:description/>
  <cp:lastModifiedBy>jaclyn</cp:lastModifiedBy>
  <cp:lastPrinted>2002-05-21T09:17:42Z</cp:lastPrinted>
  <dcterms:created xsi:type="dcterms:W3CDTF">1998-04-29T02:11:43Z</dcterms:created>
  <dcterms:modified xsi:type="dcterms:W3CDTF">2002-05-31T08:41:44Z</dcterms:modified>
  <cp:category/>
  <cp:version/>
  <cp:contentType/>
  <cp:contentStatus/>
</cp:coreProperties>
</file>