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05" windowWidth="8160" windowHeight="6540" tabRatio="835" activeTab="0"/>
  </bookViews>
  <sheets>
    <sheet name="FRS BS" sheetId="1" r:id="rId1"/>
    <sheet name="FRS PL" sheetId="2" r:id="rId2"/>
    <sheet name="FRS equity" sheetId="3" r:id="rId3"/>
    <sheet name="cf" sheetId="4" r:id="rId4"/>
    <sheet name="Cond PL" sheetId="5" state="hidden" r:id="rId5"/>
    <sheet name="Cond BS" sheetId="6" state="hidden" r:id="rId6"/>
    <sheet name="equity" sheetId="7" state="hidden" r:id="rId7"/>
    <sheet name="det equity" sheetId="8" state="hidden" r:id="rId8"/>
    <sheet name="cf work" sheetId="9" state="hidden" r:id="rId9"/>
    <sheet name="adj" sheetId="10" state="hidden" r:id="rId10"/>
    <sheet name="Sheet1" sheetId="11" state="hidden" r:id="rId11"/>
    <sheet name="Source-FY06" sheetId="12" state="hidden" r:id="rId12"/>
    <sheet name="P&amp;L1" sheetId="13" state="hidden" r:id="rId13"/>
    <sheet name="op bal" sheetId="14" state="hidden" r:id="rId14"/>
    <sheet name="cnx" sheetId="15" state="hidden" r:id="rId15"/>
    <sheet name="DD" sheetId="16" state="hidden" r:id="rId16"/>
    <sheet name="segOct" sheetId="17" state="hidden" r:id="rId17"/>
    <sheet name="seg Apr" sheetId="18" state="hidden" r:id="rId18"/>
    <sheet name="Announcement" sheetId="19" state="hidden" r:id="rId19"/>
    <sheet name="Proposed dividend" sheetId="20" state="hidden" r:id="rId20"/>
    <sheet name="PPE" sheetId="21" state="hidden" r:id="rId21"/>
    <sheet name="FA" sheetId="22" state="hidden" r:id="rId22"/>
    <sheet name="summary" sheetId="23" state="hidden" r:id="rId23"/>
    <sheet name="Announcement note" sheetId="24" state="hidden" r:id="rId24"/>
  </sheets>
  <externalReferences>
    <externalReference r:id="rId27"/>
    <externalReference r:id="rId28"/>
  </externalReferences>
  <definedNames>
    <definedName name="_xlnm.Print_Area" localSheetId="23">'Announcement note'!$A$1:$H$122</definedName>
    <definedName name="_xlnm.Print_Area" localSheetId="3">'cf'!$A$1:$E$68</definedName>
    <definedName name="_xlnm.Print_Area" localSheetId="14">'cnx'!$A$1:$J$74</definedName>
    <definedName name="_xlnm.Print_Area" localSheetId="5">'Cond BS'!$A$1:$F$54</definedName>
    <definedName name="_xlnm.Print_Area" localSheetId="4">'Cond PL'!$A$1:$H$42</definedName>
    <definedName name="_xlnm.Print_Area" localSheetId="6">'equity'!$B$1:$I$36</definedName>
    <definedName name="_xlnm.Print_Area" localSheetId="21">'FA'!$A$1:$H$37</definedName>
    <definedName name="_xlnm.Print_Area" localSheetId="0">'FRS BS'!$A$1:$G$62</definedName>
    <definedName name="_xlnm.Print_Area" localSheetId="2">'FRS equity'!$A$1:$L$61</definedName>
    <definedName name="_xlnm.Print_Area" localSheetId="1">'FRS PL'!$B$1:$I$48</definedName>
    <definedName name="_xlnm.Print_Area" localSheetId="12">'P&amp;L1'!$A$1:$AN$71</definedName>
    <definedName name="_xlnm.Print_Area" localSheetId="17">'seg Apr'!$A$1:$O$65</definedName>
    <definedName name="_xlnm.Print_Area" localSheetId="11">'Source-FY06'!$A$1:$G$32</definedName>
    <definedName name="_xlnm.Print_Titles" localSheetId="23">'Announcement note'!$1:$3</definedName>
    <definedName name="_xlnm.Print_Titles" localSheetId="11">'Source-FY06'!$1:$2</definedName>
  </definedNames>
  <calcPr fullCalcOnLoad="1"/>
</workbook>
</file>

<file path=xl/comments13.xml><?xml version="1.0" encoding="utf-8"?>
<comments xmlns="http://schemas.openxmlformats.org/spreadsheetml/2006/main">
  <authors>
    <author>TCC</author>
  </authors>
  <commentList>
    <comment ref="B25" authorId="0">
      <text>
        <r>
          <rPr>
            <sz val="8"/>
            <rFont val="Arial"/>
            <family val="2"/>
          </rPr>
          <t>from JKWH</t>
        </r>
      </text>
    </comment>
    <comment ref="C25" authorId="0">
      <text>
        <r>
          <rPr>
            <sz val="8"/>
            <rFont val="Arial"/>
            <family val="2"/>
          </rPr>
          <t>third party</t>
        </r>
      </text>
    </comment>
    <comment ref="D25" authorId="0">
      <text>
        <r>
          <rPr>
            <sz val="8"/>
            <rFont val="Arial"/>
            <family val="2"/>
          </rPr>
          <t>from JKWH?</t>
        </r>
      </text>
    </comment>
    <comment ref="K25" authorId="0">
      <text>
        <r>
          <rPr>
            <sz val="8"/>
            <rFont val="Arial"/>
            <family val="2"/>
          </rPr>
          <t>from JKSWH</t>
        </r>
      </text>
    </comment>
    <comment ref="Q25" authorId="0">
      <text>
        <r>
          <rPr>
            <sz val="8"/>
            <rFont val="Arial"/>
            <family val="2"/>
          </rPr>
          <t>third party</t>
        </r>
      </text>
    </comment>
  </commentList>
</comments>
</file>

<file path=xl/comments14.xml><?xml version="1.0" encoding="utf-8"?>
<comments xmlns="http://schemas.openxmlformats.org/spreadsheetml/2006/main">
  <authors>
    <author>JK users</author>
  </authors>
  <commentList>
    <comment ref="X32" authorId="0">
      <text>
        <r>
          <rPr>
            <b/>
            <sz val="8"/>
            <rFont val="Tahoma"/>
            <family val="0"/>
          </rPr>
          <t>JK users:</t>
        </r>
        <r>
          <rPr>
            <sz val="8"/>
            <rFont val="Tahoma"/>
            <family val="0"/>
          </rPr>
          <t xml:space="preserve">
wait
</t>
        </r>
      </text>
    </comment>
  </commentList>
</comments>
</file>

<file path=xl/comments15.xml><?xml version="1.0" encoding="utf-8"?>
<comments xmlns="http://schemas.openxmlformats.org/spreadsheetml/2006/main">
  <authors>
    <author> </author>
  </authors>
  <commentList>
    <comment ref="G16" authorId="0">
      <text>
        <r>
          <rPr>
            <b/>
            <sz val="8"/>
            <rFont val="Tahoma"/>
            <family val="0"/>
          </rPr>
          <t xml:space="preserve"> :</t>
        </r>
        <r>
          <rPr>
            <sz val="8"/>
            <rFont val="Tahoma"/>
            <family val="0"/>
          </rPr>
          <t xml:space="preserve">
</t>
        </r>
      </text>
    </comment>
    <comment ref="G40" authorId="0">
      <text>
        <r>
          <rPr>
            <b/>
            <sz val="8"/>
            <rFont val="Tahoma"/>
            <family val="0"/>
          </rPr>
          <t xml:space="preserve"> :</t>
        </r>
        <r>
          <rPr>
            <sz val="8"/>
            <rFont val="Tahoma"/>
            <family val="0"/>
          </rPr>
          <t xml:space="preserve">
</t>
        </r>
      </text>
    </comment>
  </commentList>
</comments>
</file>

<file path=xl/comments3.xml><?xml version="1.0" encoding="utf-8"?>
<comments xmlns="http://schemas.openxmlformats.org/spreadsheetml/2006/main">
  <authors>
    <author> </author>
  </authors>
  <commentList>
    <comment ref="K57" authorId="0">
      <text>
        <r>
          <rPr>
            <b/>
            <sz val="8"/>
            <rFont val="Tahoma"/>
            <family val="0"/>
          </rPr>
          <t xml:space="preserve"> :</t>
        </r>
        <r>
          <rPr>
            <sz val="8"/>
            <rFont val="Tahoma"/>
            <family val="0"/>
          </rPr>
          <t xml:space="preserve">
</t>
        </r>
      </text>
    </comment>
  </commentList>
</comments>
</file>

<file path=xl/comments4.xml><?xml version="1.0" encoding="utf-8"?>
<comments xmlns="http://schemas.openxmlformats.org/spreadsheetml/2006/main">
  <authors>
    <author> </author>
  </authors>
  <commentList>
    <comment ref="C16" authorId="0">
      <text>
        <r>
          <rPr>
            <b/>
            <sz val="8"/>
            <rFont val="Tahoma"/>
            <family val="0"/>
          </rPr>
          <t xml:space="preserve"> :</t>
        </r>
        <r>
          <rPr>
            <sz val="8"/>
            <rFont val="Tahoma"/>
            <family val="0"/>
          </rPr>
          <t xml:space="preserve">
Depn and impairment loss of PPE only
</t>
        </r>
      </text>
    </comment>
  </commentList>
</comments>
</file>

<file path=xl/comments5.xml><?xml version="1.0" encoding="utf-8"?>
<comments xmlns="http://schemas.openxmlformats.org/spreadsheetml/2006/main">
  <authors>
    <author>JK users</author>
  </authors>
  <commentList>
    <comment ref="B15" authorId="0">
      <text>
        <r>
          <rPr>
            <b/>
            <sz val="8"/>
            <rFont val="Tahoma"/>
            <family val="0"/>
          </rPr>
          <t>JK users:</t>
        </r>
        <r>
          <rPr>
            <sz val="8"/>
            <rFont val="Tahoma"/>
            <family val="0"/>
          </rPr>
          <t xml:space="preserve">
the Recovery of Elanta amounted to RM 874.114K had been reclassed by the auditor to offset against COS.
</t>
        </r>
      </text>
    </comment>
  </commentList>
</comments>
</file>

<file path=xl/sharedStrings.xml><?xml version="1.0" encoding="utf-8"?>
<sst xmlns="http://schemas.openxmlformats.org/spreadsheetml/2006/main" count="1475" uniqueCount="844">
  <si>
    <t>Condensed Consolidated Income Statements</t>
  </si>
  <si>
    <t>Adj as per last year</t>
  </si>
  <si>
    <t>CJE 5</t>
  </si>
  <si>
    <t>Balance no. of shares as at 31.01.2008</t>
  </si>
  <si>
    <t xml:space="preserve">Proposed Dividend Payables </t>
  </si>
  <si>
    <t>Gain on disposal of  property, plant and equipment</t>
  </si>
  <si>
    <t>TSM Global Berhad</t>
  </si>
  <si>
    <t>(Formerly Known As Juan Kuang (M) Industrial Berhad)</t>
  </si>
  <si>
    <t>Gain on disposal of a subsidiary company</t>
  </si>
  <si>
    <t>Individual Quarter</t>
  </si>
  <si>
    <t>Cumulative Quarter</t>
  </si>
  <si>
    <t>Juan Kuang (M) Industrial Berhad</t>
  </si>
  <si>
    <t>Naluri</t>
  </si>
  <si>
    <t>KYM</t>
  </si>
  <si>
    <t>No. of Shares</t>
  </si>
  <si>
    <t>Unit Price</t>
  </si>
  <si>
    <t>Market value</t>
  </si>
  <si>
    <t>Shareholders' Fund</t>
  </si>
  <si>
    <t>- share of FJK  current year exchange reserves 25% &lt;CJE 18&gt;</t>
  </si>
  <si>
    <t>- share of FJK current year net assets 25% &lt;CJE 5&gt;</t>
  </si>
  <si>
    <t>31.01.2007</t>
  </si>
  <si>
    <t>31.10.2006</t>
  </si>
  <si>
    <t>Trading</t>
  </si>
  <si>
    <t>Quarter</t>
  </si>
  <si>
    <t>(Being adjustment made on group loss on disposal of 70% CNX Software)</t>
  </si>
  <si>
    <t>(Being adjustment made on group gain on disposal of 44.5% CNX Soluation)</t>
  </si>
  <si>
    <t>JKM - refund</t>
  </si>
  <si>
    <t>JKM - real property gain tax</t>
  </si>
  <si>
    <t>The Company</t>
  </si>
  <si>
    <t>The Group</t>
  </si>
  <si>
    <t>Realisation of revaluation</t>
  </si>
  <si>
    <t>Transfer from retained profit to reserve</t>
  </si>
  <si>
    <t>Transfer from retained profit to capital earning</t>
  </si>
  <si>
    <t>EPS - Basic (sen)</t>
  </si>
  <si>
    <t>Issurance of shares</t>
  </si>
  <si>
    <t>Depreciation</t>
  </si>
  <si>
    <t>(i)    (i)  Profit / (loss) after taxation before          .             deducting minority interests</t>
  </si>
  <si>
    <t xml:space="preserve">        (ii)   Less minority interests</t>
  </si>
  <si>
    <t>Investment property</t>
  </si>
  <si>
    <t>Goodwill on consolidation</t>
  </si>
  <si>
    <t>JUAN KUANG (M) INDUSTRIAL BHD</t>
  </si>
  <si>
    <t>Segmental Information</t>
  </si>
  <si>
    <t>Consol</t>
  </si>
  <si>
    <t>Profit before</t>
  </si>
  <si>
    <t>Total assets</t>
  </si>
  <si>
    <t>Turnover</t>
  </si>
  <si>
    <t>Adjustm</t>
  </si>
  <si>
    <t>Exeptional items</t>
  </si>
  <si>
    <t>Synlux Industries</t>
  </si>
  <si>
    <t>AAN-JK WH</t>
  </si>
  <si>
    <t>Associated Companies</t>
  </si>
  <si>
    <t>cje 7</t>
  </si>
  <si>
    <t>cje 12</t>
  </si>
  <si>
    <t>cje 4</t>
  </si>
  <si>
    <t>cje 5</t>
  </si>
  <si>
    <t>cje 6</t>
  </si>
  <si>
    <t>cje 11</t>
  </si>
  <si>
    <t>JK Wire</t>
  </si>
  <si>
    <t>&lt;as per interco transaction schedule&gt;</t>
  </si>
  <si>
    <t>&lt;as per working below&gt;</t>
  </si>
  <si>
    <t>CJE 20, 15</t>
  </si>
  <si>
    <t>CJE 5, 35</t>
  </si>
  <si>
    <t>24 Jan 06 (Tue)</t>
  </si>
  <si>
    <t>25 Jan 06 (Wed)</t>
  </si>
  <si>
    <t>26 Jan 06 (Thu)</t>
  </si>
  <si>
    <t>27 Jan 06 (Fri)</t>
  </si>
  <si>
    <t>29 Jan 06 (Mon)</t>
  </si>
  <si>
    <t>30 Jan 06 (Tue)</t>
  </si>
  <si>
    <t>31 Jan 06 (Wed)</t>
  </si>
  <si>
    <t>&lt;investment in sub - sub co dim in value + fair value adj&gt;</t>
  </si>
  <si>
    <t>Fair value on cost of investment in subsidiaries</t>
  </si>
  <si>
    <t>Fair value on cost of investment in sub co</t>
  </si>
  <si>
    <t>Transfer from Revaluation Reserve to Retained profit</t>
  </si>
  <si>
    <t>Depreciation of property, plant and equipment</t>
  </si>
  <si>
    <t>(b)</t>
  </si>
  <si>
    <t>Gain/(Loss) on disposal of investment</t>
  </si>
  <si>
    <t>seg Apr + seg Jul + seg Oct + seg Jan</t>
  </si>
  <si>
    <t>Doubtful debts recovered</t>
  </si>
  <si>
    <t>Transfer from Revaluation Reserve to Deferred Taxation</t>
  </si>
  <si>
    <t>Disposed out but pending for</t>
  </si>
  <si>
    <t>buyers to pay</t>
  </si>
  <si>
    <t>Actual paid (extract from draft audited a/c)</t>
  </si>
  <si>
    <t>JK Klang - refund</t>
  </si>
  <si>
    <t>Tax @ 26%</t>
  </si>
  <si>
    <t xml:space="preserve">(e) Profit / (loss) after interest on borrowings,      .     depreciation and amortisation and                  .     exceptional items but before income tax,       .     minority interests and extraordinary items </t>
  </si>
  <si>
    <t>Eureka</t>
  </si>
  <si>
    <t>Consol total</t>
  </si>
  <si>
    <t>RM'000</t>
  </si>
  <si>
    <t>Sales</t>
  </si>
  <si>
    <t>Cost of Sales</t>
  </si>
  <si>
    <t xml:space="preserve">Direct Labour </t>
  </si>
  <si>
    <t>Interest Income - Subsidiaries</t>
  </si>
  <si>
    <t xml:space="preserve">Rental Income </t>
  </si>
  <si>
    <t>Processing Fee</t>
  </si>
  <si>
    <t>Dividend Income</t>
  </si>
  <si>
    <t>Other income</t>
  </si>
  <si>
    <t>Foreign Exchange</t>
  </si>
  <si>
    <t>JUAN KUANG (M) INDUSTRIAL BERHAD</t>
  </si>
  <si>
    <t>- elinination of amount due to trade creditors &lt;CJE 9&gt;</t>
  </si>
  <si>
    <t>- diffrence</t>
  </si>
  <si>
    <t>- JKWH</t>
  </si>
  <si>
    <t>Add : Consolidation Adjustments (C6)</t>
  </si>
  <si>
    <t>JK POWER</t>
  </si>
  <si>
    <t>IHSAN INDAH</t>
  </si>
  <si>
    <t>SYNLUX ENER</t>
  </si>
  <si>
    <t>EUREKA</t>
  </si>
  <si>
    <t>SYNLUX IND</t>
  </si>
  <si>
    <t>Difference</t>
  </si>
  <si>
    <t>(+) CJE29</t>
  </si>
  <si>
    <t>MI Share of loss - J K Lamps</t>
  </si>
  <si>
    <t>Long Term Investments</t>
  </si>
  <si>
    <t>Intangible Assets</t>
  </si>
  <si>
    <t>Trade Debtors</t>
  </si>
  <si>
    <t>Short Term Investments</t>
  </si>
  <si>
    <t>Cash</t>
  </si>
  <si>
    <t xml:space="preserve">(a) Profit /(loss) before finance cost,                     .     depreciation and amortisation, exceptional                 .     items, income tax, minority interests and             .     extraordinary items </t>
  </si>
  <si>
    <t>Reserve</t>
  </si>
  <si>
    <t>C 11</t>
  </si>
  <si>
    <t>Less : carrying amount of share at the date of disposal</t>
  </si>
  <si>
    <t>Loss on disposal to parent</t>
  </si>
  <si>
    <t>Less : Realisation of post-acquisition profit</t>
  </si>
  <si>
    <t>Fixed Assets</t>
  </si>
  <si>
    <t>Less : carrying amount of share at the date of disposal (1,400,000 x 50%)</t>
  </si>
  <si>
    <t>Profit on disposal to group</t>
  </si>
  <si>
    <t>&lt;CJE36&gt;</t>
  </si>
  <si>
    <t>&lt;CJE 36&gt;</t>
  </si>
  <si>
    <t>Taxation - current year</t>
  </si>
  <si>
    <t>Taxation - over / (under) provision</t>
  </si>
  <si>
    <t>Goodwill on Consolidation</t>
  </si>
  <si>
    <t>Consolidated Statement of Changes in Equity</t>
  </si>
  <si>
    <t>Synlux E</t>
  </si>
  <si>
    <t>JKSWH</t>
  </si>
  <si>
    <t>Ihsan</t>
  </si>
  <si>
    <t>CNX Soft</t>
  </si>
  <si>
    <t>RETAINED PROFIT</t>
  </si>
  <si>
    <t>- Group PBT</t>
  </si>
  <si>
    <t>- Provision for tax</t>
  </si>
  <si>
    <t>Net profit/(loss) for the period</t>
  </si>
  <si>
    <t>31.10.2007</t>
  </si>
  <si>
    <t>Interest income</t>
  </si>
  <si>
    <t>Financing Activities</t>
  </si>
  <si>
    <t>Interest received</t>
  </si>
  <si>
    <t>Checking</t>
  </si>
  <si>
    <t>Prov. For D/D</t>
  </si>
  <si>
    <t>(+) CJE 30</t>
  </si>
  <si>
    <t xml:space="preserve">Total </t>
  </si>
  <si>
    <t>Gain on disposal of other investment</t>
  </si>
  <si>
    <t>Proceeds from disposal of other investment</t>
  </si>
  <si>
    <t xml:space="preserve">        - Diluted (sen)</t>
  </si>
  <si>
    <t>Minority interests</t>
  </si>
  <si>
    <t>Quarter 4 (Feb'04 - Jan'05)</t>
  </si>
  <si>
    <t>Net Profit Before Int, Mgt Fees, Depn &amp; Tax</t>
  </si>
  <si>
    <t>Transfer from revaluation reserve to deferred taxation</t>
  </si>
  <si>
    <t>Attributable to Equity Holders of the Parent</t>
  </si>
  <si>
    <t>Non Distributable</t>
  </si>
  <si>
    <t>cje 29</t>
  </si>
  <si>
    <t>Leadway</t>
  </si>
  <si>
    <t>Symphony</t>
  </si>
  <si>
    <t>TSM Dev.</t>
  </si>
  <si>
    <t>TSM Global Berhad (Co. No. 73170-V)</t>
  </si>
  <si>
    <t>Transfer reserve from an associate</t>
  </si>
  <si>
    <t>Currency exchange translation difference</t>
  </si>
  <si>
    <t>Expense recognised directly in equity</t>
  </si>
  <si>
    <t>Minority interest's share of losses in prior year</t>
  </si>
  <si>
    <t>Additional investments in subsidiaries</t>
  </si>
  <si>
    <t>Disposal of subsidiaries</t>
  </si>
  <si>
    <t>Dividends paid by a subsidiary</t>
  </si>
  <si>
    <t>Net profit after taxation &amp; before MI</t>
  </si>
  <si>
    <t>Net profit after taxation &amp; MI</t>
  </si>
  <si>
    <t>JK Ktn</t>
  </si>
  <si>
    <t>AAN JK</t>
  </si>
  <si>
    <t>Synlux Ind</t>
  </si>
  <si>
    <t>Currency translation differences</t>
  </si>
  <si>
    <t>Issued and fully paid up</t>
  </si>
  <si>
    <t>Distribution</t>
  </si>
  <si>
    <t xml:space="preserve">CJE 20 </t>
  </si>
  <si>
    <t xml:space="preserve">CJE 33 </t>
  </si>
  <si>
    <t>Earnings per share attributable</t>
  </si>
  <si>
    <t xml:space="preserve">Corresponding </t>
  </si>
  <si>
    <t>Period</t>
  </si>
  <si>
    <t>Current Year</t>
  </si>
  <si>
    <t xml:space="preserve"> To Date</t>
  </si>
  <si>
    <t>Profit/(Loss) before tax</t>
  </si>
  <si>
    <t>Profit/(Loss) after tax and minority interest</t>
  </si>
  <si>
    <t>- elimination of amount due from sub co &lt;CJE 8&gt;</t>
  </si>
  <si>
    <t>- elimination of amount due to sub co &lt;CJE 10&gt;</t>
  </si>
  <si>
    <t>- reverse prior year provision for diminution in value of investment &amp; DD - JKM &lt;CJE 23&gt;</t>
  </si>
  <si>
    <t>Profit before tax</t>
  </si>
  <si>
    <t>Profit for the period</t>
  </si>
  <si>
    <t>Not applicable.</t>
  </si>
  <si>
    <t xml:space="preserve">Review of Performance </t>
  </si>
  <si>
    <t>Ravi to insert</t>
  </si>
  <si>
    <t>for the financial period ended</t>
  </si>
  <si>
    <t>Preceding Year</t>
  </si>
  <si>
    <t>Net Profit before tax</t>
  </si>
  <si>
    <t>Cash generated from operating activities</t>
  </si>
  <si>
    <t>Proceeds from disposal of property, plant and equipment</t>
  </si>
  <si>
    <t>Provision for liqudated damages</t>
  </si>
  <si>
    <t>MI share of FJK profit - 40%</t>
  </si>
  <si>
    <t>Investment in Associated Company</t>
  </si>
  <si>
    <t>Interest paid</t>
  </si>
  <si>
    <t>Balance b/f</t>
  </si>
  <si>
    <t xml:space="preserve">Add : current year provision </t>
  </si>
  <si>
    <t>Less : current year paid</t>
  </si>
  <si>
    <t>Balance c/f</t>
  </si>
  <si>
    <t>Variance</t>
  </si>
  <si>
    <t>Check</t>
  </si>
  <si>
    <t>Remarks</t>
  </si>
  <si>
    <t>- Depreciation</t>
  </si>
  <si>
    <t>- gain on disposal of fixed assets</t>
  </si>
  <si>
    <t>- Purchase of fixed assets</t>
  </si>
  <si>
    <t>- Proceeds from sale of fixed assets</t>
  </si>
  <si>
    <t>(-)</t>
  </si>
  <si>
    <t>cje 25</t>
  </si>
  <si>
    <t>Quarterly report on consolidated results for the financial quarter ended 31st Oct 2002</t>
  </si>
  <si>
    <t>Revenue</t>
  </si>
  <si>
    <t>Operating Expenses</t>
  </si>
  <si>
    <t>\</t>
  </si>
  <si>
    <t>Dividend income from quoted investment</t>
  </si>
  <si>
    <t>Associate Companies  :-</t>
  </si>
  <si>
    <t xml:space="preserve">Adjustment </t>
  </si>
  <si>
    <t>adj 2</t>
  </si>
  <si>
    <t>adj 1</t>
  </si>
  <si>
    <t>H/Q exp - prior year</t>
  </si>
  <si>
    <t>Trade Creditors</t>
  </si>
  <si>
    <t>JKKL</t>
  </si>
  <si>
    <t>31-July-2007</t>
  </si>
  <si>
    <t>For the period ended 31 July 2007</t>
  </si>
  <si>
    <t>quarter</t>
  </si>
  <si>
    <t>Current Liabilities</t>
  </si>
  <si>
    <t>- MI share</t>
  </si>
  <si>
    <t>SHAREHOLDERS FUNDS</t>
  </si>
  <si>
    <t>- Current year unrealised profits on stocks</t>
  </si>
  <si>
    <t>Investment holding</t>
  </si>
  <si>
    <t>Inactive</t>
  </si>
  <si>
    <t>Revaluation Reserve</t>
  </si>
  <si>
    <t>CJE 25</t>
  </si>
  <si>
    <t>Other long term assets</t>
  </si>
  <si>
    <t>Inventories</t>
  </si>
  <si>
    <t>Deferred taxation</t>
  </si>
  <si>
    <t>Net Tangible assets per share (RM)</t>
  </si>
  <si>
    <t>(f) Share of profits and losses of associated            .    companies</t>
  </si>
  <si>
    <t>(+) CJE 24</t>
  </si>
  <si>
    <t>Prov for diminution in value of investment - JKM</t>
  </si>
  <si>
    <t>Prov for diminution in value of investment - SIM</t>
  </si>
  <si>
    <t>Profit on disposal to parent</t>
  </si>
  <si>
    <t>Less : Realisation of post-acquisition losses</t>
  </si>
  <si>
    <t>- settlement of debts via transfer of properties</t>
  </si>
  <si>
    <t>- Provision for slow moving stock write back</t>
  </si>
  <si>
    <t>- Provision for stock obsolescences</t>
  </si>
  <si>
    <t>Debtors</t>
  </si>
  <si>
    <t>- Bad debts written off</t>
  </si>
  <si>
    <t>- Increase in debtors</t>
  </si>
  <si>
    <t>- Taxation paid</t>
  </si>
  <si>
    <t>Net Profit for the period</t>
  </si>
  <si>
    <t>CJE 7</t>
  </si>
  <si>
    <t>H/Q exp</t>
  </si>
  <si>
    <t>Interest (inter-co)</t>
  </si>
  <si>
    <t>Bad debts recovered</t>
  </si>
  <si>
    <t>Waiver of debts</t>
  </si>
  <si>
    <t>writeback of allowance for doubtful debts</t>
  </si>
  <si>
    <t xml:space="preserve">Dividend received from </t>
  </si>
  <si>
    <t>- quoted investments</t>
  </si>
  <si>
    <t>Disposal of subsidiaries, net of cash</t>
  </si>
  <si>
    <t>Proceeds from issuance of shares to minority shareholders</t>
  </si>
  <si>
    <t>Share Premium</t>
  </si>
  <si>
    <t>Manufacturing</t>
  </si>
  <si>
    <t>Goodwill</t>
  </si>
  <si>
    <t>Current Assets</t>
  </si>
  <si>
    <t>JK PG</t>
  </si>
  <si>
    <t>JK SUMI W</t>
  </si>
  <si>
    <t>TOTAL</t>
  </si>
  <si>
    <t>RM '000</t>
  </si>
  <si>
    <t>PERCENTAGE SHAREHOLDING</t>
  </si>
  <si>
    <t>RE per Stat A/C RM '000</t>
  </si>
  <si>
    <t>RE per consol</t>
  </si>
  <si>
    <t>Share of RE b/f (exclude MI):</t>
  </si>
  <si>
    <t>(-) CJE 1</t>
  </si>
  <si>
    <t>pre-acquisition reserves</t>
  </si>
  <si>
    <t>(-) CJE 11</t>
  </si>
  <si>
    <t>Acc and amortisation of goodwill and premium</t>
  </si>
  <si>
    <t xml:space="preserve">Invescor M&amp;E </t>
  </si>
  <si>
    <t>Reinstatement of opening balance</t>
  </si>
  <si>
    <t xml:space="preserve">per stat a/c </t>
  </si>
  <si>
    <t>rounding difference</t>
  </si>
  <si>
    <t>(-) CJE 4</t>
  </si>
  <si>
    <t>Add: Share of associate cos' RE b/f</t>
  </si>
  <si>
    <t>RETAINED PROFIT / ACCU LOSSES B/F</t>
  </si>
  <si>
    <t>adjustment for unrealised profit - prior/y</t>
  </si>
  <si>
    <t>Selling &amp; Distribution expenses</t>
  </si>
  <si>
    <t>Administrative expenses</t>
  </si>
  <si>
    <t>Other expenses</t>
  </si>
  <si>
    <t>Net Profit(Loss) before tax &amp; MI</t>
  </si>
  <si>
    <t>Other Creditors</t>
  </si>
  <si>
    <t>Provision for Taxation</t>
  </si>
  <si>
    <t>As at 31 July 2007</t>
  </si>
  <si>
    <t xml:space="preserve">Net Current Assets </t>
  </si>
  <si>
    <t>Shareholders Funds</t>
  </si>
  <si>
    <t xml:space="preserve"> Share Premium</t>
  </si>
  <si>
    <t xml:space="preserve"> Revaluation Reserve</t>
  </si>
  <si>
    <t xml:space="preserve"> Capital Reserve</t>
  </si>
  <si>
    <t xml:space="preserve"> Retained Profit</t>
  </si>
  <si>
    <t xml:space="preserve"> Exchange Reserve</t>
  </si>
  <si>
    <t>Minority Interests</t>
  </si>
  <si>
    <t>&lt;intercompany bal JKWH &amp; JKSWH - sub co dd&gt; @ 3,671,979 - 24,738 +1,156,000</t>
  </si>
  <si>
    <t>- Increase in bank borrowings</t>
  </si>
  <si>
    <t>3 months ended 30 Apr</t>
  </si>
  <si>
    <t xml:space="preserve">Income tax </t>
  </si>
  <si>
    <t>Adjustment for non-cash flow:</t>
  </si>
  <si>
    <t>- reverse prior year provision for diminutin in value of investment &amp; DD - Synlux industries &lt;CJE 24&gt;</t>
  </si>
  <si>
    <t>- elimination of impairment in value of investment in sub - JK Power &lt;CJE 31&gt;</t>
  </si>
  <si>
    <t>Operating expenses</t>
  </si>
  <si>
    <t>(a) Basic (based on 53,020,000 ordinary             .     shares)  (sen)</t>
  </si>
  <si>
    <t>Capital Reserve</t>
  </si>
  <si>
    <t>Doubtful Debt written off - Ihsan Indah</t>
  </si>
  <si>
    <t>Balance at 1 February 2006</t>
  </si>
  <si>
    <t>FOR THE YEAR ENDED 30 APR 2006</t>
  </si>
  <si>
    <t>- Share of profit 2002 - Fujian</t>
  </si>
  <si>
    <t>- FD Interest</t>
  </si>
  <si>
    <t>INVESTMENT PROPERTY</t>
  </si>
  <si>
    <t>REVALUATION RESERVE</t>
  </si>
  <si>
    <t>LONG TERM BORROWINGS</t>
  </si>
  <si>
    <t>Income tax expenses</t>
  </si>
  <si>
    <t>Attributable to :</t>
  </si>
  <si>
    <t>PROPERTY, PLANT AND EQUIPMENT</t>
  </si>
  <si>
    <t>CONSOL ADJUSTMENTS</t>
  </si>
  <si>
    <t xml:space="preserve">CONSOL </t>
  </si>
  <si>
    <t>Cost and Valuation</t>
  </si>
  <si>
    <t>At the beginning of the year</t>
  </si>
  <si>
    <t xml:space="preserve">Freehold land </t>
  </si>
  <si>
    <t>Buildings</t>
  </si>
  <si>
    <t>Machinery and equipment</t>
  </si>
  <si>
    <t>Electrical installation, furniture and fittings</t>
  </si>
  <si>
    <t>TSM Dev</t>
  </si>
  <si>
    <t>Consol Adjustments</t>
  </si>
  <si>
    <t>Prov for double debts - JKKL</t>
  </si>
  <si>
    <t>Share Capital</t>
  </si>
  <si>
    <t>RM</t>
  </si>
  <si>
    <t>JKM</t>
  </si>
  <si>
    <t>Interest expense</t>
  </si>
  <si>
    <t>Condensed Consolidated Balance Sheets</t>
  </si>
  <si>
    <t>Condensed Consolidated Cash Flow Statements</t>
  </si>
  <si>
    <t>Insurance Claim</t>
  </si>
  <si>
    <t>Operating profit  before changes in working capital</t>
  </si>
  <si>
    <t>Material Changes in the Quarterly Results Compared to the Results of the Preceding Quarter.</t>
  </si>
  <si>
    <t>Current Year Prospects</t>
  </si>
  <si>
    <t xml:space="preserve">Variances from Profit Forecasts and Profit Guarantee </t>
  </si>
  <si>
    <t>Dividend</t>
  </si>
  <si>
    <t>Deferred Tax</t>
  </si>
  <si>
    <t>JK Sumi</t>
  </si>
  <si>
    <t>%</t>
  </si>
  <si>
    <t>DR</t>
  </si>
  <si>
    <t>CR</t>
  </si>
  <si>
    <t>MI</t>
  </si>
  <si>
    <t>Capital</t>
  </si>
  <si>
    <t>Others</t>
  </si>
  <si>
    <t>JK (KLG)</t>
  </si>
  <si>
    <t>JK JHR</t>
  </si>
  <si>
    <t>write down in value</t>
  </si>
  <si>
    <t>Consolidation Journal :-</t>
  </si>
  <si>
    <t>Accumulated losses b/f - CNX Solutions</t>
  </si>
  <si>
    <t>Realised on disopasal of shares</t>
  </si>
  <si>
    <t>PL b/f - MI</t>
  </si>
  <si>
    <t>PL c/f - MI</t>
  </si>
  <si>
    <t>Investment in ass co</t>
  </si>
  <si>
    <t>PL c/y - MI</t>
  </si>
  <si>
    <t>Cash and cash equivalents at beginning of period</t>
  </si>
  <si>
    <t>Cash and cash equivalents at end of period</t>
  </si>
  <si>
    <t>Taxation - dividend</t>
  </si>
  <si>
    <t>- Dividend received from associate co</t>
  </si>
  <si>
    <t>- Share of asso co's exchange reserve</t>
  </si>
  <si>
    <t>- Repayment by associate co</t>
  </si>
  <si>
    <t>- Provision for doubtful debts</t>
  </si>
  <si>
    <t xml:space="preserve">QUOTED INVESTMENT </t>
  </si>
  <si>
    <t xml:space="preserve">UNQUOTED INVESTMENT </t>
  </si>
  <si>
    <t>GOODWILL</t>
  </si>
  <si>
    <t>CURRENT ASSETS</t>
  </si>
  <si>
    <t>Stocks</t>
  </si>
  <si>
    <t>- Decrease in stocks</t>
  </si>
  <si>
    <t>Dividend paid to minority shareholders</t>
  </si>
  <si>
    <t>ASSOCIATED COMPANIES</t>
  </si>
  <si>
    <t>Changes in working capital :</t>
  </si>
  <si>
    <t>IT Bizflow</t>
  </si>
  <si>
    <t>CJE 33</t>
  </si>
  <si>
    <t>- Over provision of def tax in the prior year</t>
  </si>
  <si>
    <t>Share of  profit of associated companies</t>
  </si>
  <si>
    <t>Short Term Borrowings</t>
  </si>
  <si>
    <t xml:space="preserve"> - Basic (sen) - for profit for the period</t>
  </si>
  <si>
    <t>Less :-</t>
  </si>
  <si>
    <t>- share Meridianotch current year loss &lt;CJE 35&gt;</t>
  </si>
  <si>
    <t>12 months ended 31 Jan</t>
  </si>
  <si>
    <t>For the 12 months ended 31 January 2007</t>
  </si>
  <si>
    <t>12 months ended 31 January 2006</t>
  </si>
  <si>
    <t>Share price</t>
  </si>
  <si>
    <t>(a)*(b)</t>
  </si>
  <si>
    <t>Open</t>
  </si>
  <si>
    <t>High</t>
  </si>
  <si>
    <t>Nil.</t>
  </si>
  <si>
    <t>Extraordinary items</t>
  </si>
  <si>
    <t>Taxation</t>
  </si>
  <si>
    <t xml:space="preserve">The tax figure consist of the provision for taxation for current year, deferred tax arising from the unrealised profit included </t>
  </si>
  <si>
    <t xml:space="preserve"> </t>
  </si>
  <si>
    <t>Sales of Investment and Properties</t>
  </si>
  <si>
    <t>Nil</t>
  </si>
  <si>
    <t>Particulars of Purchase or Disposal of Quoted Securities</t>
  </si>
  <si>
    <t>- Diluted (sen) - for profit for the period</t>
  </si>
  <si>
    <t>Total Equity</t>
  </si>
  <si>
    <t>CORRESPONDING</t>
  </si>
  <si>
    <t>QUARTER</t>
  </si>
  <si>
    <t>TO DATE</t>
  </si>
  <si>
    <t>PERIOD</t>
  </si>
  <si>
    <t>(b) Investment income</t>
  </si>
  <si>
    <t>( c) Depreciation and amortisation</t>
  </si>
  <si>
    <t>(d) Exceptional items</t>
  </si>
  <si>
    <t>(h) Taxation</t>
  </si>
  <si>
    <t xml:space="preserve">       (ii)  Less minority interests</t>
  </si>
  <si>
    <t xml:space="preserve">       (iii) Extraordinary items attributable to          .             members of the company </t>
  </si>
  <si>
    <t>CONSOLIDATED BALANCE SHEET</t>
  </si>
  <si>
    <t xml:space="preserve">AS AT END </t>
  </si>
  <si>
    <t>AS AT PRECEDING</t>
  </si>
  <si>
    <t>OF CURRENT</t>
  </si>
  <si>
    <t xml:space="preserve">FINANCIAL </t>
  </si>
  <si>
    <t>YEAR END</t>
  </si>
  <si>
    <t>Investment in Associated companies</t>
  </si>
  <si>
    <t xml:space="preserve">3 months ended 30 Apr </t>
  </si>
  <si>
    <t>Balance at 1 February 2007</t>
  </si>
  <si>
    <t>FOR THE FINANCIAL YEAR ENDED 31 JANUARY 2008</t>
  </si>
  <si>
    <t>Basic earnings/(loss) per share (sen)</t>
  </si>
  <si>
    <t>Dividends per share (sen)</t>
  </si>
  <si>
    <t>Net tangible assets per share (RM)</t>
  </si>
  <si>
    <t>Remark :</t>
  </si>
  <si>
    <t xml:space="preserve">Current Year </t>
  </si>
  <si>
    <t>PART A3     :      ADDITIONAL INFORMATION</t>
  </si>
  <si>
    <t>Gross interest income</t>
  </si>
  <si>
    <t>Gross interest expense</t>
  </si>
  <si>
    <t>Profit/(Loss) from Operations</t>
  </si>
  <si>
    <t>As At 30 April 2005</t>
  </si>
  <si>
    <t>Profit/(Loss) after tax</t>
  </si>
  <si>
    <t>During the reporting period the group did not purchase or dispose any quoted shares.</t>
  </si>
  <si>
    <t>(a) N/A</t>
  </si>
  <si>
    <t xml:space="preserve">                      Particulars      </t>
  </si>
  <si>
    <t xml:space="preserve">At cost                                      </t>
  </si>
  <si>
    <t>At carrying value / book value (after provision for diminution in value.)</t>
  </si>
  <si>
    <t xml:space="preserve">Allowance for stock writedown </t>
  </si>
  <si>
    <t>12 months ended 31 January 2007</t>
  </si>
  <si>
    <t>Balance at 31 January 2006</t>
  </si>
  <si>
    <t>For the financial year ended 31 January 2007</t>
  </si>
  <si>
    <t>Balance at 31 January 2007</t>
  </si>
  <si>
    <t>Changes in Group / Capital Structure</t>
  </si>
  <si>
    <t>Status of corporate Proposals</t>
  </si>
  <si>
    <t xml:space="preserve"> Ravi to insert.</t>
  </si>
  <si>
    <t>Seasonal or Cyclical Factors</t>
  </si>
  <si>
    <t>4 Jan 06 (Wed)</t>
  </si>
  <si>
    <t>5 Jan 06 (Thu)</t>
  </si>
  <si>
    <t>6 Jan 06 (Fri)</t>
  </si>
  <si>
    <t>2,268,137 - 24,738 + 1,156,000</t>
  </si>
  <si>
    <t>5,374,476 +17,045,134 + 700,001</t>
  </si>
  <si>
    <t>Income Statements for the financial year ended 31st January 2008</t>
  </si>
  <si>
    <t>11 Jan 06 (Wed)</t>
  </si>
  <si>
    <t>12 Jan 06 (Thu)</t>
  </si>
  <si>
    <t>13 Jan 06 (Fri)</t>
  </si>
  <si>
    <t>16 Jan 06 (Mon)</t>
  </si>
  <si>
    <t>17 Jan 06 (Tue)</t>
  </si>
  <si>
    <t>18 Jan 06 (Wed)</t>
  </si>
  <si>
    <t>19 Jan 06 (Thu)</t>
  </si>
  <si>
    <t>20 Jan 06 (Fri)</t>
  </si>
  <si>
    <t>Low</t>
  </si>
  <si>
    <t>Close</t>
  </si>
  <si>
    <t>Volume</t>
  </si>
  <si>
    <t>Weighted average of share price</t>
  </si>
  <si>
    <t xml:space="preserve">Note: </t>
  </si>
  <si>
    <t>Information extracted from "The Star" newspaper</t>
  </si>
  <si>
    <t>30 Dec 05 (Fri)</t>
  </si>
  <si>
    <t>23 Jan 06 (Mon)</t>
  </si>
  <si>
    <t>2 Jan 06 (Mon)</t>
  </si>
  <si>
    <t>3 Jan 06 (Tue)</t>
  </si>
  <si>
    <t>DEFERRED TAXATION</t>
  </si>
  <si>
    <t>- Under-provision for prior year</t>
  </si>
  <si>
    <t>Repayment</t>
  </si>
  <si>
    <t>- JK KL</t>
  </si>
  <si>
    <t>- JK KLANG</t>
  </si>
  <si>
    <t>- JKM</t>
  </si>
  <si>
    <t>- JK PENANG</t>
  </si>
  <si>
    <t>- JK SUMI</t>
  </si>
  <si>
    <t>Jan'2002</t>
  </si>
  <si>
    <t>EQUIPMENT</t>
  </si>
  <si>
    <t>PROPERTY, PLANT &amp;</t>
  </si>
  <si>
    <t>Taxation paid</t>
  </si>
  <si>
    <t>Net cash generated from operating activities</t>
  </si>
  <si>
    <t>Long Term Borrowings</t>
  </si>
  <si>
    <t>Other Long Term Liabilities</t>
  </si>
  <si>
    <t>NOTES</t>
  </si>
  <si>
    <t>Accounting Policies</t>
  </si>
  <si>
    <t>As per consolidation Balance Sheets</t>
  </si>
  <si>
    <t xml:space="preserve">           Accumualted loss b/f (RM1,664,622.53 x 44.50%)</t>
  </si>
  <si>
    <t>Gross profit (A):</t>
  </si>
  <si>
    <t>with that of the annual financial statements ended 31st January 2002</t>
  </si>
  <si>
    <t>Long Term borrowings</t>
  </si>
  <si>
    <t>in closing stock as follows:</t>
  </si>
  <si>
    <t>(b) Investments in quoted shares as at 31st July 2002.</t>
  </si>
  <si>
    <t>At market value as at 31/07/2002</t>
  </si>
  <si>
    <t xml:space="preserve">Group borrowings and debts securities as at 31st July 2002 : - </t>
  </si>
  <si>
    <t>1st May 2002 ~ 31st Jul 2002</t>
  </si>
  <si>
    <t>1st Feb 2002 ~ 31st July 2002</t>
  </si>
  <si>
    <t>Gain/(Loss) on disposal of Factory Buildings</t>
  </si>
  <si>
    <t>Accum. Depn</t>
  </si>
  <si>
    <t>Subsequent Events</t>
  </si>
  <si>
    <t>There are no material events subsequent to the end of the quarter reported.</t>
  </si>
  <si>
    <t>Sub companies - Investment</t>
  </si>
  <si>
    <t>H/Q exp-Jan'2001 - prior year</t>
  </si>
  <si>
    <t xml:space="preserve">Amount owing to JKM </t>
  </si>
  <si>
    <t>CNX  Software</t>
  </si>
  <si>
    <t>Sub companies - Dim in value</t>
  </si>
  <si>
    <t>Restriction on MI share of losses</t>
  </si>
  <si>
    <t>Tax recoverable</t>
  </si>
  <si>
    <t xml:space="preserve">           Retained profit b/f (RM21,504.29 x 70%)</t>
  </si>
  <si>
    <t xml:space="preserve">           Current loss for the period (RM8,519.31 x 70%)</t>
  </si>
  <si>
    <t>Loss on disposal to group</t>
  </si>
  <si>
    <t>CJE 36</t>
  </si>
  <si>
    <t>(Being H/Q exp over provision -YE'2001 - JKPenang)</t>
  </si>
  <si>
    <t>- Reliasation on revaluation reserve</t>
  </si>
  <si>
    <t>- repayment of term loan</t>
  </si>
  <si>
    <t>- Realisation of revaluation reserve - MI portion</t>
  </si>
  <si>
    <t>- reclassification - JK KL to Eureka</t>
  </si>
  <si>
    <t>- Increase in Creditors</t>
  </si>
  <si>
    <t>- Progress payment to Harta Makmur</t>
  </si>
  <si>
    <t>- Increase in cash and bank balance</t>
  </si>
  <si>
    <t>- Warrant conversion</t>
  </si>
  <si>
    <t>Realised on disposal of shares</t>
  </si>
  <si>
    <t>By activity</t>
  </si>
  <si>
    <t>Profit before taxation</t>
  </si>
  <si>
    <t>Total assets employed</t>
  </si>
  <si>
    <t>Investment holding and others</t>
  </si>
  <si>
    <t>Group's share of associated companies</t>
  </si>
  <si>
    <t>Cummulative Quarter</t>
  </si>
  <si>
    <t>Earnings per share based on 2 (m) above after deducting any provision for preference dividends, if any : -</t>
  </si>
  <si>
    <t>(b) Fully diluted (based on 37,614,000              .      ordinary shares)  (sen)</t>
  </si>
  <si>
    <t>Motor vehicles</t>
  </si>
  <si>
    <t>Office equipment</t>
  </si>
  <si>
    <t>Renovation</t>
  </si>
  <si>
    <t>Additions</t>
  </si>
  <si>
    <t>Disposals</t>
  </si>
  <si>
    <t>At year end</t>
  </si>
  <si>
    <t>NBV @ 31.1.2008</t>
  </si>
  <si>
    <t>NBV @ 31.1.2007</t>
  </si>
  <si>
    <t xml:space="preserve">Carrying value had the assets been carried at cost less accumulated depreciation </t>
  </si>
  <si>
    <t>At 31.1.2008</t>
  </si>
  <si>
    <t>Revalued</t>
  </si>
  <si>
    <t>At 31.1.2007</t>
  </si>
  <si>
    <t>Not revalued</t>
  </si>
  <si>
    <t>At 31.1.2006</t>
  </si>
  <si>
    <t>TSM GLOBAL BERHAD</t>
  </si>
  <si>
    <t>Long leasehold land</t>
  </si>
  <si>
    <t>Add : Prior year doubtful debts written off - Ihsan Indah &lt;CJE 27&gt;</t>
  </si>
  <si>
    <t>Diminution in value of investment</t>
  </si>
  <si>
    <t>- reverse prior year provision for doubtful debts - JKKL &lt;CJE 28&gt;</t>
  </si>
  <si>
    <t>- reverse prior year provision for doubftul debts - JK Lamps &amp; Ihsan &lt;CJE 30&gt;</t>
  </si>
  <si>
    <t>BS - MI</t>
  </si>
  <si>
    <t>- reverse fair value adjustment on investment of sub co</t>
  </si>
  <si>
    <t>Equity holders of the parent</t>
  </si>
  <si>
    <t>5,256,298 - (33,056,910)</t>
  </si>
  <si>
    <t>WORKING - CASH FLOW STATEMENT FOR THE YEAR ENDED 31 JANUARY 2003</t>
  </si>
  <si>
    <t>Jan'2003</t>
  </si>
  <si>
    <t>Transfer from Revaluation Reserve to retained profit</t>
  </si>
  <si>
    <t>The performance of the group has not been affected by seasonal or cyclical factors.</t>
  </si>
  <si>
    <t>Capital Issues and Dealings in Own Shares</t>
  </si>
  <si>
    <t>Secured</t>
  </si>
  <si>
    <t>Unsecured</t>
  </si>
  <si>
    <t>Short Terms bank borrowings</t>
  </si>
  <si>
    <t>Contingent Liabilities</t>
  </si>
  <si>
    <t>Off Balance Sheet Financial Instruments</t>
  </si>
  <si>
    <t>Material Litigation</t>
  </si>
  <si>
    <t xml:space="preserve">  - Min Er to update</t>
  </si>
  <si>
    <t>Segment Information :-</t>
  </si>
  <si>
    <t>JK PSD</t>
  </si>
  <si>
    <t>Current  Quarter</t>
  </si>
  <si>
    <t>Group</t>
  </si>
  <si>
    <t>JK (Penang)</t>
  </si>
  <si>
    <t>JK (Klang)</t>
  </si>
  <si>
    <t>JK (Kuantan)</t>
  </si>
  <si>
    <t>(g) Profit / (loss) before taxation, minority            .     interests and extraordinary items</t>
  </si>
  <si>
    <t>(j) Pre-acquisition profit/(loss)</t>
  </si>
  <si>
    <t>- Current year defered tax</t>
  </si>
  <si>
    <t>- Over provision of tax in the prior year</t>
  </si>
  <si>
    <t>shares of RM1 each</t>
  </si>
  <si>
    <t>Non-distribution reserve</t>
  </si>
  <si>
    <t>reserve</t>
  </si>
  <si>
    <t>Number of</t>
  </si>
  <si>
    <t>Nominal</t>
  </si>
  <si>
    <t>Share</t>
  </si>
  <si>
    <t>Revaluation</t>
  </si>
  <si>
    <t>Exchange</t>
  </si>
  <si>
    <t>value</t>
  </si>
  <si>
    <t>Premium</t>
  </si>
  <si>
    <t>Interest income - holding company</t>
  </si>
  <si>
    <t>CNX Solutions</t>
  </si>
  <si>
    <t>Proceeds from issuance of shares</t>
  </si>
  <si>
    <t>Bank overdrafts</t>
  </si>
  <si>
    <t>Cash &amp; bank balances</t>
  </si>
  <si>
    <t>Fixed deposits with licensed banks</t>
  </si>
  <si>
    <t>CNX</t>
  </si>
  <si>
    <t>Realise of Revaluation Reserve</t>
  </si>
  <si>
    <t>Management Fees</t>
  </si>
  <si>
    <t>MERIT</t>
  </si>
  <si>
    <t>(-)  CJE 25</t>
  </si>
  <si>
    <t>(-)  CJE 26</t>
  </si>
  <si>
    <t>Profit after taxation for the financial year</t>
  </si>
  <si>
    <t>Net dividend</t>
  </si>
  <si>
    <t>Gross dividend</t>
  </si>
  <si>
    <t>(k) Net profit / (loss) from ordinary activities          .     attributable to menbers of the company</t>
  </si>
  <si>
    <t>(l)  (i)   Extraordinary items</t>
  </si>
  <si>
    <t>(m) Net profit/(loss) attributable to members            .      of the company</t>
  </si>
  <si>
    <t>- share of investment of associate co (FJK) 25% &lt;CJE 5&gt;</t>
  </si>
  <si>
    <t>- share of current year FJK taxation 25% &lt;CJE 15&gt;</t>
  </si>
  <si>
    <t>- adj make on group gain on disposal of 44.5% CNX Solutions &lt;CJE33&gt;</t>
  </si>
  <si>
    <t>- share of net assets of associate co - Meridianotch (cost of investment) &lt;CJE 35&gt;</t>
  </si>
  <si>
    <t xml:space="preserve">The figures have not been audited. </t>
  </si>
  <si>
    <t>CONSOLIDATED INCOME STATEMENT</t>
  </si>
  <si>
    <t>INDIVIDUAL QUARTER</t>
  </si>
  <si>
    <t>CUMULATIVE QUARTER</t>
  </si>
  <si>
    <t>CURRENT</t>
  </si>
  <si>
    <t>PRECEDING YEAR</t>
  </si>
  <si>
    <t>YEAR</t>
  </si>
  <si>
    <t>Gross Profit</t>
  </si>
  <si>
    <t>Finance Cost</t>
  </si>
  <si>
    <t>(+) CJE 27</t>
  </si>
  <si>
    <t>Cash and bank balances</t>
  </si>
  <si>
    <t>CURRENT LIABILITIES</t>
  </si>
  <si>
    <t>Creditors</t>
  </si>
  <si>
    <t>- Dividend paid to MI</t>
  </si>
  <si>
    <t>- Advances from related party</t>
  </si>
  <si>
    <t>- Deposit paid to related parties</t>
  </si>
  <si>
    <t>- Decrease in Creditors</t>
  </si>
  <si>
    <t>- Taxation refunded</t>
  </si>
  <si>
    <t>- Provision for taxation</t>
  </si>
  <si>
    <t>Bank Borrowings</t>
  </si>
  <si>
    <t>NET CURRENT ASSETS</t>
  </si>
  <si>
    <t>FINANCED BY:</t>
  </si>
  <si>
    <t>SHARE CAPITAL</t>
  </si>
  <si>
    <t>CAPITAL RESERVE</t>
  </si>
  <si>
    <t>EXCHANGE RESERVE</t>
  </si>
  <si>
    <t>- MI share of asso co's exchange reserve</t>
  </si>
  <si>
    <t>SHARE PREMIUM</t>
  </si>
  <si>
    <t>- reverse prior year provision for doubtful debts - JKKL &amp; SIM &lt;CJE 32&gt;</t>
  </si>
  <si>
    <t>- share capital in JK Lamps (MI) &lt;CJE 29&gt;</t>
  </si>
  <si>
    <t>- investment cost in JK Lamps &lt;CJE 29&gt;</t>
  </si>
  <si>
    <t>Reinstate of gain on disposal of Factory Building</t>
  </si>
  <si>
    <t>YE2003</t>
  </si>
  <si>
    <t>Issuance of shares</t>
  </si>
  <si>
    <t>Transfer from retained profit to capital reverse</t>
  </si>
  <si>
    <t xml:space="preserve">Issuance of Shares </t>
  </si>
  <si>
    <t>Loss after taxation for the financial year</t>
  </si>
  <si>
    <t>Dividend payables</t>
  </si>
  <si>
    <t>(+) CJE 28</t>
  </si>
  <si>
    <t>PROOFING OF RETAINED PROFIT B/F</t>
  </si>
  <si>
    <t>JK (KTN)</t>
  </si>
  <si>
    <t>OthersDebtors</t>
  </si>
  <si>
    <t>Prior Year Adjustment for individual subsidiaries :-</t>
  </si>
  <si>
    <t>Sales consideration as at 2/10/06</t>
  </si>
  <si>
    <t>Utilisation of reserve of an associate</t>
  </si>
  <si>
    <t>CNX Soluation</t>
  </si>
  <si>
    <t>Gain/(Loss) on disposal of FA</t>
  </si>
  <si>
    <t>shares</t>
  </si>
  <si>
    <t>Repayment of term loan</t>
  </si>
  <si>
    <t>Juan Kuang (M) Industrial Bhd and its subsidiaries</t>
  </si>
  <si>
    <t>Sub companies - DD</t>
  </si>
  <si>
    <t>&lt;intercompany bal - sub co dd&gt; @ 5,072,328 - (33,056,910)</t>
  </si>
  <si>
    <t>Investment in subsidiaires company</t>
  </si>
  <si>
    <t>Investment in subsidiaries (C5)</t>
  </si>
  <si>
    <t>- elimination share capital in sub companies &lt;CJE 1&gt;</t>
  </si>
  <si>
    <t>- elimination of revaluation surplus &lt;CJE 2&gt;</t>
  </si>
  <si>
    <t xml:space="preserve">Purchase of property, plant and equipment  </t>
  </si>
  <si>
    <t>Minority interest</t>
  </si>
  <si>
    <t>Net cash used in financing actitives</t>
  </si>
  <si>
    <t>Net increase in cash and cash equivalents</t>
  </si>
  <si>
    <t>The accounting policies and methods of computation used in the preparation of the quarterly financial statements are consistent</t>
  </si>
  <si>
    <t xml:space="preserve">Guarantees (unsecured) given to financial institutions in respect of </t>
  </si>
  <si>
    <t>Company</t>
  </si>
  <si>
    <t>credit facilities granted to subsidiary companies</t>
  </si>
  <si>
    <t>Share Cap</t>
  </si>
  <si>
    <t>Purchased cost</t>
  </si>
  <si>
    <t>*Net Sh Cap</t>
  </si>
  <si>
    <t>Currrent Year Taxation</t>
  </si>
  <si>
    <t>Gain on disposal</t>
  </si>
  <si>
    <t>Addition</t>
  </si>
  <si>
    <t>Disposal</t>
  </si>
  <si>
    <t>Sales Proceed</t>
  </si>
  <si>
    <t>Written of</t>
  </si>
  <si>
    <t>include JK KL's shophouse</t>
  </si>
  <si>
    <t>include CNX</t>
  </si>
  <si>
    <t>Accumulated Losses</t>
  </si>
  <si>
    <t>Accumulated</t>
  </si>
  <si>
    <t xml:space="preserve"> Losses</t>
  </si>
  <si>
    <t>(a)</t>
  </si>
  <si>
    <t>No interim dividend has been recommended by the directors.</t>
  </si>
  <si>
    <t>Exchange Reserve</t>
  </si>
  <si>
    <t>Net profit after taxation &amp; MI &amp; Dividend</t>
  </si>
  <si>
    <t>taxation</t>
  </si>
  <si>
    <t>employed</t>
  </si>
  <si>
    <t>Wholesale supply</t>
  </si>
  <si>
    <t>JK (Johor)</t>
  </si>
  <si>
    <t>JK (KL)</t>
  </si>
  <si>
    <t>9 Jan 06 (Mon)</t>
  </si>
  <si>
    <t>10 Jan 06 (Tue)</t>
  </si>
  <si>
    <t>CNX Sol</t>
  </si>
  <si>
    <t xml:space="preserve">JK KL </t>
  </si>
  <si>
    <t>Net repayment</t>
  </si>
  <si>
    <t>short term borrowings - repayment</t>
  </si>
  <si>
    <t>Term Loans - drawdown / (repayment)</t>
  </si>
  <si>
    <t xml:space="preserve">JKM </t>
  </si>
  <si>
    <t>YE2004</t>
  </si>
  <si>
    <t xml:space="preserve">Investment Property </t>
  </si>
  <si>
    <t xml:space="preserve">    to equity holders of the parent:</t>
  </si>
  <si>
    <t xml:space="preserve">Inter-co Sales </t>
  </si>
  <si>
    <t>Other Operating Income</t>
  </si>
  <si>
    <t>Finance costs</t>
  </si>
  <si>
    <t>(RM'000)</t>
  </si>
  <si>
    <t>As at end of</t>
  </si>
  <si>
    <t>Current</t>
  </si>
  <si>
    <t xml:space="preserve">As at </t>
  </si>
  <si>
    <t>Year Ended</t>
  </si>
  <si>
    <t>Preceding</t>
  </si>
  <si>
    <t>Trade and others receivables</t>
  </si>
  <si>
    <t>Cash and cash equivalents</t>
  </si>
  <si>
    <t>Borrowings</t>
  </si>
  <si>
    <t>Trade and other payables</t>
  </si>
  <si>
    <t>- MI share of profit for 2002</t>
  </si>
  <si>
    <t>Balance at 1 February 2005</t>
  </si>
  <si>
    <t>- Real property gain tax</t>
  </si>
  <si>
    <t>PART A2     :      SUMMARY OF KEY FINANCIAL INFORMATION</t>
  </si>
  <si>
    <t>Summary of Key Financial Information</t>
  </si>
  <si>
    <t xml:space="preserve">Total recognised income and expense for </t>
  </si>
  <si>
    <t>the financial year</t>
  </si>
  <si>
    <t>Allowance for doubtful debts</t>
  </si>
  <si>
    <t>Allowance for slow-moving inventories</t>
  </si>
  <si>
    <t>Writedown in value of inventories</t>
  </si>
  <si>
    <t>Issue of share capital</t>
  </si>
  <si>
    <t>3 months ended 31 Jan</t>
  </si>
  <si>
    <t>Balance at 1 February 2008</t>
  </si>
  <si>
    <t>Condensed Consolidated Statements of Changes in Equity</t>
  </si>
  <si>
    <t>Realised of Revaluation Reserve</t>
  </si>
  <si>
    <t>Net Change in current assets</t>
  </si>
  <si>
    <t>Retained profit b/f - CNX Software</t>
  </si>
  <si>
    <t>Net Change in current liabilities</t>
  </si>
  <si>
    <t>Investing Activities</t>
  </si>
  <si>
    <t>Property, Plant and Equipment</t>
  </si>
  <si>
    <t>Current year loss</t>
  </si>
  <si>
    <t>CJE 20 &amp; 21</t>
  </si>
  <si>
    <t>Term Loan</t>
  </si>
  <si>
    <t>Fujian JK - cje 5 &amp; cje 17</t>
  </si>
  <si>
    <t>Dis 2/10/06</t>
  </si>
  <si>
    <t>Dis 7/7/06</t>
  </si>
  <si>
    <t>(+) CJE 23</t>
  </si>
  <si>
    <t>(a) Revenue</t>
  </si>
  <si>
    <t>(b) Finance cost</t>
  </si>
  <si>
    <t>( c) Other income</t>
  </si>
  <si>
    <t>JUAN KUANG (M) INDUSTRIAL BERHAD (Co. No. 73170-V)</t>
  </si>
  <si>
    <t>TSM</t>
  </si>
  <si>
    <t>Minority Interest</t>
  </si>
  <si>
    <t xml:space="preserve"> Retained Earnings</t>
  </si>
  <si>
    <t>Distributable</t>
  </si>
  <si>
    <t xml:space="preserve">For the 3 months </t>
  </si>
  <si>
    <t xml:space="preserve">quarter </t>
  </si>
  <si>
    <t>01.11.07 to 31.01.08</t>
  </si>
  <si>
    <t>31.01.2008</t>
  </si>
  <si>
    <t>before consol</t>
  </si>
  <si>
    <t>adjustments</t>
  </si>
  <si>
    <t>Minority shareholders' interests</t>
  </si>
  <si>
    <t xml:space="preserve">Net current assets </t>
  </si>
  <si>
    <t>Long term and deferred liabilities</t>
  </si>
  <si>
    <t>Interest (inter-co) - prior year</t>
  </si>
  <si>
    <t xml:space="preserve">Interest (inter-co) </t>
  </si>
  <si>
    <t>JKEA</t>
  </si>
  <si>
    <t>JKWH</t>
  </si>
  <si>
    <t>Dividend Income received from associated co - FJK</t>
  </si>
  <si>
    <t xml:space="preserve">- an associate </t>
  </si>
  <si>
    <t>Dividend paid to minority shareholders (net)</t>
  </si>
  <si>
    <t>Share of profit of associated company</t>
  </si>
  <si>
    <t>Net loss for the period</t>
  </si>
  <si>
    <t>Investment Property</t>
  </si>
  <si>
    <t>Sub companies</t>
  </si>
  <si>
    <t>JK Johor</t>
  </si>
  <si>
    <t>JK Penang</t>
  </si>
  <si>
    <t>JK Klang</t>
  </si>
  <si>
    <t>JK Kuantan</t>
  </si>
  <si>
    <t>JK EA</t>
  </si>
  <si>
    <t>Synlux Energy</t>
  </si>
  <si>
    <t>Ihsan Indah</t>
  </si>
  <si>
    <t>Eureka Fortune</t>
  </si>
  <si>
    <t>Merit Profile</t>
  </si>
  <si>
    <t>Total</t>
  </si>
  <si>
    <t>JK KL</t>
  </si>
  <si>
    <t>JK Lamps</t>
  </si>
  <si>
    <t>JK WH</t>
  </si>
  <si>
    <t>JK Power</t>
  </si>
  <si>
    <t>Reserves</t>
  </si>
  <si>
    <t xml:space="preserve">  @ 5,374,476 +17,045,134 + 84,103,252.25</t>
  </si>
  <si>
    <t>Net (repayment)/drawdown of short-term borrowings</t>
  </si>
  <si>
    <t>for period ended</t>
  </si>
  <si>
    <t xml:space="preserve">Fixed Assets </t>
  </si>
  <si>
    <t>Purchased</t>
  </si>
  <si>
    <t>Sales Proceeds</t>
  </si>
  <si>
    <t>Pre-Acq Loss</t>
  </si>
  <si>
    <t>(Being H/Q exp over provision -YE2001 - JK EA)</t>
  </si>
  <si>
    <t>(Being H/Q exp under provision -YE'2001 - JK Johor)</t>
  </si>
  <si>
    <t>(Being Loan Interest under provision -YE'2001 - JK Johor)</t>
  </si>
  <si>
    <t xml:space="preserve">           Current loss for the period (RM64,737.60 x 44.50%)</t>
  </si>
  <si>
    <t>&lt;CJE33&gt;</t>
  </si>
  <si>
    <t>&lt;CJE 33&gt;</t>
  </si>
  <si>
    <t>Sales consideration as at 13/07/06</t>
  </si>
  <si>
    <t>JK LAMPS</t>
  </si>
  <si>
    <t>AAN-JK</t>
  </si>
  <si>
    <t>5% of shareholdings</t>
  </si>
  <si>
    <t>Reinstate of revaluation reserves</t>
  </si>
  <si>
    <t>As at 31 October 2008</t>
  </si>
  <si>
    <t>31 October 2008</t>
  </si>
  <si>
    <t>31 January 2008</t>
  </si>
  <si>
    <t>ASSETS</t>
  </si>
  <si>
    <t>Non - Current Assets</t>
  </si>
  <si>
    <t>Prepaid land  lease payments</t>
  </si>
  <si>
    <t>Investment in Associated Companies</t>
  </si>
  <si>
    <t>Other Investments</t>
  </si>
  <si>
    <t>TOTAL ASSETS</t>
  </si>
  <si>
    <t>Equity attributable to equity holders of the parent</t>
  </si>
  <si>
    <t>Non Current Liabilities</t>
  </si>
  <si>
    <t>Total Liabilities</t>
  </si>
  <si>
    <t>TOTAL EQUITY AND LIABILITIES</t>
  </si>
  <si>
    <t>Net assets per share attributable to oridinary equity holders of the parent (RM)</t>
  </si>
  <si>
    <t>checked sum</t>
  </si>
  <si>
    <t>For the period ended 31 October 2008</t>
  </si>
  <si>
    <t>3 months ended 31 October</t>
  </si>
  <si>
    <t>9 months ended 31 October</t>
  </si>
  <si>
    <t>Checked sum</t>
  </si>
  <si>
    <t>For the 9 months period ended 31 October  2008</t>
  </si>
  <si>
    <t>9 months ended 31 October  2007</t>
  </si>
  <si>
    <t>Balance at  31 October 2007</t>
  </si>
  <si>
    <t>9 months ended 31 October 2008</t>
  </si>
  <si>
    <t xml:space="preserve">Issuance of share </t>
  </si>
  <si>
    <t>Dividend paid to shareholders</t>
  </si>
  <si>
    <t>Balance at 31 October 2008</t>
  </si>
  <si>
    <t>for the 9 months ended 31 October  2008</t>
  </si>
  <si>
    <t>31 October 2007</t>
  </si>
  <si>
    <t>Net cash used in inveting activities</t>
  </si>
  <si>
    <t>Dividend paid to for financial year ended 31 January 2008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</si>
</sst>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000_);_(* \(#,##0.000\);_(* &quot;-&quot;??_);_(@_)"/>
    <numFmt numFmtId="172" formatCode="_(* #,##0.0_);_(* \(#,##0.0\);_(* &quot;-&quot;??_);_(@_)"/>
    <numFmt numFmtId="173" formatCode="_(* #,##0_);_(* \(#,##0\);_(* &quot;-&quot;??_);_(@_)"/>
    <numFmt numFmtId="174" formatCode="_(* #,##0.000_);_(* \(#,##0.000\);_(* &quot;-&quot;???_);_(@_)"/>
    <numFmt numFmtId="175" formatCode="_(* #,##0.00000_);_(* \(#,##0.00000\);_(* &quot;-&quot;??_);_(@_)"/>
    <numFmt numFmtId="176" formatCode="_(* #,##0.0000_);_(* \(#,##0.0000\);_(* &quot;-&quot;??_);_(@_)"/>
    <numFmt numFmtId="177" formatCode="0_)"/>
    <numFmt numFmtId="178" formatCode="0.0000_)"/>
    <numFmt numFmtId="179" formatCode="0.000_)"/>
    <numFmt numFmtId="180" formatCode="_(* #,##0.000000_);_(* \(#,##0.000000\);_(* &quot;-&quot;??_);_(@_)"/>
    <numFmt numFmtId="181" formatCode="0.000"/>
    <numFmt numFmtId="182" formatCode="dd/mmm/yyyy"/>
    <numFmt numFmtId="183" formatCode="#,##0;[Red]\(#,##0\)"/>
    <numFmt numFmtId="184" formatCode="_-* #,##0_-;\-* #,##0_-;_-* &quot;-&quot;??_-;_-@_-"/>
    <numFmt numFmtId="185" formatCode="dd\-mm\-yyyy"/>
    <numFmt numFmtId="186" formatCode="dd\-mmm\-yyyy"/>
    <numFmt numFmtId="187" formatCode="dd\-mmm\-yyyy_)"/>
    <numFmt numFmtId="188" formatCode="#,##0.000_);[Red]\(#,##0.000\)"/>
    <numFmt numFmtId="189" formatCode="_(* #,##0.0000000000000000_);_(* \(#,##0.0000000000000000\);_(* &quot;-&quot;??_);_(@_)"/>
    <numFmt numFmtId="190" formatCode="_(* #,##0.000\);_(* \(#,##0.000\);_(* &quot;-&quot;??_);_(@_)"/>
    <numFmt numFmtId="191" formatCode="#,##0.000_);\(#,##0.000\)"/>
    <numFmt numFmtId="192" formatCode="_(* #,##0.00000000000_);_(* \(#,##0.00000000000\);_(* &quot;-&quot;??_);_(@_)"/>
    <numFmt numFmtId="193" formatCode="0.0%"/>
    <numFmt numFmtId="194" formatCode="[$-409]d\-mmm\-yy;@"/>
    <numFmt numFmtId="195" formatCode="0.000%"/>
    <numFmt numFmtId="196" formatCode="0_);\(0\)"/>
    <numFmt numFmtId="197" formatCode="#,##0.000"/>
    <numFmt numFmtId="198" formatCode="#,##0.000;[Red]#,##0.000"/>
    <numFmt numFmtId="199" formatCode="&quot;$&quot;#,##0.000_);\(&quot;$&quot;#,##0.000\)"/>
    <numFmt numFmtId="200" formatCode="_(* #,##0.0_);_(* \(#,##0.0\);_(* &quot;-&quot;?_);_(@_)"/>
    <numFmt numFmtId="201" formatCode="_ * #,##0_ ;_ * \-#,##0_ ;_ * &quot;-&quot;??_ ;_ @_ "/>
    <numFmt numFmtId="202" formatCode="#,##0.0000_);\(#,##0.0000\)"/>
  </numFmts>
  <fonts count="44">
    <font>
      <sz val="10"/>
      <name val="Arial"/>
      <family val="0"/>
    </font>
    <font>
      <sz val="10"/>
      <name val="Times New Roman"/>
      <family val="1"/>
    </font>
    <font>
      <sz val="10"/>
      <color indexed="10"/>
      <name val="Times New Roman"/>
      <family val="1"/>
    </font>
    <font>
      <i/>
      <sz val="10"/>
      <name val="Times New Roman"/>
      <family val="1"/>
    </font>
    <font>
      <b/>
      <u val="single"/>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sz val="10"/>
      <color indexed="12"/>
      <name val="Times New Roman"/>
      <family val="1"/>
    </font>
    <font>
      <u val="single"/>
      <sz val="10"/>
      <name val="Times New Roman"/>
      <family val="1"/>
    </font>
    <font>
      <b/>
      <sz val="11"/>
      <name val="Garamond"/>
      <family val="1"/>
    </font>
    <font>
      <sz val="11"/>
      <name val="Garamond"/>
      <family val="1"/>
    </font>
    <font>
      <sz val="10"/>
      <name val="Garamond"/>
      <family val="1"/>
    </font>
    <font>
      <i/>
      <sz val="9"/>
      <name val="Times New Roman"/>
      <family val="1"/>
    </font>
    <font>
      <b/>
      <u val="single"/>
      <sz val="12"/>
      <name val="Times New Roman"/>
      <family val="1"/>
    </font>
    <font>
      <b/>
      <sz val="14"/>
      <name val="Times New Roman"/>
      <family val="1"/>
    </font>
    <font>
      <b/>
      <i/>
      <sz val="10"/>
      <name val="Times New Roman"/>
      <family val="1"/>
    </font>
    <font>
      <u val="single"/>
      <sz val="11"/>
      <name val="Garamond"/>
      <family val="1"/>
    </font>
    <font>
      <sz val="11"/>
      <name val="Times New Roman"/>
      <family val="1"/>
    </font>
    <font>
      <sz val="8"/>
      <name val="Tahoma"/>
      <family val="0"/>
    </font>
    <font>
      <sz val="10"/>
      <color indexed="8"/>
      <name val="Times New Roman"/>
      <family val="1"/>
    </font>
    <font>
      <i/>
      <sz val="10"/>
      <color indexed="10"/>
      <name val="Times New Roman"/>
      <family val="1"/>
    </font>
    <font>
      <i/>
      <u val="singleAccounting"/>
      <sz val="10"/>
      <color indexed="10"/>
      <name val="Times New Roman"/>
      <family val="1"/>
    </font>
    <font>
      <u val="singleAccounting"/>
      <sz val="10"/>
      <name val="Times New Roman"/>
      <family val="1"/>
    </font>
    <font>
      <b/>
      <sz val="10"/>
      <name val="Arial"/>
      <family val="2"/>
    </font>
    <font>
      <sz val="10"/>
      <color indexed="10"/>
      <name val="Arial"/>
      <family val="2"/>
    </font>
    <font>
      <b/>
      <u val="single"/>
      <sz val="10"/>
      <name val="Arial"/>
      <family val="2"/>
    </font>
    <font>
      <u val="single"/>
      <sz val="10"/>
      <name val="Arial"/>
      <family val="2"/>
    </font>
    <font>
      <b/>
      <sz val="8"/>
      <name val="Tahoma"/>
      <family val="0"/>
    </font>
    <font>
      <b/>
      <i/>
      <sz val="10"/>
      <color indexed="10"/>
      <name val="Arial"/>
      <family val="2"/>
    </font>
    <font>
      <i/>
      <sz val="9"/>
      <color indexed="10"/>
      <name val="Times New Roman"/>
      <family val="1"/>
    </font>
    <font>
      <sz val="10"/>
      <color indexed="16"/>
      <name val="Times New Roman"/>
      <family val="1"/>
    </font>
    <font>
      <b/>
      <i/>
      <sz val="10"/>
      <color indexed="10"/>
      <name val="Times New Roman"/>
      <family val="1"/>
    </font>
    <font>
      <u val="single"/>
      <sz val="10"/>
      <color indexed="12"/>
      <name val="Arial"/>
      <family val="0"/>
    </font>
    <font>
      <u val="single"/>
      <sz val="10"/>
      <color indexed="36"/>
      <name val="Arial"/>
      <family val="0"/>
    </font>
    <font>
      <i/>
      <sz val="10"/>
      <name val="Arial"/>
      <family val="2"/>
    </font>
    <font>
      <sz val="8"/>
      <name val="Arial"/>
      <family val="0"/>
    </font>
    <font>
      <i/>
      <u val="singleAccounting"/>
      <sz val="10"/>
      <name val="Times New Roman"/>
      <family val="1"/>
    </font>
    <font>
      <i/>
      <sz val="8"/>
      <name val="Arial"/>
      <family val="2"/>
    </font>
    <font>
      <i/>
      <sz val="8"/>
      <name val="Times New Roman"/>
      <family val="1"/>
    </font>
    <font>
      <b/>
      <u val="single"/>
      <sz val="8"/>
      <name val="Arial"/>
      <family val="2"/>
    </font>
    <font>
      <b/>
      <sz val="10"/>
      <color indexed="10"/>
      <name val="Arial"/>
      <family val="2"/>
    </font>
    <font>
      <b/>
      <sz val="8"/>
      <name val="Arial"/>
      <family val="2"/>
    </font>
  </fonts>
  <fills count="17">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
      <patternFill patternType="solid">
        <fgColor indexed="12"/>
        <bgColor indexed="64"/>
      </patternFill>
    </fill>
    <fill>
      <patternFill patternType="solid">
        <fgColor indexed="52"/>
        <bgColor indexed="64"/>
      </patternFill>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color indexed="63"/>
      </right>
      <top style="thin"/>
      <bottom style="medium"/>
    </border>
    <border>
      <left style="thin"/>
      <right>
        <color indexed="63"/>
      </right>
      <top style="thin"/>
      <bottom style="mediu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double"/>
      <top>
        <color indexed="63"/>
      </top>
      <bottom>
        <color indexed="63"/>
      </bottom>
    </border>
    <border>
      <left>
        <color indexed="63"/>
      </left>
      <right style="double"/>
      <top>
        <color indexed="63"/>
      </top>
      <bottom style="thin"/>
    </border>
    <border>
      <left style="medium"/>
      <right style="double"/>
      <top style="thin"/>
      <bottom>
        <color indexed="63"/>
      </bottom>
    </border>
    <border>
      <left style="medium"/>
      <right style="double"/>
      <top>
        <color indexed="63"/>
      </top>
      <bottom style="medium"/>
    </border>
    <border>
      <left>
        <color indexed="63"/>
      </left>
      <right style="double"/>
      <top style="thin"/>
      <bottom>
        <color indexed="63"/>
      </bottom>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double"/>
    </border>
    <border>
      <left style="thin"/>
      <right style="thin"/>
      <top style="thin"/>
      <bottom style="double"/>
    </border>
    <border>
      <left>
        <color indexed="63"/>
      </left>
      <right style="thin"/>
      <top>
        <color indexed="63"/>
      </top>
      <bottom style="thin"/>
    </border>
    <border>
      <left style="thin"/>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medium"/>
      <right>
        <color indexed="63"/>
      </right>
      <top style="thin"/>
      <bottom style="thin"/>
    </border>
    <border>
      <left style="thin"/>
      <right style="thin"/>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double"/>
    </border>
    <border>
      <left style="thin"/>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cellStyleXfs>
  <cellXfs count="719">
    <xf numFmtId="0" fontId="0" fillId="0" borderId="0" xfId="0" applyAlignment="1">
      <alignment/>
    </xf>
    <xf numFmtId="171" fontId="1" fillId="0" borderId="0" xfId="15" applyNumberFormat="1" applyFont="1" applyAlignment="1">
      <alignment/>
    </xf>
    <xf numFmtId="0" fontId="1" fillId="0" borderId="0" xfId="0" applyFont="1" applyAlignment="1">
      <alignment/>
    </xf>
    <xf numFmtId="173" fontId="1" fillId="0" borderId="0" xfId="15" applyNumberFormat="1" applyFont="1" applyAlignment="1">
      <alignment/>
    </xf>
    <xf numFmtId="173" fontId="1" fillId="0" borderId="1" xfId="15" applyNumberFormat="1" applyFont="1" applyBorder="1" applyAlignment="1">
      <alignment/>
    </xf>
    <xf numFmtId="43" fontId="1" fillId="0" borderId="0" xfId="15" applyNumberFormat="1" applyFont="1" applyAlignment="1">
      <alignment/>
    </xf>
    <xf numFmtId="172" fontId="1" fillId="0" borderId="0" xfId="15" applyNumberFormat="1" applyFont="1" applyAlignment="1">
      <alignment/>
    </xf>
    <xf numFmtId="173" fontId="1" fillId="0" borderId="2" xfId="15" applyNumberFormat="1" applyFont="1" applyBorder="1" applyAlignment="1">
      <alignment/>
    </xf>
    <xf numFmtId="173" fontId="1" fillId="0" borderId="3" xfId="15" applyNumberFormat="1" applyFont="1" applyBorder="1" applyAlignment="1">
      <alignment/>
    </xf>
    <xf numFmtId="0" fontId="1" fillId="0" borderId="0" xfId="0" applyFont="1" applyAlignment="1">
      <alignment horizontal="center"/>
    </xf>
    <xf numFmtId="14" fontId="1" fillId="0" borderId="0" xfId="0" applyNumberFormat="1" applyFon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vertical="justify"/>
    </xf>
    <xf numFmtId="0" fontId="1" fillId="0" borderId="0" xfId="0" applyFont="1" applyAlignment="1">
      <alignment vertical="top"/>
    </xf>
    <xf numFmtId="0" fontId="3" fillId="0" borderId="0" xfId="0" applyFont="1" applyAlignment="1">
      <alignment/>
    </xf>
    <xf numFmtId="173" fontId="1" fillId="0" borderId="0" xfId="15" applyNumberFormat="1" applyFont="1" applyAlignment="1">
      <alignment horizontal="center"/>
    </xf>
    <xf numFmtId="14" fontId="1" fillId="0" borderId="0" xfId="15" applyNumberFormat="1" applyFont="1" applyAlignment="1">
      <alignment horizontal="center"/>
    </xf>
    <xf numFmtId="43" fontId="1" fillId="0" borderId="0" xfId="15" applyFont="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left"/>
    </xf>
    <xf numFmtId="173" fontId="1" fillId="0" borderId="0" xfId="0" applyNumberFormat="1" applyFont="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1"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horizontal="center"/>
    </xf>
    <xf numFmtId="173" fontId="1" fillId="0" borderId="9" xfId="15" applyNumberFormat="1" applyFont="1" applyBorder="1" applyAlignment="1">
      <alignment/>
    </xf>
    <xf numFmtId="43" fontId="1" fillId="0" borderId="1" xfId="15" applyFont="1" applyBorder="1" applyAlignment="1">
      <alignment/>
    </xf>
    <xf numFmtId="0" fontId="1" fillId="0" borderId="10" xfId="0" applyFont="1" applyBorder="1" applyAlignment="1">
      <alignment/>
    </xf>
    <xf numFmtId="0" fontId="1" fillId="0" borderId="3" xfId="0" applyFont="1" applyBorder="1" applyAlignment="1">
      <alignment/>
    </xf>
    <xf numFmtId="0" fontId="1" fillId="0" borderId="2" xfId="0" applyFont="1" applyBorder="1" applyAlignment="1">
      <alignment/>
    </xf>
    <xf numFmtId="43" fontId="1" fillId="0" borderId="2" xfId="15" applyFont="1" applyBorder="1" applyAlignment="1">
      <alignment/>
    </xf>
    <xf numFmtId="173" fontId="1" fillId="0" borderId="11" xfId="15" applyNumberFormat="1" applyFont="1" applyBorder="1" applyAlignment="1">
      <alignment/>
    </xf>
    <xf numFmtId="173" fontId="1" fillId="0" borderId="10" xfId="15" applyNumberFormat="1" applyFont="1" applyBorder="1" applyAlignment="1">
      <alignment/>
    </xf>
    <xf numFmtId="0" fontId="1" fillId="0" borderId="10" xfId="0" applyFont="1" applyBorder="1" applyAlignment="1">
      <alignment horizontal="center"/>
    </xf>
    <xf numFmtId="43" fontId="1" fillId="0" borderId="3" xfId="15" applyFont="1" applyBorder="1" applyAlignment="1">
      <alignment/>
    </xf>
    <xf numFmtId="173" fontId="1" fillId="0" borderId="12" xfId="0" applyNumberFormat="1" applyFont="1" applyBorder="1" applyAlignment="1">
      <alignment/>
    </xf>
    <xf numFmtId="0" fontId="1" fillId="0" borderId="11" xfId="0" applyFont="1" applyBorder="1" applyAlignment="1">
      <alignment horizontal="center"/>
    </xf>
    <xf numFmtId="0" fontId="7" fillId="0" borderId="0" xfId="0" applyFont="1" applyAlignment="1">
      <alignment/>
    </xf>
    <xf numFmtId="173" fontId="7" fillId="0" borderId="0" xfId="15" applyNumberFormat="1" applyFont="1" applyBorder="1" applyAlignment="1">
      <alignment/>
    </xf>
    <xf numFmtId="173" fontId="9" fillId="0" borderId="0" xfId="15" applyNumberFormat="1" applyFont="1" applyFill="1" applyAlignment="1">
      <alignment/>
    </xf>
    <xf numFmtId="173" fontId="1" fillId="0" borderId="0" xfId="15" applyNumberFormat="1" applyFont="1" applyBorder="1" applyAlignment="1">
      <alignment/>
    </xf>
    <xf numFmtId="171" fontId="1" fillId="0" borderId="7" xfId="15" applyNumberFormat="1" applyFont="1" applyBorder="1" applyAlignment="1">
      <alignment/>
    </xf>
    <xf numFmtId="171" fontId="1" fillId="0" borderId="13" xfId="15" applyNumberFormat="1" applyFont="1" applyBorder="1" applyAlignment="1">
      <alignment/>
    </xf>
    <xf numFmtId="173" fontId="6" fillId="0" borderId="3" xfId="15" applyNumberFormat="1" applyFont="1" applyBorder="1" applyAlignment="1">
      <alignment horizontal="center"/>
    </xf>
    <xf numFmtId="171" fontId="1" fillId="0" borderId="0" xfId="15" applyNumberFormat="1" applyFont="1" applyBorder="1" applyAlignment="1">
      <alignment/>
    </xf>
    <xf numFmtId="173" fontId="7" fillId="0" borderId="14" xfId="15" applyNumberFormat="1" applyFont="1" applyBorder="1" applyAlignment="1">
      <alignment/>
    </xf>
    <xf numFmtId="173" fontId="7" fillId="0" borderId="15" xfId="15" applyNumberFormat="1" applyFont="1" applyBorder="1" applyAlignment="1">
      <alignment/>
    </xf>
    <xf numFmtId="173" fontId="8" fillId="0" borderId="15" xfId="15" applyNumberFormat="1" applyFont="1" applyBorder="1" applyAlignment="1">
      <alignment/>
    </xf>
    <xf numFmtId="173" fontId="7" fillId="0" borderId="16" xfId="15" applyNumberFormat="1" applyFont="1" applyBorder="1" applyAlignment="1">
      <alignment/>
    </xf>
    <xf numFmtId="173" fontId="7" fillId="0" borderId="17" xfId="15" applyNumberFormat="1" applyFont="1" applyBorder="1" applyAlignment="1">
      <alignment/>
    </xf>
    <xf numFmtId="173" fontId="7" fillId="0" borderId="18" xfId="15" applyNumberFormat="1" applyFont="1" applyBorder="1" applyAlignment="1">
      <alignment/>
    </xf>
    <xf numFmtId="173" fontId="7" fillId="0" borderId="19" xfId="15" applyNumberFormat="1" applyFont="1" applyBorder="1" applyAlignment="1">
      <alignment/>
    </xf>
    <xf numFmtId="173" fontId="7" fillId="0" borderId="20" xfId="15" applyNumberFormat="1" applyFont="1" applyBorder="1" applyAlignment="1">
      <alignment/>
    </xf>
    <xf numFmtId="173" fontId="7" fillId="0" borderId="21" xfId="15" applyNumberFormat="1" applyFont="1" applyBorder="1" applyAlignment="1">
      <alignment/>
    </xf>
    <xf numFmtId="0" fontId="6" fillId="0" borderId="0" xfId="0" applyFont="1" applyAlignment="1">
      <alignment/>
    </xf>
    <xf numFmtId="0" fontId="1" fillId="0" borderId="0" xfId="0" applyFont="1" applyBorder="1" applyAlignment="1">
      <alignment/>
    </xf>
    <xf numFmtId="0" fontId="6" fillId="0" borderId="0" xfId="0" applyFont="1" applyAlignment="1">
      <alignment horizontal="center"/>
    </xf>
    <xf numFmtId="43" fontId="1" fillId="0" borderId="0" xfId="15" applyFont="1" applyBorder="1" applyAlignment="1">
      <alignment/>
    </xf>
    <xf numFmtId="171" fontId="1" fillId="0" borderId="8" xfId="15" applyNumberFormat="1" applyFont="1" applyBorder="1" applyAlignment="1">
      <alignment/>
    </xf>
    <xf numFmtId="0" fontId="10" fillId="0" borderId="0" xfId="0" applyFont="1" applyAlignment="1">
      <alignment/>
    </xf>
    <xf numFmtId="43" fontId="1" fillId="0" borderId="8" xfId="15" applyFont="1" applyBorder="1" applyAlignment="1">
      <alignment/>
    </xf>
    <xf numFmtId="171" fontId="1" fillId="0" borderId="0" xfId="0" applyNumberFormat="1" applyFont="1" applyAlignment="1">
      <alignment/>
    </xf>
    <xf numFmtId="171" fontId="1" fillId="0" borderId="8" xfId="0" applyNumberFormat="1" applyFont="1" applyBorder="1" applyAlignment="1">
      <alignment/>
    </xf>
    <xf numFmtId="0" fontId="1" fillId="0" borderId="0" xfId="0" applyFont="1" applyAlignment="1">
      <alignment horizontal="right"/>
    </xf>
    <xf numFmtId="0" fontId="1" fillId="0" borderId="5" xfId="0" applyFont="1" applyBorder="1" applyAlignment="1">
      <alignment horizontal="center"/>
    </xf>
    <xf numFmtId="0" fontId="1" fillId="0" borderId="22"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 fillId="0" borderId="23" xfId="0" applyFont="1" applyBorder="1" applyAlignment="1">
      <alignment/>
    </xf>
    <xf numFmtId="0" fontId="1" fillId="0" borderId="11" xfId="0" applyFont="1" applyBorder="1" applyAlignment="1">
      <alignment/>
    </xf>
    <xf numFmtId="171" fontId="1" fillId="0" borderId="23" xfId="15" applyNumberFormat="1" applyFont="1" applyBorder="1" applyAlignment="1">
      <alignment/>
    </xf>
    <xf numFmtId="171" fontId="1" fillId="0" borderId="11" xfId="15" applyNumberFormat="1" applyFont="1" applyBorder="1" applyAlignment="1">
      <alignment/>
    </xf>
    <xf numFmtId="43" fontId="1" fillId="0" borderId="7" xfId="15" applyFont="1" applyBorder="1" applyAlignment="1">
      <alignment/>
    </xf>
    <xf numFmtId="171" fontId="1" fillId="0" borderId="7" xfId="0" applyNumberFormat="1" applyFont="1" applyBorder="1" applyAlignment="1">
      <alignment/>
    </xf>
    <xf numFmtId="171" fontId="1" fillId="0" borderId="13" xfId="0" applyNumberFormat="1" applyFont="1" applyBorder="1" applyAlignment="1">
      <alignment/>
    </xf>
    <xf numFmtId="171" fontId="1" fillId="0" borderId="11" xfId="0" applyNumberFormat="1" applyFont="1" applyBorder="1" applyAlignment="1">
      <alignment/>
    </xf>
    <xf numFmtId="171" fontId="1" fillId="0" borderId="24" xfId="0" applyNumberFormat="1" applyFont="1" applyBorder="1" applyAlignment="1">
      <alignment/>
    </xf>
    <xf numFmtId="171" fontId="1" fillId="0" borderId="0" xfId="0" applyNumberFormat="1" applyFont="1" applyBorder="1" applyAlignment="1">
      <alignment/>
    </xf>
    <xf numFmtId="171" fontId="1" fillId="0" borderId="0" xfId="15" applyNumberFormat="1" applyFont="1" applyBorder="1" applyAlignment="1">
      <alignment/>
    </xf>
    <xf numFmtId="0" fontId="5" fillId="0" borderId="0" xfId="0" applyFont="1" applyAlignment="1">
      <alignment/>
    </xf>
    <xf numFmtId="173" fontId="1" fillId="0" borderId="5" xfId="15" applyNumberFormat="1" applyFont="1" applyBorder="1" applyAlignment="1">
      <alignment/>
    </xf>
    <xf numFmtId="43" fontId="7" fillId="0" borderId="8" xfId="15" applyFont="1" applyBorder="1" applyAlignment="1">
      <alignment/>
    </xf>
    <xf numFmtId="43" fontId="1" fillId="0" borderId="0" xfId="0" applyNumberFormat="1" applyFont="1" applyBorder="1" applyAlignment="1">
      <alignment/>
    </xf>
    <xf numFmtId="43" fontId="1" fillId="0" borderId="12" xfId="15" applyFont="1" applyBorder="1" applyAlignment="1">
      <alignment/>
    </xf>
    <xf numFmtId="10" fontId="1" fillId="0" borderId="0" xfId="22" applyNumberFormat="1" applyFont="1" applyBorder="1" applyAlignment="1">
      <alignment/>
    </xf>
    <xf numFmtId="171" fontId="1" fillId="0" borderId="17" xfId="15" applyNumberFormat="1" applyFont="1" applyBorder="1" applyAlignment="1">
      <alignment/>
    </xf>
    <xf numFmtId="0" fontId="0" fillId="0" borderId="0" xfId="0" applyBorder="1" applyAlignment="1">
      <alignment/>
    </xf>
    <xf numFmtId="171" fontId="1" fillId="0" borderId="25" xfId="15" applyNumberFormat="1" applyFont="1" applyBorder="1" applyAlignment="1">
      <alignment/>
    </xf>
    <xf numFmtId="10" fontId="1" fillId="0" borderId="26" xfId="22" applyNumberFormat="1" applyFont="1" applyBorder="1" applyAlignment="1">
      <alignment horizontal="center"/>
    </xf>
    <xf numFmtId="171" fontId="1" fillId="0" borderId="3" xfId="15" applyNumberFormat="1" applyFont="1" applyBorder="1" applyAlignment="1">
      <alignment/>
    </xf>
    <xf numFmtId="0" fontId="12" fillId="0" borderId="0" xfId="0" applyFont="1" applyAlignment="1">
      <alignment/>
    </xf>
    <xf numFmtId="38" fontId="12" fillId="0" borderId="0" xfId="0" applyNumberFormat="1" applyFont="1" applyAlignment="1">
      <alignment/>
    </xf>
    <xf numFmtId="0" fontId="13" fillId="0" borderId="0" xfId="0" applyFont="1" applyAlignment="1">
      <alignment/>
    </xf>
    <xf numFmtId="173" fontId="12" fillId="0" borderId="0" xfId="15" applyNumberFormat="1" applyFont="1" applyAlignment="1">
      <alignment/>
    </xf>
    <xf numFmtId="0" fontId="12" fillId="0" borderId="0" xfId="0" applyFont="1" applyAlignment="1" quotePrefix="1">
      <alignment/>
    </xf>
    <xf numFmtId="38" fontId="1" fillId="0" borderId="0" xfId="0" applyNumberFormat="1" applyFont="1" applyAlignment="1">
      <alignment/>
    </xf>
    <xf numFmtId="0" fontId="6" fillId="0" borderId="27" xfId="0" applyFont="1" applyBorder="1" applyAlignment="1">
      <alignment/>
    </xf>
    <xf numFmtId="0" fontId="6" fillId="0" borderId="0" xfId="0" applyFont="1" applyBorder="1" applyAlignment="1">
      <alignment/>
    </xf>
    <xf numFmtId="0" fontId="1" fillId="0" borderId="28" xfId="0" applyFont="1" applyBorder="1" applyAlignment="1">
      <alignment/>
    </xf>
    <xf numFmtId="0" fontId="6" fillId="0" borderId="29" xfId="0" applyFont="1" applyBorder="1" applyAlignment="1">
      <alignment/>
    </xf>
    <xf numFmtId="38" fontId="6" fillId="0" borderId="29" xfId="0" applyNumberFormat="1" applyFont="1" applyBorder="1" applyAlignment="1">
      <alignment horizontal="center"/>
    </xf>
    <xf numFmtId="38" fontId="6" fillId="0" borderId="30" xfId="0" applyNumberFormat="1" applyFont="1" applyBorder="1" applyAlignment="1">
      <alignment horizontal="center"/>
    </xf>
    <xf numFmtId="0" fontId="1" fillId="0" borderId="27" xfId="0" applyFont="1" applyBorder="1" applyAlignment="1">
      <alignment/>
    </xf>
    <xf numFmtId="38" fontId="6" fillId="0" borderId="0" xfId="0" applyNumberFormat="1" applyFont="1" applyBorder="1" applyAlignment="1">
      <alignment horizontal="center"/>
    </xf>
    <xf numFmtId="38" fontId="6" fillId="0" borderId="31" xfId="0" applyNumberFormat="1" applyFont="1" applyBorder="1" applyAlignment="1">
      <alignment horizontal="center"/>
    </xf>
    <xf numFmtId="38" fontId="1" fillId="0" borderId="0" xfId="0" applyNumberFormat="1" applyFont="1" applyBorder="1" applyAlignment="1">
      <alignment/>
    </xf>
    <xf numFmtId="38" fontId="1" fillId="0" borderId="31" xfId="0" applyNumberFormat="1" applyFont="1" applyBorder="1" applyAlignment="1">
      <alignment/>
    </xf>
    <xf numFmtId="40" fontId="6" fillId="0" borderId="0" xfId="0" applyNumberFormat="1" applyFont="1" applyBorder="1" applyAlignment="1">
      <alignment horizontal="center"/>
    </xf>
    <xf numFmtId="38" fontId="6" fillId="0" borderId="0" xfId="0" applyNumberFormat="1" applyFont="1" applyBorder="1" applyAlignment="1">
      <alignment/>
    </xf>
    <xf numFmtId="0" fontId="1" fillId="0" borderId="32" xfId="0" applyFont="1" applyBorder="1" applyAlignment="1">
      <alignment/>
    </xf>
    <xf numFmtId="0" fontId="1" fillId="0" borderId="16" xfId="0"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38" fontId="6" fillId="0" borderId="12" xfId="0" applyNumberFormat="1" applyFont="1" applyBorder="1" applyAlignment="1">
      <alignment/>
    </xf>
    <xf numFmtId="0" fontId="1" fillId="0" borderId="33" xfId="0" applyFont="1" applyBorder="1" applyAlignment="1">
      <alignment/>
    </xf>
    <xf numFmtId="0" fontId="1" fillId="0" borderId="20" xfId="0" applyFont="1" applyBorder="1" applyAlignment="1">
      <alignment/>
    </xf>
    <xf numFmtId="38" fontId="6" fillId="0" borderId="20" xfId="0" applyNumberFormat="1" applyFont="1" applyBorder="1" applyAlignment="1">
      <alignment/>
    </xf>
    <xf numFmtId="38" fontId="1" fillId="0" borderId="21" xfId="0" applyNumberFormat="1" applyFont="1" applyBorder="1" applyAlignment="1">
      <alignment/>
    </xf>
    <xf numFmtId="38" fontId="1" fillId="0" borderId="34" xfId="0" applyNumberFormat="1" applyFont="1" applyBorder="1" applyAlignment="1">
      <alignment/>
    </xf>
    <xf numFmtId="38" fontId="1" fillId="0" borderId="0" xfId="0" applyNumberFormat="1" applyFont="1" applyBorder="1" applyAlignment="1" quotePrefix="1">
      <alignment/>
    </xf>
    <xf numFmtId="38" fontId="6" fillId="0" borderId="31" xfId="0" applyNumberFormat="1" applyFont="1" applyBorder="1" applyAlignment="1">
      <alignment/>
    </xf>
    <xf numFmtId="38" fontId="1" fillId="0" borderId="35" xfId="0" applyNumberFormat="1" applyFont="1" applyBorder="1" applyAlignment="1">
      <alignment/>
    </xf>
    <xf numFmtId="38" fontId="1" fillId="0" borderId="31" xfId="0" applyNumberFormat="1" applyFont="1" applyBorder="1" applyAlignment="1">
      <alignment horizontal="right"/>
    </xf>
    <xf numFmtId="38" fontId="1" fillId="0" borderId="36" xfId="0" applyNumberFormat="1" applyFont="1" applyBorder="1" applyAlignment="1">
      <alignment/>
    </xf>
    <xf numFmtId="38" fontId="1" fillId="0" borderId="37" xfId="0" applyNumberFormat="1" applyFont="1" applyBorder="1" applyAlignment="1">
      <alignment/>
    </xf>
    <xf numFmtId="0" fontId="1" fillId="0" borderId="0" xfId="0" applyFont="1" applyAlignment="1" quotePrefix="1">
      <alignment horizontal="left"/>
    </xf>
    <xf numFmtId="38" fontId="1" fillId="0" borderId="38" xfId="0" applyNumberFormat="1" applyFont="1" applyBorder="1" applyAlignment="1">
      <alignment/>
    </xf>
    <xf numFmtId="38" fontId="6" fillId="0" borderId="39" xfId="0" applyNumberFormat="1" applyFont="1" applyBorder="1" applyAlignment="1">
      <alignment/>
    </xf>
    <xf numFmtId="0" fontId="6" fillId="0" borderId="40" xfId="0" applyFont="1" applyBorder="1" applyAlignment="1">
      <alignment/>
    </xf>
    <xf numFmtId="0" fontId="6" fillId="0" borderId="41" xfId="0" applyFont="1" applyBorder="1" applyAlignment="1">
      <alignment/>
    </xf>
    <xf numFmtId="38" fontId="1" fillId="0" borderId="41" xfId="0" applyNumberFormat="1" applyFont="1" applyBorder="1" applyAlignment="1">
      <alignment/>
    </xf>
    <xf numFmtId="38" fontId="6" fillId="2" borderId="42" xfId="0" applyNumberFormat="1" applyFont="1" applyFill="1" applyBorder="1" applyAlignment="1">
      <alignment/>
    </xf>
    <xf numFmtId="38" fontId="6" fillId="0" borderId="43" xfId="0" applyNumberFormat="1" applyFont="1" applyBorder="1" applyAlignment="1">
      <alignment/>
    </xf>
    <xf numFmtId="43" fontId="7" fillId="0" borderId="0" xfId="15" applyFont="1" applyBorder="1" applyAlignment="1">
      <alignment/>
    </xf>
    <xf numFmtId="173" fontId="1" fillId="0" borderId="1" xfId="0" applyNumberFormat="1" applyFont="1" applyBorder="1" applyAlignment="1">
      <alignment/>
    </xf>
    <xf numFmtId="43" fontId="2" fillId="0" borderId="0" xfId="15" applyFont="1" applyAlignment="1">
      <alignment/>
    </xf>
    <xf numFmtId="173" fontId="2" fillId="0" borderId="0" xfId="15" applyNumberFormat="1" applyFont="1" applyBorder="1" applyAlignment="1">
      <alignment/>
    </xf>
    <xf numFmtId="43" fontId="1" fillId="0" borderId="0" xfId="15" applyNumberFormat="1" applyFont="1" applyAlignment="1">
      <alignment horizontal="center"/>
    </xf>
    <xf numFmtId="173" fontId="1" fillId="0" borderId="9" xfId="15" applyNumberFormat="1" applyFont="1" applyFill="1" applyBorder="1" applyAlignment="1">
      <alignment/>
    </xf>
    <xf numFmtId="173" fontId="1" fillId="0" borderId="9" xfId="0" applyNumberFormat="1" applyFont="1" applyFill="1" applyBorder="1" applyAlignment="1">
      <alignment/>
    </xf>
    <xf numFmtId="0" fontId="1" fillId="0" borderId="0" xfId="0" applyFont="1" applyBorder="1" applyAlignment="1">
      <alignment horizontal="center"/>
    </xf>
    <xf numFmtId="43" fontId="1" fillId="0" borderId="0" xfId="0" applyNumberFormat="1" applyFont="1" applyAlignment="1">
      <alignment/>
    </xf>
    <xf numFmtId="43" fontId="1" fillId="0" borderId="9" xfId="15" applyFont="1" applyBorder="1" applyAlignment="1">
      <alignment/>
    </xf>
    <xf numFmtId="0" fontId="8" fillId="0" borderId="0" xfId="0" applyFont="1" applyAlignment="1">
      <alignment horizontal="center"/>
    </xf>
    <xf numFmtId="43" fontId="1" fillId="0" borderId="0" xfId="15" applyFont="1" applyAlignment="1">
      <alignment horizontal="center"/>
    </xf>
    <xf numFmtId="173" fontId="1" fillId="0" borderId="8" xfId="0" applyNumberFormat="1" applyFont="1" applyBorder="1" applyAlignment="1">
      <alignment/>
    </xf>
    <xf numFmtId="0" fontId="2" fillId="0" borderId="0" xfId="0" applyFont="1" applyAlignment="1">
      <alignment/>
    </xf>
    <xf numFmtId="173" fontId="1" fillId="0" borderId="0" xfId="0" applyNumberFormat="1" applyFont="1" applyBorder="1" applyAlignment="1">
      <alignment/>
    </xf>
    <xf numFmtId="43" fontId="2" fillId="0" borderId="0" xfId="15" applyFont="1" applyBorder="1" applyAlignment="1">
      <alignment/>
    </xf>
    <xf numFmtId="43" fontId="7" fillId="0" borderId="16" xfId="15" applyFont="1" applyBorder="1" applyAlignment="1">
      <alignment/>
    </xf>
    <xf numFmtId="175" fontId="1" fillId="0" borderId="0" xfId="15" applyNumberFormat="1" applyFont="1" applyAlignment="1">
      <alignment/>
    </xf>
    <xf numFmtId="0" fontId="10" fillId="0" borderId="0" xfId="0" applyFont="1" applyAlignment="1">
      <alignment horizontal="center"/>
    </xf>
    <xf numFmtId="171" fontId="2" fillId="0" borderId="0" xfId="15" applyNumberFormat="1" applyFont="1" applyBorder="1" applyAlignment="1">
      <alignment/>
    </xf>
    <xf numFmtId="171" fontId="2" fillId="0" borderId="0" xfId="15" applyNumberFormat="1" applyFont="1" applyBorder="1" applyAlignment="1">
      <alignment/>
    </xf>
    <xf numFmtId="0" fontId="1" fillId="0" borderId="4" xfId="0" applyFont="1" applyBorder="1" applyAlignment="1">
      <alignment horizontal="center"/>
    </xf>
    <xf numFmtId="174" fontId="1" fillId="0" borderId="0" xfId="0" applyNumberFormat="1" applyFont="1" applyAlignment="1">
      <alignment/>
    </xf>
    <xf numFmtId="182" fontId="6" fillId="0" borderId="0" xfId="0" applyNumberFormat="1" applyFont="1" applyAlignment="1">
      <alignment horizontal="center"/>
    </xf>
    <xf numFmtId="0" fontId="14" fillId="0" borderId="0" xfId="0" applyFont="1" applyAlignment="1">
      <alignment horizontal="center"/>
    </xf>
    <xf numFmtId="0" fontId="6" fillId="0" borderId="10" xfId="0" applyFont="1" applyBorder="1" applyAlignment="1">
      <alignment horizontal="center"/>
    </xf>
    <xf numFmtId="173" fontId="6" fillId="0" borderId="2" xfId="15" applyNumberFormat="1" applyFont="1" applyBorder="1" applyAlignment="1">
      <alignment horizontal="center"/>
    </xf>
    <xf numFmtId="0" fontId="6" fillId="0" borderId="2" xfId="0" applyFont="1" applyBorder="1" applyAlignment="1">
      <alignment horizontal="center"/>
    </xf>
    <xf numFmtId="173" fontId="6" fillId="0" borderId="10" xfId="15" applyNumberFormat="1" applyFont="1" applyBorder="1" applyAlignment="1">
      <alignment horizontal="center"/>
    </xf>
    <xf numFmtId="43" fontId="2" fillId="0" borderId="0" xfId="0" applyNumberFormat="1" applyFont="1" applyAlignment="1">
      <alignment/>
    </xf>
    <xf numFmtId="173" fontId="2" fillId="0" borderId="0" xfId="15" applyNumberFormat="1" applyFont="1" applyAlignment="1">
      <alignment/>
    </xf>
    <xf numFmtId="0" fontId="1" fillId="0" borderId="23" xfId="0" applyFont="1" applyBorder="1" applyAlignment="1">
      <alignment horizontal="center"/>
    </xf>
    <xf numFmtId="0" fontId="1" fillId="0" borderId="2" xfId="0" applyFont="1" applyBorder="1" applyAlignment="1">
      <alignment horizontal="center"/>
    </xf>
    <xf numFmtId="171" fontId="2" fillId="0" borderId="0" xfId="0" applyNumberFormat="1" applyFont="1" applyAlignment="1">
      <alignment/>
    </xf>
    <xf numFmtId="0" fontId="15" fillId="0" borderId="0" xfId="0" applyFont="1" applyAlignment="1">
      <alignment/>
    </xf>
    <xf numFmtId="0" fontId="16" fillId="0" borderId="0" xfId="0" applyFont="1" applyAlignment="1">
      <alignment/>
    </xf>
    <xf numFmtId="173" fontId="6" fillId="0" borderId="12" xfId="15" applyNumberFormat="1" applyFont="1" applyBorder="1" applyAlignment="1">
      <alignment/>
    </xf>
    <xf numFmtId="173" fontId="6" fillId="0" borderId="0" xfId="15" applyNumberFormat="1" applyFont="1" applyAlignment="1">
      <alignment/>
    </xf>
    <xf numFmtId="173" fontId="1" fillId="0" borderId="44" xfId="15" applyNumberFormat="1" applyFont="1" applyBorder="1" applyAlignment="1">
      <alignment/>
    </xf>
    <xf numFmtId="173" fontId="3" fillId="0" borderId="0" xfId="0" applyNumberFormat="1" applyFont="1" applyAlignment="1">
      <alignment/>
    </xf>
    <xf numFmtId="0" fontId="17" fillId="0" borderId="0" xfId="0" applyFont="1" applyAlignment="1">
      <alignment/>
    </xf>
    <xf numFmtId="0" fontId="11" fillId="0" borderId="0" xfId="0" applyFont="1" applyAlignment="1">
      <alignment/>
    </xf>
    <xf numFmtId="43" fontId="12" fillId="0" borderId="0" xfId="15" applyFont="1" applyAlignment="1">
      <alignment/>
    </xf>
    <xf numFmtId="183" fontId="12" fillId="0" borderId="0" xfId="15" applyNumberFormat="1" applyFont="1" applyAlignment="1">
      <alignment/>
    </xf>
    <xf numFmtId="183" fontId="12" fillId="0" borderId="0" xfId="0" applyNumberFormat="1" applyFont="1" applyAlignment="1">
      <alignment/>
    </xf>
    <xf numFmtId="40" fontId="12" fillId="0" borderId="0" xfId="0" applyNumberFormat="1" applyFont="1" applyAlignment="1">
      <alignment/>
    </xf>
    <xf numFmtId="0" fontId="11" fillId="0" borderId="0" xfId="0" applyFont="1" applyAlignment="1">
      <alignment horizontal="center"/>
    </xf>
    <xf numFmtId="49" fontId="11" fillId="0" borderId="0" xfId="15" applyNumberFormat="1" applyFont="1" applyAlignment="1">
      <alignment horizontal="center"/>
    </xf>
    <xf numFmtId="183" fontId="11" fillId="0" borderId="0" xfId="15" applyNumberFormat="1" applyFont="1" applyAlignment="1">
      <alignment horizontal="center"/>
    </xf>
    <xf numFmtId="183" fontId="11" fillId="0" borderId="0" xfId="0" applyNumberFormat="1" applyFont="1" applyAlignment="1">
      <alignment horizontal="center"/>
    </xf>
    <xf numFmtId="38" fontId="11" fillId="0" borderId="0" xfId="0" applyNumberFormat="1" applyFont="1" applyAlignment="1">
      <alignment horizontal="center"/>
    </xf>
    <xf numFmtId="40" fontId="11" fillId="0" borderId="0" xfId="0" applyNumberFormat="1" applyFont="1" applyAlignment="1">
      <alignment horizontal="center"/>
    </xf>
    <xf numFmtId="0" fontId="12" fillId="0" borderId="0" xfId="0" applyFont="1" applyAlignment="1">
      <alignment/>
    </xf>
    <xf numFmtId="183" fontId="12" fillId="0" borderId="0" xfId="0" applyNumberFormat="1" applyFont="1" applyAlignment="1" quotePrefix="1">
      <alignment/>
    </xf>
    <xf numFmtId="184" fontId="12" fillId="0" borderId="0" xfId="15" applyNumberFormat="1" applyFont="1" applyAlignment="1">
      <alignment/>
    </xf>
    <xf numFmtId="183" fontId="12" fillId="0" borderId="0" xfId="15" applyNumberFormat="1" applyFont="1" applyAlignment="1">
      <alignment/>
    </xf>
    <xf numFmtId="183" fontId="12" fillId="0" borderId="1" xfId="15" applyNumberFormat="1" applyFont="1" applyBorder="1" applyAlignment="1">
      <alignment/>
    </xf>
    <xf numFmtId="173" fontId="12" fillId="0" borderId="0" xfId="15" applyNumberFormat="1" applyFont="1" applyAlignment="1">
      <alignment/>
    </xf>
    <xf numFmtId="183" fontId="12" fillId="0" borderId="0" xfId="15" applyNumberFormat="1" applyFont="1" applyBorder="1" applyAlignment="1">
      <alignment/>
    </xf>
    <xf numFmtId="183" fontId="12" fillId="0" borderId="0" xfId="15" applyNumberFormat="1" applyFont="1" applyBorder="1" applyAlignment="1">
      <alignment/>
    </xf>
    <xf numFmtId="183" fontId="12" fillId="0" borderId="0" xfId="0" applyNumberFormat="1" applyFont="1" applyBorder="1" applyAlignment="1">
      <alignment/>
    </xf>
    <xf numFmtId="183" fontId="12" fillId="0" borderId="0" xfId="0" applyNumberFormat="1" applyFont="1" applyBorder="1" applyAlignment="1" quotePrefix="1">
      <alignment/>
    </xf>
    <xf numFmtId="183" fontId="12" fillId="0" borderId="0" xfId="0" applyNumberFormat="1" applyFont="1" applyAlignment="1">
      <alignment/>
    </xf>
    <xf numFmtId="183" fontId="0" fillId="0" borderId="0" xfId="0" applyNumberFormat="1" applyAlignment="1">
      <alignment/>
    </xf>
    <xf numFmtId="183" fontId="12" fillId="0" borderId="8" xfId="15" applyNumberFormat="1" applyFont="1" applyBorder="1" applyAlignment="1">
      <alignment/>
    </xf>
    <xf numFmtId="0" fontId="13" fillId="0" borderId="0" xfId="0" applyFont="1" applyAlignment="1" quotePrefix="1">
      <alignment/>
    </xf>
    <xf numFmtId="184" fontId="11" fillId="0" borderId="0" xfId="15" applyNumberFormat="1" applyFont="1" applyBorder="1" applyAlignment="1">
      <alignment/>
    </xf>
    <xf numFmtId="183" fontId="11" fillId="0" borderId="41" xfId="15" applyNumberFormat="1" applyFont="1" applyBorder="1" applyAlignment="1">
      <alignment/>
    </xf>
    <xf numFmtId="173" fontId="12" fillId="0" borderId="1" xfId="15" applyNumberFormat="1" applyFont="1" applyBorder="1" applyAlignment="1">
      <alignment/>
    </xf>
    <xf numFmtId="183" fontId="11" fillId="0" borderId="0" xfId="15" applyNumberFormat="1" applyFont="1" applyBorder="1" applyAlignment="1">
      <alignment/>
    </xf>
    <xf numFmtId="173" fontId="12" fillId="0" borderId="0" xfId="15" applyNumberFormat="1" applyFont="1" applyBorder="1" applyAlignment="1">
      <alignment/>
    </xf>
    <xf numFmtId="183" fontId="12" fillId="0" borderId="1" xfId="15" applyNumberFormat="1" applyFont="1" applyBorder="1" applyAlignment="1">
      <alignment/>
    </xf>
    <xf numFmtId="184" fontId="11" fillId="0" borderId="12" xfId="15" applyNumberFormat="1" applyFont="1" applyBorder="1" applyAlignment="1">
      <alignment/>
    </xf>
    <xf numFmtId="183" fontId="12" fillId="0" borderId="8" xfId="0" applyNumberFormat="1" applyFont="1" applyBorder="1" applyAlignment="1">
      <alignment/>
    </xf>
    <xf numFmtId="0" fontId="18" fillId="0" borderId="0" xfId="0" applyFont="1" applyBorder="1" applyAlignment="1">
      <alignment/>
    </xf>
    <xf numFmtId="184" fontId="12" fillId="0" borderId="0" xfId="15" applyNumberFormat="1" applyFont="1" applyBorder="1" applyAlignment="1">
      <alignment/>
    </xf>
    <xf numFmtId="38" fontId="12" fillId="0" borderId="0" xfId="0" applyNumberFormat="1" applyFont="1" applyBorder="1" applyAlignment="1">
      <alignment/>
    </xf>
    <xf numFmtId="40" fontId="12" fillId="0" borderId="0" xfId="0" applyNumberFormat="1" applyFont="1" applyBorder="1" applyAlignment="1">
      <alignment/>
    </xf>
    <xf numFmtId="0" fontId="12" fillId="0" borderId="0" xfId="0" applyFont="1" applyBorder="1" applyAlignment="1">
      <alignment/>
    </xf>
    <xf numFmtId="0" fontId="12" fillId="0" borderId="0" xfId="0" applyFont="1" applyBorder="1" applyAlignment="1" quotePrefix="1">
      <alignment/>
    </xf>
    <xf numFmtId="173" fontId="3" fillId="0" borderId="0" xfId="15" applyNumberFormat="1" applyFont="1" applyAlignment="1">
      <alignment/>
    </xf>
    <xf numFmtId="173" fontId="3" fillId="0" borderId="5" xfId="0" applyNumberFormat="1" applyFont="1" applyBorder="1" applyAlignment="1">
      <alignment/>
    </xf>
    <xf numFmtId="173" fontId="3" fillId="0" borderId="12" xfId="0" applyNumberFormat="1" applyFont="1" applyBorder="1" applyAlignment="1">
      <alignment/>
    </xf>
    <xf numFmtId="0" fontId="1" fillId="0" borderId="3" xfId="0" applyFont="1" applyBorder="1" applyAlignment="1">
      <alignment horizontal="center"/>
    </xf>
    <xf numFmtId="0" fontId="1" fillId="0" borderId="22" xfId="0" applyFont="1" applyBorder="1" applyAlignment="1">
      <alignment/>
    </xf>
    <xf numFmtId="0" fontId="1" fillId="0" borderId="45" xfId="0" applyFont="1" applyBorder="1" applyAlignment="1">
      <alignment/>
    </xf>
    <xf numFmtId="0" fontId="5" fillId="0" borderId="0" xfId="0" applyFont="1" applyBorder="1" applyAlignment="1">
      <alignment horizontal="left"/>
    </xf>
    <xf numFmtId="173" fontId="1" fillId="0" borderId="9" xfId="15" applyNumberFormat="1" applyFont="1" applyBorder="1" applyAlignment="1">
      <alignment/>
    </xf>
    <xf numFmtId="171" fontId="1" fillId="0" borderId="46" xfId="15" applyNumberFormat="1" applyFont="1" applyBorder="1" applyAlignment="1">
      <alignment/>
    </xf>
    <xf numFmtId="10" fontId="1" fillId="0" borderId="46" xfId="22" applyNumberFormat="1" applyFont="1" applyBorder="1" applyAlignment="1">
      <alignment/>
    </xf>
    <xf numFmtId="10" fontId="1" fillId="0" borderId="3" xfId="22" applyNumberFormat="1" applyFont="1" applyBorder="1" applyAlignment="1">
      <alignment/>
    </xf>
    <xf numFmtId="10" fontId="1" fillId="0" borderId="9" xfId="0" applyNumberFormat="1" applyFont="1" applyBorder="1" applyAlignment="1">
      <alignment/>
    </xf>
    <xf numFmtId="171" fontId="1" fillId="0" borderId="18" xfId="15" applyNumberFormat="1" applyFont="1" applyBorder="1" applyAlignment="1">
      <alignment/>
    </xf>
    <xf numFmtId="171" fontId="1" fillId="0" borderId="47" xfId="0" applyNumberFormat="1" applyFont="1" applyBorder="1" applyAlignment="1">
      <alignment/>
    </xf>
    <xf numFmtId="171" fontId="1" fillId="0" borderId="48" xfId="15" applyNumberFormat="1" applyFont="1" applyBorder="1" applyAlignment="1">
      <alignment horizontal="centerContinuous" vertical="center"/>
    </xf>
    <xf numFmtId="171" fontId="1" fillId="0" borderId="49" xfId="15" applyNumberFormat="1" applyFont="1" applyBorder="1" applyAlignment="1">
      <alignment horizontal="centerContinuous" vertical="center"/>
    </xf>
    <xf numFmtId="171" fontId="1" fillId="0" borderId="50" xfId="0" applyNumberFormat="1" applyFont="1" applyBorder="1" applyAlignment="1">
      <alignment/>
    </xf>
    <xf numFmtId="171" fontId="1" fillId="0" borderId="51" xfId="15" applyNumberFormat="1" applyFont="1" applyBorder="1" applyAlignment="1">
      <alignment horizontal="centerContinuous" vertical="center"/>
    </xf>
    <xf numFmtId="171" fontId="1" fillId="0" borderId="9" xfId="0" applyNumberFormat="1" applyFont="1" applyBorder="1" applyAlignment="1">
      <alignment/>
    </xf>
    <xf numFmtId="43" fontId="2" fillId="0" borderId="9" xfId="15" applyFont="1" applyBorder="1" applyAlignment="1">
      <alignment/>
    </xf>
    <xf numFmtId="171" fontId="2" fillId="0" borderId="0" xfId="15" applyNumberFormat="1" applyFont="1" applyAlignment="1">
      <alignment/>
    </xf>
    <xf numFmtId="173" fontId="2" fillId="0" borderId="10" xfId="15" applyNumberFormat="1" applyFont="1" applyBorder="1" applyAlignment="1">
      <alignment/>
    </xf>
    <xf numFmtId="173" fontId="2" fillId="0" borderId="3" xfId="15" applyNumberFormat="1" applyFont="1" applyBorder="1" applyAlignment="1">
      <alignment/>
    </xf>
    <xf numFmtId="173" fontId="2" fillId="0" borderId="1" xfId="15" applyNumberFormat="1" applyFont="1" applyBorder="1" applyAlignment="1">
      <alignment/>
    </xf>
    <xf numFmtId="173" fontId="2" fillId="0" borderId="9" xfId="15" applyNumberFormat="1" applyFont="1" applyBorder="1" applyAlignment="1">
      <alignment/>
    </xf>
    <xf numFmtId="0" fontId="3" fillId="0" borderId="0" xfId="0" applyFont="1" applyBorder="1" applyAlignment="1">
      <alignment/>
    </xf>
    <xf numFmtId="173" fontId="3" fillId="0" borderId="0" xfId="15" applyNumberFormat="1" applyFont="1" applyBorder="1" applyAlignment="1">
      <alignment/>
    </xf>
    <xf numFmtId="186" fontId="6" fillId="0" borderId="3" xfId="0" applyNumberFormat="1" applyFont="1" applyBorder="1" applyAlignment="1">
      <alignment horizontal="center"/>
    </xf>
    <xf numFmtId="185" fontId="1" fillId="0" borderId="3" xfId="0" applyNumberFormat="1" applyFont="1" applyBorder="1" applyAlignment="1">
      <alignment horizontal="center"/>
    </xf>
    <xf numFmtId="171" fontId="1" fillId="0" borderId="24" xfId="15" applyNumberFormat="1" applyFont="1" applyBorder="1" applyAlignment="1">
      <alignment/>
    </xf>
    <xf numFmtId="173" fontId="22" fillId="0" borderId="0" xfId="0" applyNumberFormat="1" applyFont="1" applyAlignment="1">
      <alignment/>
    </xf>
    <xf numFmtId="171" fontId="2" fillId="0" borderId="0" xfId="15" applyNumberFormat="1" applyFont="1" applyFill="1" applyAlignment="1">
      <alignment/>
    </xf>
    <xf numFmtId="181" fontId="1" fillId="0" borderId="0" xfId="0" applyNumberFormat="1" applyFont="1" applyAlignment="1">
      <alignment/>
    </xf>
    <xf numFmtId="0" fontId="22" fillId="0" borderId="0" xfId="0" applyFont="1" applyAlignment="1">
      <alignment/>
    </xf>
    <xf numFmtId="171" fontId="22" fillId="0" borderId="0" xfId="15" applyNumberFormat="1" applyFont="1" applyAlignment="1">
      <alignment/>
    </xf>
    <xf numFmtId="171" fontId="1" fillId="0" borderId="0" xfId="15" applyNumberFormat="1" applyFont="1" applyAlignment="1">
      <alignment/>
    </xf>
    <xf numFmtId="171" fontId="1" fillId="0" borderId="12" xfId="15" applyNumberFormat="1" applyFont="1" applyBorder="1" applyAlignment="1">
      <alignment/>
    </xf>
    <xf numFmtId="171" fontId="1" fillId="0" borderId="12" xfId="0" applyNumberFormat="1" applyFont="1" applyBorder="1" applyAlignment="1">
      <alignment/>
    </xf>
    <xf numFmtId="171" fontId="22" fillId="0" borderId="12" xfId="15" applyNumberFormat="1" applyFont="1" applyBorder="1" applyAlignment="1">
      <alignment/>
    </xf>
    <xf numFmtId="171" fontId="1" fillId="0" borderId="0" xfId="0" applyNumberFormat="1" applyFont="1" applyAlignment="1">
      <alignment horizontal="center"/>
    </xf>
    <xf numFmtId="171" fontId="3" fillId="0" borderId="0" xfId="15" applyNumberFormat="1" applyFont="1" applyAlignment="1">
      <alignment/>
    </xf>
    <xf numFmtId="171" fontId="3" fillId="0" borderId="12" xfId="15" applyNumberFormat="1" applyFont="1" applyBorder="1" applyAlignment="1">
      <alignment/>
    </xf>
    <xf numFmtId="188" fontId="22" fillId="0" borderId="0" xfId="0" applyNumberFormat="1" applyFont="1" applyAlignment="1">
      <alignment/>
    </xf>
    <xf numFmtId="171" fontId="23" fillId="0" borderId="0" xfId="15" applyNumberFormat="1" applyFont="1" applyAlignment="1">
      <alignment horizontal="center"/>
    </xf>
    <xf numFmtId="0" fontId="24" fillId="0" borderId="0" xfId="0" applyFont="1" applyAlignment="1">
      <alignment horizontal="center"/>
    </xf>
    <xf numFmtId="43" fontId="0" fillId="0" borderId="0" xfId="15" applyAlignment="1">
      <alignment/>
    </xf>
    <xf numFmtId="43" fontId="0" fillId="0" borderId="1" xfId="15" applyBorder="1" applyAlignment="1">
      <alignment/>
    </xf>
    <xf numFmtId="43" fontId="0" fillId="0" borderId="0" xfId="0" applyNumberFormat="1" applyAlignment="1">
      <alignment/>
    </xf>
    <xf numFmtId="173" fontId="1" fillId="0" borderId="3" xfId="15" applyNumberFormat="1" applyFont="1" applyFill="1" applyBorder="1" applyAlignment="1">
      <alignment/>
    </xf>
    <xf numFmtId="175" fontId="2" fillId="3" borderId="0" xfId="15" applyNumberFormat="1" applyFont="1" applyFill="1" applyAlignment="1">
      <alignment/>
    </xf>
    <xf numFmtId="38" fontId="1" fillId="0" borderId="52" xfId="0" applyNumberFormat="1" applyFont="1" applyBorder="1" applyAlignment="1">
      <alignment/>
    </xf>
    <xf numFmtId="38" fontId="1" fillId="0" borderId="53" xfId="0" applyNumberFormat="1" applyFont="1" applyBorder="1" applyAlignment="1">
      <alignment/>
    </xf>
    <xf numFmtId="38" fontId="2" fillId="0" borderId="0" xfId="0" applyNumberFormat="1" applyFont="1" applyBorder="1" applyAlignment="1">
      <alignment/>
    </xf>
    <xf numFmtId="38" fontId="2" fillId="0" borderId="16" xfId="0" applyNumberFormat="1" applyFont="1" applyBorder="1" applyAlignment="1">
      <alignment/>
    </xf>
    <xf numFmtId="173" fontId="0" fillId="0" borderId="0" xfId="15" applyNumberFormat="1" applyFont="1" applyAlignment="1">
      <alignment/>
    </xf>
    <xf numFmtId="171" fontId="0" fillId="0" borderId="0" xfId="15" applyNumberFormat="1" applyFont="1" applyFill="1" applyBorder="1" applyAlignment="1">
      <alignment/>
    </xf>
    <xf numFmtId="171" fontId="0" fillId="0" borderId="0" xfId="15" applyNumberFormat="1" applyFont="1" applyFill="1" applyAlignment="1">
      <alignment/>
    </xf>
    <xf numFmtId="171" fontId="25" fillId="0" borderId="0" xfId="15" applyNumberFormat="1"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1" xfId="0" applyFont="1" applyBorder="1" applyAlignment="1">
      <alignment/>
    </xf>
    <xf numFmtId="0" fontId="0" fillId="0" borderId="0" xfId="0" applyFont="1" applyBorder="1" applyAlignment="1">
      <alignment/>
    </xf>
    <xf numFmtId="173" fontId="0" fillId="0" borderId="0" xfId="0" applyNumberFormat="1" applyFont="1" applyAlignment="1">
      <alignment/>
    </xf>
    <xf numFmtId="173" fontId="0" fillId="0" borderId="0" xfId="15" applyNumberFormat="1" applyFont="1" applyBorder="1" applyAlignment="1">
      <alignment/>
    </xf>
    <xf numFmtId="173" fontId="0" fillId="0" borderId="0" xfId="15" applyNumberFormat="1" applyFont="1" applyFill="1" applyAlignment="1">
      <alignment/>
    </xf>
    <xf numFmtId="43" fontId="0" fillId="0" borderId="0" xfId="15" applyFont="1" applyAlignment="1">
      <alignment/>
    </xf>
    <xf numFmtId="0" fontId="26" fillId="0" borderId="0" xfId="0" applyFont="1" applyAlignment="1">
      <alignment/>
    </xf>
    <xf numFmtId="173" fontId="26" fillId="0" borderId="0" xfId="15" applyNumberFormat="1" applyFont="1" applyAlignment="1">
      <alignment/>
    </xf>
    <xf numFmtId="0" fontId="25" fillId="0" borderId="0" xfId="0" applyFont="1" applyAlignment="1">
      <alignment/>
    </xf>
    <xf numFmtId="0" fontId="0" fillId="0" borderId="10" xfId="0" applyFont="1" applyBorder="1" applyAlignment="1">
      <alignment/>
    </xf>
    <xf numFmtId="0" fontId="0" fillId="0" borderId="2"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0" fillId="0" borderId="5" xfId="0" applyFont="1" applyFill="1" applyBorder="1" applyAlignment="1">
      <alignment/>
    </xf>
    <xf numFmtId="0" fontId="0" fillId="0" borderId="22" xfId="0" applyFont="1" applyBorder="1" applyAlignment="1">
      <alignment/>
    </xf>
    <xf numFmtId="173" fontId="0" fillId="0" borderId="25" xfId="15" applyNumberFormat="1" applyFont="1" applyBorder="1" applyAlignment="1">
      <alignment/>
    </xf>
    <xf numFmtId="0" fontId="27" fillId="0" borderId="0" xfId="0" applyFont="1" applyAlignment="1">
      <alignment/>
    </xf>
    <xf numFmtId="173" fontId="0" fillId="0" borderId="25" xfId="15" applyNumberFormat="1" applyFont="1" applyFill="1" applyBorder="1" applyAlignment="1">
      <alignment/>
    </xf>
    <xf numFmtId="0" fontId="0" fillId="0" borderId="9" xfId="15" applyNumberFormat="1" applyFont="1" applyFill="1" applyBorder="1" applyAlignment="1">
      <alignment/>
    </xf>
    <xf numFmtId="173" fontId="1" fillId="0" borderId="10" xfId="15" applyNumberFormat="1" applyFont="1" applyFill="1" applyBorder="1" applyAlignment="1">
      <alignment/>
    </xf>
    <xf numFmtId="0" fontId="28" fillId="0" borderId="0" xfId="0" applyFont="1" applyAlignment="1">
      <alignment/>
    </xf>
    <xf numFmtId="0" fontId="1" fillId="4" borderId="0" xfId="0" applyFont="1" applyFill="1" applyAlignment="1">
      <alignment/>
    </xf>
    <xf numFmtId="0" fontId="1" fillId="0" borderId="0" xfId="0" applyFont="1" applyFill="1" applyAlignment="1">
      <alignment/>
    </xf>
    <xf numFmtId="173" fontId="0" fillId="0" borderId="0" xfId="15" applyNumberFormat="1" applyFont="1" applyFill="1" applyBorder="1" applyAlignment="1">
      <alignment/>
    </xf>
    <xf numFmtId="173" fontId="0" fillId="0" borderId="0" xfId="0" applyNumberFormat="1" applyFont="1" applyFill="1" applyAlignment="1">
      <alignment/>
    </xf>
    <xf numFmtId="43" fontId="0" fillId="0" borderId="0" xfId="15" applyFont="1" applyFill="1" applyAlignment="1">
      <alignment/>
    </xf>
    <xf numFmtId="173" fontId="30" fillId="0" borderId="0" xfId="15" applyNumberFormat="1" applyFont="1" applyAlignment="1">
      <alignment/>
    </xf>
    <xf numFmtId="173" fontId="30" fillId="0" borderId="0" xfId="0" applyNumberFormat="1" applyFont="1" applyAlignment="1">
      <alignment/>
    </xf>
    <xf numFmtId="173" fontId="30" fillId="0" borderId="0" xfId="15" applyNumberFormat="1" applyFont="1" applyFill="1" applyAlignment="1">
      <alignment/>
    </xf>
    <xf numFmtId="176" fontId="30" fillId="0" borderId="0" xfId="0" applyNumberFormat="1" applyFont="1" applyFill="1" applyAlignment="1">
      <alignment/>
    </xf>
    <xf numFmtId="1" fontId="0" fillId="0" borderId="0" xfId="0" applyNumberFormat="1" applyFont="1" applyAlignment="1">
      <alignment/>
    </xf>
    <xf numFmtId="38" fontId="1" fillId="0" borderId="54" xfId="0" applyNumberFormat="1" applyFont="1" applyBorder="1" applyAlignment="1">
      <alignment/>
    </xf>
    <xf numFmtId="41" fontId="1" fillId="0" borderId="0" xfId="0" applyNumberFormat="1" applyFont="1" applyAlignment="1">
      <alignment/>
    </xf>
    <xf numFmtId="14" fontId="6"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38" fontId="1" fillId="0" borderId="0" xfId="15" applyNumberFormat="1" applyFont="1" applyBorder="1" applyAlignment="1">
      <alignment/>
    </xf>
    <xf numFmtId="41" fontId="1" fillId="0" borderId="5" xfId="15" applyNumberFormat="1" applyFont="1" applyBorder="1" applyAlignment="1">
      <alignment/>
    </xf>
    <xf numFmtId="37" fontId="1" fillId="0" borderId="0" xfId="15" applyNumberFormat="1" applyFont="1" applyBorder="1" applyAlignment="1">
      <alignment/>
    </xf>
    <xf numFmtId="41" fontId="1" fillId="0" borderId="8" xfId="15" applyNumberFormat="1" applyFont="1" applyBorder="1" applyAlignment="1">
      <alignment/>
    </xf>
    <xf numFmtId="41" fontId="1" fillId="0" borderId="8" xfId="0" applyNumberFormat="1" applyFont="1" applyBorder="1" applyAlignment="1">
      <alignment/>
    </xf>
    <xf numFmtId="0" fontId="31" fillId="0" borderId="0" xfId="0" applyFont="1" applyAlignment="1">
      <alignment horizontal="right"/>
    </xf>
    <xf numFmtId="41" fontId="31" fillId="0" borderId="0" xfId="0" applyNumberFormat="1" applyFont="1" applyAlignment="1">
      <alignment/>
    </xf>
    <xf numFmtId="173" fontId="31" fillId="0" borderId="0" xfId="0" applyNumberFormat="1" applyFont="1" applyAlignment="1">
      <alignment/>
    </xf>
    <xf numFmtId="41" fontId="7" fillId="0" borderId="0" xfId="0" applyNumberFormat="1" applyFont="1" applyAlignment="1">
      <alignment/>
    </xf>
    <xf numFmtId="173" fontId="31" fillId="0" borderId="0" xfId="15" applyNumberFormat="1" applyFont="1" applyAlignment="1">
      <alignment/>
    </xf>
    <xf numFmtId="41" fontId="31" fillId="0" borderId="0" xfId="15" applyNumberFormat="1" applyFont="1" applyAlignment="1">
      <alignment/>
    </xf>
    <xf numFmtId="173" fontId="1" fillId="0" borderId="2" xfId="15" applyNumberFormat="1" applyFont="1" applyFill="1" applyBorder="1" applyAlignment="1">
      <alignment/>
    </xf>
    <xf numFmtId="173" fontId="2" fillId="0" borderId="10" xfId="15" applyNumberFormat="1" applyFont="1" applyFill="1" applyBorder="1" applyAlignment="1">
      <alignment/>
    </xf>
    <xf numFmtId="173" fontId="2" fillId="0" borderId="3" xfId="15" applyNumberFormat="1" applyFont="1" applyFill="1" applyBorder="1" applyAlignment="1">
      <alignment/>
    </xf>
    <xf numFmtId="173" fontId="2" fillId="0" borderId="2" xfId="15" applyNumberFormat="1" applyFont="1" applyFill="1" applyBorder="1" applyAlignment="1">
      <alignment/>
    </xf>
    <xf numFmtId="171" fontId="25" fillId="0" borderId="0" xfId="15" applyNumberFormat="1" applyFont="1" applyFill="1" applyBorder="1" applyAlignment="1">
      <alignment/>
    </xf>
    <xf numFmtId="173" fontId="25" fillId="0" borderId="0" xfId="15" applyNumberFormat="1" applyFont="1" applyFill="1" applyAlignment="1">
      <alignment/>
    </xf>
    <xf numFmtId="0" fontId="0" fillId="0" borderId="0" xfId="15" applyNumberFormat="1" applyFont="1" applyFill="1" applyAlignment="1">
      <alignment/>
    </xf>
    <xf numFmtId="41" fontId="1" fillId="0" borderId="5" xfId="15" applyNumberFormat="1" applyFont="1" applyFill="1" applyBorder="1" applyAlignment="1">
      <alignment/>
    </xf>
    <xf numFmtId="41" fontId="1" fillId="0" borderId="0" xfId="15" applyNumberFormat="1" applyFont="1" applyBorder="1" applyAlignment="1">
      <alignment/>
    </xf>
    <xf numFmtId="41" fontId="14" fillId="0" borderId="0" xfId="0" applyNumberFormat="1" applyFont="1" applyAlignment="1">
      <alignment/>
    </xf>
    <xf numFmtId="43" fontId="14" fillId="0" borderId="0" xfId="15" applyFont="1" applyAlignment="1">
      <alignment/>
    </xf>
    <xf numFmtId="41" fontId="14" fillId="0" borderId="0" xfId="15" applyNumberFormat="1" applyFont="1" applyAlignment="1">
      <alignment/>
    </xf>
    <xf numFmtId="43" fontId="30" fillId="0" borderId="0" xfId="0" applyNumberFormat="1" applyFont="1" applyAlignment="1">
      <alignment/>
    </xf>
    <xf numFmtId="0" fontId="25" fillId="0" borderId="0" xfId="0" applyFont="1" applyAlignment="1">
      <alignment horizontal="left"/>
    </xf>
    <xf numFmtId="170" fontId="0" fillId="0" borderId="0" xfId="17" applyAlignment="1">
      <alignment/>
    </xf>
    <xf numFmtId="170" fontId="0" fillId="0" borderId="0" xfId="17" applyFont="1" applyAlignment="1" quotePrefix="1">
      <alignment/>
    </xf>
    <xf numFmtId="184" fontId="0" fillId="0" borderId="0" xfId="17" applyNumberFormat="1" applyFont="1" applyAlignment="1" quotePrefix="1">
      <alignment/>
    </xf>
    <xf numFmtId="173" fontId="0" fillId="0" borderId="0" xfId="15" applyNumberFormat="1" applyAlignment="1" quotePrefix="1">
      <alignment/>
    </xf>
    <xf numFmtId="10" fontId="0" fillId="0" borderId="0" xfId="22" applyNumberFormat="1" applyAlignment="1">
      <alignment/>
    </xf>
    <xf numFmtId="0" fontId="0" fillId="0" borderId="0" xfId="0" applyAlignment="1">
      <alignment horizontal="left"/>
    </xf>
    <xf numFmtId="184" fontId="0" fillId="0" borderId="0" xfId="17" applyNumberFormat="1" applyAlignment="1">
      <alignment/>
    </xf>
    <xf numFmtId="173" fontId="0" fillId="0" borderId="0" xfId="15" applyNumberFormat="1" applyAlignment="1">
      <alignment/>
    </xf>
    <xf numFmtId="16" fontId="0" fillId="0" borderId="0" xfId="0" applyNumberFormat="1" applyAlignment="1">
      <alignment horizontal="left"/>
    </xf>
    <xf numFmtId="173" fontId="0" fillId="0" borderId="0" xfId="15" applyNumberFormat="1" applyFont="1" applyFill="1" applyBorder="1" applyAlignment="1">
      <alignment/>
    </xf>
    <xf numFmtId="16" fontId="0" fillId="0" borderId="0" xfId="0" applyNumberFormat="1" applyAlignment="1">
      <alignment/>
    </xf>
    <xf numFmtId="43" fontId="0" fillId="0" borderId="0" xfId="15" applyAlignment="1">
      <alignment/>
    </xf>
    <xf numFmtId="184" fontId="0" fillId="0" borderId="0" xfId="15" applyNumberFormat="1" applyAlignment="1">
      <alignment/>
    </xf>
    <xf numFmtId="170" fontId="0" fillId="0" borderId="0" xfId="17" applyBorder="1" applyAlignment="1">
      <alignment/>
    </xf>
    <xf numFmtId="184" fontId="0" fillId="0" borderId="25" xfId="17" applyNumberFormat="1" applyBorder="1" applyAlignment="1">
      <alignment/>
    </xf>
    <xf numFmtId="170" fontId="0" fillId="0" borderId="0" xfId="17" applyFont="1" applyAlignment="1">
      <alignment/>
    </xf>
    <xf numFmtId="170" fontId="0" fillId="0" borderId="0" xfId="15" applyNumberFormat="1" applyAlignment="1">
      <alignment/>
    </xf>
    <xf numFmtId="170" fontId="0" fillId="0" borderId="0" xfId="17" applyNumberFormat="1" applyAlignment="1">
      <alignment/>
    </xf>
    <xf numFmtId="0" fontId="16"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horizontal="center" vertical="justify"/>
    </xf>
    <xf numFmtId="0" fontId="6" fillId="0" borderId="0" xfId="0" applyFont="1" applyFill="1" applyBorder="1" applyAlignment="1">
      <alignment horizontal="center"/>
    </xf>
    <xf numFmtId="0" fontId="1" fillId="0" borderId="1" xfId="0" applyFont="1" applyFill="1" applyBorder="1" applyAlignment="1">
      <alignment/>
    </xf>
    <xf numFmtId="0" fontId="10" fillId="0" borderId="0" xfId="0" applyFont="1" applyFill="1" applyAlignment="1">
      <alignment/>
    </xf>
    <xf numFmtId="173" fontId="1" fillId="0" borderId="0" xfId="15" applyNumberFormat="1" applyFont="1" applyFill="1" applyBorder="1" applyAlignment="1">
      <alignment/>
    </xf>
    <xf numFmtId="173" fontId="1" fillId="0" borderId="0" xfId="0" applyNumberFormat="1" applyFont="1" applyFill="1" applyBorder="1" applyAlignment="1">
      <alignment/>
    </xf>
    <xf numFmtId="173" fontId="1" fillId="0" borderId="0" xfId="15" applyNumberFormat="1" applyFont="1" applyFill="1" applyAlignment="1">
      <alignment/>
    </xf>
    <xf numFmtId="43" fontId="1" fillId="0" borderId="0" xfId="15" applyFont="1" applyFill="1" applyBorder="1" applyAlignment="1">
      <alignment/>
    </xf>
    <xf numFmtId="173" fontId="1" fillId="0" borderId="12" xfId="0" applyNumberFormat="1" applyFont="1" applyFill="1" applyBorder="1" applyAlignment="1">
      <alignment/>
    </xf>
    <xf numFmtId="0" fontId="6" fillId="0" borderId="0" xfId="0" applyFont="1" applyFill="1" applyAlignment="1">
      <alignment/>
    </xf>
    <xf numFmtId="43" fontId="1" fillId="0" borderId="0"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center" vertical="justify"/>
    </xf>
    <xf numFmtId="0" fontId="1" fillId="0" borderId="11" xfId="0" applyFont="1" applyFill="1" applyBorder="1" applyAlignment="1">
      <alignment/>
    </xf>
    <xf numFmtId="0" fontId="1" fillId="0" borderId="23" xfId="0" applyFont="1" applyFill="1" applyBorder="1" applyAlignment="1">
      <alignment/>
    </xf>
    <xf numFmtId="173" fontId="33" fillId="0" borderId="0" xfId="15" applyNumberFormat="1" applyFont="1" applyFill="1" applyAlignment="1">
      <alignment/>
    </xf>
    <xf numFmtId="173" fontId="6" fillId="0" borderId="0" xfId="0" applyNumberFormat="1" applyFont="1" applyAlignment="1">
      <alignment/>
    </xf>
    <xf numFmtId="43" fontId="1" fillId="0" borderId="9" xfId="15" applyNumberFormat="1" applyFont="1" applyBorder="1" applyAlignment="1">
      <alignment/>
    </xf>
    <xf numFmtId="176" fontId="2" fillId="0" borderId="0" xfId="0" applyNumberFormat="1" applyFont="1" applyFill="1" applyAlignment="1">
      <alignment/>
    </xf>
    <xf numFmtId="0" fontId="25" fillId="0" borderId="9" xfId="15" applyNumberFormat="1" applyFont="1" applyFill="1" applyBorder="1" applyAlignment="1">
      <alignment/>
    </xf>
    <xf numFmtId="0" fontId="0" fillId="0" borderId="0" xfId="15" applyNumberFormat="1" applyFont="1" applyFill="1" applyBorder="1" applyAlignment="1">
      <alignment/>
    </xf>
    <xf numFmtId="173" fontId="1" fillId="0" borderId="12" xfId="15" applyNumberFormat="1" applyFont="1" applyBorder="1" applyAlignment="1">
      <alignment/>
    </xf>
    <xf numFmtId="43" fontId="2" fillId="0" borderId="9" xfId="15" applyFont="1" applyBorder="1" applyAlignment="1">
      <alignment horizontal="right"/>
    </xf>
    <xf numFmtId="0" fontId="0" fillId="0" borderId="3" xfId="15" applyNumberFormat="1" applyFont="1" applyFill="1" applyBorder="1" applyAlignment="1">
      <alignment/>
    </xf>
    <xf numFmtId="173" fontId="0" fillId="0" borderId="10" xfId="15" applyNumberFormat="1" applyFont="1" applyFill="1" applyBorder="1" applyAlignment="1">
      <alignment/>
    </xf>
    <xf numFmtId="173" fontId="0" fillId="0" borderId="9" xfId="15" applyNumberFormat="1" applyFont="1" applyFill="1" applyBorder="1" applyAlignment="1">
      <alignment horizontal="center"/>
    </xf>
    <xf numFmtId="171" fontId="0" fillId="5" borderId="0" xfId="15" applyNumberFormat="1" applyFont="1" applyFill="1" applyBorder="1" applyAlignment="1">
      <alignment/>
    </xf>
    <xf numFmtId="39" fontId="31" fillId="0" borderId="0" xfId="15" applyNumberFormat="1" applyFont="1" applyAlignment="1">
      <alignment/>
    </xf>
    <xf numFmtId="39" fontId="1" fillId="0" borderId="0" xfId="0" applyNumberFormat="1" applyFont="1" applyAlignment="1">
      <alignment/>
    </xf>
    <xf numFmtId="39" fontId="1" fillId="0" borderId="0" xfId="0" applyNumberFormat="1" applyFont="1" applyBorder="1" applyAlignment="1">
      <alignment/>
    </xf>
    <xf numFmtId="171" fontId="1" fillId="0" borderId="51" xfId="15" applyNumberFormat="1" applyFont="1" applyBorder="1" applyAlignment="1">
      <alignment horizontal="center"/>
    </xf>
    <xf numFmtId="181" fontId="1" fillId="0" borderId="0" xfId="0" applyNumberFormat="1" applyFont="1" applyBorder="1" applyAlignment="1">
      <alignment/>
    </xf>
    <xf numFmtId="39" fontId="1" fillId="0" borderId="5" xfId="0" applyNumberFormat="1" applyFont="1" applyBorder="1" applyAlignment="1">
      <alignment/>
    </xf>
    <xf numFmtId="173" fontId="1" fillId="0" borderId="0" xfId="0" applyNumberFormat="1" applyFont="1" applyFill="1" applyAlignment="1">
      <alignment/>
    </xf>
    <xf numFmtId="37" fontId="1" fillId="0" borderId="0" xfId="15" applyNumberFormat="1" applyFont="1" applyFill="1" applyAlignment="1">
      <alignment/>
    </xf>
    <xf numFmtId="37" fontId="1" fillId="0" borderId="0" xfId="0" applyNumberFormat="1" applyFont="1" applyFill="1" applyAlignment="1">
      <alignment/>
    </xf>
    <xf numFmtId="0" fontId="10" fillId="0" borderId="0" xfId="0" applyFont="1" applyBorder="1" applyAlignment="1">
      <alignment/>
    </xf>
    <xf numFmtId="39" fontId="10" fillId="0" borderId="0" xfId="0" applyNumberFormat="1" applyFont="1" applyBorder="1" applyAlignment="1">
      <alignment horizontal="center"/>
    </xf>
    <xf numFmtId="39" fontId="1" fillId="0" borderId="4" xfId="0" applyNumberFormat="1" applyFont="1" applyBorder="1" applyAlignment="1">
      <alignment/>
    </xf>
    <xf numFmtId="39" fontId="1" fillId="0" borderId="6" xfId="0" applyNumberFormat="1" applyFont="1" applyBorder="1" applyAlignment="1">
      <alignment/>
    </xf>
    <xf numFmtId="39" fontId="1" fillId="0" borderId="12" xfId="0" applyNumberFormat="1" applyFont="1" applyBorder="1" applyAlignment="1">
      <alignment/>
    </xf>
    <xf numFmtId="39" fontId="1" fillId="0" borderId="1" xfId="0" applyNumberFormat="1" applyFont="1" applyBorder="1" applyAlignment="1">
      <alignment/>
    </xf>
    <xf numFmtId="171" fontId="1" fillId="0" borderId="3" xfId="0" applyNumberFormat="1" applyFont="1" applyBorder="1" applyAlignment="1">
      <alignment horizontal="center"/>
    </xf>
    <xf numFmtId="39" fontId="1" fillId="0" borderId="3" xfId="0" applyNumberFormat="1" applyFont="1" applyBorder="1" applyAlignment="1">
      <alignment/>
    </xf>
    <xf numFmtId="9" fontId="1" fillId="0" borderId="0" xfId="0" applyNumberFormat="1" applyFont="1" applyBorder="1" applyAlignment="1">
      <alignment horizontal="center"/>
    </xf>
    <xf numFmtId="9" fontId="1" fillId="0" borderId="23" xfId="0" applyNumberFormat="1" applyFont="1" applyBorder="1" applyAlignment="1">
      <alignment horizontal="center"/>
    </xf>
    <xf numFmtId="171" fontId="1" fillId="0" borderId="23" xfId="0" applyNumberFormat="1" applyFont="1" applyBorder="1" applyAlignment="1">
      <alignment horizontal="center"/>
    </xf>
    <xf numFmtId="39" fontId="1" fillId="0" borderId="23" xfId="0" applyNumberFormat="1" applyFont="1" applyBorder="1" applyAlignment="1">
      <alignment/>
    </xf>
    <xf numFmtId="39" fontId="1" fillId="0" borderId="23" xfId="0" applyNumberFormat="1" applyFont="1" applyBorder="1" applyAlignment="1">
      <alignment horizontal="right"/>
    </xf>
    <xf numFmtId="39" fontId="1" fillId="0" borderId="55" xfId="0" applyNumberFormat="1" applyFont="1" applyBorder="1" applyAlignment="1">
      <alignment/>
    </xf>
    <xf numFmtId="39" fontId="1" fillId="0" borderId="13" xfId="0" applyNumberFormat="1" applyFont="1" applyBorder="1" applyAlignment="1">
      <alignment/>
    </xf>
    <xf numFmtId="9" fontId="1" fillId="0" borderId="10" xfId="0" applyNumberFormat="1" applyFont="1" applyBorder="1" applyAlignment="1">
      <alignment/>
    </xf>
    <xf numFmtId="9" fontId="1" fillId="0" borderId="3" xfId="0" applyNumberFormat="1" applyFont="1" applyBorder="1" applyAlignment="1">
      <alignment horizontal="center"/>
    </xf>
    <xf numFmtId="39" fontId="1" fillId="0" borderId="10" xfId="0" applyNumberFormat="1" applyFont="1" applyBorder="1" applyAlignment="1">
      <alignment/>
    </xf>
    <xf numFmtId="39" fontId="1" fillId="0" borderId="9" xfId="0" applyNumberFormat="1" applyFont="1" applyBorder="1" applyAlignment="1">
      <alignment/>
    </xf>
    <xf numFmtId="171" fontId="1" fillId="0" borderId="25" xfId="15" applyNumberFormat="1" applyFont="1" applyBorder="1" applyAlignment="1">
      <alignment horizontal="centerContinuous" vertical="center"/>
    </xf>
    <xf numFmtId="0" fontId="1" fillId="0" borderId="0" xfId="0" applyFont="1" applyBorder="1" applyAlignment="1">
      <alignment horizontal="right"/>
    </xf>
    <xf numFmtId="171" fontId="1" fillId="0" borderId="56" xfId="15" applyNumberFormat="1" applyFont="1" applyBorder="1" applyAlignment="1">
      <alignment/>
    </xf>
    <xf numFmtId="171" fontId="1" fillId="0" borderId="57" xfId="15" applyNumberFormat="1" applyFont="1" applyBorder="1" applyAlignment="1">
      <alignment/>
    </xf>
    <xf numFmtId="10" fontId="1" fillId="0" borderId="23" xfId="0" applyNumberFormat="1" applyFont="1" applyBorder="1" applyAlignment="1">
      <alignment horizontal="center"/>
    </xf>
    <xf numFmtId="10" fontId="1" fillId="0" borderId="0" xfId="0" applyNumberFormat="1" applyFont="1" applyBorder="1" applyAlignment="1">
      <alignment horizontal="center"/>
    </xf>
    <xf numFmtId="39" fontId="1" fillId="0" borderId="41" xfId="0" applyNumberFormat="1" applyFont="1" applyBorder="1" applyAlignment="1">
      <alignment/>
    </xf>
    <xf numFmtId="0" fontId="10" fillId="0" borderId="4" xfId="0" applyFont="1" applyBorder="1" applyAlignment="1">
      <alignment/>
    </xf>
    <xf numFmtId="0" fontId="10" fillId="0" borderId="23" xfId="0" applyFont="1" applyBorder="1" applyAlignment="1">
      <alignment/>
    </xf>
    <xf numFmtId="0" fontId="28" fillId="0" borderId="0" xfId="0" applyFont="1" applyAlignment="1">
      <alignment/>
    </xf>
    <xf numFmtId="0" fontId="28" fillId="0" borderId="0" xfId="0" applyFont="1" applyAlignment="1">
      <alignment horizontal="center"/>
    </xf>
    <xf numFmtId="39" fontId="28" fillId="0" borderId="0" xfId="0" applyNumberFormat="1" applyFont="1" applyAlignment="1">
      <alignment horizontal="center"/>
    </xf>
    <xf numFmtId="39" fontId="0" fillId="0" borderId="0" xfId="0" applyNumberFormat="1" applyAlignment="1">
      <alignment/>
    </xf>
    <xf numFmtId="39" fontId="0" fillId="0" borderId="5" xfId="0" applyNumberFormat="1" applyBorder="1" applyAlignment="1">
      <alignment/>
    </xf>
    <xf numFmtId="0" fontId="0" fillId="0" borderId="0" xfId="0" applyAlignment="1" quotePrefix="1">
      <alignment/>
    </xf>
    <xf numFmtId="0" fontId="28" fillId="0" borderId="0" xfId="0" applyFont="1" applyAlignment="1" quotePrefix="1">
      <alignment/>
    </xf>
    <xf numFmtId="39" fontId="0" fillId="0" borderId="12" xfId="0" applyNumberFormat="1" applyBorder="1" applyAlignment="1">
      <alignment/>
    </xf>
    <xf numFmtId="186" fontId="6" fillId="0" borderId="3" xfId="0" applyNumberFormat="1" applyFont="1" applyBorder="1" applyAlignment="1" quotePrefix="1">
      <alignment horizontal="center"/>
    </xf>
    <xf numFmtId="17" fontId="0" fillId="0" borderId="0" xfId="0" applyNumberFormat="1" applyAlignment="1">
      <alignment horizontal="center"/>
    </xf>
    <xf numFmtId="0" fontId="0" fillId="0" borderId="0" xfId="0" applyFont="1" applyAlignment="1" quotePrefix="1">
      <alignment/>
    </xf>
    <xf numFmtId="39" fontId="0" fillId="0" borderId="0" xfId="0" applyNumberFormat="1" applyBorder="1" applyAlignment="1">
      <alignment/>
    </xf>
    <xf numFmtId="0" fontId="0" fillId="0" borderId="23" xfId="0" applyBorder="1" applyAlignment="1">
      <alignment/>
    </xf>
    <xf numFmtId="39" fontId="0" fillId="0" borderId="23" xfId="0" applyNumberFormat="1" applyBorder="1" applyAlignment="1">
      <alignment/>
    </xf>
    <xf numFmtId="39" fontId="0" fillId="0" borderId="11" xfId="0" applyNumberFormat="1" applyBorder="1" applyAlignment="1">
      <alignment/>
    </xf>
    <xf numFmtId="39" fontId="0" fillId="0" borderId="22" xfId="0" applyNumberFormat="1" applyBorder="1" applyAlignment="1">
      <alignment/>
    </xf>
    <xf numFmtId="39" fontId="0" fillId="0" borderId="4" xfId="0" applyNumberFormat="1" applyBorder="1" applyAlignment="1">
      <alignment/>
    </xf>
    <xf numFmtId="39" fontId="0" fillId="0" borderId="24" xfId="0" applyNumberFormat="1" applyBorder="1" applyAlignment="1">
      <alignment/>
    </xf>
    <xf numFmtId="39" fontId="0" fillId="0" borderId="6" xfId="0" applyNumberFormat="1" applyBorder="1" applyAlignment="1">
      <alignment/>
    </xf>
    <xf numFmtId="39" fontId="0" fillId="0" borderId="45" xfId="0" applyNumberFormat="1" applyBorder="1" applyAlignment="1">
      <alignment/>
    </xf>
    <xf numFmtId="0" fontId="27" fillId="0" borderId="23" xfId="0" applyFont="1" applyBorder="1" applyAlignment="1">
      <alignment/>
    </xf>
    <xf numFmtId="39" fontId="0" fillId="0" borderId="55" xfId="0" applyNumberFormat="1" applyBorder="1" applyAlignment="1">
      <alignment/>
    </xf>
    <xf numFmtId="0" fontId="27" fillId="0" borderId="4" xfId="0" applyFont="1" applyBorder="1" applyAlignment="1">
      <alignment/>
    </xf>
    <xf numFmtId="0" fontId="28" fillId="0" borderId="11" xfId="0" applyFont="1" applyBorder="1" applyAlignment="1">
      <alignment horizontal="center"/>
    </xf>
    <xf numFmtId="39" fontId="28" fillId="0" borderId="0" xfId="0" applyNumberFormat="1" applyFont="1" applyAlignment="1" quotePrefix="1">
      <alignment horizontal="center"/>
    </xf>
    <xf numFmtId="39" fontId="28" fillId="0" borderId="11" xfId="0" applyNumberFormat="1"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22" xfId="0" applyFont="1" applyBorder="1" applyAlignment="1">
      <alignment horizontal="center"/>
    </xf>
    <xf numFmtId="0" fontId="28" fillId="0" borderId="23" xfId="0" applyFont="1" applyBorder="1" applyAlignment="1">
      <alignment horizontal="center"/>
    </xf>
    <xf numFmtId="0" fontId="28" fillId="0" borderId="0" xfId="0" applyFont="1" applyBorder="1" applyAlignment="1">
      <alignment horizontal="center"/>
    </xf>
    <xf numFmtId="39" fontId="28" fillId="0" borderId="23" xfId="0" applyNumberFormat="1" applyFont="1" applyBorder="1" applyAlignment="1">
      <alignment horizontal="center"/>
    </xf>
    <xf numFmtId="39" fontId="28" fillId="0" borderId="0" xfId="0" applyNumberFormat="1" applyFont="1" applyBorder="1" applyAlignment="1">
      <alignment horizontal="center"/>
    </xf>
    <xf numFmtId="0" fontId="0" fillId="0" borderId="6" xfId="0" applyBorder="1" applyAlignment="1">
      <alignment/>
    </xf>
    <xf numFmtId="39" fontId="0" fillId="0" borderId="1" xfId="0" applyNumberFormat="1" applyBorder="1" applyAlignment="1">
      <alignment/>
    </xf>
    <xf numFmtId="0" fontId="28" fillId="0" borderId="0" xfId="0" applyFont="1" applyFill="1" applyBorder="1" applyAlignment="1">
      <alignment horizontal="center"/>
    </xf>
    <xf numFmtId="39" fontId="0" fillId="0" borderId="41" xfId="0" applyNumberFormat="1" applyBorder="1" applyAlignment="1">
      <alignment/>
    </xf>
    <xf numFmtId="173" fontId="1" fillId="0" borderId="0" xfId="0" applyNumberFormat="1" applyFont="1" applyAlignment="1">
      <alignment horizontal="left"/>
    </xf>
    <xf numFmtId="0" fontId="1" fillId="5" borderId="0" xfId="0" applyFont="1" applyFill="1" applyAlignment="1">
      <alignment/>
    </xf>
    <xf numFmtId="37" fontId="0" fillId="0" borderId="0" xfId="0" applyNumberFormat="1" applyAlignment="1">
      <alignment/>
    </xf>
    <xf numFmtId="173" fontId="0" fillId="3" borderId="0" xfId="15" applyNumberFormat="1" applyFont="1" applyFill="1" applyAlignment="1">
      <alignment/>
    </xf>
    <xf numFmtId="0" fontId="6" fillId="0" borderId="10" xfId="0" applyFont="1" applyFill="1" applyBorder="1" applyAlignment="1">
      <alignment horizontal="center"/>
    </xf>
    <xf numFmtId="0" fontId="1" fillId="0" borderId="0" xfId="0" applyFont="1" applyFill="1" applyAlignment="1">
      <alignment horizontal="center"/>
    </xf>
    <xf numFmtId="173" fontId="6" fillId="0" borderId="2" xfId="15" applyNumberFormat="1" applyFont="1" applyFill="1" applyBorder="1" applyAlignment="1">
      <alignment horizontal="center"/>
    </xf>
    <xf numFmtId="0" fontId="6" fillId="0" borderId="2" xfId="0" applyFont="1" applyFill="1" applyBorder="1" applyAlignment="1">
      <alignment horizontal="center"/>
    </xf>
    <xf numFmtId="9" fontId="1" fillId="0" borderId="3" xfId="22" applyFont="1" applyFill="1" applyBorder="1" applyAlignment="1">
      <alignment/>
    </xf>
    <xf numFmtId="43" fontId="1" fillId="0" borderId="0" xfId="15" applyFont="1" applyFill="1" applyAlignment="1">
      <alignment/>
    </xf>
    <xf numFmtId="43" fontId="2" fillId="0" borderId="0" xfId="0" applyNumberFormat="1" applyFont="1" applyFill="1" applyAlignment="1">
      <alignment/>
    </xf>
    <xf numFmtId="0" fontId="2" fillId="0" borderId="0" xfId="0" applyFont="1" applyFill="1" applyAlignment="1">
      <alignment/>
    </xf>
    <xf numFmtId="43" fontId="1" fillId="0" borderId="0" xfId="0" applyNumberFormat="1" applyFont="1" applyFill="1" applyAlignment="1">
      <alignment/>
    </xf>
    <xf numFmtId="0" fontId="3" fillId="0" borderId="0" xfId="0" applyFont="1" applyFill="1" applyAlignment="1">
      <alignment/>
    </xf>
    <xf numFmtId="173" fontId="3" fillId="0" borderId="0" xfId="15" applyNumberFormat="1" applyFont="1" applyFill="1" applyAlignment="1">
      <alignment/>
    </xf>
    <xf numFmtId="173" fontId="3" fillId="0" borderId="5" xfId="0" applyNumberFormat="1" applyFont="1" applyFill="1" applyBorder="1" applyAlignment="1">
      <alignment/>
    </xf>
    <xf numFmtId="173" fontId="3" fillId="0" borderId="12" xfId="0" applyNumberFormat="1" applyFont="1" applyFill="1" applyBorder="1" applyAlignment="1">
      <alignment/>
    </xf>
    <xf numFmtId="173" fontId="3" fillId="0" borderId="0" xfId="0" applyNumberFormat="1" applyFont="1" applyFill="1" applyAlignment="1">
      <alignment/>
    </xf>
    <xf numFmtId="171" fontId="38" fillId="0" borderId="0" xfId="15" applyNumberFormat="1" applyFont="1" applyFill="1" applyAlignment="1">
      <alignment horizontal="center"/>
    </xf>
    <xf numFmtId="171" fontId="3" fillId="0" borderId="0" xfId="15" applyNumberFormat="1" applyFont="1" applyFill="1" applyAlignment="1">
      <alignment/>
    </xf>
    <xf numFmtId="171" fontId="3" fillId="0" borderId="12" xfId="15" applyNumberFormat="1" applyFont="1" applyFill="1" applyBorder="1" applyAlignment="1">
      <alignment/>
    </xf>
    <xf numFmtId="171" fontId="0" fillId="0" borderId="23" xfId="15" applyNumberFormat="1" applyFont="1" applyFill="1" applyBorder="1" applyAlignment="1">
      <alignment/>
    </xf>
    <xf numFmtId="175" fontId="0" fillId="0" borderId="0" xfId="15" applyNumberFormat="1" applyFont="1" applyFill="1" applyBorder="1" applyAlignment="1">
      <alignment/>
    </xf>
    <xf numFmtId="0" fontId="6" fillId="0" borderId="9" xfId="0" applyFont="1" applyFill="1" applyBorder="1" applyAlignment="1">
      <alignment horizontal="center"/>
    </xf>
    <xf numFmtId="173" fontId="6" fillId="0" borderId="9" xfId="15" applyNumberFormat="1" applyFont="1" applyFill="1" applyBorder="1" applyAlignment="1">
      <alignment horizontal="center"/>
    </xf>
    <xf numFmtId="0" fontId="1" fillId="6" borderId="0" xfId="0" applyFont="1" applyFill="1" applyAlignment="1">
      <alignment/>
    </xf>
    <xf numFmtId="0" fontId="1" fillId="3" borderId="0" xfId="0" applyFont="1" applyFill="1" applyAlignment="1">
      <alignment/>
    </xf>
    <xf numFmtId="0" fontId="1" fillId="7" borderId="0" xfId="0" applyFont="1" applyFill="1" applyAlignment="1">
      <alignment/>
    </xf>
    <xf numFmtId="0" fontId="1" fillId="8" borderId="0" xfId="0" applyFont="1" applyFill="1" applyAlignment="1">
      <alignmen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173" fontId="0" fillId="13" borderId="0" xfId="15" applyNumberFormat="1" applyFont="1" applyFill="1" applyAlignment="1">
      <alignment/>
    </xf>
    <xf numFmtId="171" fontId="25" fillId="5" borderId="0" xfId="15" applyNumberFormat="1" applyFont="1" applyFill="1" applyAlignment="1">
      <alignment/>
    </xf>
    <xf numFmtId="41" fontId="1" fillId="0" borderId="0" xfId="0" applyNumberFormat="1" applyFont="1" applyFill="1" applyAlignment="1">
      <alignment/>
    </xf>
    <xf numFmtId="173" fontId="25" fillId="0" borderId="0" xfId="15" applyNumberFormat="1" applyFont="1" applyFill="1" applyBorder="1" applyAlignment="1">
      <alignment/>
    </xf>
    <xf numFmtId="171" fontId="0" fillId="5" borderId="0" xfId="15" applyNumberFormat="1" applyFont="1" applyFill="1" applyAlignment="1">
      <alignment/>
    </xf>
    <xf numFmtId="171" fontId="25" fillId="5" borderId="0" xfId="15" applyNumberFormat="1" applyFont="1" applyFill="1" applyBorder="1" applyAlignment="1">
      <alignment/>
    </xf>
    <xf numFmtId="0" fontId="0" fillId="5" borderId="9" xfId="15" applyNumberFormat="1" applyFont="1" applyFill="1" applyBorder="1" applyAlignment="1">
      <alignment/>
    </xf>
    <xf numFmtId="0" fontId="40" fillId="0" borderId="0" xfId="0" applyFont="1" applyAlignment="1">
      <alignment/>
    </xf>
    <xf numFmtId="43" fontId="40" fillId="0" borderId="0" xfId="15" applyFont="1" applyAlignment="1">
      <alignment/>
    </xf>
    <xf numFmtId="37" fontId="0" fillId="0" borderId="41" xfId="0" applyNumberFormat="1" applyBorder="1" applyAlignment="1">
      <alignment/>
    </xf>
    <xf numFmtId="0" fontId="0" fillId="13" borderId="9" xfId="15" applyNumberFormat="1" applyFont="1" applyFill="1" applyBorder="1" applyAlignment="1">
      <alignment/>
    </xf>
    <xf numFmtId="175" fontId="40" fillId="0" borderId="0" xfId="15" applyNumberFormat="1" applyFont="1" applyFill="1" applyAlignment="1">
      <alignment/>
    </xf>
    <xf numFmtId="173" fontId="40" fillId="0" borderId="0" xfId="0" applyNumberFormat="1" applyFont="1" applyFill="1" applyAlignment="1">
      <alignment/>
    </xf>
    <xf numFmtId="0" fontId="40" fillId="0" borderId="0" xfId="0" applyFont="1" applyFill="1" applyAlignment="1">
      <alignment/>
    </xf>
    <xf numFmtId="191" fontId="40" fillId="0" borderId="0" xfId="15" applyNumberFormat="1" applyFont="1" applyAlignment="1">
      <alignment/>
    </xf>
    <xf numFmtId="0" fontId="5" fillId="0" borderId="0" xfId="0" applyFont="1" applyAlignment="1" quotePrefix="1">
      <alignment/>
    </xf>
    <xf numFmtId="41" fontId="16" fillId="0" borderId="0" xfId="0" applyNumberFormat="1" applyFont="1" applyAlignment="1">
      <alignment/>
    </xf>
    <xf numFmtId="173" fontId="6" fillId="5" borderId="10" xfId="15" applyNumberFormat="1" applyFont="1" applyFill="1" applyBorder="1" applyAlignment="1">
      <alignment horizontal="center"/>
    </xf>
    <xf numFmtId="173" fontId="6" fillId="5" borderId="3" xfId="15" applyNumberFormat="1" applyFont="1" applyFill="1" applyBorder="1" applyAlignment="1">
      <alignment horizontal="center"/>
    </xf>
    <xf numFmtId="173" fontId="6" fillId="5" borderId="2" xfId="15" applyNumberFormat="1" applyFont="1" applyFill="1" applyBorder="1" applyAlignment="1">
      <alignment horizontal="center"/>
    </xf>
    <xf numFmtId="173" fontId="1" fillId="5" borderId="10" xfId="15" applyNumberFormat="1" applyFont="1" applyFill="1" applyBorder="1" applyAlignment="1">
      <alignment/>
    </xf>
    <xf numFmtId="173" fontId="1" fillId="5" borderId="3" xfId="15" applyNumberFormat="1" applyFont="1" applyFill="1" applyBorder="1" applyAlignment="1">
      <alignment/>
    </xf>
    <xf numFmtId="173" fontId="1" fillId="5" borderId="9" xfId="15" applyNumberFormat="1" applyFont="1" applyFill="1" applyBorder="1" applyAlignment="1">
      <alignment/>
    </xf>
    <xf numFmtId="173" fontId="1" fillId="5" borderId="0" xfId="15" applyNumberFormat="1" applyFont="1" applyFill="1" applyAlignment="1">
      <alignment/>
    </xf>
    <xf numFmtId="173" fontId="6" fillId="5" borderId="12" xfId="15" applyNumberFormat="1" applyFont="1" applyFill="1" applyBorder="1" applyAlignment="1">
      <alignment/>
    </xf>
    <xf numFmtId="173" fontId="1" fillId="5" borderId="2" xfId="15" applyNumberFormat="1" applyFont="1" applyFill="1" applyBorder="1" applyAlignment="1">
      <alignment/>
    </xf>
    <xf numFmtId="0" fontId="1" fillId="5" borderId="3" xfId="0" applyFont="1" applyFill="1" applyBorder="1" applyAlignment="1">
      <alignment/>
    </xf>
    <xf numFmtId="173" fontId="1" fillId="5" borderId="0" xfId="15" applyNumberFormat="1" applyFont="1" applyFill="1" applyBorder="1" applyAlignment="1">
      <alignment/>
    </xf>
    <xf numFmtId="43" fontId="1" fillId="5" borderId="9" xfId="15" applyNumberFormat="1" applyFont="1" applyFill="1" applyBorder="1" applyAlignment="1">
      <alignment/>
    </xf>
    <xf numFmtId="0" fontId="6" fillId="5" borderId="10" xfId="0" applyFont="1" applyFill="1" applyBorder="1" applyAlignment="1">
      <alignment horizontal="center"/>
    </xf>
    <xf numFmtId="9" fontId="1" fillId="5" borderId="3" xfId="22" applyFont="1" applyFill="1" applyBorder="1" applyAlignment="1">
      <alignment/>
    </xf>
    <xf numFmtId="173" fontId="1" fillId="5" borderId="44" xfId="15" applyNumberFormat="1" applyFont="1" applyFill="1" applyBorder="1" applyAlignment="1">
      <alignment/>
    </xf>
    <xf numFmtId="43" fontId="1" fillId="5" borderId="9" xfId="15" applyFont="1" applyFill="1" applyBorder="1" applyAlignment="1">
      <alignment/>
    </xf>
    <xf numFmtId="43" fontId="1" fillId="5" borderId="0" xfId="15" applyFont="1" applyFill="1" applyBorder="1" applyAlignment="1">
      <alignment/>
    </xf>
    <xf numFmtId="43" fontId="1" fillId="5" borderId="9" xfId="15" applyFont="1" applyFill="1" applyBorder="1" applyAlignment="1">
      <alignment horizontal="right"/>
    </xf>
    <xf numFmtId="0" fontId="6" fillId="5" borderId="2" xfId="0" applyFont="1" applyFill="1" applyBorder="1" applyAlignment="1">
      <alignment horizontal="center"/>
    </xf>
    <xf numFmtId="0" fontId="4" fillId="5" borderId="0" xfId="0" applyFont="1" applyFill="1" applyAlignment="1">
      <alignment/>
    </xf>
    <xf numFmtId="0" fontId="1" fillId="5" borderId="0" xfId="0" applyFont="1" applyFill="1" applyBorder="1" applyAlignment="1">
      <alignment/>
    </xf>
    <xf numFmtId="0" fontId="6" fillId="5" borderId="0" xfId="0" applyFont="1" applyFill="1" applyAlignment="1">
      <alignment/>
    </xf>
    <xf numFmtId="173" fontId="1" fillId="5" borderId="0" xfId="0" applyNumberFormat="1" applyFont="1" applyFill="1" applyBorder="1" applyAlignment="1">
      <alignment/>
    </xf>
    <xf numFmtId="37" fontId="1" fillId="5" borderId="0" xfId="0" applyNumberFormat="1" applyFont="1" applyFill="1" applyAlignment="1">
      <alignment/>
    </xf>
    <xf numFmtId="173" fontId="1" fillId="5" borderId="12" xfId="15" applyNumberFormat="1" applyFont="1" applyFill="1" applyBorder="1" applyAlignment="1">
      <alignment/>
    </xf>
    <xf numFmtId="41" fontId="6" fillId="5" borderId="0" xfId="0" applyNumberFormat="1" applyFont="1" applyFill="1" applyAlignment="1">
      <alignment horizontal="center"/>
    </xf>
    <xf numFmtId="41" fontId="1" fillId="5" borderId="0" xfId="0" applyNumberFormat="1" applyFont="1" applyFill="1" applyAlignment="1">
      <alignment/>
    </xf>
    <xf numFmtId="41" fontId="1" fillId="5" borderId="0" xfId="15" applyNumberFormat="1" applyFont="1" applyFill="1" applyAlignment="1">
      <alignment/>
    </xf>
    <xf numFmtId="41" fontId="1" fillId="5" borderId="0" xfId="15" applyNumberFormat="1" applyFont="1" applyFill="1" applyBorder="1" applyAlignment="1">
      <alignment/>
    </xf>
    <xf numFmtId="41" fontId="1" fillId="5" borderId="0" xfId="15" applyNumberFormat="1" applyFont="1" applyFill="1" applyBorder="1" applyAlignment="1">
      <alignment horizontal="right"/>
    </xf>
    <xf numFmtId="41" fontId="1" fillId="5" borderId="5" xfId="15" applyNumberFormat="1" applyFont="1" applyFill="1" applyBorder="1" applyAlignment="1">
      <alignment/>
    </xf>
    <xf numFmtId="41" fontId="1" fillId="5" borderId="1" xfId="15" applyNumberFormat="1" applyFont="1" applyFill="1" applyBorder="1" applyAlignment="1">
      <alignment/>
    </xf>
    <xf numFmtId="41" fontId="1" fillId="5" borderId="0" xfId="15" applyNumberFormat="1" applyFont="1" applyFill="1" applyAlignment="1">
      <alignment horizontal="right"/>
    </xf>
    <xf numFmtId="41" fontId="1" fillId="5" borderId="8" xfId="15" applyNumberFormat="1" applyFont="1" applyFill="1" applyBorder="1" applyAlignment="1">
      <alignment/>
    </xf>
    <xf numFmtId="41" fontId="1" fillId="5" borderId="8" xfId="0" applyNumberFormat="1" applyFont="1" applyFill="1" applyBorder="1" applyAlignment="1">
      <alignment/>
    </xf>
    <xf numFmtId="15" fontId="6" fillId="5" borderId="0" xfId="0" applyNumberFormat="1" applyFont="1" applyFill="1" applyBorder="1" applyAlignment="1" quotePrefix="1">
      <alignment horizontal="center"/>
    </xf>
    <xf numFmtId="37" fontId="1" fillId="5" borderId="0" xfId="15" applyNumberFormat="1" applyFont="1" applyFill="1" applyBorder="1" applyAlignment="1">
      <alignment/>
    </xf>
    <xf numFmtId="37" fontId="1" fillId="5" borderId="0" xfId="0" applyNumberFormat="1" applyFont="1" applyFill="1" applyBorder="1" applyAlignment="1">
      <alignment/>
    </xf>
    <xf numFmtId="173" fontId="1" fillId="5" borderId="5" xfId="15" applyNumberFormat="1" applyFont="1" applyFill="1" applyBorder="1" applyAlignment="1">
      <alignment/>
    </xf>
    <xf numFmtId="173" fontId="1" fillId="5" borderId="5" xfId="0" applyNumberFormat="1" applyFont="1" applyFill="1" applyBorder="1" applyAlignment="1">
      <alignment/>
    </xf>
    <xf numFmtId="37" fontId="1" fillId="5" borderId="5" xfId="15" applyNumberFormat="1" applyFont="1" applyFill="1" applyBorder="1" applyAlignment="1">
      <alignment/>
    </xf>
    <xf numFmtId="173" fontId="1" fillId="5" borderId="22" xfId="0" applyNumberFormat="1" applyFont="1" applyFill="1" applyBorder="1" applyAlignment="1">
      <alignment/>
    </xf>
    <xf numFmtId="173" fontId="1" fillId="5" borderId="11" xfId="0" applyNumberFormat="1" applyFont="1" applyFill="1" applyBorder="1" applyAlignment="1">
      <alignment/>
    </xf>
    <xf numFmtId="37" fontId="1" fillId="5" borderId="22" xfId="15" applyNumberFormat="1" applyFont="1" applyFill="1" applyBorder="1" applyAlignment="1">
      <alignment/>
    </xf>
    <xf numFmtId="37" fontId="1" fillId="5" borderId="11" xfId="0" applyNumberFormat="1" applyFont="1" applyFill="1" applyBorder="1" applyAlignment="1">
      <alignment/>
    </xf>
    <xf numFmtId="37" fontId="1" fillId="5" borderId="1" xfId="15" applyNumberFormat="1" applyFont="1" applyFill="1" applyBorder="1" applyAlignment="1">
      <alignment/>
    </xf>
    <xf numFmtId="37" fontId="1" fillId="5" borderId="45" xfId="0" applyNumberFormat="1" applyFont="1" applyFill="1" applyBorder="1" applyAlignment="1">
      <alignment/>
    </xf>
    <xf numFmtId="0" fontId="1" fillId="5" borderId="4" xfId="0" applyFont="1" applyFill="1" applyBorder="1" applyAlignment="1">
      <alignment/>
    </xf>
    <xf numFmtId="0" fontId="1" fillId="5" borderId="23" xfId="0" applyFont="1" applyFill="1" applyBorder="1" applyAlignment="1">
      <alignment/>
    </xf>
    <xf numFmtId="0" fontId="1" fillId="5" borderId="6" xfId="0" applyFont="1" applyFill="1" applyBorder="1" applyAlignment="1">
      <alignment/>
    </xf>
    <xf numFmtId="0" fontId="41" fillId="0" borderId="0" xfId="0" applyFont="1" applyAlignment="1">
      <alignment/>
    </xf>
    <xf numFmtId="0" fontId="41" fillId="0" borderId="0" xfId="0" applyFont="1" applyAlignment="1" quotePrefix="1">
      <alignment/>
    </xf>
    <xf numFmtId="0" fontId="27" fillId="0" borderId="0" xfId="0" applyFont="1" applyAlignment="1" quotePrefix="1">
      <alignment/>
    </xf>
    <xf numFmtId="37" fontId="28" fillId="0" borderId="0" xfId="0" applyNumberFormat="1" applyFont="1" applyAlignment="1">
      <alignment horizontal="center"/>
    </xf>
    <xf numFmtId="173" fontId="25" fillId="0" borderId="13" xfId="15" applyNumberFormat="1" applyFont="1" applyFill="1" applyBorder="1" applyAlignment="1">
      <alignment horizontal="center"/>
    </xf>
    <xf numFmtId="173" fontId="25" fillId="0" borderId="9" xfId="15" applyNumberFormat="1" applyFont="1" applyFill="1" applyBorder="1" applyAlignment="1">
      <alignment horizontal="center"/>
    </xf>
    <xf numFmtId="173" fontId="0" fillId="0" borderId="9" xfId="15" applyNumberFormat="1" applyFont="1" applyFill="1" applyBorder="1" applyAlignment="1">
      <alignment/>
    </xf>
    <xf numFmtId="173" fontId="25" fillId="0" borderId="9" xfId="15" applyNumberFormat="1" applyFont="1" applyFill="1" applyBorder="1" applyAlignment="1">
      <alignment/>
    </xf>
    <xf numFmtId="173" fontId="0" fillId="0" borderId="2" xfId="15" applyNumberFormat="1" applyFont="1" applyFill="1" applyBorder="1" applyAlignment="1">
      <alignment/>
    </xf>
    <xf numFmtId="173" fontId="0" fillId="5" borderId="0" xfId="15" applyNumberFormat="1" applyFont="1" applyFill="1" applyBorder="1" applyAlignment="1">
      <alignment/>
    </xf>
    <xf numFmtId="173" fontId="0" fillId="0" borderId="22" xfId="15" applyNumberFormat="1" applyFont="1" applyFill="1" applyBorder="1" applyAlignment="1">
      <alignment/>
    </xf>
    <xf numFmtId="173" fontId="0" fillId="0" borderId="45" xfId="15" applyNumberFormat="1" applyFont="1" applyFill="1" applyBorder="1" applyAlignment="1">
      <alignment/>
    </xf>
    <xf numFmtId="173" fontId="25" fillId="0" borderId="7" xfId="15" applyNumberFormat="1" applyFont="1" applyFill="1" applyBorder="1" applyAlignment="1">
      <alignment horizontal="center"/>
    </xf>
    <xf numFmtId="173" fontId="25" fillId="0" borderId="7" xfId="15" applyNumberFormat="1" applyFont="1" applyFill="1" applyBorder="1" applyAlignment="1" quotePrefix="1">
      <alignment horizontal="center"/>
    </xf>
    <xf numFmtId="173" fontId="0" fillId="0" borderId="7" xfId="15" applyNumberFormat="1" applyFont="1" applyFill="1" applyBorder="1" applyAlignment="1">
      <alignment/>
    </xf>
    <xf numFmtId="173" fontId="0" fillId="0" borderId="13" xfId="15" applyNumberFormat="1" applyFont="1" applyFill="1" applyBorder="1" applyAlignment="1">
      <alignment/>
    </xf>
    <xf numFmtId="173" fontId="0" fillId="0" borderId="6" xfId="15" applyNumberFormat="1" applyFont="1" applyFill="1" applyBorder="1" applyAlignment="1">
      <alignment/>
    </xf>
    <xf numFmtId="173" fontId="25" fillId="0" borderId="2" xfId="15" applyNumberFormat="1" applyFont="1" applyFill="1" applyBorder="1" applyAlignment="1">
      <alignment/>
    </xf>
    <xf numFmtId="173" fontId="0" fillId="0" borderId="4" xfId="15" applyNumberFormat="1" applyFont="1" applyFill="1" applyBorder="1" applyAlignment="1">
      <alignment/>
    </xf>
    <xf numFmtId="173" fontId="25" fillId="4" borderId="9" xfId="15" applyNumberFormat="1" applyFont="1" applyFill="1" applyBorder="1" applyAlignment="1">
      <alignment/>
    </xf>
    <xf numFmtId="173" fontId="0" fillId="13" borderId="7" xfId="15" applyNumberFormat="1" applyFont="1" applyFill="1" applyBorder="1" applyAlignment="1">
      <alignment/>
    </xf>
    <xf numFmtId="173" fontId="0" fillId="13" borderId="13" xfId="15" applyNumberFormat="1" applyFont="1" applyFill="1" applyBorder="1" applyAlignment="1">
      <alignment/>
    </xf>
    <xf numFmtId="173" fontId="25" fillId="13" borderId="9" xfId="15" applyNumberFormat="1" applyFont="1" applyFill="1" applyBorder="1" applyAlignment="1">
      <alignment/>
    </xf>
    <xf numFmtId="173" fontId="27" fillId="0" borderId="0" xfId="15" applyNumberFormat="1" applyFont="1" applyFill="1" applyBorder="1" applyAlignment="1">
      <alignment/>
    </xf>
    <xf numFmtId="173" fontId="0" fillId="0" borderId="58" xfId="15" applyNumberFormat="1" applyFont="1" applyFill="1" applyBorder="1" applyAlignment="1">
      <alignment/>
    </xf>
    <xf numFmtId="173" fontId="0" fillId="0" borderId="59" xfId="15" applyNumberFormat="1" applyFont="1" applyFill="1" applyBorder="1" applyAlignment="1">
      <alignment/>
    </xf>
    <xf numFmtId="173" fontId="28" fillId="0" borderId="7" xfId="21" applyNumberFormat="1" applyFont="1" applyFill="1" applyBorder="1" applyAlignment="1">
      <alignment/>
    </xf>
    <xf numFmtId="173" fontId="0" fillId="0" borderId="60" xfId="15" applyNumberFormat="1" applyFont="1" applyFill="1" applyBorder="1" applyAlignment="1">
      <alignment/>
    </xf>
    <xf numFmtId="173" fontId="0" fillId="0" borderId="7" xfId="15" applyNumberFormat="1" applyFont="1" applyFill="1" applyBorder="1" applyAlignment="1" quotePrefix="1">
      <alignment horizontal="center"/>
    </xf>
    <xf numFmtId="173" fontId="0" fillId="0" borderId="7" xfId="15" applyNumberFormat="1" applyFont="1" applyFill="1" applyBorder="1" applyAlignment="1">
      <alignment horizontal="center"/>
    </xf>
    <xf numFmtId="173" fontId="25" fillId="0" borderId="60" xfId="15" applyNumberFormat="1" applyFont="1" applyFill="1" applyBorder="1" applyAlignment="1">
      <alignment horizontal="center"/>
    </xf>
    <xf numFmtId="173" fontId="25" fillId="0" borderId="9" xfId="15" applyNumberFormat="1" applyFont="1" applyFill="1" applyBorder="1" applyAlignment="1" quotePrefix="1">
      <alignment horizontal="center"/>
    </xf>
    <xf numFmtId="173" fontId="25" fillId="5" borderId="9" xfId="15" applyNumberFormat="1" applyFont="1" applyFill="1" applyBorder="1" applyAlignment="1">
      <alignment/>
    </xf>
    <xf numFmtId="173" fontId="0" fillId="5" borderId="60" xfId="15" applyNumberFormat="1" applyFont="1" applyFill="1" applyBorder="1" applyAlignment="1">
      <alignment/>
    </xf>
    <xf numFmtId="173" fontId="0" fillId="0" borderId="52" xfId="15" applyNumberFormat="1" applyFont="1" applyFill="1" applyBorder="1" applyAlignment="1">
      <alignment/>
    </xf>
    <xf numFmtId="173" fontId="25" fillId="14" borderId="9" xfId="15" applyNumberFormat="1" applyFont="1" applyFill="1" applyBorder="1" applyAlignment="1">
      <alignment/>
    </xf>
    <xf numFmtId="173" fontId="0" fillId="0" borderId="7" xfId="22" applyNumberFormat="1" applyFont="1" applyFill="1" applyBorder="1" applyAlignment="1">
      <alignment/>
    </xf>
    <xf numFmtId="173" fontId="25" fillId="15" borderId="9" xfId="15" applyNumberFormat="1" applyFont="1" applyFill="1" applyBorder="1" applyAlignment="1">
      <alignment/>
    </xf>
    <xf numFmtId="173" fontId="0" fillId="13" borderId="60" xfId="15" applyNumberFormat="1" applyFont="1" applyFill="1" applyBorder="1" applyAlignment="1">
      <alignment/>
    </xf>
    <xf numFmtId="173" fontId="25" fillId="5" borderId="0" xfId="15" applyNumberFormat="1" applyFont="1" applyFill="1" applyAlignment="1">
      <alignment/>
    </xf>
    <xf numFmtId="173" fontId="25" fillId="5" borderId="0" xfId="15" applyNumberFormat="1" applyFont="1" applyFill="1" applyBorder="1" applyAlignment="1">
      <alignment/>
    </xf>
    <xf numFmtId="173" fontId="39" fillId="0" borderId="0" xfId="15" applyNumberFormat="1" applyFont="1" applyFill="1" applyAlignment="1">
      <alignment/>
    </xf>
    <xf numFmtId="173" fontId="0" fillId="0" borderId="61" xfId="15" applyNumberFormat="1" applyFont="1" applyFill="1" applyBorder="1" applyAlignment="1">
      <alignment/>
    </xf>
    <xf numFmtId="173" fontId="25" fillId="5" borderId="10" xfId="15" applyNumberFormat="1" applyFont="1" applyFill="1" applyBorder="1" applyAlignment="1">
      <alignment/>
    </xf>
    <xf numFmtId="173" fontId="25" fillId="5" borderId="2" xfId="15" applyNumberFormat="1" applyFont="1" applyFill="1" applyBorder="1" applyAlignment="1">
      <alignment/>
    </xf>
    <xf numFmtId="173" fontId="25" fillId="16" borderId="51" xfId="15" applyNumberFormat="1" applyFont="1" applyFill="1" applyBorder="1" applyAlignment="1">
      <alignment/>
    </xf>
    <xf numFmtId="173" fontId="6" fillId="0" borderId="10" xfId="15" applyNumberFormat="1" applyFont="1" applyFill="1" applyBorder="1" applyAlignment="1">
      <alignment/>
    </xf>
    <xf numFmtId="173" fontId="6" fillId="0" borderId="0" xfId="15" applyNumberFormat="1" applyFont="1" applyFill="1" applyAlignment="1">
      <alignment/>
    </xf>
    <xf numFmtId="0" fontId="25" fillId="5" borderId="9" xfId="15" applyNumberFormat="1" applyFont="1" applyFill="1" applyBorder="1" applyAlignment="1">
      <alignment/>
    </xf>
    <xf numFmtId="173" fontId="6" fillId="0" borderId="3" xfId="15" applyNumberFormat="1" applyFont="1" applyFill="1" applyBorder="1" applyAlignment="1">
      <alignment/>
    </xf>
    <xf numFmtId="171" fontId="25" fillId="4" borderId="0" xfId="15" applyNumberFormat="1" applyFont="1" applyFill="1" applyBorder="1" applyAlignment="1">
      <alignment/>
    </xf>
    <xf numFmtId="171" fontId="25" fillId="4" borderId="0" xfId="15" applyNumberFormat="1" applyFont="1" applyFill="1" applyAlignment="1">
      <alignment/>
    </xf>
    <xf numFmtId="173" fontId="25" fillId="0" borderId="51" xfId="15" applyNumberFormat="1" applyFont="1" applyFill="1" applyBorder="1" applyAlignment="1">
      <alignment/>
    </xf>
    <xf numFmtId="173" fontId="36" fillId="0" borderId="9" xfId="15" applyNumberFormat="1" applyFont="1" applyFill="1" applyBorder="1" applyAlignment="1">
      <alignment/>
    </xf>
    <xf numFmtId="173" fontId="25" fillId="0" borderId="6" xfId="15" applyNumberFormat="1" applyFont="1" applyFill="1" applyBorder="1" applyAlignment="1">
      <alignment/>
    </xf>
    <xf numFmtId="173" fontId="25" fillId="0" borderId="59" xfId="15" applyNumberFormat="1" applyFont="1" applyFill="1" applyBorder="1" applyAlignment="1">
      <alignment/>
    </xf>
    <xf numFmtId="173" fontId="25" fillId="0" borderId="45" xfId="15" applyNumberFormat="1" applyFont="1" applyFill="1" applyBorder="1" applyAlignment="1">
      <alignment/>
    </xf>
    <xf numFmtId="0" fontId="27" fillId="0" borderId="9" xfId="15" applyNumberFormat="1" applyFont="1" applyFill="1" applyBorder="1" applyAlignment="1">
      <alignment/>
    </xf>
    <xf numFmtId="173" fontId="27" fillId="0" borderId="2" xfId="15" applyNumberFormat="1" applyFont="1" applyFill="1" applyBorder="1" applyAlignment="1">
      <alignment/>
    </xf>
    <xf numFmtId="173" fontId="27" fillId="0" borderId="6" xfId="15" applyNumberFormat="1" applyFont="1" applyFill="1" applyBorder="1" applyAlignment="1">
      <alignment/>
    </xf>
    <xf numFmtId="173" fontId="27" fillId="0" borderId="59" xfId="15" applyNumberFormat="1" applyFont="1" applyFill="1" applyBorder="1" applyAlignment="1">
      <alignment/>
    </xf>
    <xf numFmtId="173" fontId="27" fillId="0" borderId="45" xfId="15" applyNumberFormat="1" applyFont="1" applyFill="1" applyBorder="1" applyAlignment="1">
      <alignment/>
    </xf>
    <xf numFmtId="173" fontId="27" fillId="5" borderId="2" xfId="15" applyNumberFormat="1" applyFont="1" applyFill="1" applyBorder="1" applyAlignment="1">
      <alignment/>
    </xf>
    <xf numFmtId="171" fontId="27" fillId="0" borderId="0" xfId="15" applyNumberFormat="1" applyFont="1" applyFill="1" applyBorder="1" applyAlignment="1">
      <alignment/>
    </xf>
    <xf numFmtId="9" fontId="4" fillId="0" borderId="3" xfId="22" applyFont="1" applyFill="1" applyBorder="1" applyAlignment="1">
      <alignment/>
    </xf>
    <xf numFmtId="173" fontId="4" fillId="0" borderId="0" xfId="15" applyNumberFormat="1" applyFont="1" applyFill="1" applyAlignment="1">
      <alignment/>
    </xf>
    <xf numFmtId="171" fontId="27" fillId="0" borderId="0" xfId="15" applyNumberFormat="1" applyFont="1" applyFill="1" applyAlignment="1">
      <alignment/>
    </xf>
    <xf numFmtId="0" fontId="6" fillId="12" borderId="0" xfId="0" applyFont="1" applyFill="1" applyAlignment="1">
      <alignment/>
    </xf>
    <xf numFmtId="173" fontId="25" fillId="0" borderId="7" xfId="15" applyNumberFormat="1" applyFont="1" applyFill="1" applyBorder="1" applyAlignment="1">
      <alignment/>
    </xf>
    <xf numFmtId="173" fontId="25" fillId="0" borderId="13" xfId="15" applyNumberFormat="1" applyFont="1" applyFill="1" applyBorder="1" applyAlignment="1">
      <alignment/>
    </xf>
    <xf numFmtId="10" fontId="0" fillId="0" borderId="9" xfId="22" applyNumberFormat="1" applyFont="1" applyFill="1" applyBorder="1" applyAlignment="1">
      <alignment/>
    </xf>
    <xf numFmtId="9" fontId="0" fillId="0" borderId="9" xfId="22" applyFont="1" applyFill="1" applyBorder="1" applyAlignment="1">
      <alignment/>
    </xf>
    <xf numFmtId="0" fontId="25" fillId="0" borderId="0" xfId="0" applyNumberFormat="1" applyFont="1" applyAlignment="1" applyProtection="1">
      <alignment horizontal="left"/>
      <protection/>
    </xf>
    <xf numFmtId="201" fontId="0" fillId="0" borderId="0" xfId="15" applyNumberFormat="1" applyFont="1" applyBorder="1" applyAlignment="1">
      <alignment/>
    </xf>
    <xf numFmtId="201" fontId="0" fillId="0" borderId="0" xfId="15" applyNumberFormat="1" applyFont="1" applyAlignment="1">
      <alignment/>
    </xf>
    <xf numFmtId="0" fontId="0" fillId="0" borderId="0" xfId="15" applyNumberFormat="1" applyFont="1" applyAlignment="1">
      <alignment horizontal="center"/>
    </xf>
    <xf numFmtId="0" fontId="0" fillId="0" borderId="0" xfId="0" applyNumberFormat="1" applyFont="1" applyAlignment="1">
      <alignment/>
    </xf>
    <xf numFmtId="0" fontId="0" fillId="0" borderId="0" xfId="0" applyNumberFormat="1" applyFont="1" applyAlignment="1">
      <alignment horizontal="center"/>
    </xf>
    <xf numFmtId="0" fontId="0" fillId="13" borderId="0" xfId="15" applyNumberFormat="1" applyFont="1" applyFill="1" applyAlignment="1">
      <alignment/>
    </xf>
    <xf numFmtId="0" fontId="0" fillId="0" borderId="0" xfId="15" applyNumberFormat="1" applyFont="1" applyBorder="1" applyAlignment="1">
      <alignment/>
    </xf>
    <xf numFmtId="0" fontId="0" fillId="0" borderId="0" xfId="15" applyNumberFormat="1" applyFont="1" applyBorder="1" applyAlignment="1">
      <alignment horizontal="center"/>
    </xf>
    <xf numFmtId="0" fontId="0" fillId="0" borderId="0" xfId="15" applyNumberFormat="1" applyFont="1" applyFill="1" applyAlignment="1">
      <alignment horizontal="center"/>
    </xf>
    <xf numFmtId="0" fontId="0" fillId="0" borderId="0" xfId="15" applyNumberFormat="1" applyFont="1" applyBorder="1" applyAlignment="1" applyProtection="1">
      <alignment horizontal="center"/>
      <protection/>
    </xf>
    <xf numFmtId="0" fontId="0" fillId="15" borderId="0" xfId="15" applyNumberFormat="1" applyFont="1" applyFill="1" applyAlignment="1" applyProtection="1">
      <alignment horizontal="center"/>
      <protection/>
    </xf>
    <xf numFmtId="0" fontId="0" fillId="0" borderId="0" xfId="15" applyNumberFormat="1" applyFont="1" applyAlignment="1">
      <alignment/>
    </xf>
    <xf numFmtId="0" fontId="0" fillId="0" borderId="0" xfId="0" applyNumberFormat="1" applyFont="1" applyAlignment="1" applyProtection="1">
      <alignment horizontal="center"/>
      <protection/>
    </xf>
    <xf numFmtId="0" fontId="0" fillId="13" borderId="0" xfId="15" applyNumberFormat="1" applyFont="1" applyFill="1" applyAlignment="1" applyProtection="1">
      <alignment horizontal="center"/>
      <protection/>
    </xf>
    <xf numFmtId="0" fontId="0" fillId="0" borderId="0" xfId="15" applyNumberFormat="1" applyFont="1" applyBorder="1" applyAlignment="1" applyProtection="1">
      <alignment horizontal="right"/>
      <protection/>
    </xf>
    <xf numFmtId="0" fontId="0" fillId="0" borderId="0" xfId="15" applyNumberFormat="1" applyFont="1" applyFill="1" applyAlignment="1" applyProtection="1">
      <alignment horizontal="center"/>
      <protection/>
    </xf>
    <xf numFmtId="0" fontId="0" fillId="13" borderId="0" xfId="15" applyNumberFormat="1" applyFont="1" applyFill="1" applyAlignment="1">
      <alignment horizontal="center"/>
    </xf>
    <xf numFmtId="0" fontId="0" fillId="15" borderId="0" xfId="15" applyNumberFormat="1" applyFont="1" applyFill="1" applyAlignment="1">
      <alignment horizontal="center"/>
    </xf>
    <xf numFmtId="173" fontId="0" fillId="15" borderId="0" xfId="15" applyNumberFormat="1" applyFont="1" applyFill="1" applyAlignment="1">
      <alignment/>
    </xf>
    <xf numFmtId="0" fontId="42" fillId="0" borderId="0" xfId="15" applyNumberFormat="1" applyFont="1" applyAlignment="1">
      <alignment horizontal="center"/>
    </xf>
    <xf numFmtId="173" fontId="0" fillId="13" borderId="25" xfId="15" applyNumberFormat="1" applyFont="1" applyFill="1" applyBorder="1" applyAlignment="1">
      <alignment/>
    </xf>
    <xf numFmtId="173" fontId="0" fillId="15" borderId="25" xfId="15" applyNumberFormat="1" applyFont="1" applyFill="1" applyBorder="1" applyAlignment="1">
      <alignment/>
    </xf>
    <xf numFmtId="173" fontId="0" fillId="13" borderId="0" xfId="15" applyNumberFormat="1" applyFont="1" applyFill="1" applyBorder="1" applyAlignment="1">
      <alignment/>
    </xf>
    <xf numFmtId="173" fontId="0" fillId="15" borderId="0" xfId="15" applyNumberFormat="1" applyFont="1" applyFill="1" applyBorder="1" applyAlignment="1">
      <alignment/>
    </xf>
    <xf numFmtId="173" fontId="0" fillId="13" borderId="12" xfId="15" applyNumberFormat="1" applyFont="1" applyFill="1" applyBorder="1" applyAlignment="1">
      <alignment/>
    </xf>
    <xf numFmtId="0" fontId="0" fillId="0" borderId="0" xfId="15" applyNumberFormat="1" applyFont="1" applyFill="1" applyBorder="1" applyAlignment="1" applyProtection="1">
      <alignment horizontal="center"/>
      <protection/>
    </xf>
    <xf numFmtId="0" fontId="0" fillId="0" borderId="0" xfId="15" applyNumberFormat="1" applyFont="1" applyFill="1" applyBorder="1" applyAlignment="1">
      <alignment horizontal="center"/>
    </xf>
    <xf numFmtId="173" fontId="25" fillId="13" borderId="25" xfId="15" applyNumberFormat="1" applyFont="1" applyFill="1" applyBorder="1" applyAlignment="1">
      <alignment/>
    </xf>
    <xf numFmtId="173" fontId="25" fillId="11" borderId="51" xfId="15" applyNumberFormat="1" applyFont="1" applyFill="1" applyBorder="1" applyAlignment="1">
      <alignment/>
    </xf>
    <xf numFmtId="173" fontId="25" fillId="11" borderId="26" xfId="15" applyNumberFormat="1" applyFont="1" applyFill="1" applyBorder="1" applyAlignment="1">
      <alignment/>
    </xf>
    <xf numFmtId="173" fontId="25" fillId="11" borderId="62" xfId="15" applyNumberFormat="1" applyFont="1" applyFill="1" applyBorder="1" applyAlignment="1">
      <alignment/>
    </xf>
    <xf numFmtId="173" fontId="25" fillId="11" borderId="63" xfId="15" applyNumberFormat="1" applyFont="1" applyFill="1" applyBorder="1" applyAlignment="1">
      <alignment/>
    </xf>
    <xf numFmtId="0" fontId="21" fillId="0" borderId="0" xfId="0" applyFont="1" applyBorder="1" applyAlignment="1">
      <alignment/>
    </xf>
    <xf numFmtId="0" fontId="32" fillId="0" borderId="0" xfId="0" applyFont="1" applyBorder="1" applyAlignment="1">
      <alignment/>
    </xf>
    <xf numFmtId="41" fontId="1" fillId="0" borderId="0" xfId="0" applyNumberFormat="1" applyFont="1" applyBorder="1" applyAlignment="1">
      <alignment/>
    </xf>
    <xf numFmtId="0" fontId="40" fillId="0" borderId="0" xfId="0" applyFont="1" applyBorder="1" applyAlignment="1">
      <alignment/>
    </xf>
    <xf numFmtId="41" fontId="40" fillId="0" borderId="0" xfId="0" applyNumberFormat="1" applyFont="1" applyBorder="1" applyAlignment="1">
      <alignment/>
    </xf>
    <xf numFmtId="173" fontId="1" fillId="5" borderId="0" xfId="0" applyNumberFormat="1" applyFont="1" applyFill="1" applyAlignment="1">
      <alignment/>
    </xf>
    <xf numFmtId="173" fontId="1" fillId="5" borderId="0" xfId="0" applyNumberFormat="1" applyFont="1" applyFill="1" applyBorder="1" applyAlignment="1">
      <alignment horizontal="right"/>
    </xf>
    <xf numFmtId="173" fontId="1" fillId="5" borderId="1" xfId="0" applyNumberFormat="1" applyFont="1" applyFill="1" applyBorder="1" applyAlignment="1">
      <alignment/>
    </xf>
    <xf numFmtId="186" fontId="6" fillId="5" borderId="3" xfId="0" applyNumberFormat="1" applyFont="1" applyFill="1" applyBorder="1" applyAlignment="1" quotePrefix="1">
      <alignment horizontal="center"/>
    </xf>
    <xf numFmtId="0" fontId="6" fillId="5" borderId="0" xfId="0" applyFont="1" applyFill="1" applyBorder="1" applyAlignment="1">
      <alignment horizontal="center"/>
    </xf>
    <xf numFmtId="37" fontId="1" fillId="5" borderId="0" xfId="15" applyNumberFormat="1" applyFont="1" applyFill="1" applyAlignment="1">
      <alignment/>
    </xf>
    <xf numFmtId="173" fontId="1" fillId="5" borderId="12" xfId="0" applyNumberFormat="1" applyFont="1" applyFill="1" applyBorder="1" applyAlignment="1">
      <alignment/>
    </xf>
    <xf numFmtId="37" fontId="1" fillId="5" borderId="12" xfId="0" applyNumberFormat="1" applyFont="1" applyFill="1" applyBorder="1" applyAlignment="1">
      <alignment/>
    </xf>
    <xf numFmtId="43" fontId="1" fillId="5" borderId="0" xfId="0" applyNumberFormat="1" applyFont="1" applyFill="1" applyBorder="1" applyAlignment="1">
      <alignment/>
    </xf>
    <xf numFmtId="173" fontId="1" fillId="5" borderId="1" xfId="15" applyNumberFormat="1" applyFont="1" applyFill="1" applyBorder="1" applyAlignment="1">
      <alignment/>
    </xf>
    <xf numFmtId="37" fontId="1" fillId="5" borderId="1" xfId="0" applyNumberFormat="1" applyFont="1" applyFill="1" applyBorder="1" applyAlignment="1">
      <alignment/>
    </xf>
    <xf numFmtId="173" fontId="1" fillId="5" borderId="45" xfId="0" applyNumberFormat="1" applyFont="1" applyFill="1" applyBorder="1" applyAlignment="1">
      <alignment/>
    </xf>
    <xf numFmtId="173" fontId="6" fillId="0" borderId="0" xfId="15" applyNumberFormat="1" applyFont="1" applyFill="1" applyBorder="1" applyAlignment="1">
      <alignment/>
    </xf>
    <xf numFmtId="0" fontId="1" fillId="0" borderId="0" xfId="0" applyFont="1" applyBorder="1" applyAlignment="1">
      <alignment horizontal="center"/>
    </xf>
    <xf numFmtId="173" fontId="6" fillId="0" borderId="7" xfId="15" applyNumberFormat="1" applyFont="1" applyFill="1" applyBorder="1" applyAlignment="1">
      <alignment horizontal="center"/>
    </xf>
    <xf numFmtId="173" fontId="6" fillId="0" borderId="8" xfId="15" applyNumberFormat="1" applyFont="1" applyFill="1" applyBorder="1" applyAlignment="1">
      <alignment horizontal="center"/>
    </xf>
    <xf numFmtId="173" fontId="6" fillId="0" borderId="13" xfId="15" applyNumberFormat="1"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Alignment="1">
      <alignment horizontal="center"/>
    </xf>
    <xf numFmtId="173" fontId="6" fillId="0" borderId="7" xfId="15" applyNumberFormat="1" applyFont="1" applyBorder="1" applyAlignment="1">
      <alignment horizontal="center"/>
    </xf>
    <xf numFmtId="173" fontId="6" fillId="0" borderId="8" xfId="15" applyNumberFormat="1" applyFont="1" applyBorder="1" applyAlignment="1">
      <alignment horizontal="center"/>
    </xf>
    <xf numFmtId="173" fontId="6" fillId="0" borderId="13" xfId="15" applyNumberFormat="1" applyFont="1" applyBorder="1" applyAlignment="1">
      <alignment horizontal="center"/>
    </xf>
    <xf numFmtId="0" fontId="0" fillId="0" borderId="4" xfId="0" applyFont="1" applyBorder="1" applyAlignment="1">
      <alignment horizontal="center"/>
    </xf>
    <xf numFmtId="0" fontId="0" fillId="0" borderId="22" xfId="0" applyFont="1" applyBorder="1" applyAlignment="1">
      <alignment horizontal="center"/>
    </xf>
    <xf numFmtId="0" fontId="0" fillId="0" borderId="6" xfId="0" applyFont="1" applyBorder="1" applyAlignment="1">
      <alignment horizontal="center"/>
    </xf>
    <xf numFmtId="0" fontId="0" fillId="0" borderId="45" xfId="0" applyFont="1" applyBorder="1" applyAlignment="1">
      <alignment horizontal="center"/>
    </xf>
    <xf numFmtId="0" fontId="0" fillId="0" borderId="1" xfId="0" applyFont="1" applyBorder="1" applyAlignment="1">
      <alignment horizontal="center"/>
    </xf>
    <xf numFmtId="173" fontId="25" fillId="0" borderId="50" xfId="15" applyNumberFormat="1" applyFont="1" applyFill="1" applyBorder="1" applyAlignment="1">
      <alignment horizontal="center"/>
    </xf>
    <xf numFmtId="173" fontId="25" fillId="0" borderId="13" xfId="15" applyNumberFormat="1" applyFont="1" applyFill="1" applyBorder="1" applyAlignment="1">
      <alignment horizontal="center"/>
    </xf>
    <xf numFmtId="16" fontId="0" fillId="0" borderId="0" xfId="0" applyNumberFormat="1" applyBorder="1" applyAlignment="1" quotePrefix="1">
      <alignment horizontal="center"/>
    </xf>
    <xf numFmtId="0" fontId="0" fillId="0" borderId="0" xfId="15" applyNumberFormat="1" applyFont="1" applyFill="1" applyAlignment="1">
      <alignment horizontal="center"/>
    </xf>
    <xf numFmtId="0" fontId="0" fillId="0" borderId="0" xfId="15" applyNumberFormat="1" applyFont="1" applyAlignment="1">
      <alignment horizontal="right" vertical="justify"/>
    </xf>
    <xf numFmtId="0" fontId="6" fillId="0" borderId="7" xfId="0" applyFont="1" applyBorder="1" applyAlignment="1">
      <alignment horizontal="center"/>
    </xf>
    <xf numFmtId="0" fontId="6" fillId="0" borderId="13"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13" xfId="0" applyFont="1" applyBorder="1" applyAlignment="1">
      <alignment horizontal="left"/>
    </xf>
    <xf numFmtId="0" fontId="19" fillId="0" borderId="0" xfId="0" applyFont="1" applyAlignment="1">
      <alignment horizontal="center"/>
    </xf>
    <xf numFmtId="186" fontId="19" fillId="0" borderId="0" xfId="0" applyNumberFormat="1" applyFont="1" applyAlignment="1">
      <alignment horizontal="center"/>
    </xf>
    <xf numFmtId="0" fontId="1" fillId="0" borderId="0" xfId="0" applyFont="1" applyAlignment="1">
      <alignment horizontal="center"/>
    </xf>
  </cellXfs>
  <cellStyles count="9">
    <cellStyle name="Normal" xfId="0"/>
    <cellStyle name="Comma" xfId="15"/>
    <cellStyle name="Comma [0]" xfId="16"/>
    <cellStyle name="Comma_Share price"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5</xdr:col>
      <xdr:colOff>962025</xdr:colOff>
      <xdr:row>62</xdr:row>
      <xdr:rowOff>38100</xdr:rowOff>
    </xdr:to>
    <xdr:sp>
      <xdr:nvSpPr>
        <xdr:cNvPr id="1" name="TextBox 4"/>
        <xdr:cNvSpPr txBox="1">
          <a:spLocks noChangeArrowheads="1"/>
        </xdr:cNvSpPr>
      </xdr:nvSpPr>
      <xdr:spPr>
        <a:xfrm>
          <a:off x="0" y="9420225"/>
          <a:ext cx="6477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0</xdr:colOff>
      <xdr:row>59</xdr:row>
      <xdr:rowOff>0</xdr:rowOff>
    </xdr:from>
    <xdr:to>
      <xdr:col>5</xdr:col>
      <xdr:colOff>962025</xdr:colOff>
      <xdr:row>62</xdr:row>
      <xdr:rowOff>38100</xdr:rowOff>
    </xdr:to>
    <xdr:sp>
      <xdr:nvSpPr>
        <xdr:cNvPr id="2" name="TextBox 5"/>
        <xdr:cNvSpPr txBox="1">
          <a:spLocks noChangeArrowheads="1"/>
        </xdr:cNvSpPr>
      </xdr:nvSpPr>
      <xdr:spPr>
        <a:xfrm>
          <a:off x="0" y="9420225"/>
          <a:ext cx="6477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152400</xdr:rowOff>
    </xdr:from>
    <xdr:to>
      <xdr:col>8</xdr:col>
      <xdr:colOff>752475</xdr:colOff>
      <xdr:row>48</xdr:row>
      <xdr:rowOff>28575</xdr:rowOff>
    </xdr:to>
    <xdr:sp>
      <xdr:nvSpPr>
        <xdr:cNvPr id="1" name="TextBox 1"/>
        <xdr:cNvSpPr txBox="1">
          <a:spLocks noChangeArrowheads="1"/>
        </xdr:cNvSpPr>
      </xdr:nvSpPr>
      <xdr:spPr>
        <a:xfrm>
          <a:off x="200025" y="7448550"/>
          <a:ext cx="6353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0</xdr:colOff>
      <xdr:row>44</xdr:row>
      <xdr:rowOff>152400</xdr:rowOff>
    </xdr:from>
    <xdr:to>
      <xdr:col>8</xdr:col>
      <xdr:colOff>752475</xdr:colOff>
      <xdr:row>48</xdr:row>
      <xdr:rowOff>28575</xdr:rowOff>
    </xdr:to>
    <xdr:sp>
      <xdr:nvSpPr>
        <xdr:cNvPr id="2" name="TextBox 7"/>
        <xdr:cNvSpPr txBox="1">
          <a:spLocks noChangeArrowheads="1"/>
        </xdr:cNvSpPr>
      </xdr:nvSpPr>
      <xdr:spPr>
        <a:xfrm>
          <a:off x="200025" y="7448550"/>
          <a:ext cx="6353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0</xdr:colOff>
      <xdr:row>44</xdr:row>
      <xdr:rowOff>152400</xdr:rowOff>
    </xdr:from>
    <xdr:to>
      <xdr:col>8</xdr:col>
      <xdr:colOff>752475</xdr:colOff>
      <xdr:row>48</xdr:row>
      <xdr:rowOff>28575</xdr:rowOff>
    </xdr:to>
    <xdr:sp>
      <xdr:nvSpPr>
        <xdr:cNvPr id="3" name="TextBox 8"/>
        <xdr:cNvSpPr txBox="1">
          <a:spLocks noChangeArrowheads="1"/>
        </xdr:cNvSpPr>
      </xdr:nvSpPr>
      <xdr:spPr>
        <a:xfrm>
          <a:off x="200025" y="7448550"/>
          <a:ext cx="6353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76200</xdr:rowOff>
    </xdr:from>
    <xdr:to>
      <xdr:col>9</xdr:col>
      <xdr:colOff>0</xdr:colOff>
      <xdr:row>6</xdr:row>
      <xdr:rowOff>76200</xdr:rowOff>
    </xdr:to>
    <xdr:sp>
      <xdr:nvSpPr>
        <xdr:cNvPr id="1" name="Line 2"/>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 name="Line 4"/>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 name="Line 5"/>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 name="Line 6"/>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76200</xdr:rowOff>
    </xdr:from>
    <xdr:to>
      <xdr:col>9</xdr:col>
      <xdr:colOff>0</xdr:colOff>
      <xdr:row>6</xdr:row>
      <xdr:rowOff>76200</xdr:rowOff>
    </xdr:to>
    <xdr:sp>
      <xdr:nvSpPr>
        <xdr:cNvPr id="5" name="Line 32"/>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6" name="Line 33"/>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7" name="Line 34"/>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8" name="Line 35"/>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152400</xdr:rowOff>
    </xdr:from>
    <xdr:to>
      <xdr:col>10</xdr:col>
      <xdr:colOff>466725</xdr:colOff>
      <xdr:row>61</xdr:row>
      <xdr:rowOff>9525</xdr:rowOff>
    </xdr:to>
    <xdr:sp>
      <xdr:nvSpPr>
        <xdr:cNvPr id="9" name="TextBox 36"/>
        <xdr:cNvSpPr txBox="1">
          <a:spLocks noChangeArrowheads="1"/>
        </xdr:cNvSpPr>
      </xdr:nvSpPr>
      <xdr:spPr>
        <a:xfrm>
          <a:off x="0" y="8439150"/>
          <a:ext cx="94297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10" name="Line 38"/>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11" name="Line 39"/>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12" name="Line 40"/>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13" name="Line 41"/>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9525</xdr:colOff>
      <xdr:row>63</xdr:row>
      <xdr:rowOff>76200</xdr:rowOff>
    </xdr:from>
    <xdr:to>
      <xdr:col>99</xdr:col>
      <xdr:colOff>409575</xdr:colOff>
      <xdr:row>67</xdr:row>
      <xdr:rowOff>19050</xdr:rowOff>
    </xdr:to>
    <xdr:sp>
      <xdr:nvSpPr>
        <xdr:cNvPr id="14" name="TextBox 42"/>
        <xdr:cNvSpPr txBox="1">
          <a:spLocks noChangeArrowheads="1"/>
        </xdr:cNvSpPr>
      </xdr:nvSpPr>
      <xdr:spPr>
        <a:xfrm>
          <a:off x="43938825" y="9344025"/>
          <a:ext cx="1811655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15" name="Line 44"/>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16" name="Line 45"/>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17" name="Line 46"/>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18" name="Line 47"/>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1885950</xdr:colOff>
      <xdr:row>328</xdr:row>
      <xdr:rowOff>28575</xdr:rowOff>
    </xdr:from>
    <xdr:to>
      <xdr:col>10</xdr:col>
      <xdr:colOff>771525</xdr:colOff>
      <xdr:row>339</xdr:row>
      <xdr:rowOff>85725</xdr:rowOff>
    </xdr:to>
    <xdr:sp>
      <xdr:nvSpPr>
        <xdr:cNvPr id="19" name="TextBox 48"/>
        <xdr:cNvSpPr txBox="1">
          <a:spLocks noChangeArrowheads="1"/>
        </xdr:cNvSpPr>
      </xdr:nvSpPr>
      <xdr:spPr>
        <a:xfrm>
          <a:off x="1990725" y="52206525"/>
          <a:ext cx="7743825" cy="183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20" name="Line 50"/>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1" name="Line 51"/>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22" name="Line 52"/>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23" name="Line 53"/>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76200</xdr:rowOff>
    </xdr:from>
    <xdr:to>
      <xdr:col>9</xdr:col>
      <xdr:colOff>0</xdr:colOff>
      <xdr:row>6</xdr:row>
      <xdr:rowOff>76200</xdr:rowOff>
    </xdr:to>
    <xdr:sp>
      <xdr:nvSpPr>
        <xdr:cNvPr id="24" name="Line 55"/>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5" name="Line 56"/>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26" name="Line 57"/>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27" name="Line 58"/>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1352550</xdr:colOff>
      <xdr:row>190</xdr:row>
      <xdr:rowOff>9525</xdr:rowOff>
    </xdr:from>
    <xdr:to>
      <xdr:col>13</xdr:col>
      <xdr:colOff>104775</xdr:colOff>
      <xdr:row>264</xdr:row>
      <xdr:rowOff>152400</xdr:rowOff>
    </xdr:to>
    <xdr:sp>
      <xdr:nvSpPr>
        <xdr:cNvPr id="28" name="TextBox 59"/>
        <xdr:cNvSpPr txBox="1">
          <a:spLocks noChangeArrowheads="1"/>
        </xdr:cNvSpPr>
      </xdr:nvSpPr>
      <xdr:spPr>
        <a:xfrm>
          <a:off x="1457325" y="29841825"/>
          <a:ext cx="9363075" cy="1212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xdr:twoCellAnchor>
  <xdr:twoCellAnchor>
    <xdr:from>
      <xdr:col>7</xdr:col>
      <xdr:colOff>9525</xdr:colOff>
      <xdr:row>6</xdr:row>
      <xdr:rowOff>76200</xdr:rowOff>
    </xdr:from>
    <xdr:to>
      <xdr:col>9</xdr:col>
      <xdr:colOff>0</xdr:colOff>
      <xdr:row>6</xdr:row>
      <xdr:rowOff>76200</xdr:rowOff>
    </xdr:to>
    <xdr:sp>
      <xdr:nvSpPr>
        <xdr:cNvPr id="29" name="Line 61"/>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30" name="Line 62"/>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1" name="Line 63"/>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32" name="Line 64"/>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76200</xdr:rowOff>
    </xdr:from>
    <xdr:to>
      <xdr:col>9</xdr:col>
      <xdr:colOff>0</xdr:colOff>
      <xdr:row>6</xdr:row>
      <xdr:rowOff>76200</xdr:rowOff>
    </xdr:to>
    <xdr:sp>
      <xdr:nvSpPr>
        <xdr:cNvPr id="33" name="Line 66"/>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34" name="Line 67"/>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5" name="Line 68"/>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36" name="Line 69"/>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76200</xdr:rowOff>
    </xdr:from>
    <xdr:to>
      <xdr:col>9</xdr:col>
      <xdr:colOff>0</xdr:colOff>
      <xdr:row>6</xdr:row>
      <xdr:rowOff>76200</xdr:rowOff>
    </xdr:to>
    <xdr:sp>
      <xdr:nvSpPr>
        <xdr:cNvPr id="37" name="Line 71"/>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38" name="Line 72"/>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9" name="Line 73"/>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0" name="Line 74"/>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xdr:row>
      <xdr:rowOff>76200</xdr:rowOff>
    </xdr:from>
    <xdr:to>
      <xdr:col>9</xdr:col>
      <xdr:colOff>0</xdr:colOff>
      <xdr:row>6</xdr:row>
      <xdr:rowOff>76200</xdr:rowOff>
    </xdr:to>
    <xdr:sp>
      <xdr:nvSpPr>
        <xdr:cNvPr id="41" name="Line 76"/>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42" name="Line 77"/>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43" name="Line 78"/>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4" name="Line 79"/>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65</xdr:row>
      <xdr:rowOff>57150</xdr:rowOff>
    </xdr:from>
    <xdr:to>
      <xdr:col>5</xdr:col>
      <xdr:colOff>0</xdr:colOff>
      <xdr:row>68</xdr:row>
      <xdr:rowOff>0</xdr:rowOff>
    </xdr:to>
    <xdr:sp>
      <xdr:nvSpPr>
        <xdr:cNvPr id="1" name="TextBox 6"/>
        <xdr:cNvSpPr txBox="1">
          <a:spLocks noChangeArrowheads="1"/>
        </xdr:cNvSpPr>
      </xdr:nvSpPr>
      <xdr:spPr>
        <a:xfrm>
          <a:off x="57150" y="8382000"/>
          <a:ext cx="557212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Consolidatedash Flow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0</xdr:col>
      <xdr:colOff>66675</xdr:colOff>
      <xdr:row>65</xdr:row>
      <xdr:rowOff>19050</xdr:rowOff>
    </xdr:from>
    <xdr:to>
      <xdr:col>5</xdr:col>
      <xdr:colOff>0</xdr:colOff>
      <xdr:row>68</xdr:row>
      <xdr:rowOff>57150</xdr:rowOff>
    </xdr:to>
    <xdr:sp>
      <xdr:nvSpPr>
        <xdr:cNvPr id="2" name="TextBox 19"/>
        <xdr:cNvSpPr txBox="1">
          <a:spLocks noChangeArrowheads="1"/>
        </xdr:cNvSpPr>
      </xdr:nvSpPr>
      <xdr:spPr>
        <a:xfrm>
          <a:off x="66675" y="8343900"/>
          <a:ext cx="55626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8</xdr:col>
      <xdr:colOff>19050</xdr:colOff>
      <xdr:row>39</xdr:row>
      <xdr:rowOff>19050</xdr:rowOff>
    </xdr:to>
    <xdr:sp>
      <xdr:nvSpPr>
        <xdr:cNvPr id="1" name="TextBox 3"/>
        <xdr:cNvSpPr txBox="1">
          <a:spLocks noChangeArrowheads="1"/>
        </xdr:cNvSpPr>
      </xdr:nvSpPr>
      <xdr:spPr>
        <a:xfrm>
          <a:off x="0" y="6181725"/>
          <a:ext cx="54768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2007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xdr:rowOff>
    </xdr:from>
    <xdr:to>
      <xdr:col>5</xdr:col>
      <xdr:colOff>771525</xdr:colOff>
      <xdr:row>53</xdr:row>
      <xdr:rowOff>19050</xdr:rowOff>
    </xdr:to>
    <xdr:sp>
      <xdr:nvSpPr>
        <xdr:cNvPr id="1" name="TextBox 2"/>
        <xdr:cNvSpPr txBox="1">
          <a:spLocks noChangeArrowheads="1"/>
        </xdr:cNvSpPr>
      </xdr:nvSpPr>
      <xdr:spPr>
        <a:xfrm>
          <a:off x="0" y="8296275"/>
          <a:ext cx="53530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2007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9</xdr:col>
      <xdr:colOff>0</xdr:colOff>
      <xdr:row>36</xdr:row>
      <xdr:rowOff>9525</xdr:rowOff>
    </xdr:to>
    <xdr:sp>
      <xdr:nvSpPr>
        <xdr:cNvPr id="1" name="TextBox 4"/>
        <xdr:cNvSpPr txBox="1">
          <a:spLocks noChangeArrowheads="1"/>
        </xdr:cNvSpPr>
      </xdr:nvSpPr>
      <xdr:spPr>
        <a:xfrm>
          <a:off x="133350" y="5619750"/>
          <a:ext cx="82200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31st January 2006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85725</xdr:rowOff>
    </xdr:from>
    <xdr:to>
      <xdr:col>4</xdr:col>
      <xdr:colOff>9525</xdr:colOff>
      <xdr:row>6</xdr:row>
      <xdr:rowOff>85725</xdr:rowOff>
    </xdr:to>
    <xdr:sp>
      <xdr:nvSpPr>
        <xdr:cNvPr id="1" name="Line 1"/>
        <xdr:cNvSpPr>
          <a:spLocks/>
        </xdr:cNvSpPr>
      </xdr:nvSpPr>
      <xdr:spPr>
        <a:xfrm flipV="1">
          <a:off x="3295650" y="1057275"/>
          <a:ext cx="1352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xdr:row>
      <xdr:rowOff>85725</xdr:rowOff>
    </xdr:from>
    <xdr:to>
      <xdr:col>8</xdr:col>
      <xdr:colOff>19050</xdr:colOff>
      <xdr:row>6</xdr:row>
      <xdr:rowOff>85725</xdr:rowOff>
    </xdr:to>
    <xdr:sp>
      <xdr:nvSpPr>
        <xdr:cNvPr id="2" name="Line 2"/>
        <xdr:cNvSpPr>
          <a:spLocks/>
        </xdr:cNvSpPr>
      </xdr:nvSpPr>
      <xdr:spPr>
        <a:xfrm flipV="1">
          <a:off x="4667250" y="1057275"/>
          <a:ext cx="2390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6</xdr:row>
      <xdr:rowOff>85725</xdr:rowOff>
    </xdr:from>
    <xdr:to>
      <xdr:col>8</xdr:col>
      <xdr:colOff>704850</xdr:colOff>
      <xdr:row>6</xdr:row>
      <xdr:rowOff>85725</xdr:rowOff>
    </xdr:to>
    <xdr:sp>
      <xdr:nvSpPr>
        <xdr:cNvPr id="3" name="Line 3"/>
        <xdr:cNvSpPr>
          <a:spLocks/>
        </xdr:cNvSpPr>
      </xdr:nvSpPr>
      <xdr:spPr>
        <a:xfrm>
          <a:off x="7067550" y="1057275"/>
          <a:ext cx="676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685800</xdr:colOff>
      <xdr:row>31</xdr:row>
      <xdr:rowOff>0</xdr:rowOff>
    </xdr:from>
    <xdr:ext cx="76200" cy="200025"/>
    <xdr:sp>
      <xdr:nvSpPr>
        <xdr:cNvPr id="4" name="TextBox 15"/>
        <xdr:cNvSpPr txBox="1">
          <a:spLocks noChangeArrowheads="1"/>
        </xdr:cNvSpPr>
      </xdr:nvSpPr>
      <xdr:spPr>
        <a:xfrm>
          <a:off x="7724775" y="486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38100</xdr:colOff>
      <xdr:row>109</xdr:row>
      <xdr:rowOff>47625</xdr:rowOff>
    </xdr:from>
    <xdr:to>
      <xdr:col>47</xdr:col>
      <xdr:colOff>114300</xdr:colOff>
      <xdr:row>110</xdr:row>
      <xdr:rowOff>152400</xdr:rowOff>
    </xdr:to>
    <xdr:sp>
      <xdr:nvSpPr>
        <xdr:cNvPr id="1" name="AutoShape 1"/>
        <xdr:cNvSpPr>
          <a:spLocks/>
        </xdr:cNvSpPr>
      </xdr:nvSpPr>
      <xdr:spPr>
        <a:xfrm>
          <a:off x="24669750" y="1758315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udit-server\AuditBackup\Documents%20and%20Settings\shyong\Desktop\Latest%20Consol%20worksheet%2023.03\Latest%20Consol%20wrksheet%2022.03\Qtr2-2006\jkconsol-2005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an%20YH.KYM\Local%20Settings\Temporary%20Internet%20Files\OLK1\TSM%20consol%20Q3%2031.10.2008%20-%20ivy's%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 PL"/>
      <sheetName val="Cond BS"/>
      <sheetName val="cf"/>
      <sheetName val="cf work"/>
      <sheetName val="equity"/>
      <sheetName val="det equity"/>
      <sheetName val="Fully diluted"/>
      <sheetName val="EPS"/>
      <sheetName val="pl"/>
      <sheetName val="adj"/>
      <sheetName val="Sheet1"/>
      <sheetName val="P&amp;L"/>
      <sheetName val="bs"/>
      <sheetName val="B. Sheet"/>
      <sheetName val="notes"/>
      <sheetName val="working"/>
      <sheetName val="seg"/>
      <sheetName val="segYTD"/>
      <sheetName val="je"/>
      <sheetName val="Proof of MI"/>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5">
        <row r="23">
          <cell r="D23">
            <v>53020</v>
          </cell>
          <cell r="E23">
            <v>3704</v>
          </cell>
          <cell r="F23">
            <v>377</v>
          </cell>
          <cell r="G23">
            <v>464</v>
          </cell>
          <cell r="H23">
            <v>515</v>
          </cell>
          <cell r="I23">
            <v>-996.9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S BS"/>
      <sheetName val="FRS PL"/>
      <sheetName val="FRS equity"/>
      <sheetName val="Gross Interest Income  Exp"/>
      <sheetName val="cf"/>
      <sheetName val="Cond PL"/>
      <sheetName val="Cond BS"/>
      <sheetName val="equity"/>
      <sheetName val="det equity"/>
      <sheetName val="cf work"/>
      <sheetName val="EPS"/>
      <sheetName val="adj"/>
      <sheetName val="Sheet1"/>
      <sheetName val="Fully diluted"/>
      <sheetName val="Source-FY07"/>
      <sheetName val="Source-FY06"/>
      <sheetName val="pl"/>
      <sheetName val="P&amp;L"/>
      <sheetName val="P&amp;L1"/>
      <sheetName val="B. Sheet"/>
      <sheetName val="bs"/>
      <sheetName val="Capital Commitment"/>
      <sheetName val="Cash flows breakdown"/>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working"/>
      <sheetName val="Proposed dividend"/>
      <sheetName val="PPE"/>
      <sheetName val="Proof of investment in asso co"/>
      <sheetName val="Prepaid lease"/>
      <sheetName val="Investment in ass"/>
      <sheetName val="disposal"/>
      <sheetName val="FA"/>
      <sheetName val="summary"/>
      <sheetName val="Announcement note"/>
    </sheetNames>
    <sheetDataSet>
      <sheetData sheetId="7">
        <row r="28">
          <cell r="F28">
            <v>0</v>
          </cell>
        </row>
      </sheetData>
      <sheetData sheetId="8">
        <row r="18">
          <cell r="A18" t="str">
            <v>Currency translation differences</v>
          </cell>
        </row>
        <row r="33">
          <cell r="F33">
            <v>0</v>
          </cell>
        </row>
      </sheetData>
      <sheetData sheetId="10">
        <row r="28">
          <cell r="G28">
            <v>11787.22</v>
          </cell>
        </row>
        <row r="30">
          <cell r="G30">
            <v>39363.46</v>
          </cell>
        </row>
      </sheetData>
      <sheetData sheetId="13">
        <row r="29">
          <cell r="I29">
            <v>11616.922167881867</v>
          </cell>
          <cell r="K29">
            <v>38794.74274014943</v>
          </cell>
        </row>
      </sheetData>
      <sheetData sheetId="17">
        <row r="9">
          <cell r="AA9">
            <v>208152471</v>
          </cell>
          <cell r="AC9">
            <v>65934153</v>
          </cell>
        </row>
        <row r="13">
          <cell r="AA13">
            <v>-143338146</v>
          </cell>
          <cell r="AC13">
            <v>-44717448</v>
          </cell>
        </row>
        <row r="14">
          <cell r="AA14">
            <v>-14277665</v>
          </cell>
          <cell r="AC14">
            <v>-4815610</v>
          </cell>
        </row>
        <row r="36">
          <cell r="AA36">
            <v>3288331</v>
          </cell>
          <cell r="AC36">
            <v>764292</v>
          </cell>
        </row>
        <row r="47">
          <cell r="AA47">
            <v>11126559</v>
          </cell>
          <cell r="AC47">
            <v>3881713</v>
          </cell>
        </row>
        <row r="51">
          <cell r="AA51">
            <v>151821</v>
          </cell>
          <cell r="AC51">
            <v>54895</v>
          </cell>
        </row>
        <row r="52">
          <cell r="AA52">
            <v>437099</v>
          </cell>
          <cell r="AC52">
            <v>188954</v>
          </cell>
        </row>
        <row r="53">
          <cell r="AA53">
            <v>87347</v>
          </cell>
          <cell r="AC53">
            <v>21977</v>
          </cell>
        </row>
        <row r="56">
          <cell r="AA56">
            <v>0</v>
          </cell>
          <cell r="AC56">
            <v>0</v>
          </cell>
        </row>
        <row r="57">
          <cell r="AA57">
            <v>0</v>
          </cell>
          <cell r="AC57">
            <v>0</v>
          </cell>
        </row>
        <row r="58">
          <cell r="AC58">
            <v>0</v>
          </cell>
        </row>
        <row r="61">
          <cell r="AA61">
            <v>1064145</v>
          </cell>
          <cell r="AC61">
            <v>375654</v>
          </cell>
        </row>
        <row r="63">
          <cell r="AA63">
            <v>0</v>
          </cell>
          <cell r="AC63">
            <v>0</v>
          </cell>
        </row>
        <row r="64">
          <cell r="AA64">
            <v>2142313</v>
          </cell>
          <cell r="AC64">
            <v>430761</v>
          </cell>
        </row>
        <row r="76">
          <cell r="AA76">
            <v>0</v>
          </cell>
          <cell r="AC76">
            <v>0</v>
          </cell>
        </row>
        <row r="81">
          <cell r="AA81">
            <v>-9765763</v>
          </cell>
          <cell r="AC81">
            <v>-2781661</v>
          </cell>
        </row>
        <row r="86">
          <cell r="AA86">
            <v>-12390232.4</v>
          </cell>
          <cell r="AC86">
            <v>-4019600.4000000004</v>
          </cell>
        </row>
        <row r="92">
          <cell r="AA92">
            <v>20944337.6</v>
          </cell>
          <cell r="AC92">
            <v>6271693.6000000015</v>
          </cell>
        </row>
      </sheetData>
      <sheetData sheetId="19">
        <row r="10">
          <cell r="Z10">
            <v>41270128</v>
          </cell>
        </row>
        <row r="12">
          <cell r="Z12">
            <v>2786086</v>
          </cell>
        </row>
        <row r="14">
          <cell r="Z14">
            <v>394800</v>
          </cell>
        </row>
        <row r="16">
          <cell r="Z16">
            <v>2101668</v>
          </cell>
        </row>
        <row r="22">
          <cell r="Z22">
            <v>-0.20010000467300415</v>
          </cell>
        </row>
        <row r="23">
          <cell r="Z23">
            <v>12015403</v>
          </cell>
        </row>
        <row r="32">
          <cell r="Z32">
            <v>37937806</v>
          </cell>
        </row>
        <row r="33">
          <cell r="Z33">
            <v>50101132</v>
          </cell>
        </row>
        <row r="34">
          <cell r="Z34">
            <v>0</v>
          </cell>
        </row>
        <row r="35">
          <cell r="Z35">
            <v>6521152</v>
          </cell>
        </row>
        <row r="36">
          <cell r="Z36">
            <v>1991</v>
          </cell>
        </row>
        <row r="39">
          <cell r="Z39">
            <v>0</v>
          </cell>
        </row>
        <row r="40">
          <cell r="Z40">
            <v>8776</v>
          </cell>
        </row>
        <row r="44">
          <cell r="Z44">
            <v>80486904</v>
          </cell>
        </row>
        <row r="45">
          <cell r="Z45">
            <v>29529869</v>
          </cell>
        </row>
        <row r="51">
          <cell r="Z51">
            <v>29090310</v>
          </cell>
        </row>
        <row r="52">
          <cell r="Z52">
            <v>15267813</v>
          </cell>
        </row>
        <row r="54">
          <cell r="Z54">
            <v>0</v>
          </cell>
        </row>
        <row r="59">
          <cell r="Z59">
            <v>0</v>
          </cell>
        </row>
        <row r="60">
          <cell r="Z60">
            <v>1140000</v>
          </cell>
        </row>
        <row r="62">
          <cell r="Z62">
            <v>4856341</v>
          </cell>
        </row>
        <row r="63">
          <cell r="Z63">
            <v>0</v>
          </cell>
        </row>
        <row r="74">
          <cell r="Z74">
            <v>53465900</v>
          </cell>
        </row>
        <row r="76">
          <cell r="Z76">
            <v>43248484.39989999</v>
          </cell>
        </row>
        <row r="77">
          <cell r="Z77">
            <v>20944337.6</v>
          </cell>
        </row>
        <row r="78">
          <cell r="Z78">
            <v>-2658295</v>
          </cell>
        </row>
        <row r="79">
          <cell r="Z79">
            <v>-411791</v>
          </cell>
        </row>
        <row r="80">
          <cell r="Z80">
            <v>3715075</v>
          </cell>
        </row>
        <row r="82">
          <cell r="Z82">
            <v>282692</v>
          </cell>
        </row>
        <row r="83">
          <cell r="Z83">
            <v>1747187</v>
          </cell>
        </row>
        <row r="84">
          <cell r="Z84">
            <v>1312605</v>
          </cell>
        </row>
        <row r="86">
          <cell r="Z86">
            <v>0</v>
          </cell>
        </row>
        <row r="90">
          <cell r="Z90">
            <v>84424707.80000001</v>
          </cell>
        </row>
        <row r="94">
          <cell r="Z94">
            <v>5347348</v>
          </cell>
        </row>
        <row r="96">
          <cell r="Z96">
            <v>1383000</v>
          </cell>
        </row>
      </sheetData>
      <sheetData sheetId="45">
        <row r="18">
          <cell r="P18">
            <v>9000.424</v>
          </cell>
          <cell r="W18">
            <v>-5656.06906</v>
          </cell>
        </row>
        <row r="28">
          <cell r="U28">
            <v>-3315.4739999999947</v>
          </cell>
        </row>
        <row r="29">
          <cell r="U29">
            <v>-2422.201999999998</v>
          </cell>
        </row>
        <row r="30">
          <cell r="U30">
            <v>-2040.9279999999999</v>
          </cell>
        </row>
        <row r="32">
          <cell r="J32">
            <v>34083</v>
          </cell>
        </row>
        <row r="33">
          <cell r="J33">
            <v>38638</v>
          </cell>
        </row>
        <row r="38">
          <cell r="U38">
            <v>12115.310000000001</v>
          </cell>
        </row>
        <row r="39">
          <cell r="U39">
            <v>-583.1869999999999</v>
          </cell>
        </row>
        <row r="41">
          <cell r="Y41">
            <v>-2000</v>
          </cell>
        </row>
        <row r="45">
          <cell r="U45">
            <v>-6875.9439999999995</v>
          </cell>
        </row>
        <row r="54">
          <cell r="Y54">
            <v>299.90000000000146</v>
          </cell>
        </row>
        <row r="59">
          <cell r="Y59">
            <v>-2000</v>
          </cell>
        </row>
        <row r="60">
          <cell r="Y60">
            <v>-2658.295</v>
          </cell>
        </row>
        <row r="62">
          <cell r="U62">
            <v>43099.91179990001</v>
          </cell>
        </row>
        <row r="78">
          <cell r="Y78">
            <v>0</v>
          </cell>
        </row>
        <row r="82">
          <cell r="Y82">
            <v>-853.652</v>
          </cell>
        </row>
        <row r="89">
          <cell r="U89">
            <v>0</v>
          </cell>
        </row>
        <row r="90">
          <cell r="O90">
            <v>0</v>
          </cell>
        </row>
        <row r="91">
          <cell r="P91">
            <v>84.512</v>
          </cell>
        </row>
        <row r="92">
          <cell r="P92">
            <v>1135.25</v>
          </cell>
        </row>
        <row r="93">
          <cell r="W93">
            <v>90.94306</v>
          </cell>
        </row>
        <row r="94">
          <cell r="W94">
            <v>3405.75</v>
          </cell>
        </row>
        <row r="95">
          <cell r="P95">
            <v>134.93</v>
          </cell>
        </row>
        <row r="99">
          <cell r="U99">
            <v>0.6</v>
          </cell>
        </row>
        <row r="100">
          <cell r="O100">
            <v>0</v>
          </cell>
        </row>
        <row r="101">
          <cell r="O101">
            <v>676.267</v>
          </cell>
        </row>
        <row r="102">
          <cell r="P102">
            <v>676.267</v>
          </cell>
        </row>
        <row r="103">
          <cell r="U103">
            <v>-1837.8</v>
          </cell>
        </row>
        <row r="105">
          <cell r="U105">
            <v>0</v>
          </cell>
        </row>
        <row r="106">
          <cell r="U106">
            <v>0</v>
          </cell>
        </row>
        <row r="107">
          <cell r="W107">
            <v>1186</v>
          </cell>
        </row>
        <row r="108">
          <cell r="U108">
            <v>-2142.313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27"/>
  <sheetViews>
    <sheetView tabSelected="1" workbookViewId="0" topLeftCell="A22">
      <selection activeCell="B36" sqref="B36"/>
    </sheetView>
  </sheetViews>
  <sheetFormatPr defaultColWidth="9.140625" defaultRowHeight="12.75"/>
  <cols>
    <col min="1" max="1" width="36.28125" style="2" customWidth="1"/>
    <col min="2" max="2" width="23.421875" style="2" customWidth="1"/>
    <col min="3" max="3" width="3.8515625" style="2" customWidth="1"/>
    <col min="4" max="4" width="15.8515625" style="2" customWidth="1"/>
    <col min="5" max="5" width="3.28125" style="2" customWidth="1"/>
    <col min="6" max="6" width="15.8515625" style="304" customWidth="1"/>
    <col min="7" max="7" width="4.7109375" style="2" customWidth="1"/>
    <col min="8" max="8" width="11.28125" style="60" customWidth="1"/>
    <col min="9" max="9" width="8.8515625" style="60" customWidth="1"/>
    <col min="10" max="16384" width="8.8515625" style="2" customWidth="1"/>
  </cols>
  <sheetData>
    <row r="1" spans="1:3" ht="18.75">
      <c r="A1" s="175" t="s">
        <v>159</v>
      </c>
      <c r="B1" s="175"/>
      <c r="C1" s="175"/>
    </row>
    <row r="3" spans="1:3" ht="15.75">
      <c r="A3" s="174" t="s">
        <v>340</v>
      </c>
      <c r="B3" s="59"/>
      <c r="C3" s="59"/>
    </row>
    <row r="4" spans="1:3" ht="15.75">
      <c r="A4" s="174" t="s">
        <v>814</v>
      </c>
      <c r="B4" s="59"/>
      <c r="C4" s="59"/>
    </row>
    <row r="6" spans="4:6" ht="12.75">
      <c r="D6" s="517" t="s">
        <v>717</v>
      </c>
      <c r="E6" s="61"/>
      <c r="F6" s="517" t="s">
        <v>719</v>
      </c>
    </row>
    <row r="7" spans="4:6" ht="12.75">
      <c r="D7" s="518" t="s">
        <v>718</v>
      </c>
      <c r="E7" s="61"/>
      <c r="F7" s="518" t="s">
        <v>721</v>
      </c>
    </row>
    <row r="8" spans="4:6" ht="12.75">
      <c r="D8" s="518" t="s">
        <v>23</v>
      </c>
      <c r="E8" s="61"/>
      <c r="F8" s="518" t="s">
        <v>720</v>
      </c>
    </row>
    <row r="9" spans="4:6" ht="12.75">
      <c r="D9" s="680" t="s">
        <v>815</v>
      </c>
      <c r="E9" s="163"/>
      <c r="F9" s="680" t="s">
        <v>816</v>
      </c>
    </row>
    <row r="10" spans="2:8" ht="12.75">
      <c r="B10" s="150"/>
      <c r="D10" s="519" t="s">
        <v>87</v>
      </c>
      <c r="E10" s="61"/>
      <c r="F10" s="519" t="s">
        <v>87</v>
      </c>
      <c r="H10" s="72"/>
    </row>
    <row r="11" spans="1:5" ht="12.75">
      <c r="A11" s="375" t="s">
        <v>817</v>
      </c>
      <c r="B11" s="304"/>
      <c r="C11" s="304"/>
      <c r="D11" s="304"/>
      <c r="E11" s="304"/>
    </row>
    <row r="12" spans="1:5" ht="12.75">
      <c r="A12" s="375" t="s">
        <v>818</v>
      </c>
      <c r="B12" s="304"/>
      <c r="C12" s="304"/>
      <c r="D12" s="304"/>
      <c r="E12" s="304"/>
    </row>
    <row r="13" spans="1:8" ht="12.75">
      <c r="A13" s="2" t="s">
        <v>745</v>
      </c>
      <c r="B13" s="164"/>
      <c r="D13" s="520">
        <f>ROUND('[2]B. Sheet'!Z10,0)/1000</f>
        <v>41270.128</v>
      </c>
      <c r="E13" s="3"/>
      <c r="F13" s="520">
        <v>44594</v>
      </c>
      <c r="G13" s="22"/>
      <c r="H13" s="154"/>
    </row>
    <row r="14" spans="1:8" ht="12.75" hidden="1">
      <c r="A14" s="2" t="s">
        <v>779</v>
      </c>
      <c r="D14" s="521">
        <v>0</v>
      </c>
      <c r="E14" s="3"/>
      <c r="F14" s="521">
        <v>0</v>
      </c>
      <c r="G14" s="22"/>
      <c r="H14" s="154"/>
    </row>
    <row r="15" spans="1:8" ht="12.75">
      <c r="A15" s="2" t="s">
        <v>819</v>
      </c>
      <c r="D15" s="521">
        <f>ROUND('[2]B. Sheet'!Z12,0)/1000</f>
        <v>2786.086</v>
      </c>
      <c r="E15" s="3"/>
      <c r="F15" s="521">
        <v>2813</v>
      </c>
      <c r="G15" s="22"/>
      <c r="H15" s="154"/>
    </row>
    <row r="16" spans="1:10" ht="12.75">
      <c r="A16" s="2" t="s">
        <v>820</v>
      </c>
      <c r="D16" s="521">
        <f>ROUND('[2]B. Sheet'!Z23,0)/1000</f>
        <v>12015.403</v>
      </c>
      <c r="E16" s="3"/>
      <c r="F16" s="521">
        <v>10149</v>
      </c>
      <c r="G16" s="22"/>
      <c r="H16" s="154"/>
      <c r="J16" s="467"/>
    </row>
    <row r="17" spans="1:8" ht="12.75">
      <c r="A17" s="2" t="s">
        <v>821</v>
      </c>
      <c r="D17" s="521">
        <f>ROUND('[2]B. Sheet'!Z14,0)/1000</f>
        <v>394.8</v>
      </c>
      <c r="E17" s="3"/>
      <c r="F17" s="521">
        <v>2665</v>
      </c>
      <c r="G17" s="22"/>
      <c r="H17" s="154"/>
    </row>
    <row r="18" spans="4:6" ht="12.75">
      <c r="D18" s="522">
        <f>SUM(D13:D17)</f>
        <v>56466.417</v>
      </c>
      <c r="E18" s="3"/>
      <c r="F18" s="522">
        <f>SUM(F13:F17)</f>
        <v>60221</v>
      </c>
    </row>
    <row r="19" spans="1:6" ht="12.75">
      <c r="A19" s="304"/>
      <c r="B19" s="304"/>
      <c r="C19" s="304"/>
      <c r="D19" s="372"/>
      <c r="E19" s="372"/>
      <c r="F19" s="372"/>
    </row>
    <row r="20" spans="1:6" ht="12.75">
      <c r="A20" s="375" t="s">
        <v>268</v>
      </c>
      <c r="B20" s="304"/>
      <c r="C20" s="304"/>
      <c r="D20" s="372"/>
      <c r="E20" s="372"/>
      <c r="F20" s="372"/>
    </row>
    <row r="21" spans="1:8" ht="12.75">
      <c r="A21" s="2" t="s">
        <v>238</v>
      </c>
      <c r="B21" s="15"/>
      <c r="C21" s="15"/>
      <c r="D21" s="520">
        <f>ROUND('[2]B. Sheet'!Z32+'[2]B. Sheet'!Z16,0)/1000</f>
        <v>40039.474</v>
      </c>
      <c r="E21" s="3"/>
      <c r="F21" s="520">
        <v>36724</v>
      </c>
      <c r="G21" s="22"/>
      <c r="H21" s="154"/>
    </row>
    <row r="22" spans="1:9" ht="12.75">
      <c r="A22" s="2" t="s">
        <v>722</v>
      </c>
      <c r="B22" s="15"/>
      <c r="C22" s="15"/>
      <c r="D22" s="521">
        <f>ROUND('[2]B. Sheet'!Z33+'[2]B. Sheet'!Z34+'[2]B. Sheet'!Z35+1+'[2]B. Sheet'!Z39+'[2]B. Sheet'!Z22+'[2]B. Sheet'!Z40,0)/1000</f>
        <v>56631.061</v>
      </c>
      <c r="E22" s="3"/>
      <c r="F22" s="521">
        <f>47544+4485+4</f>
        <v>52033</v>
      </c>
      <c r="G22" s="22"/>
      <c r="H22" s="154"/>
      <c r="I22" s="154"/>
    </row>
    <row r="23" spans="1:8" ht="12.75">
      <c r="A23" s="2" t="s">
        <v>514</v>
      </c>
      <c r="B23" s="15"/>
      <c r="C23" s="15"/>
      <c r="D23" s="521">
        <f>ROUND('[2]B. Sheet'!Z36,0)/1000</f>
        <v>1.991</v>
      </c>
      <c r="E23" s="3"/>
      <c r="F23" s="521">
        <v>303</v>
      </c>
      <c r="G23" s="22"/>
      <c r="H23" s="154"/>
    </row>
    <row r="24" spans="1:8" ht="12.75">
      <c r="A24" s="2" t="s">
        <v>723</v>
      </c>
      <c r="B24" s="15"/>
      <c r="C24" s="15"/>
      <c r="D24" s="521">
        <f>ROUND('[2]B. Sheet'!Z44+'[2]B. Sheet'!Z45,0)/1000</f>
        <v>110016.773</v>
      </c>
      <c r="E24" s="3"/>
      <c r="F24" s="521">
        <f>34083+38638</f>
        <v>72721</v>
      </c>
      <c r="G24" s="22"/>
      <c r="H24" s="154"/>
    </row>
    <row r="25" spans="1:6" ht="12.75">
      <c r="A25" s="15"/>
      <c r="B25" s="15"/>
      <c r="C25" s="15"/>
      <c r="D25" s="522">
        <f>SUM(D21:D24)</f>
        <v>206689.299</v>
      </c>
      <c r="E25" s="3"/>
      <c r="F25" s="522">
        <f>SUM(F21:F24)</f>
        <v>161781</v>
      </c>
    </row>
    <row r="26" spans="1:5" ht="12.75">
      <c r="A26" s="304"/>
      <c r="B26" s="304"/>
      <c r="C26" s="304"/>
      <c r="D26" s="304"/>
      <c r="E26" s="304"/>
    </row>
    <row r="27" spans="1:6" ht="12.75">
      <c r="A27" s="375"/>
      <c r="B27" s="304"/>
      <c r="C27" s="304"/>
      <c r="D27" s="372"/>
      <c r="E27" s="372"/>
      <c r="F27" s="372"/>
    </row>
    <row r="28" spans="1:6" ht="13.5" thickBot="1">
      <c r="A28" s="382" t="s">
        <v>822</v>
      </c>
      <c r="B28" s="22"/>
      <c r="C28" s="22"/>
      <c r="D28" s="524">
        <f>D18+D25</f>
        <v>263155.716</v>
      </c>
      <c r="E28" s="177"/>
      <c r="F28" s="524">
        <f>F18+F25</f>
        <v>222002</v>
      </c>
    </row>
    <row r="29" spans="1:6" ht="13.5" thickTop="1">
      <c r="A29" s="304"/>
      <c r="B29" s="304"/>
      <c r="C29" s="304"/>
      <c r="D29" s="372"/>
      <c r="E29" s="372"/>
      <c r="F29" s="372"/>
    </row>
    <row r="30" spans="1:6" ht="12.75">
      <c r="A30" s="304"/>
      <c r="B30" s="304"/>
      <c r="C30" s="304"/>
      <c r="D30" s="372"/>
      <c r="E30" s="372"/>
      <c r="F30" s="372"/>
    </row>
    <row r="31" spans="1:6" ht="12.75">
      <c r="A31" s="375"/>
      <c r="B31" s="304"/>
      <c r="C31" s="304"/>
      <c r="D31" s="372"/>
      <c r="E31" s="372"/>
      <c r="F31" s="372"/>
    </row>
    <row r="32" spans="1:8" ht="12.75">
      <c r="A32" s="375" t="s">
        <v>823</v>
      </c>
      <c r="B32" s="304"/>
      <c r="C32" s="304"/>
      <c r="D32" s="372"/>
      <c r="E32" s="372"/>
      <c r="F32" s="372"/>
      <c r="G32" s="22"/>
      <c r="H32" s="154"/>
    </row>
    <row r="33" spans="1:8" ht="12.75">
      <c r="A33" s="2" t="s">
        <v>336</v>
      </c>
      <c r="D33" s="520">
        <f>ROUND('[2]B. Sheet'!Z74,0)/1000</f>
        <v>53465.9</v>
      </c>
      <c r="E33" s="45"/>
      <c r="F33" s="520">
        <v>53166</v>
      </c>
      <c r="G33" s="22"/>
      <c r="H33" s="154"/>
    </row>
    <row r="34" spans="1:10" ht="12.75">
      <c r="A34" s="2" t="s">
        <v>795</v>
      </c>
      <c r="D34" s="525">
        <f>ROUND('[2]B. Sheet'!Z76+'[2]B. Sheet'!Z77+'[2]B. Sheet'!Z79+'[2]B. Sheet'!Z80+'[2]B. Sheet'!Z82+'[2]B. Sheet'!Z83+'[2]B. Sheet'!Z84+'[2]B. Sheet'!Z86+'[2]B. Sheet'!Z78,0)/1000</f>
        <v>68180.295</v>
      </c>
      <c r="E34" s="45"/>
      <c r="F34" s="525">
        <f>3715+1335+377+414+43247</f>
        <v>49088</v>
      </c>
      <c r="G34" s="22"/>
      <c r="H34" s="154"/>
      <c r="J34" s="22"/>
    </row>
    <row r="35" spans="2:8" ht="12.75">
      <c r="B35" s="15"/>
      <c r="C35" s="15"/>
      <c r="D35" s="521">
        <f>SUM(D33:D34)</f>
        <v>121646.195</v>
      </c>
      <c r="E35" s="3"/>
      <c r="F35" s="521">
        <f>SUM(F33:F34)</f>
        <v>102254</v>
      </c>
      <c r="G35" s="22"/>
      <c r="H35" s="154"/>
    </row>
    <row r="36" spans="2:8" ht="12.75">
      <c r="B36" s="15"/>
      <c r="C36" s="15"/>
      <c r="D36" s="521"/>
      <c r="E36" s="3"/>
      <c r="F36" s="521"/>
      <c r="G36" s="22"/>
      <c r="H36" s="154"/>
    </row>
    <row r="37" spans="1:9" ht="12.75">
      <c r="A37" s="59" t="s">
        <v>767</v>
      </c>
      <c r="D37" s="521">
        <f>ROUND('[2]B. Sheet'!Z90,0)/1000</f>
        <v>84424.708</v>
      </c>
      <c r="E37" s="3"/>
      <c r="F37" s="521">
        <v>73435</v>
      </c>
      <c r="G37" s="22"/>
      <c r="H37" s="154"/>
      <c r="I37" s="154"/>
    </row>
    <row r="38" spans="4:8" ht="12.75">
      <c r="D38" s="526"/>
      <c r="F38" s="526"/>
      <c r="G38" s="22"/>
      <c r="H38" s="154"/>
    </row>
    <row r="39" spans="1:8" ht="12.75">
      <c r="A39" s="59" t="s">
        <v>406</v>
      </c>
      <c r="D39" s="522">
        <f>SUM(D35:D38)</f>
        <v>206070.903</v>
      </c>
      <c r="E39" s="177"/>
      <c r="F39" s="522">
        <f>SUM(F35:F38)</f>
        <v>175689</v>
      </c>
      <c r="G39" s="22"/>
      <c r="H39" s="154"/>
    </row>
    <row r="40" spans="1:6" ht="12.75">
      <c r="A40" s="304"/>
      <c r="B40" s="304"/>
      <c r="C40" s="304"/>
      <c r="D40" s="476"/>
      <c r="E40" s="476"/>
      <c r="F40" s="372"/>
    </row>
    <row r="41" spans="1:6" ht="12.75">
      <c r="A41" s="375" t="s">
        <v>824</v>
      </c>
      <c r="B41" s="304"/>
      <c r="C41" s="304"/>
      <c r="D41" s="372"/>
      <c r="E41" s="372"/>
      <c r="F41" s="372"/>
    </row>
    <row r="42" spans="1:8" ht="12.75">
      <c r="A42" s="2" t="s">
        <v>635</v>
      </c>
      <c r="B42" s="164"/>
      <c r="D42" s="520">
        <f>ROUND('[2]B. Sheet'!Z94,0)/1000</f>
        <v>5347.348</v>
      </c>
      <c r="E42" s="3"/>
      <c r="F42" s="520">
        <v>6201</v>
      </c>
      <c r="G42" s="22"/>
      <c r="H42" s="154"/>
    </row>
    <row r="43" spans="1:8" ht="12.75">
      <c r="A43" s="2" t="s">
        <v>239</v>
      </c>
      <c r="D43" s="525">
        <f>ROUND('[2]B. Sheet'!Z96,0)/1000</f>
        <v>1383</v>
      </c>
      <c r="E43" s="3"/>
      <c r="F43" s="525">
        <v>1383</v>
      </c>
      <c r="G43" s="22"/>
      <c r="H43" s="154"/>
    </row>
    <row r="44" spans="1:8" ht="12.75">
      <c r="A44" s="15"/>
      <c r="D44" s="525">
        <f>SUM(D42:D43)</f>
        <v>6730.348</v>
      </c>
      <c r="E44" s="3"/>
      <c r="F44" s="525">
        <f>SUM(F42:F43)</f>
        <v>7584</v>
      </c>
      <c r="G44" s="22"/>
      <c r="H44" s="154"/>
    </row>
    <row r="45" spans="1:6" ht="12.75">
      <c r="A45" s="304"/>
      <c r="B45" s="304"/>
      <c r="C45" s="304"/>
      <c r="D45" s="476"/>
      <c r="E45" s="476"/>
      <c r="F45" s="372"/>
    </row>
    <row r="46" spans="1:6" ht="12.75">
      <c r="A46" s="375" t="s">
        <v>229</v>
      </c>
      <c r="B46" s="304"/>
      <c r="C46" s="304"/>
      <c r="D46" s="372"/>
      <c r="E46" s="372"/>
      <c r="F46" s="372"/>
    </row>
    <row r="47" spans="1:8" ht="12.75">
      <c r="A47" s="2" t="s">
        <v>725</v>
      </c>
      <c r="D47" s="520">
        <f>ROUND('[2]B. Sheet'!Z51+'[2]B. Sheet'!Z52+'[2]B. Sheet'!Z54+'[2]B. Sheet'!Z63,0)/1000</f>
        <v>44358.123</v>
      </c>
      <c r="E47" s="3"/>
      <c r="F47" s="520">
        <f>16975+15432</f>
        <v>32407</v>
      </c>
      <c r="G47" s="22"/>
      <c r="H47" s="154"/>
    </row>
    <row r="48" spans="1:8" ht="12.75">
      <c r="A48" s="2" t="s">
        <v>635</v>
      </c>
      <c r="B48" s="164"/>
      <c r="C48" s="15"/>
      <c r="D48" s="521">
        <f>ROUND('[2]B. Sheet'!Z59+'[2]B. Sheet'!Z60,0)/1000</f>
        <v>1140</v>
      </c>
      <c r="E48" s="3"/>
      <c r="F48" s="521">
        <v>3140</v>
      </c>
      <c r="G48" s="22"/>
      <c r="H48" s="154"/>
    </row>
    <row r="49" spans="1:8" ht="12.75" hidden="1">
      <c r="A49" s="2" t="s">
        <v>197</v>
      </c>
      <c r="B49" s="164"/>
      <c r="C49" s="15"/>
      <c r="D49" s="521">
        <v>0</v>
      </c>
      <c r="E49" s="3"/>
      <c r="F49" s="521">
        <v>0</v>
      </c>
      <c r="H49" s="154"/>
    </row>
    <row r="50" spans="1:9" ht="12.75">
      <c r="A50" s="2" t="s">
        <v>294</v>
      </c>
      <c r="B50" s="15"/>
      <c r="C50" s="15"/>
      <c r="D50" s="521">
        <f>ROUND('[2]B. Sheet'!Z62,0)/1000</f>
        <v>4856.341</v>
      </c>
      <c r="E50" s="3"/>
      <c r="F50" s="521">
        <v>3182</v>
      </c>
      <c r="G50" s="22"/>
      <c r="H50" s="154"/>
      <c r="I50" s="154"/>
    </row>
    <row r="51" spans="1:8" ht="12.75">
      <c r="A51" s="15"/>
      <c r="B51" s="15"/>
      <c r="C51" s="15"/>
      <c r="D51" s="522">
        <f>SUM(D47:D50)</f>
        <v>50354.464</v>
      </c>
      <c r="E51" s="3"/>
      <c r="F51" s="522">
        <f>SUM(F47:F50)</f>
        <v>38729</v>
      </c>
      <c r="G51" s="22"/>
      <c r="H51" s="154"/>
    </row>
    <row r="52" spans="1:8" ht="12.75">
      <c r="A52" s="480"/>
      <c r="B52" s="480"/>
      <c r="C52" s="480"/>
      <c r="D52" s="370"/>
      <c r="E52" s="372"/>
      <c r="F52" s="370"/>
      <c r="G52" s="22"/>
      <c r="H52" s="154"/>
    </row>
    <row r="53" spans="1:8" ht="12.75">
      <c r="A53" s="375" t="s">
        <v>825</v>
      </c>
      <c r="B53" s="480"/>
      <c r="C53" s="480"/>
      <c r="D53" s="370">
        <f>D44+D51</f>
        <v>57084.812</v>
      </c>
      <c r="E53" s="372"/>
      <c r="F53" s="370">
        <f>F44+F51</f>
        <v>46313</v>
      </c>
      <c r="G53" s="22"/>
      <c r="H53" s="154"/>
    </row>
    <row r="54" spans="1:8" ht="12.75">
      <c r="A54" s="480"/>
      <c r="B54" s="480"/>
      <c r="C54" s="480"/>
      <c r="D54" s="370"/>
      <c r="E54" s="372"/>
      <c r="F54" s="370"/>
      <c r="G54" s="22"/>
      <c r="H54" s="154"/>
    </row>
    <row r="55" spans="1:8" ht="13.5" thickBot="1">
      <c r="A55" s="59" t="s">
        <v>826</v>
      </c>
      <c r="B55" s="15"/>
      <c r="C55" s="15"/>
      <c r="D55" s="524">
        <f>D39+D44+D51</f>
        <v>263155.71499999997</v>
      </c>
      <c r="E55" s="3"/>
      <c r="F55" s="524">
        <f>F39+F44+F51</f>
        <v>222002</v>
      </c>
      <c r="G55" s="22"/>
      <c r="H55" s="154"/>
    </row>
    <row r="56" spans="1:8" ht="13.5" thickTop="1">
      <c r="A56" s="375"/>
      <c r="B56" s="480"/>
      <c r="C56" s="480"/>
      <c r="D56" s="689"/>
      <c r="E56" s="372"/>
      <c r="F56" s="689"/>
      <c r="G56" s="22"/>
      <c r="H56" s="154"/>
    </row>
    <row r="57" spans="1:7" ht="12.75">
      <c r="A57" s="375"/>
      <c r="B57" s="480"/>
      <c r="C57" s="480"/>
      <c r="D57" s="689"/>
      <c r="E57" s="372"/>
      <c r="F57" s="689"/>
      <c r="G57" s="22"/>
    </row>
    <row r="58" spans="1:7" ht="12.75">
      <c r="A58" s="2" t="s">
        <v>827</v>
      </c>
      <c r="B58" s="15"/>
      <c r="C58" s="15"/>
      <c r="D58" s="383">
        <f>D35/D33</f>
        <v>2.275210835317464</v>
      </c>
      <c r="E58" s="3"/>
      <c r="F58" s="528">
        <f>F35/F33</f>
        <v>1.9232968438475717</v>
      </c>
      <c r="G58" s="22"/>
    </row>
    <row r="59" spans="1:7" ht="12.75">
      <c r="A59" s="15"/>
      <c r="B59" s="15"/>
      <c r="C59" s="15"/>
      <c r="D59" s="45"/>
      <c r="E59" s="3"/>
      <c r="F59" s="370"/>
      <c r="G59" s="22"/>
    </row>
    <row r="60" spans="1:6" ht="12.75">
      <c r="A60" s="15"/>
      <c r="B60" s="15"/>
      <c r="C60" s="15"/>
      <c r="D60" s="45"/>
      <c r="E60" s="3"/>
      <c r="F60" s="370"/>
    </row>
    <row r="61" spans="4:6" ht="12.75">
      <c r="D61" s="18"/>
      <c r="E61" s="18"/>
      <c r="F61" s="372"/>
    </row>
    <row r="62" spans="4:17" ht="12.75">
      <c r="D62" s="18"/>
      <c r="E62" s="18"/>
      <c r="F62" s="372"/>
      <c r="Q62" s="21"/>
    </row>
    <row r="63" spans="4:6" ht="12.75">
      <c r="D63" s="18"/>
      <c r="E63" s="18"/>
      <c r="F63" s="372"/>
    </row>
    <row r="64" spans="4:6" ht="12.75">
      <c r="D64" s="18"/>
      <c r="E64" s="18"/>
      <c r="F64" s="372"/>
    </row>
    <row r="65" spans="1:6" ht="12.75" hidden="1">
      <c r="A65" s="507" t="s">
        <v>828</v>
      </c>
      <c r="B65" s="507"/>
      <c r="C65" s="507"/>
      <c r="D65" s="514">
        <f>+D28-D55</f>
        <v>0.0010000000474974513</v>
      </c>
      <c r="E65" s="508"/>
      <c r="F65" s="511">
        <f>+F28-F55</f>
        <v>0</v>
      </c>
    </row>
    <row r="66" spans="4:6" ht="12.75">
      <c r="D66" s="18"/>
      <c r="E66" s="18"/>
      <c r="F66" s="372"/>
    </row>
    <row r="67" spans="1:6" ht="12.75" hidden="1">
      <c r="A67" s="153" t="s">
        <v>142</v>
      </c>
      <c r="D67" s="269">
        <f>D28-D55</f>
        <v>0.0010000000474974513</v>
      </c>
      <c r="E67" s="153"/>
      <c r="F67" s="372">
        <f>F28-F55</f>
        <v>0</v>
      </c>
    </row>
    <row r="68" spans="4:6" ht="12.75" hidden="1">
      <c r="D68" s="15"/>
      <c r="E68" s="15"/>
      <c r="F68" s="480"/>
    </row>
    <row r="69" spans="1:6" ht="12.75" hidden="1">
      <c r="A69" s="15" t="s">
        <v>599</v>
      </c>
      <c r="D69" s="220" t="e">
        <f>+ROUND(#REF!,0)</f>
        <v>#REF!</v>
      </c>
      <c r="E69" s="220"/>
      <c r="F69" s="481">
        <v>15780</v>
      </c>
    </row>
    <row r="70" spans="1:6" ht="12.75" hidden="1">
      <c r="A70" s="15" t="s">
        <v>598</v>
      </c>
      <c r="D70" s="220" t="e">
        <f>ROUND(#REF!,0)</f>
        <v>#REF!</v>
      </c>
      <c r="E70" s="220"/>
      <c r="F70" s="481">
        <v>3400</v>
      </c>
    </row>
    <row r="71" spans="1:6" ht="12.75" hidden="1">
      <c r="A71" s="15"/>
      <c r="D71" s="221" t="e">
        <f>SUM(D69:D70)</f>
        <v>#REF!</v>
      </c>
      <c r="E71" s="15"/>
      <c r="F71" s="482">
        <f>SUM(F69:F70)</f>
        <v>19180</v>
      </c>
    </row>
    <row r="72" spans="1:6" ht="12.75" hidden="1">
      <c r="A72" s="15" t="s">
        <v>597</v>
      </c>
      <c r="D72" s="250">
        <v>0</v>
      </c>
      <c r="E72" s="15"/>
      <c r="F72" s="484"/>
    </row>
    <row r="73" spans="1:6" ht="13.5" hidden="1" thickBot="1">
      <c r="A73" s="15" t="s">
        <v>723</v>
      </c>
      <c r="D73" s="222" t="e">
        <f>SUM(D71:D72)</f>
        <v>#REF!</v>
      </c>
      <c r="E73" s="15"/>
      <c r="F73" s="483">
        <f>SUM(F71:F72)</f>
        <v>19180</v>
      </c>
    </row>
    <row r="74" spans="4:6" ht="12.75" hidden="1">
      <c r="D74" s="15"/>
      <c r="E74" s="15"/>
      <c r="F74" s="480"/>
    </row>
    <row r="75" spans="4:6" ht="12.75" hidden="1">
      <c r="D75" s="15"/>
      <c r="E75" s="15"/>
      <c r="F75" s="480"/>
    </row>
    <row r="76" spans="4:6" ht="12.75" hidden="1">
      <c r="D76" s="15"/>
      <c r="E76" s="15"/>
      <c r="F76" s="480"/>
    </row>
    <row r="77" spans="1:6" s="60" customFormat="1" ht="12.75" hidden="1">
      <c r="A77" s="245"/>
      <c r="D77" s="246"/>
      <c r="F77" s="365"/>
    </row>
    <row r="78" spans="1:6" s="60" customFormat="1" ht="13.5" hidden="1">
      <c r="A78" s="180" t="s">
        <v>399</v>
      </c>
      <c r="B78" s="2"/>
      <c r="C78" s="2"/>
      <c r="D78" s="2"/>
      <c r="F78" s="365"/>
    </row>
    <row r="79" spans="1:6" s="60" customFormat="1" ht="12.75" hidden="1">
      <c r="A79" s="15" t="s">
        <v>201</v>
      </c>
      <c r="B79" s="15"/>
      <c r="C79" s="15"/>
      <c r="D79" s="179">
        <f>ROUND(F50-F23,0)</f>
        <v>2879</v>
      </c>
      <c r="F79" s="365"/>
    </row>
    <row r="80" spans="1:6" s="60" customFormat="1" ht="12.75" hidden="1">
      <c r="A80" s="15" t="s">
        <v>202</v>
      </c>
      <c r="C80" s="15"/>
      <c r="D80" s="220" t="e">
        <f>+ROUND(-#REF!-#REF!-#REF!,0)</f>
        <v>#REF!</v>
      </c>
      <c r="F80" s="370"/>
    </row>
    <row r="81" spans="2:6" s="60" customFormat="1" ht="12.75" hidden="1">
      <c r="B81" s="15"/>
      <c r="C81" s="15"/>
      <c r="D81" s="221" t="e">
        <f>SUM(D79:D80)</f>
        <v>#REF!</v>
      </c>
      <c r="F81" s="370"/>
    </row>
    <row r="82" spans="1:6" s="60" customFormat="1" ht="12.75" hidden="1">
      <c r="A82" s="15" t="s">
        <v>203</v>
      </c>
      <c r="B82" s="15"/>
      <c r="C82" s="15"/>
      <c r="D82" s="179" t="e">
        <f>+D83-D81</f>
        <v>#REF!</v>
      </c>
      <c r="F82" s="370"/>
    </row>
    <row r="83" spans="1:6" s="60" customFormat="1" ht="13.5" hidden="1" thickBot="1">
      <c r="A83" s="15" t="s">
        <v>204</v>
      </c>
      <c r="C83" s="15"/>
      <c r="D83" s="222">
        <f>ROUND(D50-D23,0)</f>
        <v>4854</v>
      </c>
      <c r="F83" s="370"/>
    </row>
    <row r="84" s="60" customFormat="1" ht="12.75" hidden="1">
      <c r="F84" s="365"/>
    </row>
    <row r="85" spans="1:6" s="60" customFormat="1" ht="12.75" hidden="1">
      <c r="A85" s="2"/>
      <c r="B85" s="2"/>
      <c r="F85" s="365"/>
    </row>
    <row r="86" spans="1:4" ht="12.75" hidden="1">
      <c r="A86" s="253" t="s">
        <v>81</v>
      </c>
      <c r="B86" s="153"/>
      <c r="C86" s="153"/>
      <c r="D86" s="153"/>
    </row>
    <row r="87" spans="1:4" ht="12.75" hidden="1">
      <c r="A87" s="153"/>
      <c r="B87" s="153"/>
      <c r="C87" s="153"/>
      <c r="D87" s="153"/>
    </row>
    <row r="88" spans="1:4" ht="12.75" hidden="1">
      <c r="A88" s="253" t="s">
        <v>57</v>
      </c>
      <c r="B88" s="253"/>
      <c r="C88" s="253"/>
      <c r="D88" s="254"/>
    </row>
    <row r="89" spans="1:4" ht="12.75" hidden="1">
      <c r="A89" s="253" t="s">
        <v>349</v>
      </c>
      <c r="B89" s="253"/>
      <c r="C89" s="253"/>
      <c r="D89" s="254"/>
    </row>
    <row r="90" spans="1:4" ht="12.75" hidden="1">
      <c r="A90" s="253" t="s">
        <v>82</v>
      </c>
      <c r="C90" s="253"/>
      <c r="D90" s="254"/>
    </row>
    <row r="91" spans="1:4" ht="12.75" hidden="1">
      <c r="A91" s="253" t="s">
        <v>26</v>
      </c>
      <c r="C91" s="253"/>
      <c r="D91" s="254"/>
    </row>
    <row r="92" spans="1:4" ht="12.75" hidden="1">
      <c r="A92" s="253" t="s">
        <v>27</v>
      </c>
      <c r="C92" s="253"/>
      <c r="D92" s="254"/>
    </row>
    <row r="93" spans="1:4" ht="12.75" hidden="1">
      <c r="A93" s="253" t="s">
        <v>794</v>
      </c>
      <c r="B93" s="253"/>
      <c r="C93" s="253"/>
      <c r="D93" s="254"/>
    </row>
    <row r="94" spans="1:6" ht="13.5" hidden="1" thickBot="1">
      <c r="A94" s="253"/>
      <c r="B94" s="253"/>
      <c r="C94" s="253"/>
      <c r="D94" s="258">
        <f>SUM(D88:D93)</f>
        <v>0</v>
      </c>
      <c r="F94" s="399"/>
    </row>
    <row r="95" ht="12.75" hidden="1">
      <c r="D95" s="1"/>
    </row>
    <row r="96" ht="12.75" hidden="1">
      <c r="D96" s="1"/>
    </row>
    <row r="97" spans="1:6" ht="15" hidden="1">
      <c r="A97" s="253" t="s">
        <v>682</v>
      </c>
      <c r="D97" s="263" t="s">
        <v>710</v>
      </c>
      <c r="E97" s="264"/>
      <c r="F97" s="485" t="s">
        <v>647</v>
      </c>
    </row>
    <row r="98" spans="1:6" ht="12.75" hidden="1">
      <c r="A98" s="253" t="s">
        <v>349</v>
      </c>
      <c r="D98" s="254">
        <f>277-31.031</f>
        <v>245.969</v>
      </c>
      <c r="F98" s="486">
        <v>155</v>
      </c>
    </row>
    <row r="99" spans="1:6" ht="12.75" hidden="1">
      <c r="A99" s="253" t="s">
        <v>57</v>
      </c>
      <c r="D99" s="254">
        <f>3721+51.369</f>
        <v>3772.369</v>
      </c>
      <c r="F99" s="486">
        <v>1158.934</v>
      </c>
    </row>
    <row r="100" spans="1:6" ht="12.75" hidden="1">
      <c r="A100" s="253" t="s">
        <v>786</v>
      </c>
      <c r="D100" s="254">
        <v>-0.938</v>
      </c>
      <c r="F100" s="486">
        <v>1.59</v>
      </c>
    </row>
    <row r="101" spans="1:6" ht="12.75" hidden="1">
      <c r="A101" s="253" t="s">
        <v>709</v>
      </c>
      <c r="D101" s="254"/>
      <c r="F101" s="486">
        <v>107.801</v>
      </c>
    </row>
    <row r="102" spans="1:6" ht="12.75" hidden="1">
      <c r="A102" s="253" t="s">
        <v>791</v>
      </c>
      <c r="D102" s="254"/>
      <c r="F102" s="486">
        <v>-63</v>
      </c>
    </row>
    <row r="103" spans="1:6" ht="12.75" hidden="1">
      <c r="A103" s="253" t="s">
        <v>782</v>
      </c>
      <c r="D103" s="254"/>
      <c r="F103" s="486">
        <v>2.833</v>
      </c>
    </row>
    <row r="104" spans="1:6" ht="12.75" hidden="1">
      <c r="A104" s="253" t="s">
        <v>792</v>
      </c>
      <c r="D104" s="254"/>
      <c r="F104" s="486">
        <v>59.323</v>
      </c>
    </row>
    <row r="105" spans="1:6" ht="12.75" hidden="1">
      <c r="A105" s="253" t="s">
        <v>794</v>
      </c>
      <c r="D105" s="254">
        <v>1.926</v>
      </c>
      <c r="F105" s="486">
        <v>0.439</v>
      </c>
    </row>
    <row r="106" spans="1:6" ht="13.5" hidden="1" thickBot="1">
      <c r="A106" s="253"/>
      <c r="B106" s="148"/>
      <c r="D106" s="258">
        <f>SUM(D98:D105)</f>
        <v>4019.326</v>
      </c>
      <c r="F106" s="487">
        <f>SUM(F98:F105)</f>
        <v>1422.92</v>
      </c>
    </row>
    <row r="107" spans="1:4" ht="12.75" hidden="1">
      <c r="A107" s="253"/>
      <c r="D107" s="254"/>
    </row>
    <row r="108" ht="12.75" hidden="1">
      <c r="A108" s="253"/>
    </row>
    <row r="109" ht="12.75" hidden="1">
      <c r="A109" s="15" t="s">
        <v>707</v>
      </c>
    </row>
    <row r="110" spans="1:9" s="15" customFormat="1" ht="12.75" hidden="1">
      <c r="A110" s="15" t="s">
        <v>791</v>
      </c>
      <c r="D110" s="260"/>
      <c r="F110" s="480"/>
      <c r="H110" s="245"/>
      <c r="I110" s="245"/>
    </row>
    <row r="111" spans="1:9" s="15" customFormat="1" ht="12.75" hidden="1">
      <c r="A111" s="15" t="s">
        <v>782</v>
      </c>
      <c r="D111" s="260"/>
      <c r="F111" s="480"/>
      <c r="H111" s="245"/>
      <c r="I111" s="245"/>
    </row>
    <row r="112" spans="1:9" s="15" customFormat="1" ht="12.75" hidden="1">
      <c r="A112" s="15" t="s">
        <v>781</v>
      </c>
      <c r="D112" s="260"/>
      <c r="F112" s="480"/>
      <c r="H112" s="245"/>
      <c r="I112" s="245"/>
    </row>
    <row r="113" spans="1:9" s="15" customFormat="1" ht="12.75" hidden="1">
      <c r="A113" s="15" t="s">
        <v>783</v>
      </c>
      <c r="D113" s="260"/>
      <c r="F113" s="480"/>
      <c r="H113" s="245"/>
      <c r="I113" s="245"/>
    </row>
    <row r="114" spans="1:9" s="15" customFormat="1" ht="12.75" hidden="1">
      <c r="A114" s="15" t="s">
        <v>785</v>
      </c>
      <c r="D114" s="260"/>
      <c r="F114" s="480"/>
      <c r="H114" s="245"/>
      <c r="I114" s="245"/>
    </row>
    <row r="115" spans="4:9" s="15" customFormat="1" ht="13.5" hidden="1" thickBot="1">
      <c r="D115" s="261">
        <f>SUM(D110:D114)</f>
        <v>0</v>
      </c>
      <c r="F115" s="480"/>
      <c r="H115" s="245"/>
      <c r="I115" s="245"/>
    </row>
    <row r="116" spans="6:9" s="15" customFormat="1" ht="12.75" hidden="1">
      <c r="F116" s="480"/>
      <c r="H116" s="245"/>
      <c r="I116" s="245"/>
    </row>
    <row r="117" spans="1:9" s="15" customFormat="1" ht="12.75" hidden="1">
      <c r="A117" s="15" t="s">
        <v>708</v>
      </c>
      <c r="F117" s="480"/>
      <c r="H117" s="245"/>
      <c r="I117" s="245"/>
    </row>
    <row r="118" spans="1:9" s="15" customFormat="1" ht="12.75" hidden="1">
      <c r="A118" s="15" t="s">
        <v>705</v>
      </c>
      <c r="D118" s="260" t="e">
        <f>+#REF!/1000-#REF!/1000</f>
        <v>#REF!</v>
      </c>
      <c r="F118" s="480"/>
      <c r="H118" s="245"/>
      <c r="I118" s="245"/>
    </row>
    <row r="119" spans="1:9" s="15" customFormat="1" ht="12.75" hidden="1">
      <c r="A119" s="15" t="s">
        <v>782</v>
      </c>
      <c r="D119" s="260" t="e">
        <f>+#REF!/1000-#REF!/1000</f>
        <v>#REF!</v>
      </c>
      <c r="F119" s="480"/>
      <c r="H119" s="245"/>
      <c r="I119" s="245"/>
    </row>
    <row r="120" spans="1:9" s="15" customFormat="1" ht="12.75" hidden="1">
      <c r="A120" s="15" t="s">
        <v>338</v>
      </c>
      <c r="D120" s="260" t="e">
        <f>-#REF!/1000</f>
        <v>#REF!</v>
      </c>
      <c r="F120" s="480"/>
      <c r="H120" s="245"/>
      <c r="I120" s="245"/>
    </row>
    <row r="121" spans="4:9" s="15" customFormat="1" ht="13.5" hidden="1" thickBot="1">
      <c r="D121" s="261" t="e">
        <f>SUM(D118:D120)</f>
        <v>#REF!</v>
      </c>
      <c r="F121" s="480"/>
      <c r="H121" s="245"/>
      <c r="I121" s="245"/>
    </row>
    <row r="122" spans="2:4" ht="12.75" hidden="1">
      <c r="B122" s="148"/>
      <c r="D122" s="148"/>
    </row>
    <row r="123" spans="1:4" ht="12.75" hidden="1">
      <c r="A123" s="15" t="s">
        <v>706</v>
      </c>
      <c r="D123" s="260" t="e">
        <f>+D115+D121</f>
        <v>#REF!</v>
      </c>
    </row>
    <row r="124" ht="12.75" hidden="1"/>
    <row r="125" spans="2:4" ht="12.75" hidden="1">
      <c r="B125" s="253" t="s">
        <v>142</v>
      </c>
      <c r="D125" s="262" t="e">
        <f>+F48+F42-D48-D42+D123</f>
        <v>#REF!</v>
      </c>
    </row>
    <row r="126" ht="12.75" hidden="1"/>
    <row r="127" ht="12.75" hidden="1">
      <c r="D127" s="148"/>
    </row>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sheetData>
  <printOptions horizontalCentered="1" verticalCentered="1"/>
  <pageMargins left="0.1" right="0.1" top="0.1" bottom="0.1" header="0.1" footer="0.1"/>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1:F27"/>
  <sheetViews>
    <sheetView workbookViewId="0" topLeftCell="A1">
      <selection activeCell="A1" sqref="A1:IV16384"/>
    </sheetView>
  </sheetViews>
  <sheetFormatPr defaultColWidth="9.140625" defaultRowHeight="12.75"/>
  <cols>
    <col min="1" max="1" width="8.8515625" style="43" customWidth="1"/>
    <col min="2" max="2" width="30.8515625" style="42" customWidth="1"/>
    <col min="3" max="3" width="7.8515625" style="42" customWidth="1"/>
    <col min="4" max="4" width="7.7109375" style="42" customWidth="1"/>
    <col min="5" max="16384" width="8.8515625" style="42" customWidth="1"/>
  </cols>
  <sheetData>
    <row r="1" ht="12">
      <c r="B1" s="43" t="s">
        <v>657</v>
      </c>
    </row>
    <row r="2" ht="12.75" thickBot="1"/>
    <row r="3" spans="2:6" ht="12">
      <c r="B3" s="50" t="s">
        <v>770</v>
      </c>
      <c r="C3" s="156">
        <v>4479.46</v>
      </c>
      <c r="D3" s="53"/>
      <c r="E3" s="53"/>
      <c r="F3" s="54"/>
    </row>
    <row r="4" spans="2:6" ht="12">
      <c r="B4" s="51" t="s">
        <v>771</v>
      </c>
      <c r="C4" s="43"/>
      <c r="D4" s="140">
        <f>-C3</f>
        <v>-4479.46</v>
      </c>
      <c r="E4" s="43"/>
      <c r="F4" s="55"/>
    </row>
    <row r="5" spans="2:6" ht="12">
      <c r="B5" s="51" t="s">
        <v>805</v>
      </c>
      <c r="C5" s="43"/>
      <c r="D5" s="43"/>
      <c r="E5" s="43"/>
      <c r="F5" s="55"/>
    </row>
    <row r="6" spans="2:6" ht="12">
      <c r="B6" s="51"/>
      <c r="C6" s="43"/>
      <c r="D6" s="43"/>
      <c r="E6" s="43"/>
      <c r="F6" s="55"/>
    </row>
    <row r="7" spans="2:6" ht="12">
      <c r="B7" s="51" t="s">
        <v>509</v>
      </c>
      <c r="C7" s="140">
        <v>45.83</v>
      </c>
      <c r="D7" s="43"/>
      <c r="E7" s="43"/>
      <c r="F7" s="55"/>
    </row>
    <row r="8" spans="2:6" ht="12">
      <c r="B8" s="51" t="s">
        <v>256</v>
      </c>
      <c r="C8" s="43"/>
      <c r="D8" s="140">
        <f>-C7</f>
        <v>-45.83</v>
      </c>
      <c r="E8" s="43"/>
      <c r="F8" s="55"/>
    </row>
    <row r="9" spans="2:6" ht="12">
      <c r="B9" s="51" t="s">
        <v>804</v>
      </c>
      <c r="C9" s="43"/>
      <c r="D9" s="43"/>
      <c r="E9" s="43"/>
      <c r="F9" s="55"/>
    </row>
    <row r="10" spans="2:6" ht="12">
      <c r="B10" s="51"/>
      <c r="C10" s="43"/>
      <c r="D10" s="43"/>
      <c r="E10" s="43"/>
      <c r="F10" s="55"/>
    </row>
    <row r="11" spans="2:6" ht="12">
      <c r="B11" s="51" t="s">
        <v>510</v>
      </c>
      <c r="C11" s="140">
        <v>391.58</v>
      </c>
      <c r="D11" s="43"/>
      <c r="E11" s="43"/>
      <c r="F11" s="55"/>
    </row>
    <row r="12" spans="2:6" ht="12">
      <c r="B12" s="51" t="s">
        <v>509</v>
      </c>
      <c r="C12" s="43"/>
      <c r="D12" s="140">
        <f>-C11</f>
        <v>-391.58</v>
      </c>
      <c r="E12" s="43"/>
      <c r="F12" s="55"/>
    </row>
    <row r="13" spans="2:6" ht="12">
      <c r="B13" s="51" t="s">
        <v>519</v>
      </c>
      <c r="C13" s="43"/>
      <c r="D13" s="43"/>
      <c r="E13" s="43"/>
      <c r="F13" s="55"/>
    </row>
    <row r="14" spans="2:6" ht="12">
      <c r="B14" s="51"/>
      <c r="C14" s="43"/>
      <c r="D14" s="43"/>
      <c r="E14" s="43"/>
      <c r="F14" s="55"/>
    </row>
    <row r="15" spans="2:6" ht="12">
      <c r="B15" s="51" t="s">
        <v>510</v>
      </c>
      <c r="C15" s="140">
        <v>108.78</v>
      </c>
      <c r="D15" s="43"/>
      <c r="E15" s="43"/>
      <c r="F15" s="55"/>
    </row>
    <row r="16" spans="2:6" ht="12">
      <c r="B16" s="51" t="s">
        <v>509</v>
      </c>
      <c r="C16" s="43"/>
      <c r="D16" s="140">
        <f>-C15</f>
        <v>-108.78</v>
      </c>
      <c r="E16" s="43"/>
      <c r="F16" s="55"/>
    </row>
    <row r="17" spans="2:6" ht="12">
      <c r="B17" s="51" t="s">
        <v>803</v>
      </c>
      <c r="C17" s="43"/>
      <c r="D17" s="43"/>
      <c r="E17" s="43"/>
      <c r="F17" s="55"/>
    </row>
    <row r="18" spans="2:6" ht="12">
      <c r="B18" s="51"/>
      <c r="C18" s="43"/>
      <c r="D18" s="43"/>
      <c r="E18" s="43"/>
      <c r="F18" s="55"/>
    </row>
    <row r="19" spans="2:6" ht="12">
      <c r="B19" s="52" t="s">
        <v>220</v>
      </c>
      <c r="C19" s="43"/>
      <c r="D19" s="43"/>
      <c r="E19" s="43"/>
      <c r="F19" s="55"/>
    </row>
    <row r="20" spans="2:6" ht="12">
      <c r="B20" s="51"/>
      <c r="C20" s="43"/>
      <c r="D20" s="43"/>
      <c r="E20" s="43"/>
      <c r="F20" s="55"/>
    </row>
    <row r="21" spans="2:6" ht="12">
      <c r="B21" s="51" t="s">
        <v>257</v>
      </c>
      <c r="C21" s="140"/>
      <c r="D21" s="140">
        <f>+D4</f>
        <v>-4479.46</v>
      </c>
      <c r="E21" s="43" t="s">
        <v>221</v>
      </c>
      <c r="F21" s="55"/>
    </row>
    <row r="22" spans="2:6" ht="12">
      <c r="B22" s="51" t="s">
        <v>770</v>
      </c>
      <c r="C22" s="140">
        <f>+C3</f>
        <v>4479.46</v>
      </c>
      <c r="D22" s="140"/>
      <c r="E22" s="43"/>
      <c r="F22" s="55"/>
    </row>
    <row r="23" spans="2:6" ht="12">
      <c r="B23" s="51" t="s">
        <v>256</v>
      </c>
      <c r="C23" s="140"/>
      <c r="D23" s="140">
        <f>+D16+D12+D8</f>
        <v>-546.19</v>
      </c>
      <c r="E23" s="43" t="s">
        <v>222</v>
      </c>
      <c r="F23" s="55"/>
    </row>
    <row r="24" spans="2:6" ht="12">
      <c r="B24" s="51" t="s">
        <v>223</v>
      </c>
      <c r="C24" s="140">
        <f>+C15+C11+C7</f>
        <v>546.19</v>
      </c>
      <c r="D24" s="140"/>
      <c r="E24" s="43"/>
      <c r="F24" s="55"/>
    </row>
    <row r="25" spans="2:6" ht="12">
      <c r="B25" s="51"/>
      <c r="C25" s="87">
        <f>SUM(C21:C24)</f>
        <v>5025.65</v>
      </c>
      <c r="D25" s="87">
        <f>SUM(D21:D24)</f>
        <v>-5025.65</v>
      </c>
      <c r="E25" s="43"/>
      <c r="F25" s="55"/>
    </row>
    <row r="26" spans="2:6" ht="12">
      <c r="B26" s="51"/>
      <c r="C26" s="43"/>
      <c r="D26" s="43"/>
      <c r="E26" s="43"/>
      <c r="F26" s="55"/>
    </row>
    <row r="27" spans="2:6" ht="12.75" thickBot="1">
      <c r="B27" s="56"/>
      <c r="C27" s="57"/>
      <c r="D27" s="57"/>
      <c r="E27" s="57"/>
      <c r="F27" s="58"/>
    </row>
    <row r="35" ht="11.25" customHeight="1"/>
  </sheetData>
  <printOptions/>
  <pageMargins left="0.75" right="0.75" top="0.72" bottom="0.49" header="0.36" footer="0.3"/>
  <pageSetup horizontalDpi="300" verticalDpi="300" orientation="portrait" paperSize="9" r:id="rId1"/>
  <headerFooter alignWithMargins="0">
    <oddHeader>&amp;R&amp;D</oddHeader>
  </headerFooter>
  <rowBreaks count="1" manualBreakCount="1">
    <brk id="37" max="65535" man="1"/>
  </rowBreaks>
</worksheet>
</file>

<file path=xl/worksheets/sheet11.xml><?xml version="1.0" encoding="utf-8"?>
<worksheet xmlns="http://schemas.openxmlformats.org/spreadsheetml/2006/main" xmlns:r="http://schemas.openxmlformats.org/officeDocument/2006/relationships">
  <dimension ref="B3:D19"/>
  <sheetViews>
    <sheetView workbookViewId="0" topLeftCell="A1">
      <selection activeCell="A1" sqref="A1:IV16384"/>
    </sheetView>
  </sheetViews>
  <sheetFormatPr defaultColWidth="9.140625" defaultRowHeight="12.75"/>
  <cols>
    <col min="2" max="2" width="17.00390625" style="265" customWidth="1"/>
    <col min="3" max="3" width="17.28125" style="0" customWidth="1"/>
  </cols>
  <sheetData>
    <row r="3" ht="12.75">
      <c r="B3" s="265">
        <v>8238951.18</v>
      </c>
    </row>
    <row r="4" ht="12.75">
      <c r="B4" s="265">
        <v>-332923.34</v>
      </c>
    </row>
    <row r="5" ht="12.75">
      <c r="B5" s="265">
        <v>-47170.79</v>
      </c>
    </row>
    <row r="6" ht="12.75">
      <c r="B6" s="265">
        <v>-21531.85</v>
      </c>
    </row>
    <row r="7" ht="12.75">
      <c r="B7" s="265">
        <v>-360588.2</v>
      </c>
    </row>
    <row r="8" spans="2:4" ht="12.75">
      <c r="B8" s="265">
        <v>-4306840.54</v>
      </c>
      <c r="C8" s="265">
        <v>-4306840.54</v>
      </c>
      <c r="D8" s="265">
        <v>-4306840.54</v>
      </c>
    </row>
    <row r="9" spans="2:3" ht="12.75">
      <c r="B9" s="266">
        <v>-60850.2</v>
      </c>
      <c r="C9">
        <v>-341560.96</v>
      </c>
    </row>
    <row r="10" spans="2:3" ht="12.75">
      <c r="B10" s="265">
        <f>SUM(B3:B9)</f>
        <v>3109046.26</v>
      </c>
      <c r="C10" s="267">
        <f>SUM(C8:C9)</f>
        <v>-4648401.5</v>
      </c>
    </row>
    <row r="11" ht="12.75">
      <c r="B11" s="266">
        <v>-537000</v>
      </c>
    </row>
    <row r="12" ht="12.75">
      <c r="B12" s="265">
        <f>SUM(B10:B11)</f>
        <v>2572046.26</v>
      </c>
    </row>
    <row r="13" ht="12.75">
      <c r="B13" s="265">
        <v>6225.6</v>
      </c>
    </row>
    <row r="14" ht="12.75">
      <c r="B14" s="265">
        <v>656194.91</v>
      </c>
    </row>
    <row r="15" ht="12.75">
      <c r="B15" s="265">
        <v>7550.5</v>
      </c>
    </row>
    <row r="16" ht="12.75">
      <c r="B16" s="265">
        <v>24893.95</v>
      </c>
    </row>
    <row r="17" ht="12.75">
      <c r="B17" s="265">
        <v>7966.35</v>
      </c>
    </row>
    <row r="18" ht="12.75">
      <c r="B18" s="265">
        <v>81499.8</v>
      </c>
    </row>
    <row r="19" ht="12.75">
      <c r="B19" s="265">
        <f>SUM(B12:B18)</f>
        <v>3356377.37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22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F11" sqref="F11"/>
    </sheetView>
  </sheetViews>
  <sheetFormatPr defaultColWidth="9.140625" defaultRowHeight="12.75"/>
  <cols>
    <col min="1" max="1" width="18.421875" style="350" customWidth="1"/>
    <col min="2" max="5" width="9.140625" style="345" customWidth="1"/>
    <col min="6" max="6" width="15.00390625" style="351" bestFit="1" customWidth="1"/>
    <col min="7" max="7" width="12.28125" style="352" bestFit="1" customWidth="1"/>
    <col min="8" max="8" width="11.28125" style="349" bestFit="1" customWidth="1"/>
  </cols>
  <sheetData>
    <row r="1" spans="1:7" ht="12.75">
      <c r="A1" s="344" t="s">
        <v>393</v>
      </c>
      <c r="E1" s="346" t="s">
        <v>693</v>
      </c>
      <c r="F1" s="347" t="s">
        <v>74</v>
      </c>
      <c r="G1" s="348" t="s">
        <v>394</v>
      </c>
    </row>
    <row r="2" spans="2:6" ht="12.75">
      <c r="B2" s="345" t="s">
        <v>395</v>
      </c>
      <c r="C2" s="345" t="s">
        <v>396</v>
      </c>
      <c r="D2" s="345" t="s">
        <v>466</v>
      </c>
      <c r="E2" s="345" t="s">
        <v>467</v>
      </c>
      <c r="F2" s="351" t="s">
        <v>468</v>
      </c>
    </row>
    <row r="3" spans="1:7" ht="12.75">
      <c r="A3" s="355" t="s">
        <v>472</v>
      </c>
      <c r="B3" s="361">
        <v>0</v>
      </c>
      <c r="C3" s="361">
        <v>0.99</v>
      </c>
      <c r="D3" s="361">
        <v>0.99</v>
      </c>
      <c r="E3" s="361">
        <v>0.99</v>
      </c>
      <c r="F3" s="357">
        <v>0</v>
      </c>
      <c r="G3" s="354">
        <f aca="true" t="shared" si="0" ref="G3:G22">E3*F3</f>
        <v>0</v>
      </c>
    </row>
    <row r="4" spans="1:7" ht="12.75">
      <c r="A4" s="355" t="s">
        <v>474</v>
      </c>
      <c r="B4" s="361">
        <v>0</v>
      </c>
      <c r="C4" s="361">
        <v>0</v>
      </c>
      <c r="D4" s="361">
        <v>0</v>
      </c>
      <c r="E4" s="361">
        <v>0</v>
      </c>
      <c r="F4" s="357">
        <v>0</v>
      </c>
      <c r="G4" s="354">
        <f t="shared" si="0"/>
        <v>0</v>
      </c>
    </row>
    <row r="5" spans="1:7" ht="12.75">
      <c r="A5" s="355" t="s">
        <v>475</v>
      </c>
      <c r="B5" s="361">
        <v>1</v>
      </c>
      <c r="C5" s="361">
        <v>1</v>
      </c>
      <c r="D5" s="361">
        <v>1</v>
      </c>
      <c r="E5" s="361">
        <v>1</v>
      </c>
      <c r="F5" s="357">
        <v>50</v>
      </c>
      <c r="G5" s="354">
        <f t="shared" si="0"/>
        <v>50</v>
      </c>
    </row>
    <row r="6" spans="1:7" ht="12.75">
      <c r="A6" s="355" t="s">
        <v>452</v>
      </c>
      <c r="B6" s="361">
        <v>1</v>
      </c>
      <c r="C6" s="361">
        <v>1</v>
      </c>
      <c r="D6" s="361">
        <v>1</v>
      </c>
      <c r="E6" s="361">
        <v>1</v>
      </c>
      <c r="F6" s="357">
        <v>110</v>
      </c>
      <c r="G6" s="354">
        <f t="shared" si="0"/>
        <v>110</v>
      </c>
    </row>
    <row r="7" spans="1:7" ht="12.75">
      <c r="A7" s="355" t="s">
        <v>453</v>
      </c>
      <c r="B7" s="361">
        <v>1.02</v>
      </c>
      <c r="C7" s="361">
        <v>1.02</v>
      </c>
      <c r="D7" s="361">
        <v>1.01</v>
      </c>
      <c r="E7" s="361">
        <v>1.01</v>
      </c>
      <c r="F7" s="357">
        <v>215</v>
      </c>
      <c r="G7" s="354">
        <f t="shared" si="0"/>
        <v>217.15</v>
      </c>
    </row>
    <row r="8" spans="1:7" ht="12.75">
      <c r="A8" s="355" t="s">
        <v>454</v>
      </c>
      <c r="B8" s="361">
        <v>1.02</v>
      </c>
      <c r="C8" s="361">
        <v>1.08</v>
      </c>
      <c r="D8" s="361">
        <v>1.02</v>
      </c>
      <c r="E8" s="361">
        <v>1.08</v>
      </c>
      <c r="F8" s="357">
        <v>53</v>
      </c>
      <c r="G8" s="354">
        <f t="shared" si="0"/>
        <v>57.24</v>
      </c>
    </row>
    <row r="9" spans="1:7" ht="12.75">
      <c r="A9" s="355" t="s">
        <v>702</v>
      </c>
      <c r="B9" s="361">
        <v>0</v>
      </c>
      <c r="C9" s="361">
        <v>1.08</v>
      </c>
      <c r="D9" s="361">
        <v>1.08</v>
      </c>
      <c r="E9" s="361">
        <v>1.08</v>
      </c>
      <c r="F9" s="357">
        <v>0</v>
      </c>
      <c r="G9" s="354">
        <f t="shared" si="0"/>
        <v>0</v>
      </c>
    </row>
    <row r="10" spans="1:7" ht="12.75">
      <c r="A10" s="355" t="s">
        <v>703</v>
      </c>
      <c r="B10" s="361">
        <v>0</v>
      </c>
      <c r="C10" s="361">
        <v>0</v>
      </c>
      <c r="D10" s="361">
        <v>0</v>
      </c>
      <c r="E10" s="361">
        <v>0</v>
      </c>
      <c r="F10" s="357">
        <v>0</v>
      </c>
      <c r="G10" s="354">
        <f t="shared" si="0"/>
        <v>0</v>
      </c>
    </row>
    <row r="11" spans="1:7" ht="12.75">
      <c r="A11" s="355" t="s">
        <v>458</v>
      </c>
      <c r="B11" s="361">
        <v>1.05</v>
      </c>
      <c r="C11" s="361">
        <v>1.08</v>
      </c>
      <c r="D11" s="361">
        <v>1.05</v>
      </c>
      <c r="E11" s="361">
        <v>1.08</v>
      </c>
      <c r="F11" s="357">
        <v>130</v>
      </c>
      <c r="G11" s="354">
        <f t="shared" si="0"/>
        <v>140.4</v>
      </c>
    </row>
    <row r="12" spans="1:7" ht="12.75">
      <c r="A12" s="355" t="s">
        <v>459</v>
      </c>
      <c r="B12" s="361">
        <v>1.1</v>
      </c>
      <c r="C12" s="361">
        <v>1.1</v>
      </c>
      <c r="D12" s="361">
        <v>1.05</v>
      </c>
      <c r="E12" s="361">
        <v>1.05</v>
      </c>
      <c r="F12" s="357">
        <v>140</v>
      </c>
      <c r="G12" s="354">
        <f t="shared" si="0"/>
        <v>147</v>
      </c>
    </row>
    <row r="13" spans="1:7" ht="12.75">
      <c r="A13" s="355" t="s">
        <v>460</v>
      </c>
      <c r="B13" s="361">
        <v>1.05</v>
      </c>
      <c r="C13" s="361">
        <v>1.05</v>
      </c>
      <c r="D13" s="361">
        <v>1.05</v>
      </c>
      <c r="E13" s="361">
        <v>1.05</v>
      </c>
      <c r="F13" s="357">
        <v>50</v>
      </c>
      <c r="G13" s="354">
        <f t="shared" si="0"/>
        <v>52.5</v>
      </c>
    </row>
    <row r="14" spans="1:7" ht="12.75">
      <c r="A14" s="355" t="s">
        <v>461</v>
      </c>
      <c r="B14" s="361">
        <v>0</v>
      </c>
      <c r="C14" s="361">
        <v>1.05</v>
      </c>
      <c r="D14" s="361">
        <v>1.05</v>
      </c>
      <c r="E14" s="361">
        <v>1.05</v>
      </c>
      <c r="F14" s="357">
        <v>0</v>
      </c>
      <c r="G14" s="354">
        <f t="shared" si="0"/>
        <v>0</v>
      </c>
    </row>
    <row r="15" spans="1:7" ht="12.75">
      <c r="A15" s="355" t="s">
        <v>462</v>
      </c>
      <c r="B15" s="361">
        <v>1.05</v>
      </c>
      <c r="C15" s="361">
        <v>1.05</v>
      </c>
      <c r="D15" s="361">
        <v>1.05</v>
      </c>
      <c r="E15" s="361">
        <v>1.05</v>
      </c>
      <c r="F15" s="357">
        <v>250</v>
      </c>
      <c r="G15" s="354">
        <f t="shared" si="0"/>
        <v>262.5</v>
      </c>
    </row>
    <row r="16" spans="1:7" ht="12.75">
      <c r="A16" s="355" t="s">
        <v>463</v>
      </c>
      <c r="B16" s="361">
        <v>1.01</v>
      </c>
      <c r="C16" s="361">
        <v>1.02</v>
      </c>
      <c r="D16" s="361">
        <v>1.01</v>
      </c>
      <c r="E16" s="361">
        <v>1.02</v>
      </c>
      <c r="F16" s="357">
        <v>30</v>
      </c>
      <c r="G16" s="354">
        <f t="shared" si="0"/>
        <v>30.6</v>
      </c>
    </row>
    <row r="17" spans="1:7" ht="12.75">
      <c r="A17" s="355" t="s">
        <v>464</v>
      </c>
      <c r="B17" s="361">
        <v>1.01</v>
      </c>
      <c r="C17" s="361">
        <v>1.01</v>
      </c>
      <c r="D17" s="361">
        <v>1.01</v>
      </c>
      <c r="E17" s="361">
        <v>1.01</v>
      </c>
      <c r="F17" s="357">
        <v>20</v>
      </c>
      <c r="G17" s="354">
        <f t="shared" si="0"/>
        <v>20.2</v>
      </c>
    </row>
    <row r="18" spans="1:7" ht="12.75">
      <c r="A18" s="355" t="s">
        <v>465</v>
      </c>
      <c r="B18" s="361">
        <v>1.01</v>
      </c>
      <c r="C18" s="361">
        <v>1.01</v>
      </c>
      <c r="D18" s="361">
        <v>1.01</v>
      </c>
      <c r="E18" s="361">
        <v>1.01</v>
      </c>
      <c r="F18" s="357">
        <v>10</v>
      </c>
      <c r="G18" s="354">
        <f t="shared" si="0"/>
        <v>10.1</v>
      </c>
    </row>
    <row r="19" spans="1:7" ht="12.75">
      <c r="A19" s="355" t="s">
        <v>473</v>
      </c>
      <c r="B19" s="361">
        <v>1</v>
      </c>
      <c r="C19" s="361">
        <v>1.03</v>
      </c>
      <c r="D19" s="361">
        <v>1</v>
      </c>
      <c r="E19" s="361">
        <v>1.03</v>
      </c>
      <c r="F19" s="357">
        <v>140</v>
      </c>
      <c r="G19" s="354">
        <f t="shared" si="0"/>
        <v>144.20000000000002</v>
      </c>
    </row>
    <row r="20" spans="1:7" ht="12.75">
      <c r="A20" s="355" t="s">
        <v>62</v>
      </c>
      <c r="B20" s="361">
        <v>1.02</v>
      </c>
      <c r="C20" s="361">
        <v>1.02</v>
      </c>
      <c r="D20" s="361">
        <v>1.02</v>
      </c>
      <c r="E20" s="361">
        <v>1.02</v>
      </c>
      <c r="F20" s="357">
        <v>72</v>
      </c>
      <c r="G20" s="354">
        <f t="shared" si="0"/>
        <v>73.44</v>
      </c>
    </row>
    <row r="21" spans="1:7" ht="12.75">
      <c r="A21" s="355" t="s">
        <v>63</v>
      </c>
      <c r="B21" s="361">
        <v>1.02</v>
      </c>
      <c r="C21" s="361">
        <v>1.02</v>
      </c>
      <c r="D21" s="361">
        <v>1.02</v>
      </c>
      <c r="E21" s="361">
        <v>1.02</v>
      </c>
      <c r="F21" s="357">
        <v>40</v>
      </c>
      <c r="G21" s="354">
        <f t="shared" si="0"/>
        <v>40.8</v>
      </c>
    </row>
    <row r="22" spans="1:7" ht="12.75">
      <c r="A22" s="355" t="s">
        <v>64</v>
      </c>
      <c r="B22" s="361">
        <v>1.02</v>
      </c>
      <c r="C22" s="361">
        <v>1.04</v>
      </c>
      <c r="D22" s="361">
        <v>1.02</v>
      </c>
      <c r="E22" s="361">
        <v>1.04</v>
      </c>
      <c r="F22" s="357">
        <v>40</v>
      </c>
      <c r="G22" s="354">
        <f t="shared" si="0"/>
        <v>41.6</v>
      </c>
    </row>
    <row r="23" spans="1:7" ht="12.75">
      <c r="A23" s="355" t="s">
        <v>65</v>
      </c>
      <c r="B23" s="361">
        <v>1.08</v>
      </c>
      <c r="C23" s="361">
        <v>1.08</v>
      </c>
      <c r="D23" s="361">
        <v>1.07</v>
      </c>
      <c r="E23" s="361">
        <v>1.08</v>
      </c>
      <c r="F23" s="357">
        <v>90</v>
      </c>
      <c r="G23" s="354">
        <f>E23*F23</f>
        <v>97.2</v>
      </c>
    </row>
    <row r="24" spans="1:7" ht="12.75">
      <c r="A24" s="355" t="s">
        <v>66</v>
      </c>
      <c r="B24" s="361">
        <v>0</v>
      </c>
      <c r="C24" s="361">
        <v>0</v>
      </c>
      <c r="D24" s="361">
        <v>0</v>
      </c>
      <c r="E24" s="361">
        <v>0</v>
      </c>
      <c r="F24" s="361">
        <v>0</v>
      </c>
      <c r="G24" s="354">
        <f>E24*F24</f>
        <v>0</v>
      </c>
    </row>
    <row r="25" spans="1:7" ht="12.75">
      <c r="A25" s="355" t="s">
        <v>67</v>
      </c>
      <c r="B25" s="361">
        <v>0</v>
      </c>
      <c r="C25" s="361">
        <v>0</v>
      </c>
      <c r="D25" s="361">
        <v>0</v>
      </c>
      <c r="E25" s="361">
        <v>0</v>
      </c>
      <c r="F25" s="361">
        <v>0</v>
      </c>
      <c r="G25" s="354">
        <f>E25*F25</f>
        <v>0</v>
      </c>
    </row>
    <row r="26" spans="1:7" ht="12.75">
      <c r="A26" s="355" t="s">
        <v>68</v>
      </c>
      <c r="B26" s="361">
        <v>0</v>
      </c>
      <c r="C26" s="361">
        <v>0</v>
      </c>
      <c r="D26" s="361">
        <v>0</v>
      </c>
      <c r="E26" s="361">
        <v>0</v>
      </c>
      <c r="F26" s="361">
        <v>0</v>
      </c>
      <c r="G26" s="354">
        <f>E26*F26</f>
        <v>0</v>
      </c>
    </row>
    <row r="27" spans="1:7" ht="12.75">
      <c r="A27" s="353"/>
      <c r="B27" s="362"/>
      <c r="C27" s="362"/>
      <c r="D27" s="362"/>
      <c r="E27" s="362"/>
      <c r="G27" s="354"/>
    </row>
    <row r="28" spans="1:7" ht="13.5" thickBot="1">
      <c r="A28" s="353"/>
      <c r="E28" s="358"/>
      <c r="F28" s="359">
        <f>SUM(F3:F27)</f>
        <v>1440</v>
      </c>
      <c r="G28" s="359">
        <f>SUM(G3:G27)</f>
        <v>1494.9299999999998</v>
      </c>
    </row>
    <row r="29" ht="12.75">
      <c r="A29" s="353"/>
    </row>
    <row r="30" spans="1:7" ht="12.75">
      <c r="A30" s="353"/>
      <c r="C30" s="360" t="s">
        <v>469</v>
      </c>
      <c r="G30" s="356">
        <f>G28/F28</f>
        <v>1.0381458333333333</v>
      </c>
    </row>
    <row r="31" ht="12.75">
      <c r="A31" s="353"/>
    </row>
    <row r="32" spans="1:3" ht="12.75">
      <c r="A32" s="353"/>
      <c r="B32" s="360" t="s">
        <v>470</v>
      </c>
      <c r="C32" s="360" t="s">
        <v>471</v>
      </c>
    </row>
    <row r="33" ht="12.75">
      <c r="A33" s="353"/>
    </row>
    <row r="34" ht="12.75">
      <c r="A34" s="353"/>
    </row>
    <row r="35" ht="12.75">
      <c r="A35" s="353"/>
    </row>
    <row r="36" ht="12.75">
      <c r="A36" s="353"/>
    </row>
    <row r="37" ht="12.75">
      <c r="A37" s="353"/>
    </row>
    <row r="38" ht="12.75">
      <c r="A38" s="353"/>
    </row>
    <row r="39" ht="12.75">
      <c r="A39" s="353"/>
    </row>
    <row r="40" ht="12.75">
      <c r="A40" s="353"/>
    </row>
    <row r="41" ht="12.75">
      <c r="A41" s="353"/>
    </row>
    <row r="42" ht="12.75">
      <c r="A42" s="353"/>
    </row>
    <row r="43" ht="12.75">
      <c r="A43" s="353"/>
    </row>
    <row r="44" ht="12.75">
      <c r="A44" s="353"/>
    </row>
    <row r="45" ht="12.75">
      <c r="A45" s="353"/>
    </row>
    <row r="46" ht="12.75">
      <c r="A46" s="353"/>
    </row>
    <row r="47" ht="12.75">
      <c r="A47" s="353"/>
    </row>
    <row r="48" ht="12.75">
      <c r="A48" s="353"/>
    </row>
    <row r="49" ht="12.75">
      <c r="A49" s="353"/>
    </row>
    <row r="50" ht="12.75">
      <c r="A50" s="353"/>
    </row>
    <row r="51" ht="12.75">
      <c r="A51" s="353"/>
    </row>
    <row r="52" ht="12.75">
      <c r="A52" s="353"/>
    </row>
    <row r="53" ht="12.75">
      <c r="A53" s="353"/>
    </row>
    <row r="54" ht="12.75">
      <c r="A54" s="353"/>
    </row>
    <row r="55" ht="12.75">
      <c r="A55" s="353"/>
    </row>
    <row r="56" ht="12.75">
      <c r="A56" s="353"/>
    </row>
    <row r="57" ht="12.75">
      <c r="A57" s="353"/>
    </row>
    <row r="58" ht="12.75">
      <c r="A58" s="353"/>
    </row>
    <row r="59" ht="12.75">
      <c r="A59" s="353"/>
    </row>
    <row r="60" ht="12.75">
      <c r="A60" s="353"/>
    </row>
    <row r="61" ht="12.75">
      <c r="A61" s="353"/>
    </row>
    <row r="62" ht="12.75">
      <c r="A62" s="353"/>
    </row>
    <row r="63" ht="12.75">
      <c r="A63" s="353"/>
    </row>
    <row r="64" ht="12.75">
      <c r="A64" s="353"/>
    </row>
    <row r="65" ht="12.75">
      <c r="A65" s="353"/>
    </row>
    <row r="66" ht="12.75">
      <c r="A66" s="353"/>
    </row>
    <row r="67" ht="12.75">
      <c r="A67" s="353"/>
    </row>
    <row r="68" ht="12.75">
      <c r="A68" s="353"/>
    </row>
    <row r="69" ht="12.75">
      <c r="A69" s="353"/>
    </row>
    <row r="70" ht="12.75">
      <c r="A70" s="353"/>
    </row>
    <row r="71" ht="12.75">
      <c r="A71" s="353"/>
    </row>
    <row r="72" ht="12.75">
      <c r="A72" s="353"/>
    </row>
    <row r="73" ht="12.75">
      <c r="A73" s="353"/>
    </row>
    <row r="74" ht="12.75">
      <c r="A74" s="353"/>
    </row>
    <row r="75" ht="12.75">
      <c r="A75" s="353"/>
    </row>
    <row r="76" ht="12.75">
      <c r="A76" s="353"/>
    </row>
    <row r="77" ht="12.75">
      <c r="A77" s="353"/>
    </row>
    <row r="78" ht="12.75">
      <c r="A78" s="353"/>
    </row>
    <row r="79" ht="12.75">
      <c r="A79" s="353"/>
    </row>
    <row r="80" ht="12.75">
      <c r="A80" s="353"/>
    </row>
    <row r="81" ht="12.75">
      <c r="A81" s="353"/>
    </row>
    <row r="82" ht="12.75">
      <c r="A82" s="353"/>
    </row>
    <row r="83" ht="12.75">
      <c r="A83" s="353"/>
    </row>
    <row r="84" ht="12.75">
      <c r="A84" s="353"/>
    </row>
    <row r="85" ht="12.75">
      <c r="A85" s="353"/>
    </row>
    <row r="86" ht="12.75">
      <c r="A86" s="353"/>
    </row>
    <row r="87" ht="12.75">
      <c r="A87" s="353"/>
    </row>
    <row r="88" ht="12.75">
      <c r="A88" s="353"/>
    </row>
    <row r="89" ht="12.75">
      <c r="A89" s="353"/>
    </row>
    <row r="90" ht="12.75">
      <c r="A90" s="353"/>
    </row>
    <row r="91" ht="12.75">
      <c r="A91" s="353"/>
    </row>
    <row r="92" ht="12.75">
      <c r="A92" s="353"/>
    </row>
    <row r="93" ht="12.75">
      <c r="A93" s="353"/>
    </row>
    <row r="94" ht="12.75">
      <c r="A94" s="353"/>
    </row>
    <row r="95" ht="12.75">
      <c r="A95" s="353"/>
    </row>
    <row r="96" ht="12.75">
      <c r="A96" s="353"/>
    </row>
    <row r="97" ht="12.75">
      <c r="A97" s="353"/>
    </row>
    <row r="98" ht="12.75">
      <c r="A98" s="353"/>
    </row>
    <row r="99" ht="12.75">
      <c r="A99" s="353"/>
    </row>
    <row r="100" ht="12.75">
      <c r="A100" s="353"/>
    </row>
    <row r="101" ht="12.75">
      <c r="A101" s="353"/>
    </row>
    <row r="102" ht="12.75">
      <c r="A102" s="353"/>
    </row>
    <row r="103" ht="12.75">
      <c r="A103" s="353"/>
    </row>
    <row r="104" ht="12.75">
      <c r="A104" s="353"/>
    </row>
    <row r="105" ht="12.75">
      <c r="A105" s="353"/>
    </row>
    <row r="106" ht="12.75">
      <c r="A106" s="353"/>
    </row>
    <row r="107" ht="12.75">
      <c r="A107" s="353"/>
    </row>
    <row r="108" ht="12.75">
      <c r="A108" s="353"/>
    </row>
    <row r="109" ht="12.75">
      <c r="A109" s="353"/>
    </row>
    <row r="110" ht="12.75">
      <c r="A110" s="353"/>
    </row>
    <row r="111" ht="12.75">
      <c r="A111" s="353"/>
    </row>
    <row r="112" ht="12.75">
      <c r="A112" s="353"/>
    </row>
    <row r="113" ht="12.75">
      <c r="A113" s="353"/>
    </row>
    <row r="114" ht="12.75">
      <c r="A114" s="353"/>
    </row>
    <row r="115" ht="12.75">
      <c r="A115" s="353"/>
    </row>
    <row r="116" ht="12.75">
      <c r="A116" s="353"/>
    </row>
    <row r="117" ht="12.75">
      <c r="A117" s="353"/>
    </row>
    <row r="118" ht="12.75">
      <c r="A118" s="353"/>
    </row>
    <row r="119" ht="12.75">
      <c r="A119" s="353"/>
    </row>
    <row r="120" ht="12.75">
      <c r="A120" s="353"/>
    </row>
    <row r="121" ht="12.75">
      <c r="A121" s="353"/>
    </row>
    <row r="122" ht="12.75">
      <c r="A122" s="353"/>
    </row>
    <row r="123" ht="12.75">
      <c r="A123" s="353"/>
    </row>
    <row r="124" ht="12.75">
      <c r="A124" s="353"/>
    </row>
    <row r="125" ht="12.75">
      <c r="A125" s="353"/>
    </row>
    <row r="126" ht="12.75">
      <c r="A126" s="353"/>
    </row>
    <row r="127" ht="12.75">
      <c r="A127" s="353"/>
    </row>
    <row r="128" ht="12.75">
      <c r="A128" s="353"/>
    </row>
    <row r="129" ht="12.75">
      <c r="A129" s="353"/>
    </row>
    <row r="130" ht="12.75">
      <c r="A130" s="353"/>
    </row>
    <row r="131" ht="12.75">
      <c r="A131" s="353"/>
    </row>
    <row r="132" ht="12.75">
      <c r="A132" s="353"/>
    </row>
    <row r="133" ht="12.75">
      <c r="A133" s="353"/>
    </row>
    <row r="134" ht="12.75">
      <c r="A134" s="353"/>
    </row>
    <row r="135" ht="12.75">
      <c r="A135" s="353"/>
    </row>
    <row r="136" ht="12.75">
      <c r="A136" s="353"/>
    </row>
    <row r="137" ht="12.75">
      <c r="A137" s="353"/>
    </row>
    <row r="138" ht="12.75">
      <c r="A138" s="353"/>
    </row>
    <row r="139" ht="12.75">
      <c r="A139" s="353"/>
    </row>
    <row r="140" ht="12.75">
      <c r="A140" s="353"/>
    </row>
    <row r="141" ht="12.75">
      <c r="A141" s="353"/>
    </row>
    <row r="142" ht="12.75">
      <c r="A142" s="353"/>
    </row>
    <row r="143" ht="12.75">
      <c r="A143" s="353"/>
    </row>
    <row r="144" ht="12.75">
      <c r="A144" s="353"/>
    </row>
    <row r="145" ht="12.75">
      <c r="A145" s="353"/>
    </row>
    <row r="146" ht="12.75">
      <c r="A146" s="353"/>
    </row>
    <row r="147" ht="12.75">
      <c r="A147" s="353"/>
    </row>
    <row r="148" ht="12.75">
      <c r="A148" s="353"/>
    </row>
    <row r="149" ht="12.75">
      <c r="A149" s="353"/>
    </row>
    <row r="150" ht="12.75">
      <c r="A150" s="353"/>
    </row>
    <row r="151" ht="12.75">
      <c r="A151" s="353"/>
    </row>
    <row r="152" ht="12.75">
      <c r="A152" s="353"/>
    </row>
    <row r="153" ht="12.75">
      <c r="A153" s="353"/>
    </row>
    <row r="154" ht="12.75">
      <c r="A154" s="353"/>
    </row>
    <row r="155" ht="12.75">
      <c r="A155" s="353"/>
    </row>
    <row r="156" ht="12.75">
      <c r="A156" s="353"/>
    </row>
    <row r="157" ht="12.75">
      <c r="A157" s="353"/>
    </row>
    <row r="158" ht="12.75">
      <c r="A158" s="353"/>
    </row>
    <row r="159" ht="12.75">
      <c r="A159" s="353"/>
    </row>
    <row r="160" ht="12.75">
      <c r="A160" s="353"/>
    </row>
    <row r="161" ht="12.75">
      <c r="A161" s="353"/>
    </row>
    <row r="162" ht="12.75">
      <c r="A162" s="353"/>
    </row>
    <row r="163" ht="12.75">
      <c r="A163" s="353"/>
    </row>
    <row r="164" ht="12.75">
      <c r="A164" s="353"/>
    </row>
    <row r="165" ht="12.75">
      <c r="A165" s="353"/>
    </row>
    <row r="166" ht="12.75">
      <c r="A166" s="353"/>
    </row>
    <row r="167" ht="12.75">
      <c r="A167" s="353"/>
    </row>
    <row r="168" ht="12.75">
      <c r="A168" s="353"/>
    </row>
    <row r="169" ht="12.75">
      <c r="A169" s="353"/>
    </row>
    <row r="170" ht="12.75">
      <c r="A170" s="353"/>
    </row>
    <row r="171" ht="12.75">
      <c r="A171" s="353"/>
    </row>
    <row r="172" ht="12.75">
      <c r="A172" s="353"/>
    </row>
    <row r="173" ht="12.75">
      <c r="A173" s="353"/>
    </row>
    <row r="174" ht="12.75">
      <c r="A174" s="353"/>
    </row>
    <row r="175" ht="12.75">
      <c r="A175" s="353"/>
    </row>
    <row r="176" ht="12.75">
      <c r="A176" s="353"/>
    </row>
    <row r="177" ht="12.75">
      <c r="A177" s="353"/>
    </row>
    <row r="178" ht="12.75">
      <c r="A178" s="353"/>
    </row>
    <row r="179" ht="12.75">
      <c r="A179" s="353"/>
    </row>
    <row r="180" ht="12.75">
      <c r="A180" s="353"/>
    </row>
    <row r="181" ht="12.75">
      <c r="A181" s="353"/>
    </row>
    <row r="182" ht="12.75">
      <c r="A182" s="353"/>
    </row>
    <row r="183" ht="12.75">
      <c r="A183" s="353"/>
    </row>
    <row r="184" ht="12.75">
      <c r="A184" s="353"/>
    </row>
    <row r="185" ht="12.75">
      <c r="A185" s="353"/>
    </row>
    <row r="186" ht="12.75">
      <c r="A186" s="353"/>
    </row>
    <row r="187" ht="12.75">
      <c r="A187" s="353"/>
    </row>
    <row r="188" ht="12.75">
      <c r="A188" s="353"/>
    </row>
    <row r="189" ht="12.75">
      <c r="A189" s="353"/>
    </row>
    <row r="190" ht="12.75">
      <c r="A190" s="353"/>
    </row>
    <row r="191" ht="12.75">
      <c r="A191" s="353"/>
    </row>
    <row r="192" ht="12.75">
      <c r="A192" s="353"/>
    </row>
    <row r="193" ht="12.75">
      <c r="A193" s="353"/>
    </row>
    <row r="194" ht="12.75">
      <c r="A194" s="353"/>
    </row>
    <row r="195" ht="12.75">
      <c r="A195" s="353"/>
    </row>
    <row r="196" ht="12.75">
      <c r="A196" s="353"/>
    </row>
    <row r="197" ht="12.75">
      <c r="A197" s="353"/>
    </row>
    <row r="198" ht="12.75">
      <c r="A198" s="353"/>
    </row>
    <row r="199" ht="12.75">
      <c r="A199" s="353"/>
    </row>
    <row r="200" ht="12.75">
      <c r="A200" s="353"/>
    </row>
    <row r="201" ht="12.75">
      <c r="A201" s="353"/>
    </row>
    <row r="202" ht="12.75">
      <c r="A202" s="353"/>
    </row>
    <row r="203" ht="12.75">
      <c r="A203" s="353"/>
    </row>
    <row r="204" ht="12.75">
      <c r="A204" s="353"/>
    </row>
    <row r="205" ht="12.75">
      <c r="A205" s="353"/>
    </row>
    <row r="206" ht="12.75">
      <c r="A206" s="353"/>
    </row>
    <row r="207" ht="12.75">
      <c r="A207" s="353"/>
    </row>
    <row r="208" ht="12.75">
      <c r="A208" s="353"/>
    </row>
    <row r="209" ht="12.75">
      <c r="A209" s="353"/>
    </row>
    <row r="210" ht="12.75">
      <c r="A210" s="353"/>
    </row>
    <row r="211" ht="12.75">
      <c r="A211" s="353"/>
    </row>
    <row r="212" ht="12.75">
      <c r="A212" s="353"/>
    </row>
    <row r="213" ht="12.75">
      <c r="A213" s="353"/>
    </row>
    <row r="214" ht="12.75">
      <c r="A214" s="353"/>
    </row>
    <row r="215" ht="12.75">
      <c r="A215" s="353"/>
    </row>
    <row r="216" ht="12.75">
      <c r="A216" s="353"/>
    </row>
    <row r="217" ht="12.75">
      <c r="A217" s="353"/>
    </row>
    <row r="218" ht="12.75">
      <c r="A218" s="353"/>
    </row>
    <row r="219" ht="12.75">
      <c r="A219" s="353"/>
    </row>
    <row r="220" ht="12.75">
      <c r="A220" s="353"/>
    </row>
    <row r="221" ht="12.75">
      <c r="A221" s="353"/>
    </row>
    <row r="222" ht="12.75">
      <c r="A222" s="353"/>
    </row>
    <row r="223" ht="12.75">
      <c r="A223" s="353"/>
    </row>
    <row r="224" ht="12.75">
      <c r="A224" s="353"/>
    </row>
    <row r="225" ht="12.75">
      <c r="A225" s="353"/>
    </row>
  </sheetData>
  <sheetProtection password="F810" sheet="1" objects="1" scenarios="1" selectLockedCells="1" selectUnlockedCells="1"/>
  <printOptions gridLines="1"/>
  <pageMargins left="0.75" right="0.25" top="0.5" bottom="0" header="0.25" footer="0.5"/>
  <pageSetup fitToHeight="1" fitToWidth="1" horizontalDpi="600" verticalDpi="600" orientation="portrait" paperSize="9" r:id="rId1"/>
  <rowBreaks count="1" manualBreakCount="1">
    <brk id="32" max="6" man="1"/>
  </rowBreak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J159"/>
  <sheetViews>
    <sheetView workbookViewId="0" topLeftCell="A1">
      <pane xSplit="1" ySplit="7" topLeftCell="V41" activePane="bottomRight" state="frozen"/>
      <selection pane="topLeft" activeCell="B29" sqref="B29"/>
      <selection pane="topRight" activeCell="B29" sqref="B29"/>
      <selection pane="bottomLeft" activeCell="B29" sqref="B29"/>
      <selection pane="bottomRight" activeCell="AQ51" sqref="AQ51"/>
    </sheetView>
  </sheetViews>
  <sheetFormatPr defaultColWidth="9.140625" defaultRowHeight="12.75"/>
  <cols>
    <col min="1" max="1" width="44.7109375" style="337" customWidth="1"/>
    <col min="2" max="2" width="17.7109375" style="286" bestFit="1" customWidth="1"/>
    <col min="3" max="3" width="12.00390625" style="286" bestFit="1" customWidth="1"/>
    <col min="4" max="4" width="11.00390625" style="286" bestFit="1" customWidth="1"/>
    <col min="5" max="5" width="10.421875" style="286" bestFit="1" customWidth="1"/>
    <col min="6" max="6" width="12.00390625" style="286" customWidth="1"/>
    <col min="7" max="7" width="12.7109375" style="286" bestFit="1" customWidth="1"/>
    <col min="8" max="8" width="11.00390625" style="286" customWidth="1"/>
    <col min="9" max="9" width="13.421875" style="286" bestFit="1" customWidth="1"/>
    <col min="10" max="10" width="10.57421875" style="286" customWidth="1"/>
    <col min="11" max="11" width="16.140625" style="286" bestFit="1" customWidth="1"/>
    <col min="12" max="12" width="14.8515625" style="286" bestFit="1" customWidth="1"/>
    <col min="13" max="13" width="12.57421875" style="286" bestFit="1" customWidth="1"/>
    <col min="14" max="14" width="10.8515625" style="286" customWidth="1"/>
    <col min="15" max="17" width="17.7109375" style="286" bestFit="1" customWidth="1"/>
    <col min="18" max="18" width="10.57421875" style="286" hidden="1" customWidth="1"/>
    <col min="19" max="19" width="11.57421875" style="286" hidden="1" customWidth="1"/>
    <col min="20" max="20" width="13.421875" style="286" bestFit="1" customWidth="1"/>
    <col min="21" max="22" width="13.421875" style="286" customWidth="1"/>
    <col min="23" max="23" width="16.00390625" style="286" customWidth="1"/>
    <col min="24" max="24" width="14.421875" style="286" bestFit="1" customWidth="1"/>
    <col min="25" max="25" width="15.8515625" style="286" bestFit="1" customWidth="1"/>
    <col min="26" max="26" width="17.00390625" style="286" bestFit="1" customWidth="1"/>
    <col min="27" max="27" width="22.7109375" style="336" bestFit="1" customWidth="1"/>
    <col min="28" max="28" width="17.00390625" style="336" hidden="1" customWidth="1"/>
    <col min="29" max="29" width="18.28125" style="336" hidden="1" customWidth="1"/>
    <col min="30" max="30" width="14.8515625" style="275" hidden="1" customWidth="1"/>
    <col min="31" max="31" width="37.57421875" style="276" hidden="1" customWidth="1"/>
    <col min="32" max="32" width="19.7109375" style="276" hidden="1" customWidth="1"/>
    <col min="33" max="33" width="5.8515625" style="275" hidden="1" customWidth="1"/>
    <col min="34" max="34" width="20.8515625" style="275" hidden="1" customWidth="1"/>
    <col min="35" max="41" width="8.8515625" style="275" hidden="1" customWidth="1"/>
    <col min="42" max="42" width="10.7109375" style="275" bestFit="1" customWidth="1"/>
    <col min="43" max="43" width="11.28125" style="305" bestFit="1" customWidth="1"/>
    <col min="44" max="53" width="8.8515625" style="275" customWidth="1"/>
    <col min="54" max="16384" width="8.8515625" style="276" customWidth="1"/>
  </cols>
  <sheetData>
    <row r="1" spans="1:34" ht="18.75">
      <c r="A1" s="85" t="s">
        <v>6</v>
      </c>
      <c r="B1" s="573"/>
      <c r="C1" s="573"/>
      <c r="D1" s="573"/>
      <c r="E1" s="573"/>
      <c r="F1" s="573"/>
      <c r="G1" s="573"/>
      <c r="H1" s="573"/>
      <c r="I1" s="573"/>
      <c r="J1" s="573"/>
      <c r="K1" s="573"/>
      <c r="L1" s="573"/>
      <c r="M1" s="581"/>
      <c r="N1" s="581"/>
      <c r="O1" s="581"/>
      <c r="P1" s="581"/>
      <c r="Q1" s="581"/>
      <c r="R1" s="581"/>
      <c r="S1" s="581"/>
      <c r="T1" s="581"/>
      <c r="U1" s="581"/>
      <c r="V1" s="581"/>
      <c r="W1" s="581"/>
      <c r="X1" s="591"/>
      <c r="Y1" s="582"/>
      <c r="Z1" s="573"/>
      <c r="AA1" s="574"/>
      <c r="AB1" s="574"/>
      <c r="AC1" s="574"/>
      <c r="AE1" s="175" t="s">
        <v>756</v>
      </c>
      <c r="AF1" s="304"/>
      <c r="AG1" s="304"/>
      <c r="AH1" s="304"/>
    </row>
    <row r="2" spans="1:34" ht="18.75">
      <c r="A2" s="515" t="s">
        <v>7</v>
      </c>
      <c r="B2" s="573"/>
      <c r="C2" s="573"/>
      <c r="D2" s="573"/>
      <c r="E2" s="573"/>
      <c r="F2" s="573"/>
      <c r="G2" s="573"/>
      <c r="H2" s="573"/>
      <c r="I2" s="573"/>
      <c r="J2" s="573"/>
      <c r="K2" s="573"/>
      <c r="L2" s="573"/>
      <c r="M2" s="581"/>
      <c r="N2" s="581"/>
      <c r="O2" s="581"/>
      <c r="P2" s="581"/>
      <c r="Q2" s="581"/>
      <c r="R2" s="581"/>
      <c r="S2" s="581"/>
      <c r="T2" s="581"/>
      <c r="U2" s="581"/>
      <c r="V2" s="581"/>
      <c r="W2" s="581"/>
      <c r="X2" s="592"/>
      <c r="Y2" s="582"/>
      <c r="Z2" s="573"/>
      <c r="AA2" s="574"/>
      <c r="AB2" s="574"/>
      <c r="AC2" s="574"/>
      <c r="AE2" s="175"/>
      <c r="AF2" s="304"/>
      <c r="AG2" s="304"/>
      <c r="AH2" s="304"/>
    </row>
    <row r="3" spans="1:34" ht="12.75">
      <c r="A3" s="385" t="s">
        <v>457</v>
      </c>
      <c r="B3" s="573"/>
      <c r="C3" s="573"/>
      <c r="D3" s="573"/>
      <c r="E3" s="573"/>
      <c r="F3" s="573"/>
      <c r="G3" s="573"/>
      <c r="H3" s="573"/>
      <c r="I3" s="573"/>
      <c r="J3" s="573"/>
      <c r="K3" s="573"/>
      <c r="L3" s="573"/>
      <c r="M3" s="581"/>
      <c r="N3" s="581"/>
      <c r="O3" s="581"/>
      <c r="P3" s="581"/>
      <c r="Q3" s="581"/>
      <c r="R3" s="581"/>
      <c r="S3" s="581"/>
      <c r="T3" s="593"/>
      <c r="U3" s="593"/>
      <c r="V3" s="593"/>
      <c r="W3" s="581"/>
      <c r="X3" s="594"/>
      <c r="Y3" s="582"/>
      <c r="Z3" s="573"/>
      <c r="AA3" s="574"/>
      <c r="AB3" s="574"/>
      <c r="AC3" s="574"/>
      <c r="AE3" s="2"/>
      <c r="AF3" s="304"/>
      <c r="AG3" s="304"/>
      <c r="AH3" s="304"/>
    </row>
    <row r="4" spans="1:34" ht="15.75">
      <c r="A4" s="385"/>
      <c r="B4" s="573"/>
      <c r="C4" s="573"/>
      <c r="D4" s="573"/>
      <c r="E4" s="573"/>
      <c r="F4" s="573"/>
      <c r="G4" s="573"/>
      <c r="H4" s="573"/>
      <c r="I4" s="573"/>
      <c r="J4" s="573"/>
      <c r="K4" s="573"/>
      <c r="L4" s="573"/>
      <c r="M4" s="581"/>
      <c r="N4" s="581"/>
      <c r="O4" s="581"/>
      <c r="P4" s="581"/>
      <c r="Q4" s="581"/>
      <c r="R4" s="581"/>
      <c r="S4" s="581"/>
      <c r="T4" s="593"/>
      <c r="U4" s="593"/>
      <c r="V4" s="593"/>
      <c r="W4" s="579" t="s">
        <v>86</v>
      </c>
      <c r="X4" s="594"/>
      <c r="Y4" s="582"/>
      <c r="Z4" s="573"/>
      <c r="AA4" s="572" t="s">
        <v>86</v>
      </c>
      <c r="AB4" s="572" t="s">
        <v>86</v>
      </c>
      <c r="AC4" s="572" t="s">
        <v>761</v>
      </c>
      <c r="AE4" s="174" t="s">
        <v>0</v>
      </c>
      <c r="AF4" s="304"/>
      <c r="AG4" s="304"/>
      <c r="AH4" s="304"/>
    </row>
    <row r="5" spans="1:34" ht="15.75">
      <c r="A5" s="300"/>
      <c r="B5" s="596" t="s">
        <v>233</v>
      </c>
      <c r="C5" s="391" t="s">
        <v>22</v>
      </c>
      <c r="D5" s="391" t="s">
        <v>22</v>
      </c>
      <c r="E5" s="391" t="s">
        <v>22</v>
      </c>
      <c r="F5" s="391" t="s">
        <v>22</v>
      </c>
      <c r="G5" s="391" t="s">
        <v>234</v>
      </c>
      <c r="H5" s="391" t="s">
        <v>234</v>
      </c>
      <c r="I5" s="391" t="s">
        <v>266</v>
      </c>
      <c r="J5" s="391" t="s">
        <v>234</v>
      </c>
      <c r="K5" s="391" t="s">
        <v>266</v>
      </c>
      <c r="L5" s="391" t="s">
        <v>266</v>
      </c>
      <c r="M5" s="391" t="s">
        <v>234</v>
      </c>
      <c r="N5" s="391" t="s">
        <v>234</v>
      </c>
      <c r="O5" s="596" t="s">
        <v>233</v>
      </c>
      <c r="P5" s="596" t="s">
        <v>233</v>
      </c>
      <c r="Q5" s="596" t="s">
        <v>233</v>
      </c>
      <c r="R5" s="596"/>
      <c r="S5" s="596"/>
      <c r="T5" s="391" t="s">
        <v>234</v>
      </c>
      <c r="U5" s="391" t="s">
        <v>234</v>
      </c>
      <c r="V5" s="391" t="s">
        <v>234</v>
      </c>
      <c r="W5" s="579" t="s">
        <v>765</v>
      </c>
      <c r="X5" s="594"/>
      <c r="Y5" s="582"/>
      <c r="Z5" s="573"/>
      <c r="AA5" s="572" t="s">
        <v>798</v>
      </c>
      <c r="AB5" s="572" t="s">
        <v>798</v>
      </c>
      <c r="AC5" s="572" t="s">
        <v>762</v>
      </c>
      <c r="AE5" s="174"/>
      <c r="AF5" s="304"/>
      <c r="AG5" s="304"/>
      <c r="AH5" s="304"/>
    </row>
    <row r="6" spans="1:53" s="277" customFormat="1" ht="12.75">
      <c r="A6" s="385"/>
      <c r="B6" s="572" t="s">
        <v>757</v>
      </c>
      <c r="C6" s="572" t="s">
        <v>574</v>
      </c>
      <c r="D6" s="572" t="s">
        <v>225</v>
      </c>
      <c r="E6" s="572" t="s">
        <v>783</v>
      </c>
      <c r="F6" s="572" t="s">
        <v>782</v>
      </c>
      <c r="G6" s="572" t="s">
        <v>784</v>
      </c>
      <c r="H6" s="572" t="s">
        <v>792</v>
      </c>
      <c r="I6" s="572" t="s">
        <v>772</v>
      </c>
      <c r="J6" s="572" t="s">
        <v>130</v>
      </c>
      <c r="K6" s="572" t="s">
        <v>773</v>
      </c>
      <c r="L6" s="572" t="s">
        <v>131</v>
      </c>
      <c r="M6" s="579" t="s">
        <v>811</v>
      </c>
      <c r="N6" s="579" t="s">
        <v>794</v>
      </c>
      <c r="O6" s="579" t="s">
        <v>132</v>
      </c>
      <c r="P6" s="579" t="s">
        <v>171</v>
      </c>
      <c r="Q6" s="579" t="s">
        <v>85</v>
      </c>
      <c r="R6" s="579" t="s">
        <v>704</v>
      </c>
      <c r="S6" s="579" t="s">
        <v>133</v>
      </c>
      <c r="T6" s="579" t="s">
        <v>158</v>
      </c>
      <c r="U6" s="579" t="s">
        <v>156</v>
      </c>
      <c r="V6" s="579" t="s">
        <v>157</v>
      </c>
      <c r="W6" s="579" t="s">
        <v>766</v>
      </c>
      <c r="X6" s="597"/>
      <c r="Y6" s="706" t="s">
        <v>334</v>
      </c>
      <c r="Z6" s="707"/>
      <c r="AA6" s="572" t="s">
        <v>764</v>
      </c>
      <c r="AB6" s="572" t="s">
        <v>138</v>
      </c>
      <c r="AC6" s="598" t="s">
        <v>763</v>
      </c>
      <c r="AD6" s="335"/>
      <c r="AE6" s="2"/>
      <c r="AF6" s="304"/>
      <c r="AG6" s="304"/>
      <c r="AH6" s="304"/>
      <c r="AI6" s="335"/>
      <c r="AJ6" s="335"/>
      <c r="AK6" s="335"/>
      <c r="AL6" s="335"/>
      <c r="AM6" s="335"/>
      <c r="AN6" s="335"/>
      <c r="AO6" s="335"/>
      <c r="AP6" s="335"/>
      <c r="AQ6" s="503"/>
      <c r="AR6" s="335"/>
      <c r="AS6" s="335"/>
      <c r="AT6" s="335"/>
      <c r="AU6" s="335"/>
      <c r="AV6" s="335"/>
      <c r="AW6" s="335"/>
      <c r="AX6" s="335"/>
      <c r="AY6" s="335"/>
      <c r="AZ6" s="335"/>
      <c r="BA6" s="335"/>
    </row>
    <row r="7" spans="1:53" s="277" customFormat="1" ht="12.75">
      <c r="A7" s="385"/>
      <c r="B7" s="572" t="s">
        <v>337</v>
      </c>
      <c r="C7" s="572" t="s">
        <v>337</v>
      </c>
      <c r="D7" s="572" t="s">
        <v>337</v>
      </c>
      <c r="E7" s="572" t="s">
        <v>337</v>
      </c>
      <c r="F7" s="572" t="s">
        <v>337</v>
      </c>
      <c r="G7" s="572" t="s">
        <v>337</v>
      </c>
      <c r="H7" s="572" t="s">
        <v>337</v>
      </c>
      <c r="I7" s="572" t="s">
        <v>337</v>
      </c>
      <c r="J7" s="572" t="s">
        <v>337</v>
      </c>
      <c r="K7" s="572" t="s">
        <v>337</v>
      </c>
      <c r="L7" s="572" t="s">
        <v>337</v>
      </c>
      <c r="M7" s="579" t="s">
        <v>337</v>
      </c>
      <c r="N7" s="579" t="s">
        <v>337</v>
      </c>
      <c r="O7" s="579" t="s">
        <v>337</v>
      </c>
      <c r="P7" s="579" t="s">
        <v>337</v>
      </c>
      <c r="Q7" s="579" t="s">
        <v>337</v>
      </c>
      <c r="R7" s="579" t="s">
        <v>87</v>
      </c>
      <c r="S7" s="579" t="s">
        <v>87</v>
      </c>
      <c r="T7" s="579" t="s">
        <v>337</v>
      </c>
      <c r="U7" s="580" t="s">
        <v>337</v>
      </c>
      <c r="V7" s="579" t="s">
        <v>337</v>
      </c>
      <c r="W7" s="579" t="s">
        <v>337</v>
      </c>
      <c r="X7" s="597"/>
      <c r="Y7" s="571" t="s">
        <v>351</v>
      </c>
      <c r="Z7" s="572" t="s">
        <v>352</v>
      </c>
      <c r="AA7" s="572"/>
      <c r="AB7" s="572"/>
      <c r="AC7" s="572"/>
      <c r="AD7" s="335"/>
      <c r="AE7" s="2"/>
      <c r="AF7" s="304"/>
      <c r="AG7" s="304"/>
      <c r="AH7" s="304"/>
      <c r="AI7" s="335"/>
      <c r="AJ7" s="335"/>
      <c r="AK7" s="335"/>
      <c r="AL7" s="335"/>
      <c r="AM7" s="335"/>
      <c r="AN7" s="335"/>
      <c r="AO7" s="335"/>
      <c r="AP7" s="335"/>
      <c r="AQ7" s="503"/>
      <c r="AR7" s="335"/>
      <c r="AS7" s="335"/>
      <c r="AT7" s="335"/>
      <c r="AU7" s="335"/>
      <c r="AV7" s="335"/>
      <c r="AW7" s="335"/>
      <c r="AX7" s="335"/>
      <c r="AY7" s="335"/>
      <c r="AZ7" s="335"/>
      <c r="BA7" s="335"/>
    </row>
    <row r="8" spans="1:34" ht="12.75">
      <c r="A8" s="300"/>
      <c r="B8" s="573"/>
      <c r="C8" s="573"/>
      <c r="D8" s="573"/>
      <c r="E8" s="573"/>
      <c r="F8" s="573"/>
      <c r="G8" s="573"/>
      <c r="H8" s="573"/>
      <c r="I8" s="573"/>
      <c r="J8" s="573"/>
      <c r="K8" s="573"/>
      <c r="L8" s="573"/>
      <c r="M8" s="581"/>
      <c r="N8" s="581"/>
      <c r="O8" s="581"/>
      <c r="P8" s="581"/>
      <c r="Q8" s="581"/>
      <c r="R8" s="596" t="s">
        <v>751</v>
      </c>
      <c r="S8" s="596" t="s">
        <v>750</v>
      </c>
      <c r="T8" s="581"/>
      <c r="U8" s="581"/>
      <c r="V8" s="581"/>
      <c r="W8" s="581"/>
      <c r="X8" s="594"/>
      <c r="Y8" s="582"/>
      <c r="Z8" s="573"/>
      <c r="AA8" s="574"/>
      <c r="AB8" s="574"/>
      <c r="AC8" s="574"/>
      <c r="AE8" s="2"/>
      <c r="AF8" s="490" t="s">
        <v>9</v>
      </c>
      <c r="AG8" s="304"/>
      <c r="AH8" s="490" t="s">
        <v>10</v>
      </c>
    </row>
    <row r="9" spans="1:34" ht="12.75">
      <c r="A9" s="300"/>
      <c r="B9" s="573"/>
      <c r="C9" s="573"/>
      <c r="D9" s="573"/>
      <c r="E9" s="573"/>
      <c r="F9" s="573"/>
      <c r="G9" s="573"/>
      <c r="H9" s="573"/>
      <c r="I9" s="573"/>
      <c r="J9" s="573"/>
      <c r="K9" s="573"/>
      <c r="L9" s="573"/>
      <c r="M9" s="581"/>
      <c r="N9" s="581"/>
      <c r="O9" s="581"/>
      <c r="P9" s="581"/>
      <c r="Q9" s="581"/>
      <c r="R9" s="595">
        <v>0.7</v>
      </c>
      <c r="S9" s="596">
        <v>0.7</v>
      </c>
      <c r="T9" s="581"/>
      <c r="U9" s="581"/>
      <c r="V9" s="581"/>
      <c r="W9" s="581"/>
      <c r="X9" s="594"/>
      <c r="Y9" s="582"/>
      <c r="Z9" s="573"/>
      <c r="AA9" s="574"/>
      <c r="AB9" s="574"/>
      <c r="AC9" s="574"/>
      <c r="AE9" s="2"/>
      <c r="AF9" s="491" t="s">
        <v>737</v>
      </c>
      <c r="AG9" s="304"/>
      <c r="AH9" s="491" t="s">
        <v>390</v>
      </c>
    </row>
    <row r="10" spans="1:41" ht="12.75">
      <c r="A10" s="300" t="s">
        <v>88</v>
      </c>
      <c r="B10" s="573">
        <v>0</v>
      </c>
      <c r="C10" s="573" t="e">
        <f>+#REF!</f>
        <v>#REF!</v>
      </c>
      <c r="D10" s="573" t="e">
        <f>+#REF!</f>
        <v>#REF!</v>
      </c>
      <c r="E10" s="573" t="e">
        <f>+#REF!</f>
        <v>#REF!</v>
      </c>
      <c r="F10" s="573" t="e">
        <f>#REF!</f>
        <v>#REF!</v>
      </c>
      <c r="G10" s="573">
        <v>0</v>
      </c>
      <c r="H10" s="573">
        <v>0</v>
      </c>
      <c r="I10" s="573" t="e">
        <f>+#REF!</f>
        <v>#REF!</v>
      </c>
      <c r="J10" s="573">
        <v>0</v>
      </c>
      <c r="K10" s="573" t="e">
        <f>+#REF!</f>
        <v>#REF!</v>
      </c>
      <c r="L10" s="573" t="e">
        <f>+#REF!</f>
        <v>#REF!</v>
      </c>
      <c r="M10" s="581">
        <v>0</v>
      </c>
      <c r="N10" s="581">
        <v>0</v>
      </c>
      <c r="O10" s="581">
        <v>0</v>
      </c>
      <c r="P10" s="581">
        <v>0</v>
      </c>
      <c r="Q10" s="581">
        <v>0</v>
      </c>
      <c r="R10" s="581">
        <v>0</v>
      </c>
      <c r="S10" s="581">
        <v>0</v>
      </c>
      <c r="T10" s="581">
        <v>0</v>
      </c>
      <c r="U10" s="581">
        <v>0</v>
      </c>
      <c r="V10" s="581">
        <v>0</v>
      </c>
      <c r="W10" s="581" t="e">
        <f>SUM(B10:V10)</f>
        <v>#REF!</v>
      </c>
      <c r="X10" s="594" t="e">
        <f>+#REF!</f>
        <v>#REF!</v>
      </c>
      <c r="Y10" s="582" t="e">
        <f>(#REF!)</f>
        <v>#REF!</v>
      </c>
      <c r="Z10" s="573"/>
      <c r="AA10" s="599" t="e">
        <f>W10-Y10-Y11-Z12</f>
        <v>#REF!</v>
      </c>
      <c r="AB10" s="599">
        <v>162193599</v>
      </c>
      <c r="AC10" s="599" t="e">
        <f>+AA10-AB10</f>
        <v>#REF!</v>
      </c>
      <c r="AE10" s="2"/>
      <c r="AF10" s="471">
        <v>2007</v>
      </c>
      <c r="AG10" s="304"/>
      <c r="AH10" s="471">
        <v>2007</v>
      </c>
      <c r="AO10" s="275" t="s">
        <v>58</v>
      </c>
    </row>
    <row r="11" spans="1:34" ht="12.75">
      <c r="A11" s="300"/>
      <c r="B11" s="573"/>
      <c r="C11" s="573"/>
      <c r="D11" s="573"/>
      <c r="E11" s="573"/>
      <c r="F11" s="573"/>
      <c r="G11" s="573"/>
      <c r="H11" s="573"/>
      <c r="I11" s="573"/>
      <c r="J11" s="573"/>
      <c r="K11" s="573"/>
      <c r="L11" s="573"/>
      <c r="M11" s="581"/>
      <c r="N11" s="581"/>
      <c r="O11" s="581"/>
      <c r="P11" s="581"/>
      <c r="Q11" s="581"/>
      <c r="R11" s="581"/>
      <c r="S11" s="581"/>
      <c r="T11" s="581"/>
      <c r="U11" s="581"/>
      <c r="V11" s="581"/>
      <c r="W11" s="581">
        <f aca="true" t="shared" si="0" ref="W11:W39">SUM(B11:V11)</f>
        <v>0</v>
      </c>
      <c r="X11" s="594" t="s">
        <v>255</v>
      </c>
      <c r="Y11" s="582" t="e">
        <f>#REF!</f>
        <v>#REF!</v>
      </c>
      <c r="Z11" s="573"/>
      <c r="AA11" s="599"/>
      <c r="AB11" s="599"/>
      <c r="AC11" s="599"/>
      <c r="AE11" s="2"/>
      <c r="AF11" s="473" t="s">
        <v>87</v>
      </c>
      <c r="AG11" s="304"/>
      <c r="AH11" s="474" t="s">
        <v>87</v>
      </c>
    </row>
    <row r="12" spans="1:34" ht="12.75">
      <c r="A12" s="300"/>
      <c r="B12" s="573"/>
      <c r="C12" s="620"/>
      <c r="D12" s="573"/>
      <c r="E12" s="573"/>
      <c r="F12" s="573"/>
      <c r="G12" s="573"/>
      <c r="H12" s="573"/>
      <c r="I12" s="573"/>
      <c r="J12" s="573"/>
      <c r="K12" s="573"/>
      <c r="L12" s="573"/>
      <c r="M12" s="581"/>
      <c r="N12" s="581"/>
      <c r="O12" s="581"/>
      <c r="P12" s="581"/>
      <c r="Q12" s="581"/>
      <c r="R12" s="581"/>
      <c r="S12" s="581"/>
      <c r="T12" s="581"/>
      <c r="U12" s="581"/>
      <c r="V12" s="581"/>
      <c r="W12" s="581"/>
      <c r="X12" s="594"/>
      <c r="Y12" s="582"/>
      <c r="Z12" s="573"/>
      <c r="AA12" s="599"/>
      <c r="AB12" s="599"/>
      <c r="AC12" s="599"/>
      <c r="AE12" s="2"/>
      <c r="AF12" s="304"/>
      <c r="AG12" s="304"/>
      <c r="AH12" s="304"/>
    </row>
    <row r="13" spans="1:34" ht="12.75">
      <c r="A13" s="300" t="s">
        <v>89</v>
      </c>
      <c r="B13" s="573">
        <v>0</v>
      </c>
      <c r="C13" s="573" t="e">
        <f>+#REF!</f>
        <v>#REF!</v>
      </c>
      <c r="D13" s="573" t="e">
        <f>+#REF!-D16</f>
        <v>#REF!</v>
      </c>
      <c r="E13" s="573" t="e">
        <f>+#REF!</f>
        <v>#REF!</v>
      </c>
      <c r="F13" s="573" t="e">
        <f>+#REF!-F16</f>
        <v>#REF!</v>
      </c>
      <c r="G13" s="573">
        <v>0</v>
      </c>
      <c r="H13" s="573">
        <v>0</v>
      </c>
      <c r="I13" s="573" t="e">
        <f>+#REF!</f>
        <v>#REF!</v>
      </c>
      <c r="J13" s="573">
        <v>0</v>
      </c>
      <c r="K13" s="573" t="e">
        <f>+#REF!</f>
        <v>#REF!</v>
      </c>
      <c r="L13" s="573" t="e">
        <f>+#REF!</f>
        <v>#REF!</v>
      </c>
      <c r="M13" s="581">
        <v>0</v>
      </c>
      <c r="N13" s="581">
        <v>0</v>
      </c>
      <c r="O13" s="581">
        <v>0</v>
      </c>
      <c r="P13" s="581">
        <v>0</v>
      </c>
      <c r="Q13" s="581">
        <v>0</v>
      </c>
      <c r="R13" s="581">
        <v>0</v>
      </c>
      <c r="S13" s="581">
        <v>0</v>
      </c>
      <c r="T13" s="581">
        <v>0</v>
      </c>
      <c r="U13" s="581">
        <v>0</v>
      </c>
      <c r="V13" s="581">
        <v>0</v>
      </c>
      <c r="W13" s="581" t="e">
        <f t="shared" si="0"/>
        <v>#REF!</v>
      </c>
      <c r="X13" s="594" t="e">
        <f>+#REF!</f>
        <v>#REF!</v>
      </c>
      <c r="Y13" s="582"/>
      <c r="Z13" s="573" t="e">
        <f>(#REF!)</f>
        <v>#REF!</v>
      </c>
      <c r="AA13" s="599"/>
      <c r="AB13" s="599"/>
      <c r="AC13" s="599">
        <f aca="true" t="shared" si="1" ref="AC13:AC18">+AA13-AB13</f>
        <v>0</v>
      </c>
      <c r="AE13" s="59"/>
      <c r="AF13" s="304"/>
      <c r="AG13" s="304"/>
      <c r="AH13" s="304"/>
    </row>
    <row r="14" spans="1:41" ht="12.75">
      <c r="A14" s="300"/>
      <c r="B14" s="573"/>
      <c r="C14" s="573"/>
      <c r="D14" s="573"/>
      <c r="E14" s="573"/>
      <c r="F14" s="573"/>
      <c r="G14" s="573"/>
      <c r="H14" s="573"/>
      <c r="I14" s="573"/>
      <c r="J14" s="573"/>
      <c r="K14" s="573"/>
      <c r="L14" s="573"/>
      <c r="M14" s="581"/>
      <c r="N14" s="581"/>
      <c r="O14" s="581"/>
      <c r="P14" s="581"/>
      <c r="Q14" s="581"/>
      <c r="R14" s="581"/>
      <c r="S14" s="581"/>
      <c r="T14" s="581"/>
      <c r="U14" s="581"/>
      <c r="V14" s="581"/>
      <c r="W14" s="581">
        <f t="shared" si="0"/>
        <v>0</v>
      </c>
      <c r="X14" s="594" t="e">
        <f>+#REF!</f>
        <v>#REF!</v>
      </c>
      <c r="Y14" s="582"/>
      <c r="Z14" s="573" t="e">
        <f>#REF!</f>
        <v>#REF!</v>
      </c>
      <c r="AA14" s="599" t="e">
        <f>+W13-Y14-Z13-Z14-Z15</f>
        <v>#REF!</v>
      </c>
      <c r="AB14" s="599">
        <v>-112381565</v>
      </c>
      <c r="AC14" s="599" t="e">
        <f t="shared" si="1"/>
        <v>#REF!</v>
      </c>
      <c r="AE14" s="493" t="s">
        <v>215</v>
      </c>
      <c r="AF14" s="301" t="e">
        <f>AC10</f>
        <v>#REF!</v>
      </c>
      <c r="AG14" s="372"/>
      <c r="AH14" s="301" t="e">
        <f>AA10</f>
        <v>#REF!</v>
      </c>
      <c r="AO14" s="275" t="str">
        <f>+AO10</f>
        <v>&lt;as per interco transaction schedule&gt;</v>
      </c>
    </row>
    <row r="15" spans="1:34" ht="12.75">
      <c r="A15" s="300" t="s">
        <v>90</v>
      </c>
      <c r="B15" s="573">
        <v>0</v>
      </c>
      <c r="C15" s="573" t="e">
        <f>+#REF!</f>
        <v>#REF!</v>
      </c>
      <c r="D15" s="573" t="e">
        <f>+#REF!</f>
        <v>#REF!</v>
      </c>
      <c r="E15" s="573" t="e">
        <f>+#REF!</f>
        <v>#REF!</v>
      </c>
      <c r="F15" s="573" t="e">
        <f>+#REF!</f>
        <v>#REF!</v>
      </c>
      <c r="G15" s="573">
        <v>0</v>
      </c>
      <c r="H15" s="573">
        <v>0</v>
      </c>
      <c r="I15" s="573" t="e">
        <f>#REF!</f>
        <v>#REF!</v>
      </c>
      <c r="J15" s="573">
        <v>0</v>
      </c>
      <c r="K15" s="573" t="e">
        <f>+#REF!</f>
        <v>#REF!</v>
      </c>
      <c r="L15" s="573" t="e">
        <f>+#REF!</f>
        <v>#REF!</v>
      </c>
      <c r="M15" s="581">
        <v>0</v>
      </c>
      <c r="N15" s="581">
        <v>0</v>
      </c>
      <c r="O15" s="581">
        <v>0</v>
      </c>
      <c r="P15" s="581">
        <v>0</v>
      </c>
      <c r="Q15" s="581">
        <v>0</v>
      </c>
      <c r="R15" s="581">
        <v>0</v>
      </c>
      <c r="S15" s="581">
        <v>0</v>
      </c>
      <c r="T15" s="581">
        <v>0</v>
      </c>
      <c r="U15" s="581">
        <v>0</v>
      </c>
      <c r="V15" s="581">
        <v>0</v>
      </c>
      <c r="W15" s="581" t="e">
        <f t="shared" si="0"/>
        <v>#REF!</v>
      </c>
      <c r="X15" s="594"/>
      <c r="Y15" s="582"/>
      <c r="Z15" s="573"/>
      <c r="AA15" s="599" t="e">
        <f>W15</f>
        <v>#REF!</v>
      </c>
      <c r="AB15" s="599">
        <v>-12332472</v>
      </c>
      <c r="AC15" s="599" t="e">
        <f t="shared" si="1"/>
        <v>#REF!</v>
      </c>
      <c r="AE15" s="2"/>
      <c r="AF15" s="268"/>
      <c r="AG15" s="372"/>
      <c r="AH15" s="268"/>
    </row>
    <row r="16" spans="1:34" ht="12.75">
      <c r="A16" s="300" t="s">
        <v>443</v>
      </c>
      <c r="B16" s="573">
        <v>0</v>
      </c>
      <c r="C16" s="573">
        <v>0</v>
      </c>
      <c r="D16" s="573">
        <v>0</v>
      </c>
      <c r="E16" s="573">
        <v>0</v>
      </c>
      <c r="F16" s="573">
        <v>0</v>
      </c>
      <c r="G16" s="573">
        <v>0</v>
      </c>
      <c r="H16" s="573">
        <v>0</v>
      </c>
      <c r="I16" s="573">
        <v>0</v>
      </c>
      <c r="J16" s="573">
        <v>0</v>
      </c>
      <c r="K16" s="573">
        <v>0</v>
      </c>
      <c r="L16" s="573">
        <v>0</v>
      </c>
      <c r="M16" s="581">
        <v>0</v>
      </c>
      <c r="N16" s="581">
        <v>0</v>
      </c>
      <c r="O16" s="581">
        <v>0</v>
      </c>
      <c r="P16" s="581">
        <v>0</v>
      </c>
      <c r="Q16" s="581">
        <v>224489</v>
      </c>
      <c r="R16" s="581">
        <v>0</v>
      </c>
      <c r="S16" s="581">
        <v>0</v>
      </c>
      <c r="T16" s="581">
        <v>0</v>
      </c>
      <c r="U16" s="581">
        <v>0</v>
      </c>
      <c r="V16" s="581">
        <v>0</v>
      </c>
      <c r="W16" s="581">
        <f t="shared" si="0"/>
        <v>224489</v>
      </c>
      <c r="X16" s="594"/>
      <c r="Y16" s="582"/>
      <c r="Z16" s="573"/>
      <c r="AA16" s="599">
        <f>W16</f>
        <v>224489</v>
      </c>
      <c r="AB16" s="599">
        <v>0</v>
      </c>
      <c r="AC16" s="599">
        <f t="shared" si="1"/>
        <v>224489</v>
      </c>
      <c r="AE16" s="492" t="s">
        <v>89</v>
      </c>
      <c r="AF16" s="268" t="e">
        <f>AC14+AC15</f>
        <v>#REF!</v>
      </c>
      <c r="AG16" s="372"/>
      <c r="AH16" s="268" t="e">
        <f>AA14+AA15+AA35</f>
        <v>#REF!</v>
      </c>
    </row>
    <row r="17" spans="1:34" ht="12.75">
      <c r="A17" s="300"/>
      <c r="B17" s="390"/>
      <c r="C17" s="390"/>
      <c r="D17" s="390"/>
      <c r="E17" s="390"/>
      <c r="F17" s="390"/>
      <c r="G17" s="390"/>
      <c r="H17" s="390"/>
      <c r="I17" s="390"/>
      <c r="J17" s="390"/>
      <c r="K17" s="390"/>
      <c r="L17" s="390"/>
      <c r="M17" s="585"/>
      <c r="N17" s="585"/>
      <c r="O17" s="585"/>
      <c r="P17" s="585"/>
      <c r="Q17" s="585"/>
      <c r="R17" s="585"/>
      <c r="S17" s="585"/>
      <c r="T17" s="585"/>
      <c r="U17" s="585"/>
      <c r="V17" s="585"/>
      <c r="W17" s="585">
        <f t="shared" si="0"/>
        <v>0</v>
      </c>
      <c r="X17" s="609"/>
      <c r="Y17" s="577"/>
      <c r="Z17" s="390"/>
      <c r="AA17" s="610"/>
      <c r="AB17" s="610"/>
      <c r="AC17" s="610">
        <f t="shared" si="1"/>
        <v>0</v>
      </c>
      <c r="AE17" s="2"/>
      <c r="AF17" s="268"/>
      <c r="AG17" s="372"/>
      <c r="AH17" s="268"/>
    </row>
    <row r="18" spans="1:53" s="277" customFormat="1" ht="13.5" thickBot="1">
      <c r="A18" s="385" t="s">
        <v>495</v>
      </c>
      <c r="B18" s="668">
        <f>SUM(B10:B17)</f>
        <v>0</v>
      </c>
      <c r="C18" s="668" t="e">
        <f>SUM(C10:C17)</f>
        <v>#REF!</v>
      </c>
      <c r="D18" s="668" t="e">
        <f aca="true" t="shared" si="2" ref="D18:K18">SUM(D10:D17)</f>
        <v>#REF!</v>
      </c>
      <c r="E18" s="668" t="e">
        <f>SUM(E10:E17)</f>
        <v>#REF!</v>
      </c>
      <c r="F18" s="668" t="e">
        <f t="shared" si="2"/>
        <v>#REF!</v>
      </c>
      <c r="G18" s="668">
        <f t="shared" si="2"/>
        <v>0</v>
      </c>
      <c r="H18" s="668">
        <f>SUM(H10:H17)</f>
        <v>0</v>
      </c>
      <c r="I18" s="668" t="e">
        <f>SUM(I10:I17)</f>
        <v>#REF!</v>
      </c>
      <c r="J18" s="668">
        <f>SUM(J10:J17)</f>
        <v>0</v>
      </c>
      <c r="K18" s="668" t="e">
        <f t="shared" si="2"/>
        <v>#REF!</v>
      </c>
      <c r="L18" s="668" t="e">
        <f aca="true" t="shared" si="3" ref="L18:V18">SUM(L10:L17)</f>
        <v>#REF!</v>
      </c>
      <c r="M18" s="668">
        <f t="shared" si="3"/>
        <v>0</v>
      </c>
      <c r="N18" s="668">
        <f t="shared" si="3"/>
        <v>0</v>
      </c>
      <c r="O18" s="668">
        <f t="shared" si="3"/>
        <v>0</v>
      </c>
      <c r="P18" s="668">
        <f t="shared" si="3"/>
        <v>0</v>
      </c>
      <c r="Q18" s="668">
        <f t="shared" si="3"/>
        <v>224489</v>
      </c>
      <c r="R18" s="668">
        <f t="shared" si="3"/>
        <v>0</v>
      </c>
      <c r="S18" s="668">
        <f t="shared" si="3"/>
        <v>0</v>
      </c>
      <c r="T18" s="668">
        <f t="shared" si="3"/>
        <v>0</v>
      </c>
      <c r="U18" s="668">
        <f t="shared" si="3"/>
        <v>0</v>
      </c>
      <c r="V18" s="668">
        <f t="shared" si="3"/>
        <v>0</v>
      </c>
      <c r="W18" s="669" t="e">
        <f>SUM(B18:V18)</f>
        <v>#REF!</v>
      </c>
      <c r="X18" s="670"/>
      <c r="Y18" s="671" t="e">
        <f>SUM(Y10:Y17)</f>
        <v>#REF!</v>
      </c>
      <c r="Z18" s="668" t="e">
        <f>SUM(Z10:Z17)</f>
        <v>#REF!</v>
      </c>
      <c r="AA18" s="668" t="e">
        <f>SUM(AA10:AA17)</f>
        <v>#REF!</v>
      </c>
      <c r="AB18" s="612">
        <f>SUM(AB10:AB17)</f>
        <v>37479562</v>
      </c>
      <c r="AC18" s="612" t="e">
        <f t="shared" si="1"/>
        <v>#REF!</v>
      </c>
      <c r="AD18" s="335"/>
      <c r="AE18" s="59" t="s">
        <v>623</v>
      </c>
      <c r="AF18" s="613" t="e">
        <f>SUM(AF14:AF16)</f>
        <v>#REF!</v>
      </c>
      <c r="AG18" s="614"/>
      <c r="AH18" s="613" t="e">
        <f>SUM(AH14:AH16)</f>
        <v>#REF!</v>
      </c>
      <c r="AI18" s="335"/>
      <c r="AJ18" s="335"/>
      <c r="AK18" s="335"/>
      <c r="AL18" s="335"/>
      <c r="AM18" s="335"/>
      <c r="AN18" s="335"/>
      <c r="AO18" s="335"/>
      <c r="AP18" s="335"/>
      <c r="AQ18" s="503"/>
      <c r="AR18" s="335"/>
      <c r="AS18" s="335"/>
      <c r="AT18" s="335"/>
      <c r="AU18" s="335"/>
      <c r="AV18" s="335"/>
      <c r="AW18" s="335"/>
      <c r="AX18" s="335"/>
      <c r="AY18" s="335"/>
      <c r="AZ18" s="335"/>
      <c r="BA18" s="335"/>
    </row>
    <row r="19" spans="1:34" ht="12.75">
      <c r="A19" s="300"/>
      <c r="B19" s="575"/>
      <c r="C19" s="575"/>
      <c r="D19" s="575"/>
      <c r="E19" s="575"/>
      <c r="F19" s="575"/>
      <c r="G19" s="575"/>
      <c r="H19" s="575"/>
      <c r="I19" s="575"/>
      <c r="J19" s="575"/>
      <c r="K19" s="575"/>
      <c r="L19" s="575"/>
      <c r="M19" s="583"/>
      <c r="N19" s="583"/>
      <c r="O19" s="583"/>
      <c r="P19" s="583"/>
      <c r="Q19" s="583"/>
      <c r="R19" s="583"/>
      <c r="S19" s="583"/>
      <c r="T19" s="583"/>
      <c r="U19" s="583"/>
      <c r="V19" s="583"/>
      <c r="W19" s="583">
        <f t="shared" si="0"/>
        <v>0</v>
      </c>
      <c r="X19" s="592"/>
      <c r="Y19" s="578"/>
      <c r="Z19" s="575"/>
      <c r="AA19" s="611"/>
      <c r="AB19" s="611"/>
      <c r="AC19" s="611"/>
      <c r="AE19" s="2"/>
      <c r="AF19" s="475"/>
      <c r="AG19" s="372"/>
      <c r="AH19" s="475"/>
    </row>
    <row r="20" spans="1:53" s="633" customFormat="1" ht="12.75">
      <c r="A20" s="624" t="s">
        <v>95</v>
      </c>
      <c r="B20" s="625"/>
      <c r="C20" s="625"/>
      <c r="D20" s="625"/>
      <c r="E20" s="625"/>
      <c r="F20" s="625"/>
      <c r="G20" s="625"/>
      <c r="H20" s="625"/>
      <c r="I20" s="625"/>
      <c r="J20" s="625"/>
      <c r="K20" s="625"/>
      <c r="L20" s="625"/>
      <c r="M20" s="626"/>
      <c r="N20" s="626"/>
      <c r="O20" s="626"/>
      <c r="P20" s="626"/>
      <c r="Q20" s="626"/>
      <c r="R20" s="626"/>
      <c r="S20" s="626"/>
      <c r="T20" s="626"/>
      <c r="U20" s="626"/>
      <c r="V20" s="626"/>
      <c r="W20" s="626"/>
      <c r="X20" s="627"/>
      <c r="Y20" s="628"/>
      <c r="Z20" s="625"/>
      <c r="AA20" s="629"/>
      <c r="AB20" s="629"/>
      <c r="AC20" s="629"/>
      <c r="AD20" s="630"/>
      <c r="AE20" s="19"/>
      <c r="AF20" s="631"/>
      <c r="AG20" s="632"/>
      <c r="AH20" s="631"/>
      <c r="AI20" s="630"/>
      <c r="AJ20" s="630"/>
      <c r="AK20" s="630"/>
      <c r="AL20" s="630"/>
      <c r="AM20" s="630"/>
      <c r="AN20" s="630"/>
      <c r="AO20" s="630"/>
      <c r="AP20" s="630"/>
      <c r="AQ20" s="590"/>
      <c r="AR20" s="630"/>
      <c r="AS20" s="630"/>
      <c r="AT20" s="630"/>
      <c r="AU20" s="630"/>
      <c r="AV20" s="630"/>
      <c r="AW20" s="630"/>
      <c r="AX20" s="630"/>
      <c r="AY20" s="630"/>
      <c r="AZ20" s="630"/>
      <c r="BA20" s="630"/>
    </row>
    <row r="21" spans="1:41" ht="12.75">
      <c r="A21" s="300" t="s">
        <v>94</v>
      </c>
      <c r="B21" s="573" t="e">
        <f>#REF!</f>
        <v>#REF!</v>
      </c>
      <c r="C21" s="573" t="e">
        <f>+#REF!</f>
        <v>#REF!</v>
      </c>
      <c r="D21" s="573" t="e">
        <f>+#REF!</f>
        <v>#REF!</v>
      </c>
      <c r="E21" s="573" t="e">
        <f>+#REF!</f>
        <v>#REF!</v>
      </c>
      <c r="F21" s="573" t="e">
        <f>+#REF!</f>
        <v>#REF!</v>
      </c>
      <c r="G21" s="573">
        <v>0</v>
      </c>
      <c r="H21" s="573">
        <v>0</v>
      </c>
      <c r="I21" s="573">
        <v>0</v>
      </c>
      <c r="J21" s="573">
        <v>0</v>
      </c>
      <c r="K21" s="573">
        <v>0</v>
      </c>
      <c r="L21" s="573" t="e">
        <f>+#REF!</f>
        <v>#REF!</v>
      </c>
      <c r="M21" s="581">
        <v>0</v>
      </c>
      <c r="N21" s="581">
        <v>0</v>
      </c>
      <c r="O21" s="581">
        <v>0</v>
      </c>
      <c r="P21" s="581">
        <v>0</v>
      </c>
      <c r="Q21" s="581">
        <v>0</v>
      </c>
      <c r="R21" s="581">
        <v>0</v>
      </c>
      <c r="S21" s="581">
        <v>0</v>
      </c>
      <c r="T21" s="581">
        <v>0</v>
      </c>
      <c r="U21" s="581">
        <v>0</v>
      </c>
      <c r="V21" s="581">
        <v>0</v>
      </c>
      <c r="W21" s="581" t="e">
        <f t="shared" si="0"/>
        <v>#REF!</v>
      </c>
      <c r="X21" s="594" t="s">
        <v>175</v>
      </c>
      <c r="Y21" s="582" t="e">
        <f>(+#REF!)</f>
        <v>#REF!</v>
      </c>
      <c r="Z21" s="573"/>
      <c r="AA21" s="599" t="e">
        <f>+W21-Y21+Z21</f>
        <v>#REF!</v>
      </c>
      <c r="AB21" s="599"/>
      <c r="AC21" s="599" t="e">
        <f aca="true" t="shared" si="4" ref="AC21:AC36">+AA21-AB21</f>
        <v>#REF!</v>
      </c>
      <c r="AE21" s="494" t="s">
        <v>95</v>
      </c>
      <c r="AF21" s="268" t="e">
        <f>AC38</f>
        <v>#REF!</v>
      </c>
      <c r="AG21" s="372"/>
      <c r="AH21" s="268" t="e">
        <f>AA38-AA35</f>
        <v>#REF!</v>
      </c>
      <c r="AO21" s="275" t="str">
        <f>+AO14</f>
        <v>&lt;as per interco transaction schedule&gt;</v>
      </c>
    </row>
    <row r="22" spans="1:34" ht="12.75">
      <c r="A22" s="300" t="s">
        <v>774</v>
      </c>
      <c r="B22" s="573"/>
      <c r="C22" s="573"/>
      <c r="D22" s="573"/>
      <c r="E22" s="573"/>
      <c r="F22" s="573"/>
      <c r="G22" s="573"/>
      <c r="H22" s="573"/>
      <c r="I22" s="573"/>
      <c r="J22" s="573"/>
      <c r="K22" s="573">
        <v>849891</v>
      </c>
      <c r="L22" s="573">
        <v>0</v>
      </c>
      <c r="M22" s="581"/>
      <c r="N22" s="581"/>
      <c r="O22" s="581"/>
      <c r="P22" s="581"/>
      <c r="Q22" s="581"/>
      <c r="R22" s="581"/>
      <c r="S22" s="581"/>
      <c r="T22" s="581"/>
      <c r="U22" s="581"/>
      <c r="V22" s="581"/>
      <c r="W22" s="581">
        <f t="shared" si="0"/>
        <v>849891</v>
      </c>
      <c r="X22" s="594" t="s">
        <v>2</v>
      </c>
      <c r="Y22" s="582" t="e">
        <f>#REF!</f>
        <v>#REF!</v>
      </c>
      <c r="Z22" s="573"/>
      <c r="AA22" s="586" t="e">
        <f>+W22-Y22+Z22</f>
        <v>#REF!</v>
      </c>
      <c r="AB22" s="599">
        <v>210411</v>
      </c>
      <c r="AC22" s="599" t="e">
        <f t="shared" si="4"/>
        <v>#REF!</v>
      </c>
      <c r="AE22" s="494"/>
      <c r="AF22" s="268"/>
      <c r="AG22" s="372"/>
      <c r="AH22" s="268"/>
    </row>
    <row r="23" spans="1:41" ht="12.75">
      <c r="A23" s="300" t="s">
        <v>602</v>
      </c>
      <c r="B23" s="573" t="e">
        <f>+#REF!</f>
        <v>#REF!</v>
      </c>
      <c r="C23" s="573" t="e">
        <f>+#REF!</f>
        <v>#REF!</v>
      </c>
      <c r="D23" s="573" t="e">
        <f>+#REF!</f>
        <v>#REF!</v>
      </c>
      <c r="E23" s="573" t="e">
        <f>+#REF!</f>
        <v>#REF!</v>
      </c>
      <c r="F23" s="573" t="e">
        <f>+#REF!</f>
        <v>#REF!</v>
      </c>
      <c r="G23" s="573">
        <v>0</v>
      </c>
      <c r="H23" s="573">
        <v>0</v>
      </c>
      <c r="I23" s="573">
        <v>0</v>
      </c>
      <c r="J23" s="573">
        <v>0</v>
      </c>
      <c r="K23" s="573" t="e">
        <f>+#REF!</f>
        <v>#REF!</v>
      </c>
      <c r="L23" s="573" t="e">
        <f>+#REF!</f>
        <v>#REF!</v>
      </c>
      <c r="M23" s="581">
        <v>0</v>
      </c>
      <c r="N23" s="581">
        <v>0</v>
      </c>
      <c r="O23" s="581">
        <v>0</v>
      </c>
      <c r="P23" s="581">
        <v>0</v>
      </c>
      <c r="Q23" s="581">
        <v>0</v>
      </c>
      <c r="R23" s="581">
        <v>0</v>
      </c>
      <c r="S23" s="581">
        <v>0</v>
      </c>
      <c r="T23" s="581">
        <v>0</v>
      </c>
      <c r="U23" s="581">
        <v>0</v>
      </c>
      <c r="V23" s="581">
        <v>0</v>
      </c>
      <c r="W23" s="581" t="e">
        <f t="shared" si="0"/>
        <v>#REF!</v>
      </c>
      <c r="X23" s="594" t="e">
        <f>+#REF!</f>
        <v>#REF!</v>
      </c>
      <c r="Y23" s="582" t="e">
        <f>+#REF!</f>
        <v>#REF!</v>
      </c>
      <c r="Z23" s="573"/>
      <c r="AA23" s="574" t="e">
        <f>+W23-Y23+Z23</f>
        <v>#REF!</v>
      </c>
      <c r="AB23" s="599">
        <v>0</v>
      </c>
      <c r="AC23" s="599" t="e">
        <f t="shared" si="4"/>
        <v>#REF!</v>
      </c>
      <c r="AE23" s="2"/>
      <c r="AF23" s="268"/>
      <c r="AG23" s="372"/>
      <c r="AH23" s="268"/>
      <c r="AO23" s="275" t="str">
        <f>+AO21</f>
        <v>&lt;as per interco transaction schedule&gt;</v>
      </c>
    </row>
    <row r="24" spans="1:34" ht="12.75" hidden="1">
      <c r="A24" s="300" t="s">
        <v>91</v>
      </c>
      <c r="B24" s="573" t="e">
        <f>+#REF!</f>
        <v>#REF!</v>
      </c>
      <c r="C24" s="573" t="e">
        <f>+#REF!</f>
        <v>#REF!</v>
      </c>
      <c r="D24" s="573" t="e">
        <f>+#REF!</f>
        <v>#REF!</v>
      </c>
      <c r="E24" s="573" t="e">
        <f>+#REF!</f>
        <v>#REF!</v>
      </c>
      <c r="F24" s="573" t="e">
        <f>+#REF!</f>
        <v>#REF!</v>
      </c>
      <c r="G24" s="573">
        <v>0</v>
      </c>
      <c r="H24" s="573">
        <v>0</v>
      </c>
      <c r="I24" s="573">
        <v>0</v>
      </c>
      <c r="J24" s="573">
        <v>0</v>
      </c>
      <c r="K24" s="573" t="e">
        <f>+#REF!</f>
        <v>#REF!</v>
      </c>
      <c r="L24" s="573" t="e">
        <f>+#REF!</f>
        <v>#REF!</v>
      </c>
      <c r="M24" s="581">
        <v>0</v>
      </c>
      <c r="N24" s="581">
        <v>0</v>
      </c>
      <c r="O24" s="581">
        <v>0</v>
      </c>
      <c r="P24" s="581">
        <v>0</v>
      </c>
      <c r="Q24" s="581">
        <v>0</v>
      </c>
      <c r="R24" s="581">
        <v>0</v>
      </c>
      <c r="S24" s="581">
        <v>0</v>
      </c>
      <c r="T24" s="581">
        <v>0</v>
      </c>
      <c r="U24" s="581"/>
      <c r="V24" s="581"/>
      <c r="W24" s="581" t="e">
        <f t="shared" si="0"/>
        <v>#REF!</v>
      </c>
      <c r="X24" s="594"/>
      <c r="Y24" s="582"/>
      <c r="Z24" s="573"/>
      <c r="AA24" s="599" t="e">
        <f aca="true" t="shared" si="5" ref="AA24:AA34">+W24-Y24+Z24</f>
        <v>#REF!</v>
      </c>
      <c r="AB24" s="599">
        <v>0</v>
      </c>
      <c r="AC24" s="599" t="e">
        <f t="shared" si="4"/>
        <v>#REF!</v>
      </c>
      <c r="AE24" s="495" t="s">
        <v>311</v>
      </c>
      <c r="AF24" s="268" t="e">
        <f>-(AC47+#REF!)</f>
        <v>#REF!</v>
      </c>
      <c r="AG24" s="372"/>
      <c r="AH24" s="268" t="e">
        <f>-(AA47+#REF!)</f>
        <v>#REF!</v>
      </c>
    </row>
    <row r="25" spans="1:41" ht="12.75">
      <c r="A25" s="300" t="s">
        <v>92</v>
      </c>
      <c r="B25" s="573" t="e">
        <f>+#REF!</f>
        <v>#REF!</v>
      </c>
      <c r="C25" s="573" t="e">
        <f>+#REF!</f>
        <v>#REF!</v>
      </c>
      <c r="D25" s="573" t="e">
        <f>+#REF!</f>
        <v>#REF!</v>
      </c>
      <c r="E25" s="573" t="e">
        <f>+#REF!</f>
        <v>#REF!</v>
      </c>
      <c r="F25" s="573" t="e">
        <f>+#REF!</f>
        <v>#REF!</v>
      </c>
      <c r="G25" s="573">
        <v>0</v>
      </c>
      <c r="H25" s="573">
        <v>0</v>
      </c>
      <c r="I25" s="573">
        <v>0</v>
      </c>
      <c r="J25" s="573">
        <v>0</v>
      </c>
      <c r="K25" s="573" t="e">
        <f>+#REF!</f>
        <v>#REF!</v>
      </c>
      <c r="L25" s="573" t="e">
        <f>+#REF!</f>
        <v>#REF!</v>
      </c>
      <c r="M25" s="581">
        <v>0</v>
      </c>
      <c r="N25" s="581">
        <v>0</v>
      </c>
      <c r="O25" s="581">
        <v>0</v>
      </c>
      <c r="P25" s="581">
        <v>0</v>
      </c>
      <c r="Q25" s="581">
        <v>10800</v>
      </c>
      <c r="R25" s="581">
        <v>0</v>
      </c>
      <c r="S25" s="581">
        <v>0</v>
      </c>
      <c r="T25" s="581">
        <v>0</v>
      </c>
      <c r="U25" s="581">
        <v>0</v>
      </c>
      <c r="V25" s="581">
        <v>0</v>
      </c>
      <c r="W25" s="581" t="e">
        <f t="shared" si="0"/>
        <v>#REF!</v>
      </c>
      <c r="X25" s="594" t="e">
        <f>+#REF!</f>
        <v>#REF!</v>
      </c>
      <c r="Y25" s="582" t="e">
        <f>+#REF!</f>
        <v>#REF!</v>
      </c>
      <c r="Z25" s="573"/>
      <c r="AA25" s="586" t="e">
        <f t="shared" si="5"/>
        <v>#REF!</v>
      </c>
      <c r="AB25" s="599">
        <v>14960</v>
      </c>
      <c r="AC25" s="599" t="e">
        <f t="shared" si="4"/>
        <v>#REF!</v>
      </c>
      <c r="AE25" s="2"/>
      <c r="AF25" s="268"/>
      <c r="AG25" s="372"/>
      <c r="AH25" s="268"/>
      <c r="AO25" s="275" t="str">
        <f>+AO23</f>
        <v>&lt;as per interco transaction schedule&gt;</v>
      </c>
    </row>
    <row r="26" spans="1:34" ht="12.75">
      <c r="A26" s="300" t="s">
        <v>93</v>
      </c>
      <c r="B26" s="573" t="e">
        <f>+#REF!</f>
        <v>#REF!</v>
      </c>
      <c r="C26" s="573" t="e">
        <f>+#REF!</f>
        <v>#REF!</v>
      </c>
      <c r="D26" s="573" t="e">
        <f>+#REF!</f>
        <v>#REF!</v>
      </c>
      <c r="E26" s="573" t="e">
        <f>+#REF!</f>
        <v>#REF!</v>
      </c>
      <c r="F26" s="573" t="e">
        <f>+#REF!</f>
        <v>#REF!</v>
      </c>
      <c r="G26" s="573">
        <v>0</v>
      </c>
      <c r="H26" s="573">
        <v>0</v>
      </c>
      <c r="I26" s="573">
        <v>0</v>
      </c>
      <c r="J26" s="573">
        <v>0</v>
      </c>
      <c r="K26" s="573" t="e">
        <f>+#REF!</f>
        <v>#REF!</v>
      </c>
      <c r="L26" s="573" t="e">
        <f>+#REF!</f>
        <v>#REF!</v>
      </c>
      <c r="M26" s="581">
        <v>0</v>
      </c>
      <c r="N26" s="581">
        <v>0</v>
      </c>
      <c r="O26" s="581">
        <v>0</v>
      </c>
      <c r="P26" s="581">
        <v>0</v>
      </c>
      <c r="Q26" s="581">
        <v>0</v>
      </c>
      <c r="R26" s="581">
        <v>0</v>
      </c>
      <c r="S26" s="581">
        <v>0</v>
      </c>
      <c r="T26" s="581">
        <v>0</v>
      </c>
      <c r="U26" s="581">
        <v>0</v>
      </c>
      <c r="V26" s="581">
        <v>0</v>
      </c>
      <c r="W26" s="581" t="e">
        <f t="shared" si="0"/>
        <v>#REF!</v>
      </c>
      <c r="X26" s="594"/>
      <c r="Y26" s="582"/>
      <c r="Z26" s="573"/>
      <c r="AA26" s="599" t="e">
        <f t="shared" si="5"/>
        <v>#REF!</v>
      </c>
      <c r="AB26" s="599">
        <v>0</v>
      </c>
      <c r="AC26" s="599" t="e">
        <f t="shared" si="4"/>
        <v>#REF!</v>
      </c>
      <c r="AE26" s="496" t="s">
        <v>624</v>
      </c>
      <c r="AF26" s="268" t="e">
        <f>-SUM(#REF!)</f>
        <v>#REF!</v>
      </c>
      <c r="AG26" s="372"/>
      <c r="AH26" s="268" t="e">
        <f>-SUM(#REF!)</f>
        <v>#REF!</v>
      </c>
    </row>
    <row r="27" spans="1:41" ht="12.75">
      <c r="A27" s="300" t="s">
        <v>661</v>
      </c>
      <c r="B27" s="573" t="e">
        <f>+#REF!</f>
        <v>#REF!</v>
      </c>
      <c r="C27" s="573" t="e">
        <f>+#REF!</f>
        <v>#REF!</v>
      </c>
      <c r="D27" s="573">
        <v>0</v>
      </c>
      <c r="E27" s="573" t="e">
        <f>+#REF!</f>
        <v>#REF!</v>
      </c>
      <c r="F27" s="573" t="e">
        <f>+#REF!</f>
        <v>#REF!</v>
      </c>
      <c r="G27" s="573">
        <v>0</v>
      </c>
      <c r="H27" s="573">
        <v>16999</v>
      </c>
      <c r="I27" s="573">
        <v>0</v>
      </c>
      <c r="J27" s="573">
        <v>0</v>
      </c>
      <c r="K27" s="573" t="e">
        <f>+#REF!</f>
        <v>#REF!</v>
      </c>
      <c r="L27" s="573" t="e">
        <f>+#REF!</f>
        <v>#REF!</v>
      </c>
      <c r="M27" s="581">
        <v>0</v>
      </c>
      <c r="N27" s="581">
        <v>0</v>
      </c>
      <c r="O27" s="581">
        <v>0</v>
      </c>
      <c r="P27" s="581">
        <v>0</v>
      </c>
      <c r="Q27" s="581">
        <v>0</v>
      </c>
      <c r="R27" s="581">
        <v>0</v>
      </c>
      <c r="S27" s="581">
        <v>0</v>
      </c>
      <c r="T27" s="581">
        <v>0</v>
      </c>
      <c r="U27" s="581">
        <v>0</v>
      </c>
      <c r="V27" s="581">
        <v>0</v>
      </c>
      <c r="W27" s="581" t="e">
        <f t="shared" si="0"/>
        <v>#REF!</v>
      </c>
      <c r="X27" s="594"/>
      <c r="Y27" s="582"/>
      <c r="Z27" s="573"/>
      <c r="AA27" s="599" t="e">
        <f t="shared" si="5"/>
        <v>#REF!</v>
      </c>
      <c r="AB27" s="599">
        <v>-35118</v>
      </c>
      <c r="AC27" s="599" t="e">
        <f t="shared" si="4"/>
        <v>#REF!</v>
      </c>
      <c r="AE27" s="2"/>
      <c r="AF27" s="268"/>
      <c r="AG27" s="372"/>
      <c r="AH27" s="268"/>
      <c r="AO27" s="275" t="s">
        <v>59</v>
      </c>
    </row>
    <row r="28" spans="1:34" ht="12.75">
      <c r="A28" s="300" t="s">
        <v>75</v>
      </c>
      <c r="B28" s="573" t="e">
        <f>+#REF!</f>
        <v>#REF!</v>
      </c>
      <c r="C28" s="573" t="e">
        <f>+#REF!</f>
        <v>#REF!</v>
      </c>
      <c r="D28" s="573" t="e">
        <f>+#REF!</f>
        <v>#REF!</v>
      </c>
      <c r="E28" s="573" t="e">
        <f>+#REF!</f>
        <v>#REF!</v>
      </c>
      <c r="F28" s="573" t="e">
        <f>+#REF!</f>
        <v>#REF!</v>
      </c>
      <c r="G28" s="573">
        <v>0</v>
      </c>
      <c r="H28" s="573">
        <v>0</v>
      </c>
      <c r="I28" s="573">
        <v>0</v>
      </c>
      <c r="J28" s="573">
        <v>0</v>
      </c>
      <c r="K28" s="573">
        <v>0</v>
      </c>
      <c r="L28" s="573" t="e">
        <f>+#REF!</f>
        <v>#REF!</v>
      </c>
      <c r="M28" s="581">
        <v>0</v>
      </c>
      <c r="N28" s="581">
        <v>0</v>
      </c>
      <c r="O28" s="581">
        <v>76250</v>
      </c>
      <c r="P28" s="581">
        <v>0</v>
      </c>
      <c r="Q28" s="581">
        <v>0</v>
      </c>
      <c r="R28" s="581">
        <v>0</v>
      </c>
      <c r="S28" s="581">
        <v>0</v>
      </c>
      <c r="T28" s="581">
        <v>0</v>
      </c>
      <c r="U28" s="581">
        <v>0</v>
      </c>
      <c r="V28" s="581">
        <v>0</v>
      </c>
      <c r="W28" s="581" t="e">
        <f t="shared" si="0"/>
        <v>#REF!</v>
      </c>
      <c r="X28" s="594" t="s">
        <v>176</v>
      </c>
      <c r="Y28" s="582" t="e">
        <f>#REF!</f>
        <v>#REF!</v>
      </c>
      <c r="Z28" s="573"/>
      <c r="AA28" s="586" t="e">
        <f t="shared" si="5"/>
        <v>#REF!</v>
      </c>
      <c r="AB28" s="599">
        <v>76250</v>
      </c>
      <c r="AC28" s="599" t="e">
        <f t="shared" si="4"/>
        <v>#REF!</v>
      </c>
      <c r="AE28" s="497" t="s">
        <v>777</v>
      </c>
      <c r="AF28" s="268" t="e">
        <f>#REF!</f>
        <v>#REF!</v>
      </c>
      <c r="AG28" s="372"/>
      <c r="AH28" s="268" t="e">
        <f>#REF!</f>
        <v>#REF!</v>
      </c>
    </row>
    <row r="29" spans="1:34" ht="12.75">
      <c r="A29" s="300" t="s">
        <v>504</v>
      </c>
      <c r="B29" s="573">
        <v>0</v>
      </c>
      <c r="C29" s="573">
        <v>0</v>
      </c>
      <c r="D29" s="573">
        <v>0</v>
      </c>
      <c r="E29" s="573">
        <v>0</v>
      </c>
      <c r="F29" s="573">
        <v>0</v>
      </c>
      <c r="G29" s="573">
        <v>0</v>
      </c>
      <c r="H29" s="573">
        <v>0</v>
      </c>
      <c r="I29" s="573">
        <v>0</v>
      </c>
      <c r="J29" s="573">
        <v>0</v>
      </c>
      <c r="K29" s="573">
        <v>0</v>
      </c>
      <c r="L29" s="573">
        <v>0</v>
      </c>
      <c r="M29" s="581">
        <v>0</v>
      </c>
      <c r="N29" s="581">
        <v>0</v>
      </c>
      <c r="O29" s="581">
        <v>0</v>
      </c>
      <c r="P29" s="581">
        <v>0</v>
      </c>
      <c r="Q29" s="581">
        <v>0</v>
      </c>
      <c r="R29" s="581">
        <v>0</v>
      </c>
      <c r="S29" s="581">
        <v>0</v>
      </c>
      <c r="T29" s="581">
        <v>0</v>
      </c>
      <c r="U29" s="581">
        <v>0</v>
      </c>
      <c r="V29" s="581">
        <v>0</v>
      </c>
      <c r="W29" s="581">
        <f t="shared" si="0"/>
        <v>0</v>
      </c>
      <c r="X29" s="594"/>
      <c r="Y29" s="582"/>
      <c r="Z29" s="573"/>
      <c r="AA29" s="599">
        <f t="shared" si="5"/>
        <v>0</v>
      </c>
      <c r="AB29" s="599">
        <v>0</v>
      </c>
      <c r="AC29" s="599">
        <f t="shared" si="4"/>
        <v>0</v>
      </c>
      <c r="AE29" s="2"/>
      <c r="AF29" s="331"/>
      <c r="AG29" s="372"/>
      <c r="AH29" s="331"/>
    </row>
    <row r="30" spans="1:34" ht="12.75">
      <c r="A30" s="300" t="s">
        <v>95</v>
      </c>
      <c r="B30" s="573" t="e">
        <f>+#REF!+#REF!</f>
        <v>#REF!</v>
      </c>
      <c r="C30" s="573" t="e">
        <f>+#REF!</f>
        <v>#REF!</v>
      </c>
      <c r="D30" s="573" t="e">
        <f>+#REF!</f>
        <v>#REF!</v>
      </c>
      <c r="E30" s="573" t="e">
        <f>+#REF!</f>
        <v>#REF!</v>
      </c>
      <c r="F30" s="573">
        <v>0</v>
      </c>
      <c r="G30" s="573">
        <v>0</v>
      </c>
      <c r="H30" s="573">
        <v>0</v>
      </c>
      <c r="I30" s="573" t="e">
        <f>+#REF!</f>
        <v>#REF!</v>
      </c>
      <c r="J30" s="573">
        <v>0</v>
      </c>
      <c r="K30" s="573" t="e">
        <f>+#REF!</f>
        <v>#REF!</v>
      </c>
      <c r="L30" s="573" t="e">
        <f>+#REF!</f>
        <v>#REF!</v>
      </c>
      <c r="M30" s="581">
        <v>0</v>
      </c>
      <c r="N30" s="581">
        <v>0</v>
      </c>
      <c r="O30" s="581">
        <v>0</v>
      </c>
      <c r="P30" s="581">
        <v>0</v>
      </c>
      <c r="Q30" s="581">
        <v>0</v>
      </c>
      <c r="R30" s="581">
        <v>0</v>
      </c>
      <c r="S30" s="581">
        <v>0</v>
      </c>
      <c r="T30" s="581">
        <v>0</v>
      </c>
      <c r="U30" s="581">
        <v>0</v>
      </c>
      <c r="V30" s="581">
        <v>0</v>
      </c>
      <c r="W30" s="581" t="e">
        <f t="shared" si="0"/>
        <v>#REF!</v>
      </c>
      <c r="X30" s="594"/>
      <c r="Y30" s="582"/>
      <c r="Z30" s="573"/>
      <c r="AA30" s="586" t="e">
        <f t="shared" si="5"/>
        <v>#REF!</v>
      </c>
      <c r="AB30" s="599">
        <v>119042</v>
      </c>
      <c r="AC30" s="599" t="e">
        <f t="shared" si="4"/>
        <v>#REF!</v>
      </c>
      <c r="AE30" s="59" t="s">
        <v>187</v>
      </c>
      <c r="AF30" s="145" t="e">
        <f>SUM(AF18:AF29)</f>
        <v>#REF!</v>
      </c>
      <c r="AG30" s="372"/>
      <c r="AH30" s="145" t="e">
        <f>SUM(AH18:AH29)</f>
        <v>#REF!</v>
      </c>
    </row>
    <row r="31" spans="1:34" ht="12.75">
      <c r="A31" s="300" t="s">
        <v>259</v>
      </c>
      <c r="B31" s="573" t="e">
        <f>+#REF!</f>
        <v>#REF!</v>
      </c>
      <c r="C31" s="573"/>
      <c r="D31" s="573" t="e">
        <f>+#REF!</f>
        <v>#REF!</v>
      </c>
      <c r="E31" s="573"/>
      <c r="F31" s="573"/>
      <c r="G31" s="573"/>
      <c r="H31" s="573"/>
      <c r="I31" s="573"/>
      <c r="J31" s="573"/>
      <c r="K31" s="573"/>
      <c r="L31" s="573">
        <v>0</v>
      </c>
      <c r="M31" s="581"/>
      <c r="N31" s="581"/>
      <c r="O31" s="581"/>
      <c r="P31" s="581"/>
      <c r="Q31" s="581"/>
      <c r="R31" s="581"/>
      <c r="S31" s="581"/>
      <c r="T31" s="581"/>
      <c r="U31" s="581">
        <v>0</v>
      </c>
      <c r="V31" s="581">
        <v>0</v>
      </c>
      <c r="W31" s="581" t="e">
        <f t="shared" si="0"/>
        <v>#REF!</v>
      </c>
      <c r="X31" s="594"/>
      <c r="Y31" s="582"/>
      <c r="Z31" s="573"/>
      <c r="AA31" s="586" t="e">
        <f t="shared" si="5"/>
        <v>#REF!</v>
      </c>
      <c r="AB31" s="599">
        <v>0</v>
      </c>
      <c r="AC31" s="599" t="e">
        <f t="shared" si="4"/>
        <v>#REF!</v>
      </c>
      <c r="AE31" s="59"/>
      <c r="AF31" s="268"/>
      <c r="AG31" s="372"/>
      <c r="AH31" s="268"/>
    </row>
    <row r="32" spans="1:34" ht="12.75">
      <c r="A32" s="300" t="s">
        <v>77</v>
      </c>
      <c r="B32" s="573">
        <v>0</v>
      </c>
      <c r="C32" s="573" t="e">
        <f>+#REF!</f>
        <v>#REF!</v>
      </c>
      <c r="D32" s="573" t="e">
        <f>+#REF!</f>
        <v>#REF!</v>
      </c>
      <c r="E32" s="573" t="e">
        <f>+#REF!</f>
        <v>#REF!</v>
      </c>
      <c r="F32" s="573" t="e">
        <f>+#REF!</f>
        <v>#REF!</v>
      </c>
      <c r="G32" s="573">
        <v>0</v>
      </c>
      <c r="H32" s="573">
        <v>0</v>
      </c>
      <c r="I32" s="573">
        <v>0</v>
      </c>
      <c r="J32" s="573">
        <v>0</v>
      </c>
      <c r="K32" s="573" t="e">
        <f>#REF!</f>
        <v>#REF!</v>
      </c>
      <c r="L32" s="573">
        <v>0</v>
      </c>
      <c r="M32" s="581">
        <v>0</v>
      </c>
      <c r="N32" s="581">
        <v>0</v>
      </c>
      <c r="O32" s="581">
        <v>0</v>
      </c>
      <c r="P32" s="581">
        <v>0</v>
      </c>
      <c r="Q32" s="581">
        <v>0</v>
      </c>
      <c r="R32" s="581">
        <v>0</v>
      </c>
      <c r="S32" s="581">
        <v>0</v>
      </c>
      <c r="T32" s="581">
        <v>0</v>
      </c>
      <c r="U32" s="581">
        <v>0</v>
      </c>
      <c r="V32" s="581">
        <v>0</v>
      </c>
      <c r="W32" s="581" t="e">
        <f t="shared" si="0"/>
        <v>#REF!</v>
      </c>
      <c r="X32" s="594"/>
      <c r="Y32" s="582"/>
      <c r="Z32" s="573"/>
      <c r="AA32" s="586" t="e">
        <f t="shared" si="5"/>
        <v>#REF!</v>
      </c>
      <c r="AB32" s="599">
        <v>449833</v>
      </c>
      <c r="AC32" s="599" t="e">
        <f t="shared" si="4"/>
        <v>#REF!</v>
      </c>
      <c r="AE32" s="2"/>
      <c r="AF32" s="268"/>
      <c r="AG32" s="372"/>
      <c r="AH32" s="268"/>
    </row>
    <row r="33" spans="1:34" ht="12.75">
      <c r="A33" s="300" t="s">
        <v>594</v>
      </c>
      <c r="B33" s="573">
        <v>0</v>
      </c>
      <c r="C33" s="573">
        <v>0</v>
      </c>
      <c r="D33" s="573">
        <v>0</v>
      </c>
      <c r="E33" s="573">
        <v>0</v>
      </c>
      <c r="F33" s="573">
        <v>0</v>
      </c>
      <c r="G33" s="573">
        <v>0</v>
      </c>
      <c r="H33" s="573">
        <v>0</v>
      </c>
      <c r="I33" s="573">
        <v>0</v>
      </c>
      <c r="J33" s="573">
        <v>0</v>
      </c>
      <c r="K33" s="573">
        <v>0</v>
      </c>
      <c r="L33" s="573">
        <v>0</v>
      </c>
      <c r="M33" s="581">
        <v>0</v>
      </c>
      <c r="N33" s="581">
        <v>0</v>
      </c>
      <c r="O33" s="581">
        <v>0</v>
      </c>
      <c r="P33" s="581">
        <v>0</v>
      </c>
      <c r="Q33" s="581">
        <v>0</v>
      </c>
      <c r="R33" s="581">
        <v>0</v>
      </c>
      <c r="S33" s="581">
        <v>0</v>
      </c>
      <c r="T33" s="581">
        <v>0</v>
      </c>
      <c r="U33" s="581">
        <v>0</v>
      </c>
      <c r="V33" s="581">
        <v>0</v>
      </c>
      <c r="W33" s="581">
        <f t="shared" si="0"/>
        <v>0</v>
      </c>
      <c r="X33" s="594"/>
      <c r="Y33" s="582"/>
      <c r="Z33" s="573"/>
      <c r="AA33" s="599">
        <f t="shared" si="5"/>
        <v>0</v>
      </c>
      <c r="AB33" s="599">
        <v>0</v>
      </c>
      <c r="AC33" s="599">
        <f t="shared" si="4"/>
        <v>0</v>
      </c>
      <c r="AE33" s="498" t="s">
        <v>322</v>
      </c>
      <c r="AF33" s="268" t="e">
        <f>AC57</f>
        <v>#REF!</v>
      </c>
      <c r="AG33" s="372"/>
      <c r="AH33" s="268" t="e">
        <f>AA57</f>
        <v>#REF!</v>
      </c>
    </row>
    <row r="34" spans="1:34" ht="12.75">
      <c r="A34" s="300" t="s">
        <v>342</v>
      </c>
      <c r="B34" s="573"/>
      <c r="C34" s="573"/>
      <c r="D34" s="573"/>
      <c r="E34" s="573"/>
      <c r="F34" s="573"/>
      <c r="G34" s="573"/>
      <c r="H34" s="573"/>
      <c r="I34" s="573"/>
      <c r="J34" s="573"/>
      <c r="K34" s="573" t="e">
        <f>+#REF!</f>
        <v>#REF!</v>
      </c>
      <c r="L34" s="573">
        <v>0</v>
      </c>
      <c r="M34" s="581"/>
      <c r="N34" s="581"/>
      <c r="O34" s="581"/>
      <c r="P34" s="581"/>
      <c r="Q34" s="581"/>
      <c r="R34" s="581"/>
      <c r="S34" s="581"/>
      <c r="T34" s="581"/>
      <c r="U34" s="581">
        <v>0</v>
      </c>
      <c r="V34" s="581">
        <v>0</v>
      </c>
      <c r="W34" s="581" t="e">
        <f t="shared" si="0"/>
        <v>#REF!</v>
      </c>
      <c r="X34" s="594"/>
      <c r="Y34" s="582"/>
      <c r="Z34" s="573"/>
      <c r="AA34" s="586" t="e">
        <f t="shared" si="5"/>
        <v>#REF!</v>
      </c>
      <c r="AB34" s="599">
        <v>43646</v>
      </c>
      <c r="AC34" s="599" t="e">
        <f t="shared" si="4"/>
        <v>#REF!</v>
      </c>
      <c r="AE34" s="498"/>
      <c r="AF34" s="268"/>
      <c r="AG34" s="372"/>
      <c r="AH34" s="268"/>
    </row>
    <row r="35" spans="1:34" ht="12.75">
      <c r="A35" s="300" t="s">
        <v>96</v>
      </c>
      <c r="B35" s="573" t="e">
        <f>+#REF!</f>
        <v>#REF!</v>
      </c>
      <c r="C35" s="573" t="e">
        <f>+#REF!</f>
        <v>#REF!</v>
      </c>
      <c r="D35" s="573" t="e">
        <f>+#REF!</f>
        <v>#REF!</v>
      </c>
      <c r="E35" s="573" t="e">
        <f>+#REF!</f>
        <v>#REF!</v>
      </c>
      <c r="F35" s="573" t="e">
        <f>+#REF!</f>
        <v>#REF!</v>
      </c>
      <c r="G35" s="573">
        <v>0</v>
      </c>
      <c r="H35" s="573">
        <v>0</v>
      </c>
      <c r="I35" s="573">
        <v>0</v>
      </c>
      <c r="J35" s="573">
        <v>0</v>
      </c>
      <c r="K35" s="573" t="e">
        <f>+#REF!</f>
        <v>#REF!</v>
      </c>
      <c r="L35" s="573" t="e">
        <f>+#REF!</f>
        <v>#REF!</v>
      </c>
      <c r="M35" s="581">
        <v>0</v>
      </c>
      <c r="N35" s="581">
        <v>0</v>
      </c>
      <c r="O35" s="581">
        <v>0</v>
      </c>
      <c r="P35" s="581">
        <v>0</v>
      </c>
      <c r="Q35" s="581">
        <v>0</v>
      </c>
      <c r="R35" s="581">
        <v>0</v>
      </c>
      <c r="S35" s="581">
        <v>0</v>
      </c>
      <c r="T35" s="581">
        <v>0</v>
      </c>
      <c r="U35" s="581">
        <v>0</v>
      </c>
      <c r="V35" s="581">
        <v>0</v>
      </c>
      <c r="W35" s="581" t="e">
        <f t="shared" si="0"/>
        <v>#REF!</v>
      </c>
      <c r="X35" s="594"/>
      <c r="Y35" s="582"/>
      <c r="Z35" s="573"/>
      <c r="AA35" s="586" t="e">
        <f>+W35-Y35+Z35</f>
        <v>#REF!</v>
      </c>
      <c r="AB35" s="599">
        <v>11703</v>
      </c>
      <c r="AC35" s="599" t="e">
        <f t="shared" si="4"/>
        <v>#REF!</v>
      </c>
      <c r="AE35" s="2"/>
      <c r="AF35" s="268"/>
      <c r="AG35" s="372"/>
      <c r="AH35" s="268"/>
    </row>
    <row r="36" spans="1:41" ht="12.75">
      <c r="A36" s="300" t="s">
        <v>141</v>
      </c>
      <c r="B36" s="573" t="e">
        <f>+#REF!</f>
        <v>#REF!</v>
      </c>
      <c r="C36" s="573" t="e">
        <f>+#REF!</f>
        <v>#REF!</v>
      </c>
      <c r="D36" s="573" t="e">
        <f>+#REF!</f>
        <v>#REF!</v>
      </c>
      <c r="E36" s="573" t="e">
        <f>+#REF!</f>
        <v>#REF!</v>
      </c>
      <c r="F36" s="573" t="e">
        <f>+#REF!</f>
        <v>#REF!</v>
      </c>
      <c r="G36" s="573">
        <v>0</v>
      </c>
      <c r="H36" s="573">
        <v>661</v>
      </c>
      <c r="I36" s="573" t="e">
        <f>+#REF!</f>
        <v>#REF!</v>
      </c>
      <c r="J36" s="573">
        <v>0</v>
      </c>
      <c r="K36" s="573" t="e">
        <f>+#REF!</f>
        <v>#REF!</v>
      </c>
      <c r="L36" s="573" t="e">
        <f>+#REF!</f>
        <v>#REF!</v>
      </c>
      <c r="M36" s="581">
        <v>0</v>
      </c>
      <c r="N36" s="581">
        <v>426</v>
      </c>
      <c r="O36" s="581">
        <v>0</v>
      </c>
      <c r="P36" s="581">
        <v>0</v>
      </c>
      <c r="Q36" s="581">
        <v>0</v>
      </c>
      <c r="R36" s="581">
        <v>0</v>
      </c>
      <c r="S36" s="581">
        <v>0</v>
      </c>
      <c r="T36" s="581">
        <v>0</v>
      </c>
      <c r="U36" s="581">
        <v>0</v>
      </c>
      <c r="V36" s="581">
        <v>0</v>
      </c>
      <c r="W36" s="581" t="e">
        <f>SUM(B36:V36)</f>
        <v>#REF!</v>
      </c>
      <c r="X36" s="594" t="e">
        <f>+#REF!</f>
        <v>#REF!</v>
      </c>
      <c r="Y36" s="582" t="e">
        <f>+#REF!</f>
        <v>#REF!</v>
      </c>
      <c r="Z36" s="573"/>
      <c r="AA36" s="586" t="e">
        <f>+W36-Y36-Y37+Z36</f>
        <v>#REF!</v>
      </c>
      <c r="AB36" s="599">
        <v>1124392</v>
      </c>
      <c r="AC36" s="599" t="e">
        <f t="shared" si="4"/>
        <v>#REF!</v>
      </c>
      <c r="AE36" s="59" t="s">
        <v>188</v>
      </c>
      <c r="AF36" s="145" t="e">
        <f>SUM(AF30:AF35)</f>
        <v>#REF!</v>
      </c>
      <c r="AG36" s="372"/>
      <c r="AH36" s="145" t="e">
        <f>SUM(AH30:AH35)</f>
        <v>#REF!</v>
      </c>
      <c r="AO36" s="275" t="str">
        <f>+AO25</f>
        <v>&lt;as per interco transaction schedule&gt;</v>
      </c>
    </row>
    <row r="37" spans="1:34" ht="12.75">
      <c r="A37" s="300"/>
      <c r="B37" s="573"/>
      <c r="C37" s="573"/>
      <c r="D37" s="573"/>
      <c r="E37" s="573"/>
      <c r="F37" s="573"/>
      <c r="G37" s="573"/>
      <c r="H37" s="573"/>
      <c r="I37" s="573"/>
      <c r="J37" s="573"/>
      <c r="K37" s="573"/>
      <c r="L37" s="573"/>
      <c r="M37" s="581"/>
      <c r="N37" s="581"/>
      <c r="O37" s="581"/>
      <c r="P37" s="581"/>
      <c r="Q37" s="581"/>
      <c r="R37" s="581"/>
      <c r="S37" s="581"/>
      <c r="T37" s="581"/>
      <c r="U37" s="581"/>
      <c r="V37" s="581"/>
      <c r="W37" s="581">
        <f t="shared" si="0"/>
        <v>0</v>
      </c>
      <c r="X37" s="594"/>
      <c r="Y37" s="582"/>
      <c r="Z37" s="573"/>
      <c r="AA37" s="599"/>
      <c r="AB37" s="599"/>
      <c r="AC37" s="599"/>
      <c r="AE37" s="59"/>
      <c r="AF37" s="268"/>
      <c r="AG37" s="372"/>
      <c r="AH37" s="268"/>
    </row>
    <row r="38" spans="1:53" s="277" customFormat="1" ht="13.5" thickBot="1">
      <c r="A38" s="615"/>
      <c r="B38" s="668" t="e">
        <f>SUM(B21:B37)</f>
        <v>#REF!</v>
      </c>
      <c r="C38" s="668" t="e">
        <f aca="true" t="shared" si="6" ref="C38:I38">SUM(C21:C36)</f>
        <v>#REF!</v>
      </c>
      <c r="D38" s="668" t="e">
        <f t="shared" si="6"/>
        <v>#REF!</v>
      </c>
      <c r="E38" s="668" t="e">
        <f t="shared" si="6"/>
        <v>#REF!</v>
      </c>
      <c r="F38" s="668" t="e">
        <f t="shared" si="6"/>
        <v>#REF!</v>
      </c>
      <c r="G38" s="668">
        <f t="shared" si="6"/>
        <v>0</v>
      </c>
      <c r="H38" s="668">
        <f>SUM(H21:H36)</f>
        <v>17660</v>
      </c>
      <c r="I38" s="668" t="e">
        <f t="shared" si="6"/>
        <v>#REF!</v>
      </c>
      <c r="J38" s="668">
        <f>SUM(J21:J36)</f>
        <v>0</v>
      </c>
      <c r="K38" s="668" t="e">
        <f>SUM(K21:K36)</f>
        <v>#REF!</v>
      </c>
      <c r="L38" s="668" t="e">
        <f>SUM(L21:L36)</f>
        <v>#REF!</v>
      </c>
      <c r="M38" s="668">
        <f>SUM(M21:M36)</f>
        <v>0</v>
      </c>
      <c r="N38" s="668">
        <f aca="true" t="shared" si="7" ref="N38:S38">SUM(N21:N36)</f>
        <v>426</v>
      </c>
      <c r="O38" s="668">
        <f>SUM(O21:O36)</f>
        <v>76250</v>
      </c>
      <c r="P38" s="668">
        <f>SUM(P21:P36)</f>
        <v>0</v>
      </c>
      <c r="Q38" s="668">
        <f>SUM(Q21:Q36)</f>
        <v>10800</v>
      </c>
      <c r="R38" s="668">
        <f t="shared" si="7"/>
        <v>0</v>
      </c>
      <c r="S38" s="668">
        <f t="shared" si="7"/>
        <v>0</v>
      </c>
      <c r="T38" s="668">
        <f>SUM(T21:T36)</f>
        <v>0</v>
      </c>
      <c r="U38" s="668">
        <f>SUM(U21:U36)</f>
        <v>0</v>
      </c>
      <c r="V38" s="668">
        <f>SUM(V21:V36)</f>
        <v>0</v>
      </c>
      <c r="W38" s="669" t="e">
        <f t="shared" si="0"/>
        <v>#REF!</v>
      </c>
      <c r="X38" s="670"/>
      <c r="Y38" s="671" t="e">
        <f>SUM(Y21:Y37)</f>
        <v>#REF!</v>
      </c>
      <c r="Z38" s="668">
        <f>SUM(Z21:Z37)</f>
        <v>0</v>
      </c>
      <c r="AA38" s="668" t="e">
        <f>SUM(AA21:AA37)</f>
        <v>#REF!</v>
      </c>
      <c r="AB38" s="612">
        <f>SUM(AB21:AB37)</f>
        <v>2015119</v>
      </c>
      <c r="AC38" s="612" t="e">
        <f>SUM(AC21:AC37)</f>
        <v>#REF!</v>
      </c>
      <c r="AD38" s="335"/>
      <c r="AE38" s="59" t="s">
        <v>323</v>
      </c>
      <c r="AF38" s="616"/>
      <c r="AG38" s="614"/>
      <c r="AH38" s="616"/>
      <c r="AI38" s="335"/>
      <c r="AJ38" s="335"/>
      <c r="AK38" s="335"/>
      <c r="AL38" s="335"/>
      <c r="AM38" s="335"/>
      <c r="AN38" s="335"/>
      <c r="AO38" s="335"/>
      <c r="AP38" s="335"/>
      <c r="AQ38" s="503"/>
      <c r="AR38" s="335"/>
      <c r="AS38" s="335"/>
      <c r="AT38" s="335"/>
      <c r="AU38" s="335"/>
      <c r="AV38" s="335"/>
      <c r="AW38" s="335"/>
      <c r="AX38" s="335"/>
      <c r="AY38" s="335"/>
      <c r="AZ38" s="335"/>
      <c r="BA38" s="335"/>
    </row>
    <row r="39" spans="1:34" ht="12.75">
      <c r="A39" s="300"/>
      <c r="B39" s="575"/>
      <c r="C39" s="575"/>
      <c r="D39" s="575"/>
      <c r="E39" s="575"/>
      <c r="F39" s="575"/>
      <c r="G39" s="575"/>
      <c r="H39" s="575"/>
      <c r="I39" s="575"/>
      <c r="J39" s="575"/>
      <c r="K39" s="575"/>
      <c r="L39" s="575"/>
      <c r="M39" s="583"/>
      <c r="N39" s="583"/>
      <c r="O39" s="583"/>
      <c r="P39" s="583"/>
      <c r="Q39" s="583"/>
      <c r="R39" s="583"/>
      <c r="S39" s="583"/>
      <c r="T39" s="583"/>
      <c r="U39" s="583"/>
      <c r="V39" s="583"/>
      <c r="W39" s="583">
        <f t="shared" si="0"/>
        <v>0</v>
      </c>
      <c r="X39" s="592"/>
      <c r="Y39" s="578"/>
      <c r="Z39" s="575"/>
      <c r="AA39" s="611"/>
      <c r="AB39" s="611"/>
      <c r="AC39" s="611"/>
      <c r="AE39" s="499" t="s">
        <v>559</v>
      </c>
      <c r="AF39" s="268" t="e">
        <f>AF36-#REF!</f>
        <v>#REF!</v>
      </c>
      <c r="AG39" s="372"/>
      <c r="AH39" s="268" t="e">
        <f>AH36-#REF!</f>
        <v>#REF!</v>
      </c>
    </row>
    <row r="40" spans="1:53" s="277" customFormat="1" ht="12.75">
      <c r="A40" s="385" t="s">
        <v>289</v>
      </c>
      <c r="B40" s="584">
        <v>7625</v>
      </c>
      <c r="C40" s="584">
        <v>0</v>
      </c>
      <c r="D40" s="584">
        <v>0</v>
      </c>
      <c r="E40" s="584"/>
      <c r="F40" s="584">
        <v>0</v>
      </c>
      <c r="G40" s="621">
        <v>0</v>
      </c>
      <c r="H40" s="621">
        <v>0</v>
      </c>
      <c r="I40" s="584">
        <v>0</v>
      </c>
      <c r="J40" s="621">
        <v>0</v>
      </c>
      <c r="K40" s="584">
        <v>4352370</v>
      </c>
      <c r="L40" s="584">
        <v>1103450</v>
      </c>
      <c r="M40" s="621">
        <v>0</v>
      </c>
      <c r="N40" s="621">
        <v>0</v>
      </c>
      <c r="O40" s="621">
        <v>0</v>
      </c>
      <c r="P40" s="621">
        <v>0</v>
      </c>
      <c r="Q40" s="621">
        <v>0</v>
      </c>
      <c r="R40" s="621"/>
      <c r="S40" s="621"/>
      <c r="T40" s="621">
        <v>0</v>
      </c>
      <c r="U40" s="621">
        <v>0</v>
      </c>
      <c r="V40" s="621">
        <v>0</v>
      </c>
      <c r="W40" s="581">
        <f>SUM(B40:V40)</f>
        <v>5463445</v>
      </c>
      <c r="X40" s="622"/>
      <c r="Y40" s="623"/>
      <c r="Z40" s="584"/>
      <c r="AA40" s="599">
        <f>+W40-Y40-Y41+Z40</f>
        <v>5463445</v>
      </c>
      <c r="AB40" s="611"/>
      <c r="AC40" s="611"/>
      <c r="AD40" s="335"/>
      <c r="AE40" s="634"/>
      <c r="AF40" s="616"/>
      <c r="AG40" s="614"/>
      <c r="AH40" s="616"/>
      <c r="AI40" s="335"/>
      <c r="AJ40" s="335"/>
      <c r="AK40" s="335"/>
      <c r="AL40" s="335"/>
      <c r="AM40" s="335"/>
      <c r="AN40" s="335"/>
      <c r="AO40" s="335"/>
      <c r="AP40" s="335"/>
      <c r="AQ40" s="503"/>
      <c r="AR40" s="335"/>
      <c r="AS40" s="335"/>
      <c r="AT40" s="335"/>
      <c r="AU40" s="335"/>
      <c r="AV40" s="335"/>
      <c r="AW40" s="335"/>
      <c r="AX40" s="335"/>
      <c r="AY40" s="335"/>
      <c r="AZ40" s="335"/>
      <c r="BA40" s="335"/>
    </row>
    <row r="41" spans="1:53" s="277" customFormat="1" ht="12.75">
      <c r="A41" s="385"/>
      <c r="B41" s="584"/>
      <c r="C41" s="584"/>
      <c r="D41" s="584"/>
      <c r="E41" s="584"/>
      <c r="F41" s="584"/>
      <c r="G41" s="621"/>
      <c r="H41" s="621"/>
      <c r="I41" s="584"/>
      <c r="J41" s="621"/>
      <c r="K41" s="584"/>
      <c r="L41" s="584"/>
      <c r="M41" s="621"/>
      <c r="N41" s="621"/>
      <c r="O41" s="621"/>
      <c r="P41" s="621"/>
      <c r="Q41" s="621"/>
      <c r="R41" s="621"/>
      <c r="S41" s="621"/>
      <c r="T41" s="621"/>
      <c r="U41" s="621"/>
      <c r="V41" s="621"/>
      <c r="W41" s="621"/>
      <c r="X41" s="622"/>
      <c r="Y41" s="623"/>
      <c r="Z41" s="584"/>
      <c r="AA41" s="611"/>
      <c r="AB41" s="611"/>
      <c r="AC41" s="611"/>
      <c r="AD41" s="335"/>
      <c r="AE41" s="634"/>
      <c r="AF41" s="616"/>
      <c r="AG41" s="614"/>
      <c r="AH41" s="616"/>
      <c r="AI41" s="335"/>
      <c r="AJ41" s="335"/>
      <c r="AK41" s="335"/>
      <c r="AL41" s="335"/>
      <c r="AM41" s="335"/>
      <c r="AN41" s="335"/>
      <c r="AO41" s="335"/>
      <c r="AP41" s="335"/>
      <c r="AQ41" s="503"/>
      <c r="AR41" s="335"/>
      <c r="AS41" s="335"/>
      <c r="AT41" s="335"/>
      <c r="AU41" s="335"/>
      <c r="AV41" s="335"/>
      <c r="AW41" s="335"/>
      <c r="AX41" s="335"/>
      <c r="AY41" s="335"/>
      <c r="AZ41" s="335"/>
      <c r="BA41" s="335"/>
    </row>
    <row r="42" spans="1:53" s="277" customFormat="1" ht="12.75">
      <c r="A42" s="385" t="s">
        <v>290</v>
      </c>
      <c r="B42" s="584">
        <v>1034818</v>
      </c>
      <c r="C42" s="584">
        <v>22476</v>
      </c>
      <c r="D42" s="584">
        <f>59061</f>
        <v>59061</v>
      </c>
      <c r="E42" s="584">
        <v>4795</v>
      </c>
      <c r="F42" s="584">
        <v>53212</v>
      </c>
      <c r="G42" s="621">
        <v>2617</v>
      </c>
      <c r="H42" s="621">
        <v>3227</v>
      </c>
      <c r="I42" s="584">
        <v>4482</v>
      </c>
      <c r="J42" s="621">
        <v>3316</v>
      </c>
      <c r="K42" s="584">
        <v>9713823</v>
      </c>
      <c r="L42" s="584">
        <v>442329</v>
      </c>
      <c r="M42" s="621">
        <v>1878</v>
      </c>
      <c r="N42" s="621">
        <v>2081</v>
      </c>
      <c r="O42" s="621">
        <v>3544</v>
      </c>
      <c r="P42" s="621">
        <v>2062</v>
      </c>
      <c r="Q42" s="621">
        <v>41814</v>
      </c>
      <c r="R42" s="621"/>
      <c r="S42" s="621"/>
      <c r="T42" s="621">
        <v>13764</v>
      </c>
      <c r="U42" s="621">
        <v>1800</v>
      </c>
      <c r="V42" s="621">
        <v>11827</v>
      </c>
      <c r="W42" s="581">
        <f>SUM(B42:V42)</f>
        <v>11422926</v>
      </c>
      <c r="X42" s="592" t="s">
        <v>255</v>
      </c>
      <c r="Y42" s="623"/>
      <c r="Z42" s="584" t="e">
        <f>#REF!</f>
        <v>#REF!</v>
      </c>
      <c r="AA42" s="599" t="e">
        <f>+W42-Y42-Y43+Z42+Z43</f>
        <v>#REF!</v>
      </c>
      <c r="AB42" s="611"/>
      <c r="AC42" s="611"/>
      <c r="AD42" s="335"/>
      <c r="AE42" s="634"/>
      <c r="AF42" s="616"/>
      <c r="AG42" s="614"/>
      <c r="AH42" s="616"/>
      <c r="AI42" s="335"/>
      <c r="AJ42" s="335"/>
      <c r="AK42" s="335"/>
      <c r="AL42" s="335"/>
      <c r="AM42" s="335"/>
      <c r="AN42" s="335"/>
      <c r="AO42" s="335"/>
      <c r="AP42" s="335"/>
      <c r="AQ42" s="503"/>
      <c r="AR42" s="335"/>
      <c r="AS42" s="335"/>
      <c r="AT42" s="335"/>
      <c r="AU42" s="335"/>
      <c r="AV42" s="335"/>
      <c r="AW42" s="335"/>
      <c r="AX42" s="335"/>
      <c r="AY42" s="335"/>
      <c r="AZ42" s="335"/>
      <c r="BA42" s="335"/>
    </row>
    <row r="43" spans="1:53" s="277" customFormat="1" ht="12.75">
      <c r="A43" s="385"/>
      <c r="B43" s="584"/>
      <c r="C43" s="584"/>
      <c r="D43" s="584"/>
      <c r="E43" s="584"/>
      <c r="F43" s="584"/>
      <c r="G43" s="621"/>
      <c r="H43" s="621"/>
      <c r="I43" s="584"/>
      <c r="J43" s="621"/>
      <c r="K43" s="584"/>
      <c r="L43" s="584"/>
      <c r="M43" s="621"/>
      <c r="N43" s="621"/>
      <c r="O43" s="621"/>
      <c r="P43" s="621"/>
      <c r="Q43" s="621"/>
      <c r="R43" s="621"/>
      <c r="S43" s="621"/>
      <c r="T43" s="621"/>
      <c r="U43" s="621"/>
      <c r="V43" s="621"/>
      <c r="W43" s="583"/>
      <c r="X43" s="592" t="s">
        <v>255</v>
      </c>
      <c r="Y43" s="623"/>
      <c r="Z43" s="584" t="e">
        <f>#REF!</f>
        <v>#REF!</v>
      </c>
      <c r="AA43" s="611"/>
      <c r="AB43" s="611"/>
      <c r="AC43" s="611"/>
      <c r="AD43" s="335"/>
      <c r="AE43" s="634"/>
      <c r="AF43" s="616"/>
      <c r="AG43" s="614"/>
      <c r="AH43" s="616"/>
      <c r="AI43" s="335"/>
      <c r="AJ43" s="335"/>
      <c r="AK43" s="335"/>
      <c r="AL43" s="335"/>
      <c r="AM43" s="335"/>
      <c r="AN43" s="335"/>
      <c r="AO43" s="335"/>
      <c r="AP43" s="335"/>
      <c r="AQ43" s="503"/>
      <c r="AR43" s="335"/>
      <c r="AS43" s="335"/>
      <c r="AT43" s="335"/>
      <c r="AU43" s="335"/>
      <c r="AV43" s="335"/>
      <c r="AW43" s="335"/>
      <c r="AX43" s="335"/>
      <c r="AY43" s="335"/>
      <c r="AZ43" s="335"/>
      <c r="BA43" s="335"/>
    </row>
    <row r="44" spans="1:53" s="277" customFormat="1" ht="12.75">
      <c r="A44" s="385"/>
      <c r="B44" s="584"/>
      <c r="C44" s="584"/>
      <c r="D44" s="584"/>
      <c r="E44" s="584"/>
      <c r="F44" s="584"/>
      <c r="G44" s="621"/>
      <c r="H44" s="621"/>
      <c r="I44" s="584"/>
      <c r="J44" s="621"/>
      <c r="K44" s="584"/>
      <c r="L44" s="584"/>
      <c r="M44" s="621"/>
      <c r="N44" s="621"/>
      <c r="O44" s="621"/>
      <c r="P44" s="621"/>
      <c r="Q44" s="621"/>
      <c r="R44" s="621"/>
      <c r="S44" s="621"/>
      <c r="T44" s="621"/>
      <c r="U44" s="621"/>
      <c r="V44" s="621"/>
      <c r="W44" s="621"/>
      <c r="X44" s="622"/>
      <c r="Y44" s="623"/>
      <c r="Z44" s="584"/>
      <c r="AA44" s="611"/>
      <c r="AB44" s="611"/>
      <c r="AC44" s="611"/>
      <c r="AD44" s="335"/>
      <c r="AE44" s="634"/>
      <c r="AF44" s="616"/>
      <c r="AG44" s="614"/>
      <c r="AH44" s="616"/>
      <c r="AI44" s="335"/>
      <c r="AJ44" s="335"/>
      <c r="AK44" s="335"/>
      <c r="AL44" s="335"/>
      <c r="AM44" s="335"/>
      <c r="AN44" s="335"/>
      <c r="AO44" s="335"/>
      <c r="AP44" s="335"/>
      <c r="AQ44" s="503"/>
      <c r="AR44" s="335"/>
      <c r="AS44" s="335"/>
      <c r="AT44" s="335"/>
      <c r="AU44" s="335"/>
      <c r="AV44" s="335"/>
      <c r="AW44" s="335"/>
      <c r="AX44" s="335"/>
      <c r="AY44" s="335"/>
      <c r="AZ44" s="335"/>
      <c r="BA44" s="335"/>
    </row>
    <row r="45" spans="1:53" s="277" customFormat="1" ht="12.75">
      <c r="A45" s="385" t="s">
        <v>291</v>
      </c>
      <c r="B45" s="584">
        <v>51840</v>
      </c>
      <c r="C45" s="584">
        <v>-6279</v>
      </c>
      <c r="D45" s="584">
        <v>193499</v>
      </c>
      <c r="E45" s="584">
        <v>351</v>
      </c>
      <c r="F45" s="584">
        <v>68422</v>
      </c>
      <c r="G45" s="621">
        <v>0</v>
      </c>
      <c r="H45" s="621">
        <v>0</v>
      </c>
      <c r="I45" s="584">
        <v>47015</v>
      </c>
      <c r="J45" s="621">
        <v>0</v>
      </c>
      <c r="K45" s="584">
        <v>1067187</v>
      </c>
      <c r="L45" s="584">
        <v>94905</v>
      </c>
      <c r="M45" s="621">
        <v>0</v>
      </c>
      <c r="N45" s="621">
        <v>0</v>
      </c>
      <c r="O45" s="621">
        <v>0</v>
      </c>
      <c r="P45" s="621">
        <v>0</v>
      </c>
      <c r="Q45" s="621">
        <v>0</v>
      </c>
      <c r="R45" s="621"/>
      <c r="S45" s="621"/>
      <c r="T45" s="621">
        <v>0</v>
      </c>
      <c r="U45" s="621">
        <v>0</v>
      </c>
      <c r="V45" s="621">
        <v>0</v>
      </c>
      <c r="W45" s="581">
        <f>SUM(B45:V45)</f>
        <v>1516940</v>
      </c>
      <c r="X45" s="622"/>
      <c r="Y45" s="623"/>
      <c r="Z45" s="584"/>
      <c r="AA45" s="599">
        <f>+W45-Y45-Y46+Z45</f>
        <v>1516940</v>
      </c>
      <c r="AB45" s="611"/>
      <c r="AC45" s="611"/>
      <c r="AD45" s="335"/>
      <c r="AE45" s="634"/>
      <c r="AF45" s="616"/>
      <c r="AG45" s="614"/>
      <c r="AH45" s="616"/>
      <c r="AI45" s="335"/>
      <c r="AJ45" s="335"/>
      <c r="AK45" s="335"/>
      <c r="AL45" s="335"/>
      <c r="AM45" s="335"/>
      <c r="AN45" s="335"/>
      <c r="AO45" s="335"/>
      <c r="AP45" s="335"/>
      <c r="AQ45" s="503"/>
      <c r="AR45" s="335"/>
      <c r="AS45" s="335"/>
      <c r="AT45" s="335"/>
      <c r="AU45" s="335"/>
      <c r="AV45" s="335"/>
      <c r="AW45" s="335"/>
      <c r="AX45" s="335"/>
      <c r="AY45" s="335"/>
      <c r="AZ45" s="335"/>
      <c r="BA45" s="335"/>
    </row>
    <row r="46" spans="1:29" ht="12.75">
      <c r="A46" s="389"/>
      <c r="B46" s="573"/>
      <c r="C46" s="573"/>
      <c r="D46" s="573"/>
      <c r="E46" s="573"/>
      <c r="F46" s="573"/>
      <c r="G46" s="573"/>
      <c r="H46" s="573"/>
      <c r="I46" s="573"/>
      <c r="J46" s="573"/>
      <c r="K46" s="573"/>
      <c r="L46" s="573"/>
      <c r="M46" s="581"/>
      <c r="N46" s="581"/>
      <c r="O46" s="581"/>
      <c r="P46" s="581"/>
      <c r="Q46" s="581"/>
      <c r="R46" s="581"/>
      <c r="S46" s="581"/>
      <c r="T46" s="581"/>
      <c r="U46" s="581"/>
      <c r="V46" s="581"/>
      <c r="W46" s="581"/>
      <c r="X46" s="594"/>
      <c r="Y46" s="582"/>
      <c r="Z46" s="573"/>
      <c r="AA46" s="599"/>
      <c r="AB46" s="599"/>
      <c r="AC46" s="599">
        <f>+AA46-AB46</f>
        <v>0</v>
      </c>
    </row>
    <row r="47" spans="1:244" s="618" customFormat="1" ht="13.5" thickBot="1">
      <c r="A47" s="385"/>
      <c r="B47" s="668">
        <f>SUM(B40:B46)</f>
        <v>1094283</v>
      </c>
      <c r="C47" s="668">
        <f>SUM(C40:C46)</f>
        <v>16197</v>
      </c>
      <c r="D47" s="668">
        <f aca="true" t="shared" si="8" ref="D47:AC47">SUM(D40:D46)</f>
        <v>252560</v>
      </c>
      <c r="E47" s="668">
        <f t="shared" si="8"/>
        <v>5146</v>
      </c>
      <c r="F47" s="668">
        <f t="shared" si="8"/>
        <v>121634</v>
      </c>
      <c r="G47" s="668">
        <f t="shared" si="8"/>
        <v>2617</v>
      </c>
      <c r="H47" s="668">
        <f t="shared" si="8"/>
        <v>3227</v>
      </c>
      <c r="I47" s="668">
        <f t="shared" si="8"/>
        <v>51497</v>
      </c>
      <c r="J47" s="668">
        <f t="shared" si="8"/>
        <v>3316</v>
      </c>
      <c r="K47" s="668">
        <f>SUM(K40:K46)</f>
        <v>15133380</v>
      </c>
      <c r="L47" s="668">
        <f>SUM(L40:L46)</f>
        <v>1640684</v>
      </c>
      <c r="M47" s="668">
        <f>SUM(M40:M46)</f>
        <v>1878</v>
      </c>
      <c r="N47" s="668">
        <f t="shared" si="8"/>
        <v>2081</v>
      </c>
      <c r="O47" s="668">
        <f t="shared" si="8"/>
        <v>3544</v>
      </c>
      <c r="P47" s="668">
        <f t="shared" si="8"/>
        <v>2062</v>
      </c>
      <c r="Q47" s="668">
        <f t="shared" si="8"/>
        <v>41814</v>
      </c>
      <c r="R47" s="668">
        <f t="shared" si="8"/>
        <v>0</v>
      </c>
      <c r="S47" s="668">
        <f t="shared" si="8"/>
        <v>0</v>
      </c>
      <c r="T47" s="668">
        <f t="shared" si="8"/>
        <v>13764</v>
      </c>
      <c r="U47" s="668">
        <f t="shared" si="8"/>
        <v>1800</v>
      </c>
      <c r="V47" s="668">
        <f t="shared" si="8"/>
        <v>11827</v>
      </c>
      <c r="W47" s="669">
        <f>SUM(W40:W46)</f>
        <v>18403311</v>
      </c>
      <c r="X47" s="670">
        <f t="shared" si="8"/>
        <v>0</v>
      </c>
      <c r="Y47" s="671">
        <f t="shared" si="8"/>
        <v>0</v>
      </c>
      <c r="Z47" s="668" t="e">
        <f>SUM(Z40:Z46)</f>
        <v>#REF!</v>
      </c>
      <c r="AA47" s="668" t="e">
        <f>SUM(AA40:AA46)</f>
        <v>#REF!</v>
      </c>
      <c r="AB47" s="619">
        <f t="shared" si="8"/>
        <v>0</v>
      </c>
      <c r="AC47" s="619">
        <f t="shared" si="8"/>
        <v>0</v>
      </c>
      <c r="AD47" s="335"/>
      <c r="AE47" s="277"/>
      <c r="AF47" s="277"/>
      <c r="AG47" s="335"/>
      <c r="AH47" s="335"/>
      <c r="AI47" s="335"/>
      <c r="AJ47" s="335"/>
      <c r="AK47" s="335"/>
      <c r="AL47" s="617"/>
      <c r="AM47" s="617"/>
      <c r="AN47" s="617"/>
      <c r="AO47" s="505"/>
      <c r="AP47" s="505"/>
      <c r="AQ47" s="607"/>
      <c r="AR47" s="505"/>
      <c r="AS47" s="505"/>
      <c r="AT47" s="505"/>
      <c r="AU47" s="505"/>
      <c r="AV47" s="505"/>
      <c r="AW47" s="505"/>
      <c r="AX47" s="505"/>
      <c r="AY47" s="505"/>
      <c r="AZ47" s="505"/>
      <c r="BA47" s="505"/>
      <c r="BB47" s="501"/>
      <c r="BC47" s="501"/>
      <c r="BD47" s="501"/>
      <c r="BE47" s="501"/>
      <c r="BF47" s="501"/>
      <c r="BG47" s="501"/>
      <c r="BH47" s="501"/>
      <c r="BI47" s="501"/>
      <c r="BJ47" s="501"/>
      <c r="BK47" s="501"/>
      <c r="BL47" s="501"/>
      <c r="BM47" s="501"/>
      <c r="BN47" s="501"/>
      <c r="BO47" s="501"/>
      <c r="BP47" s="501"/>
      <c r="BQ47" s="501"/>
      <c r="BR47" s="501"/>
      <c r="BS47" s="501"/>
      <c r="BT47" s="501"/>
      <c r="BU47" s="501"/>
      <c r="BV47" s="501"/>
      <c r="BW47" s="501"/>
      <c r="BX47" s="501"/>
      <c r="BY47" s="501"/>
      <c r="BZ47" s="501"/>
      <c r="CA47" s="501"/>
      <c r="CB47" s="501"/>
      <c r="CC47" s="501"/>
      <c r="CD47" s="501"/>
      <c r="CE47" s="501"/>
      <c r="CF47" s="501"/>
      <c r="CG47" s="501"/>
      <c r="CH47" s="501"/>
      <c r="CI47" s="501"/>
      <c r="CJ47" s="501"/>
      <c r="CK47" s="501"/>
      <c r="CL47" s="501"/>
      <c r="CM47" s="501"/>
      <c r="CN47" s="501"/>
      <c r="CO47" s="501"/>
      <c r="CP47" s="501"/>
      <c r="CQ47" s="501"/>
      <c r="CR47" s="501"/>
      <c r="CS47" s="501"/>
      <c r="CT47" s="501"/>
      <c r="CU47" s="501"/>
      <c r="CV47" s="501"/>
      <c r="CW47" s="501"/>
      <c r="CX47" s="501"/>
      <c r="CY47" s="501"/>
      <c r="CZ47" s="501"/>
      <c r="DA47" s="501"/>
      <c r="DB47" s="501"/>
      <c r="DC47" s="501"/>
      <c r="DD47" s="501"/>
      <c r="DE47" s="501"/>
      <c r="DF47" s="501"/>
      <c r="DG47" s="501"/>
      <c r="DH47" s="501"/>
      <c r="DI47" s="501"/>
      <c r="DJ47" s="501"/>
      <c r="DK47" s="501"/>
      <c r="DL47" s="501"/>
      <c r="DM47" s="501"/>
      <c r="DN47" s="501"/>
      <c r="DO47" s="501"/>
      <c r="DP47" s="501"/>
      <c r="DQ47" s="501"/>
      <c r="DR47" s="501"/>
      <c r="DS47" s="501"/>
      <c r="DT47" s="501"/>
      <c r="DU47" s="501"/>
      <c r="DV47" s="501"/>
      <c r="DW47" s="501"/>
      <c r="DX47" s="501"/>
      <c r="DY47" s="501"/>
      <c r="DZ47" s="501"/>
      <c r="EA47" s="501"/>
      <c r="EB47" s="501"/>
      <c r="EC47" s="501"/>
      <c r="ED47" s="501"/>
      <c r="EE47" s="501"/>
      <c r="EF47" s="501"/>
      <c r="EG47" s="501"/>
      <c r="EH47" s="501"/>
      <c r="EI47" s="501"/>
      <c r="EJ47" s="501"/>
      <c r="EK47" s="501"/>
      <c r="EL47" s="501"/>
      <c r="EM47" s="501"/>
      <c r="EN47" s="501"/>
      <c r="EO47" s="501"/>
      <c r="EP47" s="501"/>
      <c r="EQ47" s="501"/>
      <c r="ER47" s="501"/>
      <c r="ES47" s="501"/>
      <c r="ET47" s="501"/>
      <c r="EU47" s="501"/>
      <c r="EV47" s="501"/>
      <c r="EW47" s="501"/>
      <c r="EX47" s="501"/>
      <c r="EY47" s="501"/>
      <c r="EZ47" s="501"/>
      <c r="FA47" s="501"/>
      <c r="FB47" s="501"/>
      <c r="FC47" s="501"/>
      <c r="FD47" s="501"/>
      <c r="FE47" s="501"/>
      <c r="FF47" s="501"/>
      <c r="FG47" s="501"/>
      <c r="FH47" s="501"/>
      <c r="FI47" s="501"/>
      <c r="FJ47" s="501"/>
      <c r="FK47" s="501"/>
      <c r="FL47" s="501"/>
      <c r="FM47" s="501"/>
      <c r="FN47" s="501"/>
      <c r="FO47" s="501"/>
      <c r="FP47" s="501"/>
      <c r="FQ47" s="501"/>
      <c r="FR47" s="501"/>
      <c r="FS47" s="501"/>
      <c r="FT47" s="501"/>
      <c r="FU47" s="501"/>
      <c r="FV47" s="501"/>
      <c r="FW47" s="501"/>
      <c r="FX47" s="501"/>
      <c r="FY47" s="501"/>
      <c r="FZ47" s="501"/>
      <c r="GA47" s="501"/>
      <c r="GB47" s="501"/>
      <c r="GC47" s="501"/>
      <c r="GD47" s="501"/>
      <c r="GE47" s="501"/>
      <c r="GF47" s="501"/>
      <c r="GG47" s="501"/>
      <c r="GH47" s="501"/>
      <c r="GI47" s="501"/>
      <c r="GJ47" s="501"/>
      <c r="GK47" s="501"/>
      <c r="GL47" s="501"/>
      <c r="GM47" s="501"/>
      <c r="GN47" s="501"/>
      <c r="GO47" s="501"/>
      <c r="GP47" s="501"/>
      <c r="GQ47" s="501"/>
      <c r="GR47" s="501"/>
      <c r="GS47" s="501"/>
      <c r="GT47" s="501"/>
      <c r="GU47" s="501"/>
      <c r="GV47" s="501"/>
      <c r="GW47" s="501"/>
      <c r="GX47" s="501"/>
      <c r="GY47" s="501"/>
      <c r="GZ47" s="501"/>
      <c r="HA47" s="501"/>
      <c r="HB47" s="501"/>
      <c r="HC47" s="501"/>
      <c r="HD47" s="501"/>
      <c r="HE47" s="501"/>
      <c r="HF47" s="501"/>
      <c r="HG47" s="501"/>
      <c r="HH47" s="501"/>
      <c r="HI47" s="501"/>
      <c r="HJ47" s="501"/>
      <c r="HK47" s="501"/>
      <c r="HL47" s="501"/>
      <c r="HM47" s="501"/>
      <c r="HN47" s="501"/>
      <c r="HO47" s="501"/>
      <c r="HP47" s="501"/>
      <c r="HQ47" s="501"/>
      <c r="HR47" s="501"/>
      <c r="HS47" s="501"/>
      <c r="HT47" s="501"/>
      <c r="HU47" s="501"/>
      <c r="HV47" s="501"/>
      <c r="HW47" s="501"/>
      <c r="HX47" s="501"/>
      <c r="HY47" s="501"/>
      <c r="HZ47" s="501"/>
      <c r="IA47" s="501"/>
      <c r="IB47" s="501"/>
      <c r="IC47" s="501"/>
      <c r="ID47" s="501"/>
      <c r="IE47" s="501"/>
      <c r="IF47" s="501"/>
      <c r="IG47" s="501"/>
      <c r="IH47" s="501"/>
      <c r="II47" s="501"/>
      <c r="IJ47" s="501"/>
    </row>
    <row r="48" spans="1:244" ht="12.75">
      <c r="A48" s="300"/>
      <c r="B48" s="575"/>
      <c r="C48" s="575"/>
      <c r="D48" s="575"/>
      <c r="E48" s="575"/>
      <c r="F48" s="575"/>
      <c r="G48" s="575"/>
      <c r="H48" s="575"/>
      <c r="I48" s="575"/>
      <c r="J48" s="575"/>
      <c r="K48" s="575"/>
      <c r="L48" s="575"/>
      <c r="M48" s="575"/>
      <c r="N48" s="575"/>
      <c r="O48" s="575"/>
      <c r="P48" s="575"/>
      <c r="Q48" s="583"/>
      <c r="R48" s="583"/>
      <c r="S48" s="583"/>
      <c r="T48" s="583"/>
      <c r="U48" s="583"/>
      <c r="V48" s="583"/>
      <c r="W48" s="583"/>
      <c r="X48" s="592"/>
      <c r="Y48" s="578"/>
      <c r="Z48" s="575"/>
      <c r="AA48" s="611"/>
      <c r="AB48" s="611"/>
      <c r="AC48" s="611"/>
      <c r="AO48" s="392"/>
      <c r="AP48" s="392"/>
      <c r="AQ48" s="576"/>
      <c r="AR48" s="392"/>
      <c r="AS48" s="392"/>
      <c r="AT48" s="392"/>
      <c r="AU48" s="392"/>
      <c r="AV48" s="392"/>
      <c r="AW48" s="392"/>
      <c r="AX48" s="392"/>
      <c r="AY48" s="392"/>
      <c r="AZ48" s="392"/>
      <c r="BA48" s="392"/>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4"/>
      <c r="GY48" s="504"/>
      <c r="GZ48" s="504"/>
      <c r="HA48" s="504"/>
      <c r="HB48" s="504"/>
      <c r="HC48" s="504"/>
      <c r="HD48" s="504"/>
      <c r="HE48" s="504"/>
      <c r="HF48" s="504"/>
      <c r="HG48" s="504"/>
      <c r="HH48" s="504"/>
      <c r="HI48" s="504"/>
      <c r="HJ48" s="504"/>
      <c r="HK48" s="504"/>
      <c r="HL48" s="504"/>
      <c r="HM48" s="504"/>
      <c r="HN48" s="504"/>
      <c r="HO48" s="504"/>
      <c r="HP48" s="504"/>
      <c r="HQ48" s="504"/>
      <c r="HR48" s="504"/>
      <c r="HS48" s="504"/>
      <c r="HT48" s="504"/>
      <c r="HU48" s="504"/>
      <c r="HV48" s="504"/>
      <c r="HW48" s="504"/>
      <c r="HX48" s="504"/>
      <c r="HY48" s="504"/>
      <c r="HZ48" s="504"/>
      <c r="IA48" s="504"/>
      <c r="IB48" s="504"/>
      <c r="IC48" s="504"/>
      <c r="ID48" s="504"/>
      <c r="IE48" s="504"/>
      <c r="IF48" s="504"/>
      <c r="IG48" s="504"/>
      <c r="IH48" s="504"/>
      <c r="II48" s="504"/>
      <c r="IJ48" s="504"/>
    </row>
    <row r="49" spans="1:244" ht="12.75">
      <c r="A49" s="300" t="s">
        <v>151</v>
      </c>
      <c r="B49" s="573" t="e">
        <f>B18+B38-B47</f>
        <v>#REF!</v>
      </c>
      <c r="C49" s="573" t="e">
        <f aca="true" t="shared" si="9" ref="C49:V49">C18+C38-C47</f>
        <v>#REF!</v>
      </c>
      <c r="D49" s="573" t="e">
        <f t="shared" si="9"/>
        <v>#REF!</v>
      </c>
      <c r="E49" s="573" t="e">
        <f t="shared" si="9"/>
        <v>#REF!</v>
      </c>
      <c r="F49" s="573" t="e">
        <f t="shared" si="9"/>
        <v>#REF!</v>
      </c>
      <c r="G49" s="573">
        <f t="shared" si="9"/>
        <v>-2617</v>
      </c>
      <c r="H49" s="573">
        <f t="shared" si="9"/>
        <v>14433</v>
      </c>
      <c r="I49" s="573" t="e">
        <f t="shared" si="9"/>
        <v>#REF!</v>
      </c>
      <c r="J49" s="573">
        <f t="shared" si="9"/>
        <v>-3316</v>
      </c>
      <c r="K49" s="573" t="e">
        <f t="shared" si="9"/>
        <v>#REF!</v>
      </c>
      <c r="L49" s="573" t="e">
        <f t="shared" si="9"/>
        <v>#REF!</v>
      </c>
      <c r="M49" s="573">
        <f t="shared" si="9"/>
        <v>-1878</v>
      </c>
      <c r="N49" s="573">
        <f t="shared" si="9"/>
        <v>-1655</v>
      </c>
      <c r="O49" s="573">
        <f t="shared" si="9"/>
        <v>72706</v>
      </c>
      <c r="P49" s="573">
        <f t="shared" si="9"/>
        <v>-2062</v>
      </c>
      <c r="Q49" s="573">
        <f t="shared" si="9"/>
        <v>193475</v>
      </c>
      <c r="R49" s="573">
        <f t="shared" si="9"/>
        <v>0</v>
      </c>
      <c r="S49" s="573">
        <f t="shared" si="9"/>
        <v>0</v>
      </c>
      <c r="T49" s="573">
        <f t="shared" si="9"/>
        <v>-13764</v>
      </c>
      <c r="U49" s="573">
        <f t="shared" si="9"/>
        <v>-1800</v>
      </c>
      <c r="V49" s="573">
        <f t="shared" si="9"/>
        <v>-11827</v>
      </c>
      <c r="W49" s="581" t="e">
        <f>SUM(B49:V49)</f>
        <v>#REF!</v>
      </c>
      <c r="X49" s="594"/>
      <c r="Y49" s="582"/>
      <c r="Z49" s="573"/>
      <c r="AA49" s="599" t="e">
        <f>+AA18+AA38-AA47</f>
        <v>#REF!</v>
      </c>
      <c r="AB49" s="599">
        <f>+AB18+AB38-AB47</f>
        <v>39494681</v>
      </c>
      <c r="AC49" s="599" t="e">
        <f>+AC18+AC38-AC47</f>
        <v>#REF!</v>
      </c>
      <c r="AO49" s="392"/>
      <c r="AP49" s="392"/>
      <c r="AQ49" s="576"/>
      <c r="AR49" s="392"/>
      <c r="AS49" s="392"/>
      <c r="AT49" s="392"/>
      <c r="AU49" s="392"/>
      <c r="AV49" s="392"/>
      <c r="AW49" s="392"/>
      <c r="AX49" s="392"/>
      <c r="AY49" s="392"/>
      <c r="AZ49" s="392"/>
      <c r="BA49" s="392"/>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row>
    <row r="50" spans="1:244" ht="12.75">
      <c r="A50" s="300" t="s">
        <v>388</v>
      </c>
      <c r="B50" s="573"/>
      <c r="C50" s="573"/>
      <c r="D50" s="573"/>
      <c r="E50" s="573"/>
      <c r="F50" s="573"/>
      <c r="G50" s="573"/>
      <c r="H50" s="573"/>
      <c r="I50" s="573"/>
      <c r="J50" s="573"/>
      <c r="K50" s="573"/>
      <c r="L50" s="573"/>
      <c r="M50" s="581"/>
      <c r="N50" s="581"/>
      <c r="O50" s="581"/>
      <c r="P50" s="581"/>
      <c r="Q50" s="581"/>
      <c r="R50" s="581"/>
      <c r="S50" s="581"/>
      <c r="T50" s="581"/>
      <c r="U50" s="581"/>
      <c r="V50" s="581"/>
      <c r="W50" s="581"/>
      <c r="X50" s="594"/>
      <c r="Y50" s="582"/>
      <c r="Z50" s="573"/>
      <c r="AA50" s="599"/>
      <c r="AB50" s="599"/>
      <c r="AC50" s="599"/>
      <c r="AO50" s="392"/>
      <c r="AP50" s="392"/>
      <c r="AQ50" s="576"/>
      <c r="AR50" s="392"/>
      <c r="AS50" s="392"/>
      <c r="AT50" s="392"/>
      <c r="AU50" s="392"/>
      <c r="AV50" s="392"/>
      <c r="AW50" s="392"/>
      <c r="AX50" s="392"/>
      <c r="AY50" s="392"/>
      <c r="AZ50" s="392"/>
      <c r="BA50" s="392"/>
      <c r="BB50" s="504"/>
      <c r="BC50" s="504"/>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4"/>
      <c r="EO50" s="504"/>
      <c r="EP50" s="504"/>
      <c r="EQ50" s="504"/>
      <c r="ER50" s="504"/>
      <c r="ES50" s="504"/>
      <c r="ET50" s="504"/>
      <c r="EU50" s="504"/>
      <c r="EV50" s="504"/>
      <c r="EW50" s="504"/>
      <c r="EX50" s="504"/>
      <c r="EY50" s="504"/>
      <c r="EZ50" s="504"/>
      <c r="FA50" s="504"/>
      <c r="FB50" s="504"/>
      <c r="FC50" s="504"/>
      <c r="FD50" s="504"/>
      <c r="FE50" s="504"/>
      <c r="FF50" s="504"/>
      <c r="FG50" s="504"/>
      <c r="FH50" s="504"/>
      <c r="FI50" s="504"/>
      <c r="FJ50" s="504"/>
      <c r="FK50" s="504"/>
      <c r="FL50" s="504"/>
      <c r="FM50" s="504"/>
      <c r="FN50" s="504"/>
      <c r="FO50" s="504"/>
      <c r="FP50" s="504"/>
      <c r="FQ50" s="504"/>
      <c r="FR50" s="504"/>
      <c r="FS50" s="504"/>
      <c r="FT50" s="504"/>
      <c r="FU50" s="504"/>
      <c r="FV50" s="504"/>
      <c r="FW50" s="504"/>
      <c r="FX50" s="504"/>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4"/>
      <c r="GY50" s="504"/>
      <c r="GZ50" s="504"/>
      <c r="HA50" s="504"/>
      <c r="HB50" s="504"/>
      <c r="HC50" s="504"/>
      <c r="HD50" s="504"/>
      <c r="HE50" s="504"/>
      <c r="HF50" s="504"/>
      <c r="HG50" s="504"/>
      <c r="HH50" s="504"/>
      <c r="HI50" s="504"/>
      <c r="HJ50" s="504"/>
      <c r="HK50" s="504"/>
      <c r="HL50" s="504"/>
      <c r="HM50" s="504"/>
      <c r="HN50" s="504"/>
      <c r="HO50" s="504"/>
      <c r="HP50" s="504"/>
      <c r="HQ50" s="504"/>
      <c r="HR50" s="504"/>
      <c r="HS50" s="504"/>
      <c r="HT50" s="504"/>
      <c r="HU50" s="504"/>
      <c r="HV50" s="504"/>
      <c r="HW50" s="504"/>
      <c r="HX50" s="504"/>
      <c r="HY50" s="504"/>
      <c r="HZ50" s="504"/>
      <c r="IA50" s="504"/>
      <c r="IB50" s="504"/>
      <c r="IC50" s="504"/>
      <c r="ID50" s="504"/>
      <c r="IE50" s="504"/>
      <c r="IF50" s="504"/>
      <c r="IG50" s="504"/>
      <c r="IH50" s="504"/>
      <c r="II50" s="504"/>
      <c r="IJ50" s="504"/>
    </row>
    <row r="51" spans="1:244" s="277" customFormat="1" ht="12.75">
      <c r="A51" s="385" t="s">
        <v>715</v>
      </c>
      <c r="B51" s="574">
        <v>1140526</v>
      </c>
      <c r="C51" s="574">
        <v>0</v>
      </c>
      <c r="D51" s="574">
        <v>213741</v>
      </c>
      <c r="E51" s="574"/>
      <c r="F51" s="574">
        <v>0</v>
      </c>
      <c r="G51" s="574">
        <v>0</v>
      </c>
      <c r="H51" s="574"/>
      <c r="I51" s="574"/>
      <c r="J51" s="574"/>
      <c r="K51" s="574">
        <v>90953</v>
      </c>
      <c r="L51" s="574">
        <v>5312</v>
      </c>
      <c r="M51" s="635"/>
      <c r="N51" s="635"/>
      <c r="O51" s="635">
        <v>0</v>
      </c>
      <c r="P51" s="635"/>
      <c r="Q51" s="635">
        <v>0</v>
      </c>
      <c r="R51" s="635"/>
      <c r="S51" s="635"/>
      <c r="T51" s="635">
        <v>0</v>
      </c>
      <c r="U51" s="635">
        <v>0</v>
      </c>
      <c r="V51" s="635">
        <v>0</v>
      </c>
      <c r="W51" s="581">
        <f>SUM(B51:V51)</f>
        <v>1450532</v>
      </c>
      <c r="X51" s="594" t="s">
        <v>255</v>
      </c>
      <c r="Y51" s="636"/>
      <c r="Z51" s="574" t="e">
        <f>#REF!</f>
        <v>#REF!</v>
      </c>
      <c r="AA51" s="599" t="e">
        <f>+W51-Y51+Z51</f>
        <v>#REF!</v>
      </c>
      <c r="AB51" s="599"/>
      <c r="AC51" s="599"/>
      <c r="AD51" s="335"/>
      <c r="AG51" s="335"/>
      <c r="AH51" s="335"/>
      <c r="AI51" s="335"/>
      <c r="AJ51" s="335"/>
      <c r="AK51" s="335"/>
      <c r="AL51" s="335"/>
      <c r="AM51" s="335"/>
      <c r="AN51" s="335"/>
      <c r="AO51" s="505"/>
      <c r="AP51" s="505"/>
      <c r="AQ51" s="607"/>
      <c r="AR51" s="505"/>
      <c r="AS51" s="505"/>
      <c r="AT51" s="505"/>
      <c r="AU51" s="505"/>
      <c r="AV51" s="505"/>
      <c r="AW51" s="505"/>
      <c r="AX51" s="505"/>
      <c r="AY51" s="505"/>
      <c r="AZ51" s="505"/>
      <c r="BA51" s="505"/>
      <c r="BB51" s="501"/>
      <c r="BC51" s="501"/>
      <c r="BD51" s="501"/>
      <c r="BE51" s="501"/>
      <c r="BF51" s="501"/>
      <c r="BG51" s="501"/>
      <c r="BH51" s="501"/>
      <c r="BI51" s="501"/>
      <c r="BJ51" s="501"/>
      <c r="BK51" s="501"/>
      <c r="BL51" s="501"/>
      <c r="BM51" s="501"/>
      <c r="BN51" s="501"/>
      <c r="BO51" s="501"/>
      <c r="BP51" s="501"/>
      <c r="BQ51" s="501"/>
      <c r="BR51" s="501"/>
      <c r="BS51" s="501"/>
      <c r="BT51" s="501"/>
      <c r="BU51" s="501"/>
      <c r="BV51" s="501"/>
      <c r="BW51" s="501"/>
      <c r="BX51" s="501"/>
      <c r="BY51" s="501"/>
      <c r="BZ51" s="501"/>
      <c r="CA51" s="501"/>
      <c r="CB51" s="501"/>
      <c r="CC51" s="501"/>
      <c r="CD51" s="501"/>
      <c r="CE51" s="501"/>
      <c r="CF51" s="501"/>
      <c r="CG51" s="501"/>
      <c r="CH51" s="501"/>
      <c r="CI51" s="501"/>
      <c r="CJ51" s="501"/>
      <c r="CK51" s="501"/>
      <c r="CL51" s="501"/>
      <c r="CM51" s="501"/>
      <c r="CN51" s="501"/>
      <c r="CO51" s="501"/>
      <c r="CP51" s="501"/>
      <c r="CQ51" s="501"/>
      <c r="CR51" s="501"/>
      <c r="CS51" s="501"/>
      <c r="CT51" s="501"/>
      <c r="CU51" s="501"/>
      <c r="CV51" s="501"/>
      <c r="CW51" s="501"/>
      <c r="CX51" s="501"/>
      <c r="CY51" s="501"/>
      <c r="CZ51" s="501"/>
      <c r="DA51" s="501"/>
      <c r="DB51" s="501"/>
      <c r="DC51" s="501"/>
      <c r="DD51" s="501"/>
      <c r="DE51" s="501"/>
      <c r="DF51" s="501"/>
      <c r="DG51" s="501"/>
      <c r="DH51" s="501"/>
      <c r="DI51" s="501"/>
      <c r="DJ51" s="501"/>
      <c r="DK51" s="501"/>
      <c r="DL51" s="501"/>
      <c r="DM51" s="501"/>
      <c r="DN51" s="501"/>
      <c r="DO51" s="501"/>
      <c r="DP51" s="501"/>
      <c r="DQ51" s="501"/>
      <c r="DR51" s="501"/>
      <c r="DS51" s="501"/>
      <c r="DT51" s="501"/>
      <c r="DU51" s="501"/>
      <c r="DV51" s="501"/>
      <c r="DW51" s="501"/>
      <c r="DX51" s="501"/>
      <c r="DY51" s="501"/>
      <c r="DZ51" s="501"/>
      <c r="EA51" s="501"/>
      <c r="EB51" s="501"/>
      <c r="EC51" s="501"/>
      <c r="ED51" s="501"/>
      <c r="EE51" s="501"/>
      <c r="EF51" s="501"/>
      <c r="EG51" s="501"/>
      <c r="EH51" s="501"/>
      <c r="EI51" s="501"/>
      <c r="EJ51" s="501"/>
      <c r="EK51" s="501"/>
      <c r="EL51" s="501"/>
      <c r="EM51" s="501"/>
      <c r="EN51" s="501"/>
      <c r="EO51" s="501"/>
      <c r="EP51" s="501"/>
      <c r="EQ51" s="501"/>
      <c r="ER51" s="501"/>
      <c r="ES51" s="501"/>
      <c r="ET51" s="501"/>
      <c r="EU51" s="501"/>
      <c r="EV51" s="501"/>
      <c r="EW51" s="501"/>
      <c r="EX51" s="501"/>
      <c r="EY51" s="501"/>
      <c r="EZ51" s="501"/>
      <c r="FA51" s="501"/>
      <c r="FB51" s="501"/>
      <c r="FC51" s="501"/>
      <c r="FD51" s="501"/>
      <c r="FE51" s="501"/>
      <c r="FF51" s="501"/>
      <c r="FG51" s="501"/>
      <c r="FH51" s="501"/>
      <c r="FI51" s="501"/>
      <c r="FJ51" s="501"/>
      <c r="FK51" s="501"/>
      <c r="FL51" s="501"/>
      <c r="FM51" s="501"/>
      <c r="FN51" s="501"/>
      <c r="FO51" s="501"/>
      <c r="FP51" s="501"/>
      <c r="FQ51" s="501"/>
      <c r="FR51" s="501"/>
      <c r="FS51" s="501"/>
      <c r="FT51" s="501"/>
      <c r="FU51" s="501"/>
      <c r="FV51" s="501"/>
      <c r="FW51" s="501"/>
      <c r="FX51" s="501"/>
      <c r="FY51" s="501"/>
      <c r="FZ51" s="501"/>
      <c r="GA51" s="501"/>
      <c r="GB51" s="501"/>
      <c r="GC51" s="501"/>
      <c r="GD51" s="501"/>
      <c r="GE51" s="501"/>
      <c r="GF51" s="501"/>
      <c r="GG51" s="501"/>
      <c r="GH51" s="501"/>
      <c r="GI51" s="501"/>
      <c r="GJ51" s="501"/>
      <c r="GK51" s="501"/>
      <c r="GL51" s="501"/>
      <c r="GM51" s="501"/>
      <c r="GN51" s="501"/>
      <c r="GO51" s="501"/>
      <c r="GP51" s="501"/>
      <c r="GQ51" s="501"/>
      <c r="GR51" s="501"/>
      <c r="GS51" s="501"/>
      <c r="GT51" s="501"/>
      <c r="GU51" s="501"/>
      <c r="GV51" s="501"/>
      <c r="GW51" s="501"/>
      <c r="GX51" s="501"/>
      <c r="GY51" s="501"/>
      <c r="GZ51" s="501"/>
      <c r="HA51" s="501"/>
      <c r="HB51" s="501"/>
      <c r="HC51" s="501"/>
      <c r="HD51" s="501"/>
      <c r="HE51" s="501"/>
      <c r="HF51" s="501"/>
      <c r="HG51" s="501"/>
      <c r="HH51" s="501"/>
      <c r="HI51" s="501"/>
      <c r="HJ51" s="501"/>
      <c r="HK51" s="501"/>
      <c r="HL51" s="501"/>
      <c r="HM51" s="501"/>
      <c r="HN51" s="501"/>
      <c r="HO51" s="501"/>
      <c r="HP51" s="501"/>
      <c r="HQ51" s="501"/>
      <c r="HR51" s="501"/>
      <c r="HS51" s="501"/>
      <c r="HT51" s="501"/>
      <c r="HU51" s="501"/>
      <c r="HV51" s="501"/>
      <c r="HW51" s="501"/>
      <c r="HX51" s="501"/>
      <c r="HY51" s="501"/>
      <c r="HZ51" s="501"/>
      <c r="IA51" s="501"/>
      <c r="IB51" s="501"/>
      <c r="IC51" s="501"/>
      <c r="ID51" s="501"/>
      <c r="IE51" s="501"/>
      <c r="IF51" s="501"/>
      <c r="IG51" s="501"/>
      <c r="IH51" s="501"/>
      <c r="II51" s="501"/>
      <c r="IJ51" s="501"/>
    </row>
    <row r="52" spans="1:51" ht="12.75">
      <c r="A52" s="506"/>
      <c r="B52" s="573"/>
      <c r="C52" s="573"/>
      <c r="D52" s="573"/>
      <c r="E52" s="573"/>
      <c r="F52" s="573"/>
      <c r="G52" s="573"/>
      <c r="H52" s="573"/>
      <c r="I52" s="573"/>
      <c r="J52" s="573"/>
      <c r="K52" s="573"/>
      <c r="L52" s="573"/>
      <c r="M52" s="573"/>
      <c r="N52" s="573"/>
      <c r="O52" s="573"/>
      <c r="P52" s="573"/>
      <c r="Q52" s="573"/>
      <c r="R52" s="573"/>
      <c r="S52" s="573"/>
      <c r="T52" s="573"/>
      <c r="U52" s="581"/>
      <c r="V52" s="581"/>
      <c r="W52" s="581"/>
      <c r="X52" s="600"/>
      <c r="Y52" s="582"/>
      <c r="Z52" s="573"/>
      <c r="AA52" s="599"/>
      <c r="AB52" s="599"/>
      <c r="AC52" s="599"/>
      <c r="AD52" s="392"/>
      <c r="AE52" s="504"/>
      <c r="AF52" s="504"/>
      <c r="AG52" s="392"/>
      <c r="AH52" s="392"/>
      <c r="AI52" s="392"/>
      <c r="AJ52" s="392"/>
      <c r="AK52" s="392"/>
      <c r="AL52" s="392"/>
      <c r="AM52" s="392"/>
      <c r="AN52" s="392"/>
      <c r="AO52" s="392"/>
      <c r="AP52" s="392"/>
      <c r="AQ52" s="576"/>
      <c r="AR52" s="392"/>
      <c r="AS52" s="392"/>
      <c r="AT52" s="392"/>
      <c r="AU52" s="392"/>
      <c r="AV52" s="392"/>
      <c r="AW52" s="392"/>
      <c r="AX52" s="392"/>
      <c r="AY52" s="392"/>
    </row>
    <row r="53" spans="1:44" ht="12.75">
      <c r="A53" s="300" t="s">
        <v>292</v>
      </c>
      <c r="B53" s="573" t="e">
        <f>B49-B51</f>
        <v>#REF!</v>
      </c>
      <c r="C53" s="573" t="e">
        <f aca="true" t="shared" si="10" ref="C53:V53">C49-C51</f>
        <v>#REF!</v>
      </c>
      <c r="D53" s="573" t="e">
        <f t="shared" si="10"/>
        <v>#REF!</v>
      </c>
      <c r="E53" s="573" t="e">
        <f t="shared" si="10"/>
        <v>#REF!</v>
      </c>
      <c r="F53" s="573" t="e">
        <f t="shared" si="10"/>
        <v>#REF!</v>
      </c>
      <c r="G53" s="573">
        <f t="shared" si="10"/>
        <v>-2617</v>
      </c>
      <c r="H53" s="573">
        <f t="shared" si="10"/>
        <v>14433</v>
      </c>
      <c r="I53" s="573" t="e">
        <f t="shared" si="10"/>
        <v>#REF!</v>
      </c>
      <c r="J53" s="573">
        <f t="shared" si="10"/>
        <v>-3316</v>
      </c>
      <c r="K53" s="573" t="e">
        <f t="shared" si="10"/>
        <v>#REF!</v>
      </c>
      <c r="L53" s="573" t="e">
        <f t="shared" si="10"/>
        <v>#REF!</v>
      </c>
      <c r="M53" s="573">
        <f t="shared" si="10"/>
        <v>-1878</v>
      </c>
      <c r="N53" s="573">
        <f t="shared" si="10"/>
        <v>-1655</v>
      </c>
      <c r="O53" s="573">
        <f t="shared" si="10"/>
        <v>72706</v>
      </c>
      <c r="P53" s="573">
        <f t="shared" si="10"/>
        <v>-2062</v>
      </c>
      <c r="Q53" s="573">
        <f t="shared" si="10"/>
        <v>193475</v>
      </c>
      <c r="R53" s="573">
        <f t="shared" si="10"/>
        <v>0</v>
      </c>
      <c r="S53" s="573">
        <f t="shared" si="10"/>
        <v>0</v>
      </c>
      <c r="T53" s="573">
        <f t="shared" si="10"/>
        <v>-13764</v>
      </c>
      <c r="U53" s="573">
        <f t="shared" si="10"/>
        <v>-1800</v>
      </c>
      <c r="V53" s="573">
        <f t="shared" si="10"/>
        <v>-11827</v>
      </c>
      <c r="W53" s="581" t="e">
        <f>SUM(B53:V53)</f>
        <v>#REF!</v>
      </c>
      <c r="X53" s="601" t="s">
        <v>61</v>
      </c>
      <c r="Z53" s="573" t="e">
        <f>(#REF!+#REF!)</f>
        <v>#REF!</v>
      </c>
      <c r="AA53" s="599" t="e">
        <f>AA49-AA51-Z53</f>
        <v>#REF!</v>
      </c>
      <c r="AB53" s="599" t="e">
        <f>+#REF!+AB52</f>
        <v>#REF!</v>
      </c>
      <c r="AC53" s="599" t="e">
        <f>+#REF!+AC52</f>
        <v>#REF!</v>
      </c>
      <c r="AD53" s="488"/>
      <c r="AO53" s="392"/>
      <c r="AP53" s="392"/>
      <c r="AQ53" s="576"/>
      <c r="AR53" s="392"/>
    </row>
    <row r="54" spans="1:44" ht="12.75">
      <c r="A54" s="300"/>
      <c r="B54" s="573"/>
      <c r="C54" s="573"/>
      <c r="D54" s="573"/>
      <c r="E54" s="573"/>
      <c r="F54" s="573"/>
      <c r="G54" s="573"/>
      <c r="H54" s="573"/>
      <c r="I54" s="573"/>
      <c r="J54" s="573"/>
      <c r="K54" s="573"/>
      <c r="L54" s="573"/>
      <c r="M54" s="581"/>
      <c r="N54" s="581"/>
      <c r="O54" s="581"/>
      <c r="P54" s="581"/>
      <c r="Q54" s="581"/>
      <c r="R54" s="581"/>
      <c r="S54" s="581"/>
      <c r="T54" s="581"/>
      <c r="U54" s="581"/>
      <c r="V54" s="581"/>
      <c r="W54" s="581"/>
      <c r="X54" s="594"/>
      <c r="Y54" s="582"/>
      <c r="Z54" s="573"/>
      <c r="AA54" s="599"/>
      <c r="AB54" s="599"/>
      <c r="AC54" s="599"/>
      <c r="AO54" s="392"/>
      <c r="AP54" s="392"/>
      <c r="AQ54" s="576"/>
      <c r="AR54" s="392"/>
    </row>
    <row r="55" spans="1:29" ht="12.75">
      <c r="A55" s="300" t="s">
        <v>127</v>
      </c>
      <c r="B55" s="573">
        <v>0</v>
      </c>
      <c r="C55" s="573">
        <v>0</v>
      </c>
      <c r="D55" s="573">
        <v>0</v>
      </c>
      <c r="E55" s="573">
        <v>0</v>
      </c>
      <c r="F55" s="573">
        <v>0</v>
      </c>
      <c r="G55" s="573">
        <v>0</v>
      </c>
      <c r="H55" s="573">
        <v>0</v>
      </c>
      <c r="I55" s="573">
        <v>0</v>
      </c>
      <c r="J55" s="573">
        <v>0</v>
      </c>
      <c r="K55" s="573" t="e">
        <f>+#REF!</f>
        <v>#REF!</v>
      </c>
      <c r="L55" s="573" t="e">
        <f>+#REF!</f>
        <v>#REF!</v>
      </c>
      <c r="M55" s="581">
        <v>0</v>
      </c>
      <c r="N55" s="581">
        <v>0</v>
      </c>
      <c r="O55" s="581">
        <v>0</v>
      </c>
      <c r="P55" s="581">
        <v>0</v>
      </c>
      <c r="Q55" s="581">
        <v>0</v>
      </c>
      <c r="R55" s="581">
        <v>0</v>
      </c>
      <c r="S55" s="581">
        <v>0</v>
      </c>
      <c r="T55" s="581">
        <v>0</v>
      </c>
      <c r="U55" s="581">
        <v>0</v>
      </c>
      <c r="V55" s="581">
        <v>0</v>
      </c>
      <c r="W55" s="581" t="e">
        <f aca="true" t="shared" si="11" ref="W55:W67">SUM(B55:V55)</f>
        <v>#REF!</v>
      </c>
      <c r="X55" s="594"/>
      <c r="Y55" s="582"/>
      <c r="Z55" s="573"/>
      <c r="AA55" s="599"/>
      <c r="AB55" s="599"/>
      <c r="AC55" s="599"/>
    </row>
    <row r="56" spans="1:29" ht="12.75">
      <c r="A56" s="300" t="s">
        <v>368</v>
      </c>
      <c r="B56" s="573" t="e">
        <f>+#REF!</f>
        <v>#REF!</v>
      </c>
      <c r="C56" s="573"/>
      <c r="D56" s="573"/>
      <c r="E56" s="573"/>
      <c r="F56" s="573"/>
      <c r="G56" s="573"/>
      <c r="H56" s="573"/>
      <c r="I56" s="573"/>
      <c r="J56" s="573"/>
      <c r="K56" s="573"/>
      <c r="L56" s="573"/>
      <c r="M56" s="581"/>
      <c r="N56" s="581"/>
      <c r="O56" s="581"/>
      <c r="P56" s="581"/>
      <c r="Q56" s="581"/>
      <c r="R56" s="581"/>
      <c r="S56" s="581"/>
      <c r="T56" s="581"/>
      <c r="U56" s="581"/>
      <c r="V56" s="581"/>
      <c r="W56" s="581" t="e">
        <f t="shared" si="11"/>
        <v>#REF!</v>
      </c>
      <c r="X56" s="594"/>
      <c r="Y56" s="582"/>
      <c r="Z56" s="573"/>
      <c r="AA56" s="599"/>
      <c r="AB56" s="599"/>
      <c r="AC56" s="599"/>
    </row>
    <row r="57" spans="1:41" ht="12.75">
      <c r="A57" s="300" t="s">
        <v>126</v>
      </c>
      <c r="B57" s="573" t="e">
        <f>#REF!</f>
        <v>#REF!</v>
      </c>
      <c r="C57" s="573">
        <v>-2984</v>
      </c>
      <c r="D57" s="573" t="e">
        <f>#REF!</f>
        <v>#REF!</v>
      </c>
      <c r="E57" s="573" t="e">
        <f>#REF!</f>
        <v>#REF!</v>
      </c>
      <c r="F57" s="573">
        <v>0</v>
      </c>
      <c r="G57" s="573">
        <v>400</v>
      </c>
      <c r="H57" s="573">
        <v>-867</v>
      </c>
      <c r="I57" s="573" t="e">
        <f>#REF!</f>
        <v>#REF!</v>
      </c>
      <c r="J57" s="573">
        <v>0</v>
      </c>
      <c r="K57" s="573" t="e">
        <f>+#REF!</f>
        <v>#REF!</v>
      </c>
      <c r="L57" s="573" t="e">
        <f>+#REF!</f>
        <v>#REF!</v>
      </c>
      <c r="M57" s="581">
        <v>0</v>
      </c>
      <c r="N57" s="581">
        <v>-348</v>
      </c>
      <c r="O57" s="581">
        <v>0</v>
      </c>
      <c r="P57" s="581">
        <v>0</v>
      </c>
      <c r="Q57" s="581">
        <v>0</v>
      </c>
      <c r="R57" s="581">
        <v>0</v>
      </c>
      <c r="S57" s="581">
        <v>0</v>
      </c>
      <c r="T57" s="581">
        <v>0</v>
      </c>
      <c r="U57" s="581">
        <v>0</v>
      </c>
      <c r="V57" s="581">
        <v>0</v>
      </c>
      <c r="W57" s="581" t="e">
        <f t="shared" si="11"/>
        <v>#REF!</v>
      </c>
      <c r="X57" s="594" t="s">
        <v>60</v>
      </c>
      <c r="Y57" s="573" t="e">
        <f>#REF!+#REF!</f>
        <v>#REF!</v>
      </c>
      <c r="AA57" s="602" t="e">
        <f>+W55+W57-Y57+W56</f>
        <v>#REF!</v>
      </c>
      <c r="AB57" s="599">
        <v>-7673067</v>
      </c>
      <c r="AC57" s="599" t="e">
        <f>+AA57-AB57</f>
        <v>#REF!</v>
      </c>
      <c r="AO57" s="275" t="e">
        <f>+#REF!</f>
        <v>#REF!</v>
      </c>
    </row>
    <row r="58" spans="1:29" ht="12.75">
      <c r="A58" s="300"/>
      <c r="B58" s="573"/>
      <c r="C58" s="573"/>
      <c r="D58" s="573"/>
      <c r="E58" s="573"/>
      <c r="F58" s="573"/>
      <c r="G58" s="573"/>
      <c r="H58" s="573"/>
      <c r="I58" s="573"/>
      <c r="J58" s="573"/>
      <c r="K58" s="573"/>
      <c r="L58" s="573"/>
      <c r="M58" s="581"/>
      <c r="N58" s="581"/>
      <c r="O58" s="581"/>
      <c r="P58" s="581"/>
      <c r="Q58" s="581"/>
      <c r="R58" s="581"/>
      <c r="S58" s="581"/>
      <c r="T58" s="581"/>
      <c r="U58" s="581"/>
      <c r="V58" s="581"/>
      <c r="W58" s="581">
        <f t="shared" si="11"/>
        <v>0</v>
      </c>
      <c r="X58" s="594"/>
      <c r="Y58" s="582"/>
      <c r="Z58" s="573"/>
      <c r="AA58" s="599"/>
      <c r="AB58" s="599"/>
      <c r="AC58" s="599"/>
    </row>
    <row r="59" spans="1:30" ht="12.75">
      <c r="A59" s="300" t="s">
        <v>167</v>
      </c>
      <c r="B59" s="573" t="e">
        <f>SUM(B53:B58)</f>
        <v>#REF!</v>
      </c>
      <c r="C59" s="573" t="e">
        <f>SUM(C53:C58)</f>
        <v>#REF!</v>
      </c>
      <c r="D59" s="573" t="e">
        <f aca="true" t="shared" si="12" ref="D59:J59">SUM(D53:D58)</f>
        <v>#REF!</v>
      </c>
      <c r="E59" s="573" t="e">
        <f t="shared" si="12"/>
        <v>#REF!</v>
      </c>
      <c r="F59" s="573" t="e">
        <f t="shared" si="12"/>
        <v>#REF!</v>
      </c>
      <c r="G59" s="573">
        <f t="shared" si="12"/>
        <v>-2217</v>
      </c>
      <c r="H59" s="573">
        <f t="shared" si="12"/>
        <v>13566</v>
      </c>
      <c r="I59" s="573" t="e">
        <f t="shared" si="12"/>
        <v>#REF!</v>
      </c>
      <c r="J59" s="573">
        <f t="shared" si="12"/>
        <v>-3316</v>
      </c>
      <c r="K59" s="573" t="e">
        <f>SUM(K53:K58)</f>
        <v>#REF!</v>
      </c>
      <c r="L59" s="573" t="e">
        <f aca="true" t="shared" si="13" ref="L59:V59">SUM(L53:L58)</f>
        <v>#REF!</v>
      </c>
      <c r="M59" s="573">
        <f t="shared" si="13"/>
        <v>-1878</v>
      </c>
      <c r="N59" s="573">
        <f t="shared" si="13"/>
        <v>-2003</v>
      </c>
      <c r="O59" s="573">
        <f t="shared" si="13"/>
        <v>72706</v>
      </c>
      <c r="P59" s="573">
        <f t="shared" si="13"/>
        <v>-2062</v>
      </c>
      <c r="Q59" s="573">
        <f t="shared" si="13"/>
        <v>193475</v>
      </c>
      <c r="R59" s="573">
        <f t="shared" si="13"/>
        <v>0</v>
      </c>
      <c r="S59" s="573">
        <f t="shared" si="13"/>
        <v>0</v>
      </c>
      <c r="T59" s="573">
        <f t="shared" si="13"/>
        <v>-13764</v>
      </c>
      <c r="U59" s="573">
        <f t="shared" si="13"/>
        <v>-1800</v>
      </c>
      <c r="V59" s="573">
        <f t="shared" si="13"/>
        <v>-11827</v>
      </c>
      <c r="W59" s="581" t="e">
        <f t="shared" si="11"/>
        <v>#REF!</v>
      </c>
      <c r="X59" s="594"/>
      <c r="Y59" s="582"/>
      <c r="Z59" s="573"/>
      <c r="AA59" s="599" t="e">
        <f>SUM(AA53:AA58)</f>
        <v>#REF!</v>
      </c>
      <c r="AB59" s="599" t="e">
        <f>+#REF!+AB57</f>
        <v>#REF!</v>
      </c>
      <c r="AC59" s="599" t="e">
        <f>+AA59-AB59</f>
        <v>#REF!</v>
      </c>
      <c r="AD59" s="488"/>
    </row>
    <row r="60" spans="1:29" ht="12.75">
      <c r="A60" s="300"/>
      <c r="B60" s="573"/>
      <c r="C60" s="573"/>
      <c r="D60" s="573"/>
      <c r="E60" s="573"/>
      <c r="F60" s="573"/>
      <c r="G60" s="573"/>
      <c r="H60" s="573"/>
      <c r="I60" s="573"/>
      <c r="J60" s="573"/>
      <c r="K60" s="573"/>
      <c r="L60" s="573"/>
      <c r="M60" s="581"/>
      <c r="N60" s="581"/>
      <c r="O60" s="581"/>
      <c r="P60" s="581"/>
      <c r="Q60" s="581"/>
      <c r="R60" s="581"/>
      <c r="S60" s="581"/>
      <c r="T60" s="581"/>
      <c r="U60" s="581"/>
      <c r="V60" s="581"/>
      <c r="W60" s="581">
        <f t="shared" si="11"/>
        <v>0</v>
      </c>
      <c r="X60" s="594"/>
      <c r="Y60" s="582"/>
      <c r="Z60" s="573"/>
      <c r="AA60" s="599"/>
      <c r="AB60" s="599"/>
      <c r="AC60" s="599"/>
    </row>
    <row r="61" spans="1:29" ht="12.75">
      <c r="A61" s="300" t="s">
        <v>353</v>
      </c>
      <c r="B61" s="573">
        <v>0</v>
      </c>
      <c r="C61" s="573">
        <v>0</v>
      </c>
      <c r="D61" s="637">
        <v>0.0667</v>
      </c>
      <c r="E61" s="573">
        <v>0</v>
      </c>
      <c r="F61" s="573">
        <v>0</v>
      </c>
      <c r="G61" s="573">
        <v>0</v>
      </c>
      <c r="H61" s="573">
        <v>0</v>
      </c>
      <c r="I61" s="573">
        <v>0</v>
      </c>
      <c r="J61" s="573">
        <v>0</v>
      </c>
      <c r="K61" s="638">
        <v>0.4</v>
      </c>
      <c r="L61" s="638">
        <v>0.4</v>
      </c>
      <c r="M61" s="638">
        <v>0.4</v>
      </c>
      <c r="N61" s="581">
        <v>0</v>
      </c>
      <c r="O61" s="581">
        <v>0</v>
      </c>
      <c r="P61" s="581">
        <v>0</v>
      </c>
      <c r="Q61" s="581">
        <v>0</v>
      </c>
      <c r="R61" s="603">
        <v>0.3</v>
      </c>
      <c r="S61" s="603">
        <v>0.3</v>
      </c>
      <c r="T61" s="581">
        <v>0</v>
      </c>
      <c r="U61" s="581">
        <v>0</v>
      </c>
      <c r="V61" s="581">
        <v>0</v>
      </c>
      <c r="W61" s="581"/>
      <c r="X61" s="594"/>
      <c r="Y61" s="582"/>
      <c r="Z61" s="573"/>
      <c r="AA61" s="599"/>
      <c r="AB61" s="599"/>
      <c r="AC61" s="599">
        <f>+AA61-AB61</f>
        <v>0</v>
      </c>
    </row>
    <row r="62" spans="1:41" ht="12.75">
      <c r="A62" s="300"/>
      <c r="B62" s="573">
        <v>0</v>
      </c>
      <c r="C62" s="573">
        <v>0</v>
      </c>
      <c r="D62" s="573" t="e">
        <f>D61*D59</f>
        <v>#REF!</v>
      </c>
      <c r="E62" s="573">
        <v>0</v>
      </c>
      <c r="F62" s="573">
        <v>0</v>
      </c>
      <c r="G62" s="573">
        <v>0</v>
      </c>
      <c r="H62" s="573">
        <f>H59*H61</f>
        <v>0</v>
      </c>
      <c r="I62" s="573">
        <v>0</v>
      </c>
      <c r="J62" s="573">
        <v>0</v>
      </c>
      <c r="K62" s="573" t="e">
        <f>K61*K59</f>
        <v>#REF!</v>
      </c>
      <c r="L62" s="573" t="e">
        <f>L61*L59</f>
        <v>#REF!</v>
      </c>
      <c r="M62" s="573">
        <f>M61*M59</f>
        <v>-751.2</v>
      </c>
      <c r="N62" s="573">
        <f>N59*N61</f>
        <v>0</v>
      </c>
      <c r="O62" s="573">
        <f>O59*O61</f>
        <v>0</v>
      </c>
      <c r="P62" s="573">
        <f>P59*P61</f>
        <v>0</v>
      </c>
      <c r="Q62" s="573">
        <f>Q59*Q61</f>
        <v>0</v>
      </c>
      <c r="R62" s="573">
        <v>0</v>
      </c>
      <c r="S62" s="573">
        <v>0</v>
      </c>
      <c r="T62" s="581">
        <v>0</v>
      </c>
      <c r="U62" s="581">
        <v>0</v>
      </c>
      <c r="V62" s="581">
        <v>0</v>
      </c>
      <c r="W62" s="581" t="e">
        <f>SUM(B62:V62)</f>
        <v>#REF!</v>
      </c>
      <c r="X62" s="594" t="s">
        <v>117</v>
      </c>
      <c r="Y62" s="582" t="e">
        <f>#REF!</f>
        <v>#REF!</v>
      </c>
      <c r="Z62" s="573"/>
      <c r="AA62" s="604" t="e">
        <f>-Y62+Y63</f>
        <v>#REF!</v>
      </c>
      <c r="AB62" s="599">
        <v>-8608714</v>
      </c>
      <c r="AC62" s="599" t="e">
        <f>+AA62-AB62</f>
        <v>#REF!</v>
      </c>
      <c r="AD62" s="489"/>
      <c r="AO62" s="275" t="e">
        <f>+AO57</f>
        <v>#REF!</v>
      </c>
    </row>
    <row r="63" spans="1:29" ht="12.75">
      <c r="A63" s="300"/>
      <c r="B63" s="573"/>
      <c r="C63" s="573"/>
      <c r="D63" s="573"/>
      <c r="E63" s="573"/>
      <c r="F63" s="573"/>
      <c r="G63" s="573"/>
      <c r="H63" s="573"/>
      <c r="I63" s="573"/>
      <c r="J63" s="573"/>
      <c r="K63" s="573"/>
      <c r="L63" s="573"/>
      <c r="M63" s="573"/>
      <c r="N63" s="573"/>
      <c r="O63" s="581"/>
      <c r="P63" s="581"/>
      <c r="Q63" s="581"/>
      <c r="R63" s="581"/>
      <c r="S63" s="581"/>
      <c r="T63" s="581"/>
      <c r="U63" s="581"/>
      <c r="V63" s="581"/>
      <c r="W63" s="581">
        <f t="shared" si="11"/>
        <v>0</v>
      </c>
      <c r="X63" s="594"/>
      <c r="Y63" s="582"/>
      <c r="Z63" s="573"/>
      <c r="AA63" s="599"/>
      <c r="AB63" s="599"/>
      <c r="AC63" s="599"/>
    </row>
    <row r="64" spans="1:30" ht="12.75">
      <c r="A64" s="300" t="s">
        <v>168</v>
      </c>
      <c r="B64" s="573" t="e">
        <f aca="true" t="shared" si="14" ref="B64:V64">B59-B62</f>
        <v>#REF!</v>
      </c>
      <c r="C64" s="573" t="e">
        <f t="shared" si="14"/>
        <v>#REF!</v>
      </c>
      <c r="D64" s="573" t="e">
        <f t="shared" si="14"/>
        <v>#REF!</v>
      </c>
      <c r="E64" s="573" t="e">
        <f t="shared" si="14"/>
        <v>#REF!</v>
      </c>
      <c r="F64" s="573" t="e">
        <f t="shared" si="14"/>
        <v>#REF!</v>
      </c>
      <c r="G64" s="573">
        <f t="shared" si="14"/>
        <v>-2217</v>
      </c>
      <c r="H64" s="573">
        <f t="shared" si="14"/>
        <v>13566</v>
      </c>
      <c r="I64" s="573" t="e">
        <f t="shared" si="14"/>
        <v>#REF!</v>
      </c>
      <c r="J64" s="573">
        <f t="shared" si="14"/>
        <v>-3316</v>
      </c>
      <c r="K64" s="573" t="e">
        <f t="shared" si="14"/>
        <v>#REF!</v>
      </c>
      <c r="L64" s="573" t="e">
        <f t="shared" si="14"/>
        <v>#REF!</v>
      </c>
      <c r="M64" s="573">
        <f t="shared" si="14"/>
        <v>-1126.8</v>
      </c>
      <c r="N64" s="573">
        <f t="shared" si="14"/>
        <v>-2003</v>
      </c>
      <c r="O64" s="573">
        <f t="shared" si="14"/>
        <v>72706</v>
      </c>
      <c r="P64" s="573">
        <f t="shared" si="14"/>
        <v>-2062</v>
      </c>
      <c r="Q64" s="573">
        <f t="shared" si="14"/>
        <v>193475</v>
      </c>
      <c r="R64" s="573">
        <f t="shared" si="14"/>
        <v>0</v>
      </c>
      <c r="S64" s="573">
        <f t="shared" si="14"/>
        <v>0</v>
      </c>
      <c r="T64" s="573">
        <f t="shared" si="14"/>
        <v>-13764</v>
      </c>
      <c r="U64" s="573">
        <f t="shared" si="14"/>
        <v>-1800</v>
      </c>
      <c r="V64" s="573">
        <f t="shared" si="14"/>
        <v>-11827</v>
      </c>
      <c r="W64" s="581" t="e">
        <f>SUM(B64:V64)</f>
        <v>#REF!</v>
      </c>
      <c r="X64" s="594"/>
      <c r="Y64" s="582"/>
      <c r="Z64" s="573"/>
      <c r="AA64" s="599" t="e">
        <f>+AA59+AA62</f>
        <v>#REF!</v>
      </c>
      <c r="AB64" s="599" t="e">
        <f>+AB59+AB62</f>
        <v>#REF!</v>
      </c>
      <c r="AC64" s="599" t="e">
        <f>+AA64-AB64</f>
        <v>#REF!</v>
      </c>
      <c r="AD64" s="488"/>
    </row>
    <row r="65" spans="1:29" ht="12.75">
      <c r="A65" s="300"/>
      <c r="B65" s="573"/>
      <c r="C65" s="573"/>
      <c r="D65" s="573"/>
      <c r="E65" s="573"/>
      <c r="F65" s="573"/>
      <c r="G65" s="573"/>
      <c r="H65" s="573"/>
      <c r="I65" s="573"/>
      <c r="J65" s="573"/>
      <c r="K65" s="573"/>
      <c r="L65" s="573"/>
      <c r="M65" s="581"/>
      <c r="N65" s="581"/>
      <c r="O65" s="581"/>
      <c r="P65" s="581"/>
      <c r="Q65" s="581"/>
      <c r="R65" s="581"/>
      <c r="S65" s="581"/>
      <c r="T65" s="581"/>
      <c r="U65" s="581"/>
      <c r="V65" s="581"/>
      <c r="W65" s="581">
        <f t="shared" si="11"/>
        <v>0</v>
      </c>
      <c r="X65" s="594"/>
      <c r="Y65" s="582"/>
      <c r="Z65" s="573"/>
      <c r="AA65" s="599"/>
      <c r="AB65" s="599"/>
      <c r="AC65" s="599"/>
    </row>
    <row r="66" spans="1:29" ht="12.75">
      <c r="A66" s="300" t="s">
        <v>347</v>
      </c>
      <c r="B66" s="573">
        <v>0</v>
      </c>
      <c r="C66" s="573">
        <v>0</v>
      </c>
      <c r="D66" s="573">
        <v>0</v>
      </c>
      <c r="E66" s="573">
        <v>0</v>
      </c>
      <c r="F66" s="573">
        <v>0</v>
      </c>
      <c r="G66" s="573">
        <v>0</v>
      </c>
      <c r="H66" s="573">
        <v>0</v>
      </c>
      <c r="I66" s="573">
        <v>0</v>
      </c>
      <c r="J66" s="573">
        <v>0</v>
      </c>
      <c r="K66" s="573">
        <v>1032000</v>
      </c>
      <c r="L66" s="573">
        <v>0</v>
      </c>
      <c r="M66" s="581">
        <v>0</v>
      </c>
      <c r="N66" s="581">
        <v>0</v>
      </c>
      <c r="O66" s="581">
        <v>0</v>
      </c>
      <c r="P66" s="581">
        <v>0</v>
      </c>
      <c r="Q66" s="581">
        <v>0</v>
      </c>
      <c r="R66" s="581">
        <v>0</v>
      </c>
      <c r="S66" s="581">
        <v>0</v>
      </c>
      <c r="T66" s="581">
        <v>0</v>
      </c>
      <c r="U66" s="581">
        <v>0</v>
      </c>
      <c r="V66" s="581">
        <v>0</v>
      </c>
      <c r="W66" s="581">
        <f t="shared" si="11"/>
        <v>1032000</v>
      </c>
      <c r="X66" s="594" t="s">
        <v>747</v>
      </c>
      <c r="Y66" s="582"/>
      <c r="Z66" s="573" t="e">
        <f>(+#REF!+#REF!)</f>
        <v>#REF!</v>
      </c>
      <c r="AA66" s="599" t="e">
        <f>+W66-Y66+Z66</f>
        <v>#REF!</v>
      </c>
      <c r="AB66" s="599">
        <v>0</v>
      </c>
      <c r="AC66" s="599" t="e">
        <f>AA66-AB66</f>
        <v>#REF!</v>
      </c>
    </row>
    <row r="67" spans="1:29" ht="12.75">
      <c r="A67" s="300"/>
      <c r="B67" s="573"/>
      <c r="C67" s="573"/>
      <c r="D67" s="573"/>
      <c r="E67" s="573"/>
      <c r="F67" s="573"/>
      <c r="G67" s="573"/>
      <c r="H67" s="573"/>
      <c r="I67" s="573"/>
      <c r="J67" s="573"/>
      <c r="K67" s="573"/>
      <c r="L67" s="573"/>
      <c r="M67" s="581"/>
      <c r="N67" s="581"/>
      <c r="O67" s="581"/>
      <c r="P67" s="581"/>
      <c r="Q67" s="581"/>
      <c r="R67" s="581"/>
      <c r="S67" s="581"/>
      <c r="T67" s="581"/>
      <c r="U67" s="581"/>
      <c r="V67" s="581"/>
      <c r="W67" s="581">
        <f t="shared" si="11"/>
        <v>0</v>
      </c>
      <c r="X67" s="594"/>
      <c r="Y67" s="582"/>
      <c r="Z67" s="573"/>
      <c r="AA67" s="599"/>
      <c r="AB67" s="599"/>
      <c r="AC67" s="599"/>
    </row>
    <row r="68" spans="1:30" ht="12.75">
      <c r="A68" s="510" t="s">
        <v>696</v>
      </c>
      <c r="B68" s="573" t="e">
        <f>B64-B66</f>
        <v>#REF!</v>
      </c>
      <c r="C68" s="573" t="e">
        <f aca="true" t="shared" si="15" ref="C68:I68">C64-C66</f>
        <v>#REF!</v>
      </c>
      <c r="D68" s="573" t="e">
        <f>D64-D66</f>
        <v>#REF!</v>
      </c>
      <c r="E68" s="573" t="e">
        <f t="shared" si="15"/>
        <v>#REF!</v>
      </c>
      <c r="F68" s="573" t="e">
        <f t="shared" si="15"/>
        <v>#REF!</v>
      </c>
      <c r="G68" s="573">
        <f t="shared" si="15"/>
        <v>-2217</v>
      </c>
      <c r="H68" s="573">
        <f>H64-H66</f>
        <v>13566</v>
      </c>
      <c r="I68" s="573" t="e">
        <f t="shared" si="15"/>
        <v>#REF!</v>
      </c>
      <c r="J68" s="573">
        <f>J64-J66</f>
        <v>-3316</v>
      </c>
      <c r="K68" s="573" t="e">
        <f>+K64-K66</f>
        <v>#REF!</v>
      </c>
      <c r="L68" s="573" t="e">
        <f>L64-L66</f>
        <v>#REF!</v>
      </c>
      <c r="M68" s="573">
        <f>M64-M66</f>
        <v>-1126.8</v>
      </c>
      <c r="N68" s="573">
        <f aca="true" t="shared" si="16" ref="N68:U68">N64-N66</f>
        <v>-2003</v>
      </c>
      <c r="O68" s="573">
        <f t="shared" si="16"/>
        <v>72706</v>
      </c>
      <c r="P68" s="573">
        <f t="shared" si="16"/>
        <v>-2062</v>
      </c>
      <c r="Q68" s="573">
        <f t="shared" si="16"/>
        <v>193475</v>
      </c>
      <c r="R68" s="573">
        <f t="shared" si="16"/>
        <v>0</v>
      </c>
      <c r="S68" s="573">
        <f t="shared" si="16"/>
        <v>0</v>
      </c>
      <c r="T68" s="573">
        <f t="shared" si="16"/>
        <v>-13764</v>
      </c>
      <c r="U68" s="573">
        <f t="shared" si="16"/>
        <v>-1800</v>
      </c>
      <c r="V68" s="573">
        <f>V64-V66</f>
        <v>-11827</v>
      </c>
      <c r="W68" s="587" t="e">
        <f>SUM(B68:V68)</f>
        <v>#REF!</v>
      </c>
      <c r="X68" s="605"/>
      <c r="Y68" s="588" t="e">
        <f>Y18+Y38+Y47+SUM(Y50:Y67)</f>
        <v>#REF!</v>
      </c>
      <c r="Z68" s="588" t="e">
        <f>Z18+Z38+Z47+SUM(Z50:Z67)</f>
        <v>#REF!</v>
      </c>
      <c r="AA68" s="589" t="e">
        <f>+AA64-AA66</f>
        <v>#REF!</v>
      </c>
      <c r="AB68" s="589" t="e">
        <f>+AB64-AB66</f>
        <v>#REF!</v>
      </c>
      <c r="AC68" s="589" t="e">
        <f>+AA68-AB68</f>
        <v>#REF!</v>
      </c>
      <c r="AD68" s="488"/>
    </row>
    <row r="69" spans="27:29" ht="12.75">
      <c r="AA69" s="606"/>
      <c r="AB69" s="606"/>
      <c r="AC69" s="606"/>
    </row>
    <row r="70" spans="1:32" ht="12.75">
      <c r="A70" s="386"/>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607"/>
      <c r="AB70" s="607"/>
      <c r="AC70" s="607"/>
      <c r="AE70" s="275"/>
      <c r="AF70" s="275"/>
    </row>
    <row r="71" spans="1:32" ht="12.75">
      <c r="A71" s="386"/>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607"/>
      <c r="AB71" s="607"/>
      <c r="AC71" s="607"/>
      <c r="AE71" s="275"/>
      <c r="AF71" s="275"/>
    </row>
    <row r="72" spans="28:29" ht="12.75">
      <c r="AB72" s="608"/>
      <c r="AC72" s="608"/>
    </row>
    <row r="73" spans="28:29" ht="12.75">
      <c r="AB73" s="608"/>
      <c r="AC73" s="608"/>
    </row>
    <row r="74" spans="28:29" ht="12.75">
      <c r="AB74" s="608"/>
      <c r="AC74" s="608"/>
    </row>
    <row r="75" spans="28:29" ht="12.75">
      <c r="AB75" s="608"/>
      <c r="AC75" s="608"/>
    </row>
    <row r="76" spans="28:29" ht="12.75">
      <c r="AB76" s="608"/>
      <c r="AC76" s="608"/>
    </row>
    <row r="77" spans="28:29" ht="12.75">
      <c r="AB77" s="608"/>
      <c r="AC77" s="608"/>
    </row>
    <row r="78" spans="28:29" ht="12.75">
      <c r="AB78" s="608"/>
      <c r="AC78" s="608"/>
    </row>
    <row r="79" spans="28:29" ht="12.75">
      <c r="AB79" s="608"/>
      <c r="AC79" s="608"/>
    </row>
    <row r="80" spans="28:29" ht="12.75">
      <c r="AB80" s="608"/>
      <c r="AC80" s="608"/>
    </row>
    <row r="81" spans="28:29" ht="12.75">
      <c r="AB81" s="608"/>
      <c r="AC81" s="608"/>
    </row>
    <row r="82" spans="28:29" ht="12.75">
      <c r="AB82" s="608"/>
      <c r="AC82" s="608"/>
    </row>
    <row r="83" spans="28:29" ht="12.75">
      <c r="AB83" s="608"/>
      <c r="AC83" s="608"/>
    </row>
    <row r="84" spans="28:29" ht="12.75">
      <c r="AB84" s="608"/>
      <c r="AC84" s="608"/>
    </row>
    <row r="85" spans="28:29" ht="12.75">
      <c r="AB85" s="608"/>
      <c r="AC85" s="608"/>
    </row>
    <row r="86" spans="28:29" ht="12.75">
      <c r="AB86" s="608"/>
      <c r="AC86" s="608"/>
    </row>
    <row r="87" spans="28:29" ht="12.75">
      <c r="AB87" s="286"/>
      <c r="AC87" s="286"/>
    </row>
    <row r="88" spans="28:29" ht="12.75">
      <c r="AB88" s="286"/>
      <c r="AC88" s="286"/>
    </row>
    <row r="89" spans="28:29" ht="12.75">
      <c r="AB89" s="286"/>
      <c r="AC89" s="286"/>
    </row>
    <row r="90" spans="28:29" ht="12.75">
      <c r="AB90" s="286"/>
      <c r="AC90" s="286"/>
    </row>
    <row r="91" spans="28:29" ht="12.75">
      <c r="AB91" s="286"/>
      <c r="AC91" s="286"/>
    </row>
    <row r="92" spans="28:29" ht="12.75">
      <c r="AB92" s="286"/>
      <c r="AC92" s="286"/>
    </row>
    <row r="93" spans="28:29" ht="12.75">
      <c r="AB93" s="286"/>
      <c r="AC93" s="286"/>
    </row>
    <row r="94" spans="28:29" ht="12.75">
      <c r="AB94" s="286"/>
      <c r="AC94" s="286"/>
    </row>
    <row r="95" spans="28:29" ht="12.75">
      <c r="AB95" s="286"/>
      <c r="AC95" s="286"/>
    </row>
    <row r="96" spans="28:29" ht="12.75">
      <c r="AB96" s="286"/>
      <c r="AC96" s="286"/>
    </row>
    <row r="97" spans="28:29" ht="12.75">
      <c r="AB97" s="286"/>
      <c r="AC97" s="286"/>
    </row>
    <row r="98" spans="28:29" ht="12.75">
      <c r="AB98" s="286"/>
      <c r="AC98" s="286"/>
    </row>
    <row r="99" spans="28:29" ht="12.75">
      <c r="AB99" s="286"/>
      <c r="AC99" s="286"/>
    </row>
    <row r="100" spans="28:29" ht="12.75">
      <c r="AB100" s="286"/>
      <c r="AC100" s="286"/>
    </row>
    <row r="101" spans="28:29" ht="12.75">
      <c r="AB101" s="286"/>
      <c r="AC101" s="286"/>
    </row>
    <row r="102" spans="28:29" ht="12.75">
      <c r="AB102" s="286"/>
      <c r="AC102" s="286"/>
    </row>
    <row r="103" spans="28:29" ht="12.75">
      <c r="AB103" s="286"/>
      <c r="AC103" s="286"/>
    </row>
    <row r="104" spans="28:29" ht="12.75">
      <c r="AB104" s="286"/>
      <c r="AC104" s="286"/>
    </row>
    <row r="105" spans="28:29" ht="12.75">
      <c r="AB105" s="286"/>
      <c r="AC105" s="286"/>
    </row>
    <row r="106" spans="28:29" ht="12.75">
      <c r="AB106" s="286"/>
      <c r="AC106" s="286"/>
    </row>
    <row r="107" spans="28:29" ht="12.75">
      <c r="AB107" s="286"/>
      <c r="AC107" s="286"/>
    </row>
    <row r="108" spans="28:29" ht="12.75">
      <c r="AB108" s="286"/>
      <c r="AC108" s="286"/>
    </row>
    <row r="109" spans="28:29" ht="12.75">
      <c r="AB109" s="286"/>
      <c r="AC109" s="286"/>
    </row>
    <row r="110" spans="28:29" ht="12.75">
      <c r="AB110" s="286"/>
      <c r="AC110" s="286"/>
    </row>
    <row r="111" spans="28:29" ht="12.75">
      <c r="AB111" s="286"/>
      <c r="AC111" s="286"/>
    </row>
    <row r="112" spans="28:29" ht="12.75">
      <c r="AB112" s="286"/>
      <c r="AC112" s="286"/>
    </row>
    <row r="113" spans="28:29" ht="12.75">
      <c r="AB113" s="286"/>
      <c r="AC113" s="286"/>
    </row>
    <row r="114" spans="28:29" ht="12.75">
      <c r="AB114" s="286"/>
      <c r="AC114" s="286"/>
    </row>
    <row r="115" spans="28:29" ht="12.75">
      <c r="AB115" s="286"/>
      <c r="AC115" s="286"/>
    </row>
    <row r="116" spans="28:29" ht="12.75">
      <c r="AB116" s="286"/>
      <c r="AC116" s="286"/>
    </row>
    <row r="117" spans="28:29" ht="12.75">
      <c r="AB117" s="286"/>
      <c r="AC117" s="286"/>
    </row>
    <row r="118" spans="28:29" ht="12.75">
      <c r="AB118" s="286"/>
      <c r="AC118" s="286"/>
    </row>
    <row r="119" spans="28:29" ht="12.75">
      <c r="AB119" s="286"/>
      <c r="AC119" s="286"/>
    </row>
    <row r="120" spans="28:29" ht="12.75">
      <c r="AB120" s="286"/>
      <c r="AC120" s="286"/>
    </row>
    <row r="121" spans="28:29" ht="12.75">
      <c r="AB121" s="286"/>
      <c r="AC121" s="286"/>
    </row>
    <row r="122" spans="28:29" ht="12.75">
      <c r="AB122" s="286"/>
      <c r="AC122" s="286"/>
    </row>
    <row r="123" spans="28:29" ht="12.75">
      <c r="AB123" s="286"/>
      <c r="AC123" s="286"/>
    </row>
    <row r="124" spans="28:29" ht="12.75">
      <c r="AB124" s="286"/>
      <c r="AC124" s="286"/>
    </row>
    <row r="125" spans="28:29" ht="12.75">
      <c r="AB125" s="286"/>
      <c r="AC125" s="286"/>
    </row>
    <row r="126" spans="28:29" ht="12.75">
      <c r="AB126" s="286"/>
      <c r="AC126" s="286"/>
    </row>
    <row r="127" spans="28:29" ht="12.75">
      <c r="AB127" s="286"/>
      <c r="AC127" s="286"/>
    </row>
    <row r="128" spans="28:29" ht="12.75">
      <c r="AB128" s="286"/>
      <c r="AC128" s="286"/>
    </row>
    <row r="129" spans="28:29" ht="12.75">
      <c r="AB129" s="286"/>
      <c r="AC129" s="286"/>
    </row>
    <row r="130" spans="28:29" ht="12.75">
      <c r="AB130" s="286"/>
      <c r="AC130" s="286"/>
    </row>
    <row r="131" spans="28:29" ht="12.75">
      <c r="AB131" s="286"/>
      <c r="AC131" s="286"/>
    </row>
    <row r="132" spans="28:29" ht="12.75">
      <c r="AB132" s="286"/>
      <c r="AC132" s="286"/>
    </row>
    <row r="133" spans="28:29" ht="12.75">
      <c r="AB133" s="286"/>
      <c r="AC133" s="286"/>
    </row>
    <row r="134" spans="28:29" ht="12.75">
      <c r="AB134" s="286"/>
      <c r="AC134" s="286"/>
    </row>
    <row r="135" spans="28:29" ht="12.75">
      <c r="AB135" s="286"/>
      <c r="AC135" s="286"/>
    </row>
    <row r="136" spans="28:29" ht="12.75">
      <c r="AB136" s="286"/>
      <c r="AC136" s="286"/>
    </row>
    <row r="137" spans="28:29" ht="12.75">
      <c r="AB137" s="286"/>
      <c r="AC137" s="286"/>
    </row>
    <row r="138" spans="28:29" ht="12.75">
      <c r="AB138" s="286"/>
      <c r="AC138" s="286"/>
    </row>
    <row r="139" spans="28:29" ht="12.75">
      <c r="AB139" s="286"/>
      <c r="AC139" s="286"/>
    </row>
    <row r="140" spans="28:29" ht="12.75">
      <c r="AB140" s="286"/>
      <c r="AC140" s="286"/>
    </row>
    <row r="141" spans="28:29" ht="12.75">
      <c r="AB141" s="286"/>
      <c r="AC141" s="286"/>
    </row>
    <row r="142" spans="28:29" ht="12.75">
      <c r="AB142" s="286"/>
      <c r="AC142" s="286"/>
    </row>
    <row r="143" spans="28:29" ht="12.75">
      <c r="AB143" s="286"/>
      <c r="AC143" s="286"/>
    </row>
    <row r="144" spans="28:29" ht="12.75">
      <c r="AB144" s="286"/>
      <c r="AC144" s="286"/>
    </row>
    <row r="145" spans="28:29" ht="12.75">
      <c r="AB145" s="286"/>
      <c r="AC145" s="286"/>
    </row>
    <row r="146" spans="28:29" ht="12.75">
      <c r="AB146" s="286"/>
      <c r="AC146" s="286"/>
    </row>
    <row r="147" spans="28:29" ht="12.75">
      <c r="AB147" s="286"/>
      <c r="AC147" s="286"/>
    </row>
    <row r="148" spans="28:29" ht="12.75">
      <c r="AB148" s="286"/>
      <c r="AC148" s="286"/>
    </row>
    <row r="149" spans="28:29" ht="12.75">
      <c r="AB149" s="286"/>
      <c r="AC149" s="286"/>
    </row>
    <row r="150" spans="28:29" ht="12.75">
      <c r="AB150" s="286"/>
      <c r="AC150" s="286"/>
    </row>
    <row r="151" spans="28:29" ht="12.75">
      <c r="AB151" s="286"/>
      <c r="AC151" s="286"/>
    </row>
    <row r="152" spans="28:29" ht="12.75">
      <c r="AB152" s="286"/>
      <c r="AC152" s="286"/>
    </row>
    <row r="153" spans="28:29" ht="12.75">
      <c r="AB153" s="286"/>
      <c r="AC153" s="286"/>
    </row>
    <row r="154" spans="28:29" ht="12.75">
      <c r="AB154" s="286"/>
      <c r="AC154" s="286"/>
    </row>
    <row r="155" spans="28:29" ht="12.75">
      <c r="AB155" s="286"/>
      <c r="AC155" s="286"/>
    </row>
    <row r="156" spans="28:29" ht="12.75">
      <c r="AB156" s="286"/>
      <c r="AC156" s="286"/>
    </row>
    <row r="157" spans="28:29" ht="12.75">
      <c r="AB157" s="286"/>
      <c r="AC157" s="286"/>
    </row>
    <row r="158" spans="28:29" ht="12.75">
      <c r="AB158" s="286"/>
      <c r="AC158" s="286"/>
    </row>
    <row r="159" spans="28:29" ht="12.75">
      <c r="AB159" s="286"/>
      <c r="AC159" s="286"/>
    </row>
  </sheetData>
  <mergeCells count="1">
    <mergeCell ref="Y6:Z6"/>
  </mergeCells>
  <printOptions/>
  <pageMargins left="0.5" right="0.5" top="0.5" bottom="0.5" header="0.5" footer="0.5"/>
  <pageSetup fitToHeight="1" fitToWidth="1" horizontalDpi="600" verticalDpi="600" orientation="landscape" paperSize="9" scale="35" r:id="rId3"/>
  <colBreaks count="1" manualBreakCount="1">
    <brk id="40" max="65535" man="1"/>
  </colBreaks>
  <ignoredErrors>
    <ignoredError sqref="K68" formula="1"/>
  </ignoredError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Z107"/>
  <sheetViews>
    <sheetView workbookViewId="0" topLeftCell="X39">
      <selection activeCell="AL70" sqref="AL70"/>
    </sheetView>
  </sheetViews>
  <sheetFormatPr defaultColWidth="9.140625" defaultRowHeight="12.75"/>
  <cols>
    <col min="1" max="1" width="11.8515625" style="2" customWidth="1"/>
    <col min="2" max="3" width="8.8515625" style="2" customWidth="1"/>
    <col min="4" max="4" width="6.8515625" style="2" customWidth="1"/>
    <col min="5" max="5" width="11.421875" style="101" customWidth="1"/>
    <col min="6" max="6" width="11.28125" style="101" bestFit="1" customWidth="1"/>
    <col min="7" max="7" width="9.28125" style="101" customWidth="1"/>
    <col min="8" max="8" width="10.57421875" style="101" customWidth="1"/>
    <col min="9" max="9" width="10.28125" style="101" customWidth="1"/>
    <col min="10" max="10" width="11.28125" style="101" bestFit="1" customWidth="1"/>
    <col min="11" max="11" width="10.28125" style="101" customWidth="1"/>
    <col min="12" max="12" width="14.00390625" style="101" customWidth="1"/>
    <col min="13" max="13" width="11.28125" style="101" customWidth="1"/>
    <col min="14" max="14" width="10.7109375" style="101" customWidth="1"/>
    <col min="15" max="15" width="8.421875" style="101" customWidth="1"/>
    <col min="16" max="16" width="10.7109375" style="101" customWidth="1"/>
    <col min="17" max="17" width="13.140625" style="101" customWidth="1"/>
    <col min="18" max="21" width="12.140625" style="101" customWidth="1"/>
    <col min="22" max="22" width="14.57421875" style="101" customWidth="1"/>
    <col min="23" max="23" width="11.421875" style="101" customWidth="1"/>
    <col min="24" max="24" width="10.7109375" style="101" customWidth="1"/>
    <col min="25" max="16384" width="8.8515625" style="2" customWidth="1"/>
  </cols>
  <sheetData>
    <row r="1" ht="12.75">
      <c r="A1" s="103" t="s">
        <v>654</v>
      </c>
    </row>
    <row r="2" ht="12.75">
      <c r="A2" s="103" t="s">
        <v>316</v>
      </c>
    </row>
    <row r="3" ht="13.5" thickBot="1">
      <c r="A3" s="103"/>
    </row>
    <row r="4" spans="1:24" ht="13.5" thickTop="1">
      <c r="A4" s="104"/>
      <c r="B4" s="105"/>
      <c r="C4" s="105"/>
      <c r="D4" s="105"/>
      <c r="E4" s="106" t="s">
        <v>655</v>
      </c>
      <c r="F4" s="106" t="s">
        <v>701</v>
      </c>
      <c r="G4" s="106" t="s">
        <v>356</v>
      </c>
      <c r="H4" s="106" t="s">
        <v>793</v>
      </c>
      <c r="I4" s="106" t="s">
        <v>785</v>
      </c>
      <c r="J4" s="106" t="s">
        <v>357</v>
      </c>
      <c r="K4" s="106" t="s">
        <v>810</v>
      </c>
      <c r="L4" s="106" t="s">
        <v>104</v>
      </c>
      <c r="M4" s="106" t="s">
        <v>269</v>
      </c>
      <c r="N4" s="106" t="s">
        <v>270</v>
      </c>
      <c r="O4" s="106" t="s">
        <v>811</v>
      </c>
      <c r="P4" s="106" t="s">
        <v>102</v>
      </c>
      <c r="Q4" s="106" t="s">
        <v>103</v>
      </c>
      <c r="R4" s="106" t="s">
        <v>106</v>
      </c>
      <c r="S4" s="106" t="s">
        <v>105</v>
      </c>
      <c r="T4" s="106" t="s">
        <v>603</v>
      </c>
      <c r="U4" s="106" t="s">
        <v>600</v>
      </c>
      <c r="V4" s="106" t="s">
        <v>338</v>
      </c>
      <c r="W4" s="106" t="s">
        <v>271</v>
      </c>
      <c r="X4" s="107" t="s">
        <v>271</v>
      </c>
    </row>
    <row r="5" spans="1:24" ht="12.75">
      <c r="A5" s="108"/>
      <c r="B5" s="103"/>
      <c r="C5" s="103"/>
      <c r="D5" s="103"/>
      <c r="E5" s="109" t="s">
        <v>337</v>
      </c>
      <c r="F5" s="109" t="s">
        <v>337</v>
      </c>
      <c r="G5" s="109" t="s">
        <v>337</v>
      </c>
      <c r="H5" s="109" t="s">
        <v>337</v>
      </c>
      <c r="I5" s="109" t="s">
        <v>337</v>
      </c>
      <c r="J5" s="109" t="s">
        <v>337</v>
      </c>
      <c r="K5" s="109" t="s">
        <v>337</v>
      </c>
      <c r="L5" s="109" t="s">
        <v>337</v>
      </c>
      <c r="M5" s="109" t="s">
        <v>337</v>
      </c>
      <c r="N5" s="109" t="s">
        <v>337</v>
      </c>
      <c r="O5" s="109" t="s">
        <v>337</v>
      </c>
      <c r="P5" s="109" t="s">
        <v>337</v>
      </c>
      <c r="Q5" s="109" t="s">
        <v>337</v>
      </c>
      <c r="R5" s="109" t="s">
        <v>337</v>
      </c>
      <c r="S5" s="109" t="s">
        <v>337</v>
      </c>
      <c r="T5" s="109" t="s">
        <v>337</v>
      </c>
      <c r="U5" s="109" t="s">
        <v>337</v>
      </c>
      <c r="V5" s="109" t="s">
        <v>337</v>
      </c>
      <c r="W5" s="109" t="s">
        <v>337</v>
      </c>
      <c r="X5" s="110" t="s">
        <v>272</v>
      </c>
    </row>
    <row r="6" spans="1:24" ht="12.75">
      <c r="A6" s="108"/>
      <c r="B6" s="60"/>
      <c r="C6" s="60"/>
      <c r="D6" s="60"/>
      <c r="E6" s="109"/>
      <c r="F6" s="109"/>
      <c r="G6" s="109"/>
      <c r="H6" s="109"/>
      <c r="I6" s="109"/>
      <c r="J6" s="109"/>
      <c r="K6" s="109"/>
      <c r="L6" s="109"/>
      <c r="M6" s="109"/>
      <c r="N6" s="109"/>
      <c r="O6" s="109"/>
      <c r="P6" s="109"/>
      <c r="Q6" s="109"/>
      <c r="R6" s="109"/>
      <c r="S6" s="109"/>
      <c r="T6" s="109"/>
      <c r="U6" s="109"/>
      <c r="V6" s="109"/>
      <c r="W6" s="111"/>
      <c r="X6" s="112"/>
    </row>
    <row r="7" spans="1:24" ht="12.75">
      <c r="A7" s="102" t="s">
        <v>273</v>
      </c>
      <c r="B7" s="103"/>
      <c r="C7" s="103"/>
      <c r="D7" s="103"/>
      <c r="E7" s="109">
        <v>100</v>
      </c>
      <c r="F7" s="113">
        <v>93.33</v>
      </c>
      <c r="G7" s="109">
        <v>100</v>
      </c>
      <c r="H7" s="109">
        <v>60</v>
      </c>
      <c r="I7" s="109">
        <v>100</v>
      </c>
      <c r="J7" s="109">
        <v>100</v>
      </c>
      <c r="K7" s="109">
        <v>100</v>
      </c>
      <c r="L7" s="109">
        <v>100</v>
      </c>
      <c r="M7" s="109">
        <v>100</v>
      </c>
      <c r="N7" s="109">
        <v>60</v>
      </c>
      <c r="O7" s="109">
        <v>60</v>
      </c>
      <c r="P7" s="109">
        <v>100</v>
      </c>
      <c r="Q7" s="109">
        <v>100</v>
      </c>
      <c r="R7" s="109">
        <v>100</v>
      </c>
      <c r="S7" s="109">
        <v>100</v>
      </c>
      <c r="T7" s="109">
        <v>100</v>
      </c>
      <c r="U7" s="109">
        <v>70</v>
      </c>
      <c r="V7" s="109">
        <v>100</v>
      </c>
      <c r="W7" s="109"/>
      <c r="X7" s="112"/>
    </row>
    <row r="8" spans="1:24" ht="12.75">
      <c r="A8" s="102"/>
      <c r="B8" s="103"/>
      <c r="C8" s="103"/>
      <c r="D8" s="103"/>
      <c r="E8" s="109"/>
      <c r="F8" s="113"/>
      <c r="G8" s="109"/>
      <c r="H8" s="109"/>
      <c r="I8" s="109"/>
      <c r="J8" s="109"/>
      <c r="K8" s="109"/>
      <c r="L8" s="109"/>
      <c r="M8" s="109"/>
      <c r="N8" s="109"/>
      <c r="O8" s="109"/>
      <c r="P8" s="109"/>
      <c r="Q8" s="109"/>
      <c r="R8" s="109"/>
      <c r="S8" s="109"/>
      <c r="T8" s="109"/>
      <c r="U8" s="109"/>
      <c r="V8" s="109"/>
      <c r="W8" s="109"/>
      <c r="X8" s="112"/>
    </row>
    <row r="9" spans="1:24" ht="12.75">
      <c r="A9" s="102"/>
      <c r="B9" s="103"/>
      <c r="C9" s="103"/>
      <c r="D9" s="103"/>
      <c r="E9" s="109"/>
      <c r="F9" s="113"/>
      <c r="G9" s="109"/>
      <c r="H9" s="109"/>
      <c r="I9" s="109"/>
      <c r="J9" s="109"/>
      <c r="K9" s="109"/>
      <c r="L9" s="109"/>
      <c r="M9" s="109"/>
      <c r="N9" s="109"/>
      <c r="O9" s="109"/>
      <c r="P9" s="109"/>
      <c r="Q9" s="109"/>
      <c r="R9" s="109"/>
      <c r="S9" s="109"/>
      <c r="T9" s="109"/>
      <c r="U9" s="109"/>
      <c r="V9" s="109"/>
      <c r="W9" s="109"/>
      <c r="X9" s="112"/>
    </row>
    <row r="10" spans="1:24" ht="12.75">
      <c r="A10" s="102" t="s">
        <v>287</v>
      </c>
      <c r="B10" s="103"/>
      <c r="C10" s="103"/>
      <c r="D10" s="103"/>
      <c r="E10" s="111" t="e">
        <f>+#REF!*1000</f>
        <v>#REF!</v>
      </c>
      <c r="F10" s="111" t="e">
        <f>+#REF!*1000</f>
        <v>#REF!</v>
      </c>
      <c r="G10" s="111" t="e">
        <f>+#REF!*1000</f>
        <v>#REF!</v>
      </c>
      <c r="H10" s="111" t="e">
        <f>+#REF!*1000</f>
        <v>#REF!</v>
      </c>
      <c r="I10" s="111" t="e">
        <f>+#REF!*1000</f>
        <v>#REF!</v>
      </c>
      <c r="J10" s="111" t="e">
        <f>+#REF!*1000</f>
        <v>#REF!</v>
      </c>
      <c r="K10" s="111" t="e">
        <f>+#REF!*1000</f>
        <v>#REF!</v>
      </c>
      <c r="L10" s="272" t="e">
        <f>+#REF!*1000</f>
        <v>#REF!</v>
      </c>
      <c r="M10" s="111" t="e">
        <f>+#REF!*1000</f>
        <v>#REF!</v>
      </c>
      <c r="N10" s="272" t="e">
        <f>+#REF!*1000</f>
        <v>#REF!</v>
      </c>
      <c r="O10" s="111" t="e">
        <f>+#REF!*1000</f>
        <v>#REF!</v>
      </c>
      <c r="P10" s="111" t="e">
        <f>+#REF!*1000</f>
        <v>#REF!</v>
      </c>
      <c r="Q10" s="111" t="e">
        <f>+#REF!*1000</f>
        <v>#REF!</v>
      </c>
      <c r="R10" s="111" t="e">
        <f>+#REF!*1000</f>
        <v>#REF!</v>
      </c>
      <c r="S10" s="111" t="e">
        <f>+#REF!*1000</f>
        <v>#REF!</v>
      </c>
      <c r="T10" s="111" t="e">
        <f>+#REF!*1000</f>
        <v>#REF!</v>
      </c>
      <c r="U10" s="111" t="e">
        <f>+#REF!*1000</f>
        <v>#REF!</v>
      </c>
      <c r="V10" s="111" t="e">
        <f>+#REF!*1000</f>
        <v>#REF!</v>
      </c>
      <c r="W10" s="111" t="e">
        <f>SUM(E10:V10)</f>
        <v>#REF!</v>
      </c>
      <c r="X10" s="112" t="e">
        <f>W10/1000</f>
        <v>#REF!</v>
      </c>
    </row>
    <row r="11" spans="1:24" ht="13.5" thickBot="1">
      <c r="A11" s="102"/>
      <c r="B11" s="60"/>
      <c r="C11" s="60"/>
      <c r="D11" s="60"/>
      <c r="E11" s="111"/>
      <c r="F11" s="111"/>
      <c r="G11" s="111"/>
      <c r="H11" s="111"/>
      <c r="I11" s="111"/>
      <c r="J11" s="111"/>
      <c r="K11" s="111"/>
      <c r="L11" s="272"/>
      <c r="M11" s="111"/>
      <c r="N11" s="272"/>
      <c r="O11" s="111"/>
      <c r="P11" s="111"/>
      <c r="Q11" s="111"/>
      <c r="R11" s="111"/>
      <c r="S11" s="111"/>
      <c r="T11" s="111"/>
      <c r="U11" s="111"/>
      <c r="V11" s="111"/>
      <c r="W11" s="111"/>
      <c r="X11" s="112"/>
    </row>
    <row r="12" spans="1:24" ht="12.75">
      <c r="A12" s="115"/>
      <c r="B12" s="116"/>
      <c r="C12" s="116"/>
      <c r="D12" s="116"/>
      <c r="E12" s="117"/>
      <c r="F12" s="117"/>
      <c r="G12" s="117"/>
      <c r="H12" s="117"/>
      <c r="I12" s="117"/>
      <c r="J12" s="117"/>
      <c r="K12" s="117"/>
      <c r="L12" s="273"/>
      <c r="M12" s="117"/>
      <c r="N12" s="273"/>
      <c r="O12" s="117"/>
      <c r="P12" s="117"/>
      <c r="Q12" s="117"/>
      <c r="R12" s="117"/>
      <c r="S12" s="117"/>
      <c r="T12" s="117"/>
      <c r="U12" s="117"/>
      <c r="V12" s="117"/>
      <c r="W12" s="118"/>
      <c r="X12" s="112"/>
    </row>
    <row r="13" spans="1:24" ht="12.75">
      <c r="A13" s="102" t="s">
        <v>274</v>
      </c>
      <c r="B13" s="60"/>
      <c r="C13" s="60"/>
      <c r="D13" s="60"/>
      <c r="E13" s="111" t="e">
        <f>E10/1000</f>
        <v>#REF!</v>
      </c>
      <c r="F13" s="111" t="e">
        <f aca="true" t="shared" si="0" ref="F13:W13">F10/1000</f>
        <v>#REF!</v>
      </c>
      <c r="G13" s="111" t="e">
        <f t="shared" si="0"/>
        <v>#REF!</v>
      </c>
      <c r="H13" s="111" t="e">
        <f t="shared" si="0"/>
        <v>#REF!</v>
      </c>
      <c r="I13" s="111" t="e">
        <f t="shared" si="0"/>
        <v>#REF!</v>
      </c>
      <c r="J13" s="111" t="e">
        <f t="shared" si="0"/>
        <v>#REF!</v>
      </c>
      <c r="K13" s="111" t="e">
        <f t="shared" si="0"/>
        <v>#REF!</v>
      </c>
      <c r="L13" s="272" t="e">
        <f t="shared" si="0"/>
        <v>#REF!</v>
      </c>
      <c r="M13" s="111" t="e">
        <f t="shared" si="0"/>
        <v>#REF!</v>
      </c>
      <c r="N13" s="272" t="e">
        <f t="shared" si="0"/>
        <v>#REF!</v>
      </c>
      <c r="O13" s="111" t="e">
        <f t="shared" si="0"/>
        <v>#REF!</v>
      </c>
      <c r="P13" s="111" t="e">
        <f t="shared" si="0"/>
        <v>#REF!</v>
      </c>
      <c r="Q13" s="111" t="e">
        <f t="shared" si="0"/>
        <v>#REF!</v>
      </c>
      <c r="R13" s="111" t="e">
        <f t="shared" si="0"/>
        <v>#REF!</v>
      </c>
      <c r="S13" s="111" t="e">
        <f t="shared" si="0"/>
        <v>#REF!</v>
      </c>
      <c r="T13" s="111" t="e">
        <f>T10/1000</f>
        <v>#REF!</v>
      </c>
      <c r="U13" s="111" t="e">
        <f>U10/1000</f>
        <v>#REF!</v>
      </c>
      <c r="V13" s="111" t="e">
        <f t="shared" si="0"/>
        <v>#REF!</v>
      </c>
      <c r="W13" s="119" t="e">
        <f t="shared" si="0"/>
        <v>#REF!</v>
      </c>
      <c r="X13" s="112"/>
    </row>
    <row r="14" spans="1:24" ht="12.75">
      <c r="A14" s="108"/>
      <c r="B14" s="60"/>
      <c r="C14" s="60"/>
      <c r="D14" s="60"/>
      <c r="E14" s="111"/>
      <c r="F14" s="111"/>
      <c r="G14" s="111"/>
      <c r="H14" s="111"/>
      <c r="I14" s="111"/>
      <c r="J14" s="111"/>
      <c r="K14" s="111"/>
      <c r="L14" s="272"/>
      <c r="M14" s="111"/>
      <c r="N14" s="272"/>
      <c r="O14" s="111"/>
      <c r="P14" s="111"/>
      <c r="Q14" s="111"/>
      <c r="R14" s="111"/>
      <c r="S14" s="111"/>
      <c r="T14" s="111"/>
      <c r="U14" s="111"/>
      <c r="V14" s="111"/>
      <c r="W14" s="119"/>
      <c r="X14" s="112"/>
    </row>
    <row r="15" spans="1:24" ht="12.75">
      <c r="A15" s="102" t="s">
        <v>275</v>
      </c>
      <c r="B15" s="60"/>
      <c r="C15" s="60"/>
      <c r="D15" s="60"/>
      <c r="E15" s="111" t="e">
        <f>+E13</f>
        <v>#REF!</v>
      </c>
      <c r="F15" s="111" t="e">
        <f aca="true" t="shared" si="1" ref="F15:V15">+F13</f>
        <v>#REF!</v>
      </c>
      <c r="G15" s="111" t="e">
        <f t="shared" si="1"/>
        <v>#REF!</v>
      </c>
      <c r="H15" s="111" t="e">
        <f t="shared" si="1"/>
        <v>#REF!</v>
      </c>
      <c r="I15" s="111" t="e">
        <f t="shared" si="1"/>
        <v>#REF!</v>
      </c>
      <c r="J15" s="111" t="e">
        <f t="shared" si="1"/>
        <v>#REF!</v>
      </c>
      <c r="K15" s="111" t="e">
        <f t="shared" si="1"/>
        <v>#REF!</v>
      </c>
      <c r="L15" s="272" t="e">
        <f t="shared" si="1"/>
        <v>#REF!</v>
      </c>
      <c r="M15" s="111" t="e">
        <f t="shared" si="1"/>
        <v>#REF!</v>
      </c>
      <c r="N15" s="272" t="e">
        <f t="shared" si="1"/>
        <v>#REF!</v>
      </c>
      <c r="O15" s="111" t="e">
        <f t="shared" si="1"/>
        <v>#REF!</v>
      </c>
      <c r="P15" s="111" t="e">
        <f t="shared" si="1"/>
        <v>#REF!</v>
      </c>
      <c r="Q15" s="111" t="e">
        <f t="shared" si="1"/>
        <v>#REF!</v>
      </c>
      <c r="R15" s="111" t="e">
        <f t="shared" si="1"/>
        <v>#REF!</v>
      </c>
      <c r="S15" s="111" t="e">
        <f t="shared" si="1"/>
        <v>#REF!</v>
      </c>
      <c r="T15" s="111" t="e">
        <f>+T13</f>
        <v>#REF!</v>
      </c>
      <c r="U15" s="111" t="e">
        <f>+U13</f>
        <v>#REF!</v>
      </c>
      <c r="V15" s="111" t="e">
        <f t="shared" si="1"/>
        <v>#REF!</v>
      </c>
      <c r="W15" s="119" t="e">
        <f>SUM(E15:V15)</f>
        <v>#REF!</v>
      </c>
      <c r="X15" s="112"/>
    </row>
    <row r="16" spans="1:24" ht="12.75">
      <c r="A16" s="102"/>
      <c r="B16" s="60"/>
      <c r="C16" s="60"/>
      <c r="D16" s="60"/>
      <c r="E16" s="111"/>
      <c r="F16" s="111"/>
      <c r="G16" s="111"/>
      <c r="H16" s="111"/>
      <c r="I16" s="111"/>
      <c r="J16" s="111"/>
      <c r="K16" s="111"/>
      <c r="L16" s="111"/>
      <c r="M16" s="111"/>
      <c r="N16" s="111"/>
      <c r="O16" s="111"/>
      <c r="P16" s="111"/>
      <c r="Q16" s="111"/>
      <c r="R16" s="111"/>
      <c r="S16" s="111"/>
      <c r="T16" s="111"/>
      <c r="U16" s="111"/>
      <c r="V16" s="111"/>
      <c r="W16" s="119"/>
      <c r="X16" s="112"/>
    </row>
    <row r="17" spans="1:24" ht="13.5" thickBot="1">
      <c r="A17" s="108" t="s">
        <v>107</v>
      </c>
      <c r="B17" s="60"/>
      <c r="C17" s="60"/>
      <c r="D17" s="60"/>
      <c r="E17" s="120" t="e">
        <f>E13-E15</f>
        <v>#REF!</v>
      </c>
      <c r="F17" s="120" t="e">
        <f aca="true" t="shared" si="2" ref="F17:V17">F13-F15</f>
        <v>#REF!</v>
      </c>
      <c r="G17" s="120" t="e">
        <f t="shared" si="2"/>
        <v>#REF!</v>
      </c>
      <c r="H17" s="120" t="e">
        <f>-H15-H16+H13</f>
        <v>#REF!</v>
      </c>
      <c r="I17" s="120" t="e">
        <f t="shared" si="2"/>
        <v>#REF!</v>
      </c>
      <c r="J17" s="120" t="e">
        <f t="shared" si="2"/>
        <v>#REF!</v>
      </c>
      <c r="K17" s="120" t="e">
        <f t="shared" si="2"/>
        <v>#REF!</v>
      </c>
      <c r="L17" s="120" t="e">
        <f t="shared" si="2"/>
        <v>#REF!</v>
      </c>
      <c r="M17" s="120" t="e">
        <f t="shared" si="2"/>
        <v>#REF!</v>
      </c>
      <c r="N17" s="120" t="e">
        <f t="shared" si="2"/>
        <v>#REF!</v>
      </c>
      <c r="O17" s="120" t="e">
        <f t="shared" si="2"/>
        <v>#REF!</v>
      </c>
      <c r="P17" s="120" t="e">
        <f t="shared" si="2"/>
        <v>#REF!</v>
      </c>
      <c r="Q17" s="120" t="e">
        <f t="shared" si="2"/>
        <v>#REF!</v>
      </c>
      <c r="R17" s="120" t="e">
        <f t="shared" si="2"/>
        <v>#REF!</v>
      </c>
      <c r="S17" s="120" t="e">
        <f t="shared" si="2"/>
        <v>#REF!</v>
      </c>
      <c r="T17" s="120" t="e">
        <f>T13-T15</f>
        <v>#REF!</v>
      </c>
      <c r="U17" s="120" t="e">
        <f>U13-U15</f>
        <v>#REF!</v>
      </c>
      <c r="V17" s="120" t="e">
        <f t="shared" si="2"/>
        <v>#REF!</v>
      </c>
      <c r="W17" s="139" t="e">
        <f>W15+W16-W13</f>
        <v>#REF!</v>
      </c>
      <c r="X17" s="112"/>
    </row>
    <row r="18" spans="1:24" ht="14.25" customHeight="1" hidden="1" thickBot="1" thickTop="1">
      <c r="A18" s="121"/>
      <c r="B18" s="122"/>
      <c r="C18" s="122"/>
      <c r="D18" s="122"/>
      <c r="E18" s="123"/>
      <c r="F18" s="123"/>
      <c r="G18" s="123"/>
      <c r="H18" s="123" t="e">
        <f>+H17*H7/100</f>
        <v>#REF!</v>
      </c>
      <c r="I18" s="123"/>
      <c r="J18" s="123"/>
      <c r="K18" s="123"/>
      <c r="L18" s="123"/>
      <c r="M18" s="123" t="e">
        <f>+M17*M7/100</f>
        <v>#REF!</v>
      </c>
      <c r="N18" s="123" t="e">
        <f>+N17*N7/100</f>
        <v>#REF!</v>
      </c>
      <c r="O18" s="123"/>
      <c r="P18" s="123"/>
      <c r="Q18" s="123"/>
      <c r="R18" s="123"/>
      <c r="S18" s="123"/>
      <c r="T18" s="123"/>
      <c r="U18" s="123"/>
      <c r="V18" s="123" t="e">
        <f>+V17*V7/100</f>
        <v>#REF!</v>
      </c>
      <c r="W18" s="124" t="e">
        <f>SUM(E18:V18)</f>
        <v>#REF!</v>
      </c>
      <c r="X18" s="112" t="e">
        <f>W18-X57</f>
        <v>#REF!</v>
      </c>
    </row>
    <row r="19" spans="1:24" ht="14.25" thickBot="1" thickTop="1">
      <c r="A19" s="108"/>
      <c r="B19" s="60"/>
      <c r="C19" s="60"/>
      <c r="D19" s="60"/>
      <c r="E19" s="114"/>
      <c r="F19" s="114"/>
      <c r="G19" s="114"/>
      <c r="H19" s="114"/>
      <c r="I19" s="114"/>
      <c r="J19" s="114"/>
      <c r="K19" s="114"/>
      <c r="L19" s="114"/>
      <c r="M19" s="114"/>
      <c r="N19" s="114"/>
      <c r="O19" s="114"/>
      <c r="P19" s="114"/>
      <c r="Q19" s="114"/>
      <c r="R19" s="114"/>
      <c r="S19" s="114"/>
      <c r="T19" s="114"/>
      <c r="U19" s="114"/>
      <c r="V19" s="114"/>
      <c r="W19" s="117"/>
      <c r="X19" s="125"/>
    </row>
    <row r="20" spans="1:24" ht="12.75">
      <c r="A20" s="115"/>
      <c r="B20" s="116"/>
      <c r="C20" s="116"/>
      <c r="D20" s="116"/>
      <c r="E20" s="117"/>
      <c r="F20" s="117"/>
      <c r="G20" s="117"/>
      <c r="H20" s="117"/>
      <c r="I20" s="117"/>
      <c r="J20" s="117"/>
      <c r="K20" s="117"/>
      <c r="L20" s="117"/>
      <c r="M20" s="117"/>
      <c r="N20" s="117"/>
      <c r="O20" s="117"/>
      <c r="P20" s="117"/>
      <c r="Q20" s="117"/>
      <c r="R20" s="117"/>
      <c r="S20" s="117"/>
      <c r="T20" s="117"/>
      <c r="U20" s="117"/>
      <c r="V20" s="117"/>
      <c r="W20" s="117"/>
      <c r="X20" s="112"/>
    </row>
    <row r="21" spans="1:24" ht="12.75">
      <c r="A21" s="108"/>
      <c r="B21" s="60"/>
      <c r="C21" s="60"/>
      <c r="D21" s="60"/>
      <c r="E21" s="111"/>
      <c r="F21" s="111"/>
      <c r="G21" s="111"/>
      <c r="H21" s="111"/>
      <c r="I21" s="111"/>
      <c r="J21" s="111"/>
      <c r="K21" s="111"/>
      <c r="L21" s="111"/>
      <c r="M21" s="111"/>
      <c r="N21" s="111"/>
      <c r="O21" s="111"/>
      <c r="P21" s="111"/>
      <c r="Q21" s="111"/>
      <c r="R21" s="111"/>
      <c r="S21" s="111"/>
      <c r="T21" s="111"/>
      <c r="U21" s="111"/>
      <c r="V21" s="111"/>
      <c r="W21" s="111"/>
      <c r="X21" s="112"/>
    </row>
    <row r="22" spans="1:24" ht="12.75">
      <c r="A22" s="108" t="s">
        <v>276</v>
      </c>
      <c r="B22" s="60"/>
      <c r="C22" s="60"/>
      <c r="D22" s="60"/>
      <c r="E22" s="111" t="e">
        <f aca="true" t="shared" si="3" ref="E22:J22">E10*E7/100</f>
        <v>#REF!</v>
      </c>
      <c r="F22" s="111" t="e">
        <f t="shared" si="3"/>
        <v>#REF!</v>
      </c>
      <c r="G22" s="111" t="e">
        <f t="shared" si="3"/>
        <v>#REF!</v>
      </c>
      <c r="H22" s="111" t="e">
        <f>H10*H7/100</f>
        <v>#REF!</v>
      </c>
      <c r="I22" s="111" t="e">
        <f t="shared" si="3"/>
        <v>#REF!</v>
      </c>
      <c r="J22" s="111" t="e">
        <f t="shared" si="3"/>
        <v>#REF!</v>
      </c>
      <c r="K22" s="111" t="e">
        <f>K10*K7/100+2000</f>
        <v>#REF!</v>
      </c>
      <c r="L22" s="111" t="e">
        <f aca="true" t="shared" si="4" ref="L22:U22">L10*L7/100</f>
        <v>#REF!</v>
      </c>
      <c r="M22" s="111" t="e">
        <f t="shared" si="4"/>
        <v>#REF!</v>
      </c>
      <c r="N22" s="111" t="e">
        <f>N10*N7/100</f>
        <v>#REF!</v>
      </c>
      <c r="O22" s="111" t="e">
        <f t="shared" si="4"/>
        <v>#REF!</v>
      </c>
      <c r="P22" s="111" t="e">
        <f t="shared" si="4"/>
        <v>#REF!</v>
      </c>
      <c r="Q22" s="111" t="e">
        <f t="shared" si="4"/>
        <v>#REF!</v>
      </c>
      <c r="R22" s="111" t="e">
        <f t="shared" si="4"/>
        <v>#REF!</v>
      </c>
      <c r="S22" s="111" t="e">
        <f t="shared" si="4"/>
        <v>#REF!</v>
      </c>
      <c r="T22" s="111" t="e">
        <f t="shared" si="4"/>
        <v>#REF!</v>
      </c>
      <c r="U22" s="111" t="e">
        <f t="shared" si="4"/>
        <v>#REF!</v>
      </c>
      <c r="V22" s="111" t="e">
        <f>V10*V7/100</f>
        <v>#REF!</v>
      </c>
      <c r="W22" s="111" t="e">
        <f>SUM(E22:V22)</f>
        <v>#REF!</v>
      </c>
      <c r="X22" s="112" t="e">
        <f>W22/1000</f>
        <v>#REF!</v>
      </c>
    </row>
    <row r="23" spans="1:24" ht="13.5" thickBot="1">
      <c r="A23" s="108"/>
      <c r="B23" s="60"/>
      <c r="C23" s="60"/>
      <c r="D23" s="60"/>
      <c r="E23" s="111"/>
      <c r="F23" s="111"/>
      <c r="G23" s="111"/>
      <c r="H23" s="111"/>
      <c r="I23" s="111"/>
      <c r="J23" s="111"/>
      <c r="K23" s="111"/>
      <c r="L23" s="111"/>
      <c r="M23" s="111"/>
      <c r="N23" s="111"/>
      <c r="O23" s="111"/>
      <c r="P23" s="111"/>
      <c r="Q23" s="111"/>
      <c r="R23" s="111"/>
      <c r="S23" s="111"/>
      <c r="T23" s="111"/>
      <c r="U23" s="111"/>
      <c r="V23" s="111"/>
      <c r="W23" s="111"/>
      <c r="X23" s="112"/>
    </row>
    <row r="24" spans="1:25" ht="12.75">
      <c r="A24" s="108"/>
      <c r="B24" s="60"/>
      <c r="C24" s="60"/>
      <c r="D24" s="60"/>
      <c r="E24" s="111"/>
      <c r="F24" s="111"/>
      <c r="G24" s="111"/>
      <c r="H24" s="111"/>
      <c r="I24" s="111"/>
      <c r="J24" s="111"/>
      <c r="K24" s="111"/>
      <c r="L24" s="111"/>
      <c r="M24" s="111"/>
      <c r="N24" s="111"/>
      <c r="O24" s="111"/>
      <c r="P24" s="2"/>
      <c r="Q24" s="2"/>
      <c r="R24" s="60" t="s">
        <v>277</v>
      </c>
      <c r="S24" s="60" t="s">
        <v>278</v>
      </c>
      <c r="T24" s="60"/>
      <c r="U24" s="60"/>
      <c r="V24" s="60"/>
      <c r="W24" s="111"/>
      <c r="X24" s="271" t="e">
        <f>-#REF!/1000</f>
        <v>#REF!</v>
      </c>
      <c r="Y24" s="3"/>
    </row>
    <row r="25" spans="1:25" ht="12.75">
      <c r="A25" s="108"/>
      <c r="B25" s="60"/>
      <c r="C25" s="60"/>
      <c r="D25" s="60"/>
      <c r="E25" s="111"/>
      <c r="F25" s="111"/>
      <c r="G25" s="111"/>
      <c r="H25" s="111"/>
      <c r="I25" s="111"/>
      <c r="J25" s="111"/>
      <c r="K25" s="111"/>
      <c r="L25" s="111"/>
      <c r="M25" s="111"/>
      <c r="N25" s="111"/>
      <c r="O25" s="111"/>
      <c r="P25" s="2"/>
      <c r="Q25" s="2"/>
      <c r="R25" s="60" t="s">
        <v>279</v>
      </c>
      <c r="S25" s="60" t="s">
        <v>288</v>
      </c>
      <c r="T25" s="60"/>
      <c r="U25" s="60"/>
      <c r="V25" s="60"/>
      <c r="W25" s="111"/>
      <c r="X25" s="270" t="e">
        <f>-#REF!/1000-#REF!/1000-9-#REF!/1000</f>
        <v>#REF!</v>
      </c>
      <c r="Y25" s="3"/>
    </row>
    <row r="26" spans="1:25" ht="12.75">
      <c r="A26" s="108"/>
      <c r="E26" s="2"/>
      <c r="F26" s="111"/>
      <c r="G26" s="111"/>
      <c r="H26" s="111"/>
      <c r="I26" s="111"/>
      <c r="J26" s="111"/>
      <c r="K26" s="111"/>
      <c r="L26" s="111"/>
      <c r="M26" s="111"/>
      <c r="N26" s="111"/>
      <c r="O26" s="111"/>
      <c r="P26" s="2"/>
      <c r="Q26" s="2"/>
      <c r="R26" s="60" t="s">
        <v>285</v>
      </c>
      <c r="S26" s="60" t="s">
        <v>280</v>
      </c>
      <c r="T26" s="60"/>
      <c r="U26" s="60"/>
      <c r="V26" s="60"/>
      <c r="W26" s="111"/>
      <c r="X26" s="270" t="e">
        <f>-#REF!/1000</f>
        <v>#REF!</v>
      </c>
      <c r="Y26" s="3"/>
    </row>
    <row r="27" spans="1:25" ht="12.75">
      <c r="A27" s="108"/>
      <c r="E27" s="2"/>
      <c r="F27" s="111"/>
      <c r="G27" s="111"/>
      <c r="H27" s="111"/>
      <c r="I27" s="111"/>
      <c r="J27" s="111"/>
      <c r="K27" s="111"/>
      <c r="L27" s="111"/>
      <c r="M27" s="111"/>
      <c r="N27" s="111"/>
      <c r="O27" s="111"/>
      <c r="P27" s="2"/>
      <c r="Q27" s="2"/>
      <c r="R27" s="111" t="s">
        <v>752</v>
      </c>
      <c r="S27" s="111" t="s">
        <v>243</v>
      </c>
      <c r="T27" s="111"/>
      <c r="U27" s="111"/>
      <c r="V27" s="60"/>
      <c r="W27" s="111"/>
      <c r="X27" s="270" t="e">
        <f>+#REF!/1000</f>
        <v>#REF!</v>
      </c>
      <c r="Y27" s="3"/>
    </row>
    <row r="28" spans="1:25" ht="12.75">
      <c r="A28" s="108"/>
      <c r="E28" s="2"/>
      <c r="F28" s="111"/>
      <c r="G28" s="111"/>
      <c r="H28" s="111"/>
      <c r="I28" s="111"/>
      <c r="J28" s="111"/>
      <c r="K28" s="111"/>
      <c r="L28" s="111"/>
      <c r="M28" s="111"/>
      <c r="N28" s="111"/>
      <c r="O28" s="111"/>
      <c r="P28" s="2"/>
      <c r="Q28" s="111"/>
      <c r="R28" s="111" t="s">
        <v>242</v>
      </c>
      <c r="S28" s="111" t="s">
        <v>244</v>
      </c>
      <c r="T28" s="111"/>
      <c r="U28" s="111"/>
      <c r="V28" s="60"/>
      <c r="W28" s="111"/>
      <c r="X28" s="270" t="e">
        <f>+#REF!/1000</f>
        <v>#REF!</v>
      </c>
      <c r="Y28" s="45"/>
    </row>
    <row r="29" spans="1:25" ht="12.75">
      <c r="A29" s="108"/>
      <c r="E29" s="2"/>
      <c r="F29" s="111"/>
      <c r="G29" s="111"/>
      <c r="H29" s="111"/>
      <c r="I29" s="111"/>
      <c r="J29" s="111"/>
      <c r="K29" s="111"/>
      <c r="L29" s="111"/>
      <c r="M29" s="111"/>
      <c r="N29" s="111"/>
      <c r="O29" s="111"/>
      <c r="P29" s="2"/>
      <c r="Q29" s="111"/>
      <c r="R29" s="111" t="s">
        <v>604</v>
      </c>
      <c r="S29" s="111" t="s">
        <v>646</v>
      </c>
      <c r="T29" s="111"/>
      <c r="U29" s="111"/>
      <c r="V29" s="60"/>
      <c r="W29" s="111"/>
      <c r="X29" s="270" t="e">
        <f>-#REF!/1000</f>
        <v>#REF!</v>
      </c>
      <c r="Y29" s="45"/>
    </row>
    <row r="30" spans="1:25" ht="12.75">
      <c r="A30" s="108"/>
      <c r="E30" s="2"/>
      <c r="F30" s="111"/>
      <c r="G30" s="111"/>
      <c r="H30" s="111"/>
      <c r="I30" s="111"/>
      <c r="J30" s="111"/>
      <c r="K30" s="111"/>
      <c r="L30" s="111"/>
      <c r="M30" s="111"/>
      <c r="N30" s="111"/>
      <c r="O30" s="111"/>
      <c r="P30" s="2"/>
      <c r="Q30" s="111"/>
      <c r="R30" s="111" t="s">
        <v>605</v>
      </c>
      <c r="S30" s="111" t="s">
        <v>813</v>
      </c>
      <c r="T30" s="111"/>
      <c r="U30" s="111"/>
      <c r="V30" s="60"/>
      <c r="W30" s="111"/>
      <c r="X30" s="270" t="e">
        <f>-#REF!/1000-#REF!/1000</f>
        <v>#REF!</v>
      </c>
      <c r="Y30" s="45"/>
    </row>
    <row r="31" spans="1:25" ht="12.75">
      <c r="A31" s="108"/>
      <c r="E31" s="2"/>
      <c r="F31" s="111"/>
      <c r="G31" s="111"/>
      <c r="H31" s="111"/>
      <c r="I31" s="111"/>
      <c r="J31" s="111"/>
      <c r="K31" s="111"/>
      <c r="L31" s="111"/>
      <c r="M31" s="111"/>
      <c r="N31" s="111"/>
      <c r="O31" s="111"/>
      <c r="P31" s="2"/>
      <c r="Q31" s="111"/>
      <c r="R31" s="111" t="s">
        <v>625</v>
      </c>
      <c r="S31" s="111" t="s">
        <v>314</v>
      </c>
      <c r="T31" s="111"/>
      <c r="U31" s="111"/>
      <c r="V31" s="60"/>
      <c r="W31" s="111"/>
      <c r="X31" s="270" t="e">
        <f>+#REF!/1000</f>
        <v>#REF!</v>
      </c>
      <c r="Y31" s="45"/>
    </row>
    <row r="32" spans="1:25" ht="12.75">
      <c r="A32" s="108"/>
      <c r="E32" s="2"/>
      <c r="F32" s="111"/>
      <c r="G32" s="111"/>
      <c r="H32" s="111"/>
      <c r="I32" s="111"/>
      <c r="J32" s="111"/>
      <c r="K32" s="111"/>
      <c r="L32" s="111"/>
      <c r="M32" s="111"/>
      <c r="N32" s="111"/>
      <c r="O32" s="111"/>
      <c r="P32" s="2"/>
      <c r="Q32" s="111"/>
      <c r="R32" s="111" t="s">
        <v>212</v>
      </c>
      <c r="S32" s="111" t="s">
        <v>513</v>
      </c>
      <c r="T32" s="98"/>
      <c r="U32" s="98"/>
      <c r="V32" s="60"/>
      <c r="W32" s="111"/>
      <c r="X32" s="270" t="e">
        <f>+#REF!</f>
        <v>#REF!</v>
      </c>
      <c r="Y32" s="45"/>
    </row>
    <row r="33" spans="1:25" ht="12.75">
      <c r="A33" s="108"/>
      <c r="E33" s="2"/>
      <c r="F33" s="111"/>
      <c r="G33" s="111"/>
      <c r="H33" s="111"/>
      <c r="I33" s="111"/>
      <c r="J33" s="111"/>
      <c r="K33" s="111"/>
      <c r="L33" s="111"/>
      <c r="M33" s="111"/>
      <c r="N33" s="111"/>
      <c r="O33" s="111"/>
      <c r="P33" s="2"/>
      <c r="Q33" s="111"/>
      <c r="R33" s="111" t="s">
        <v>653</v>
      </c>
      <c r="S33" s="111" t="s">
        <v>335</v>
      </c>
      <c r="T33" s="98"/>
      <c r="U33" s="98"/>
      <c r="V33" s="60"/>
      <c r="W33" s="111"/>
      <c r="X33" s="270" t="e">
        <f>+#REF!/1000</f>
        <v>#REF!</v>
      </c>
      <c r="Y33" s="45"/>
    </row>
    <row r="34" spans="1:25" ht="12.75">
      <c r="A34" s="108"/>
      <c r="E34" s="2"/>
      <c r="F34" s="111"/>
      <c r="G34" s="111"/>
      <c r="H34" s="111"/>
      <c r="I34" s="111"/>
      <c r="J34" s="111"/>
      <c r="K34" s="111"/>
      <c r="L34" s="111"/>
      <c r="M34" s="111"/>
      <c r="N34" s="111"/>
      <c r="O34" s="111"/>
      <c r="P34" s="2"/>
      <c r="Q34" s="111"/>
      <c r="R34" s="111" t="s">
        <v>144</v>
      </c>
      <c r="S34" s="111" t="s">
        <v>143</v>
      </c>
      <c r="T34" s="98"/>
      <c r="U34" s="98"/>
      <c r="V34" s="60"/>
      <c r="W34" s="111"/>
      <c r="X34" s="270" t="e">
        <f>-#REF!/1000-#REF!/1000-#REF!/1000</f>
        <v>#REF!</v>
      </c>
      <c r="Y34" s="45"/>
    </row>
    <row r="35" spans="1:25" ht="13.5" thickBot="1">
      <c r="A35" s="108"/>
      <c r="E35" s="2"/>
      <c r="F35" s="111"/>
      <c r="G35" s="111"/>
      <c r="H35" s="111"/>
      <c r="I35" s="111"/>
      <c r="J35" s="111"/>
      <c r="K35" s="111"/>
      <c r="L35" s="111"/>
      <c r="M35" s="111"/>
      <c r="N35" s="111"/>
      <c r="O35" s="111"/>
      <c r="P35" s="2"/>
      <c r="Q35" s="111"/>
      <c r="R35" s="2" t="s">
        <v>108</v>
      </c>
      <c r="S35" s="2" t="s">
        <v>109</v>
      </c>
      <c r="T35" s="98"/>
      <c r="U35" s="98"/>
      <c r="V35" s="60"/>
      <c r="W35" s="111"/>
      <c r="X35" s="313" t="e">
        <f>#REF!/1000</f>
        <v>#REF!</v>
      </c>
      <c r="Y35" s="45"/>
    </row>
    <row r="36" spans="1:25" ht="12.75">
      <c r="A36" s="108"/>
      <c r="E36" s="2"/>
      <c r="F36" s="111"/>
      <c r="G36" s="111"/>
      <c r="H36" s="111"/>
      <c r="I36" s="111"/>
      <c r="J36" s="111"/>
      <c r="K36" s="111"/>
      <c r="L36" s="111"/>
      <c r="M36" s="111"/>
      <c r="N36" s="111"/>
      <c r="O36" s="111"/>
      <c r="P36" s="111"/>
      <c r="Q36" s="126"/>
      <c r="R36" s="126"/>
      <c r="S36" s="126"/>
      <c r="T36" s="126"/>
      <c r="U36" s="126"/>
      <c r="V36" s="111"/>
      <c r="W36" s="111"/>
      <c r="X36" s="112"/>
      <c r="Y36" s="3"/>
    </row>
    <row r="37" spans="1:25" ht="12.75">
      <c r="A37" s="108"/>
      <c r="E37" s="2"/>
      <c r="F37" s="111"/>
      <c r="G37" s="111"/>
      <c r="H37" s="111"/>
      <c r="I37" s="111"/>
      <c r="J37" s="111"/>
      <c r="K37" s="111"/>
      <c r="L37" s="111"/>
      <c r="M37" s="111"/>
      <c r="N37" s="111"/>
      <c r="O37" s="111"/>
      <c r="P37" s="111"/>
      <c r="Q37" s="111"/>
      <c r="R37" s="111"/>
      <c r="S37" s="111"/>
      <c r="T37" s="111"/>
      <c r="U37" s="111"/>
      <c r="V37" s="111"/>
      <c r="W37" s="111"/>
      <c r="X37" s="127" t="e">
        <f>SUM(X24:X36)</f>
        <v>#REF!</v>
      </c>
      <c r="Y37" s="3"/>
    </row>
    <row r="38" spans="1:25" ht="12.75">
      <c r="A38" s="108"/>
      <c r="E38" s="2"/>
      <c r="F38" s="111"/>
      <c r="G38" s="111"/>
      <c r="H38" s="111"/>
      <c r="I38" s="111"/>
      <c r="J38" s="111"/>
      <c r="K38" s="111"/>
      <c r="L38" s="111"/>
      <c r="M38" s="111"/>
      <c r="N38" s="111"/>
      <c r="O38" s="111"/>
      <c r="P38" s="111"/>
      <c r="Q38" s="111"/>
      <c r="R38" s="111"/>
      <c r="S38" s="111"/>
      <c r="T38" s="111"/>
      <c r="U38" s="111"/>
      <c r="V38" s="111"/>
      <c r="W38" s="111"/>
      <c r="X38" s="128"/>
      <c r="Y38" s="3"/>
    </row>
    <row r="39" spans="1:24" ht="12.75">
      <c r="A39" s="108"/>
      <c r="E39" s="2"/>
      <c r="F39" s="111"/>
      <c r="G39" s="111"/>
      <c r="H39" s="111"/>
      <c r="I39" s="111"/>
      <c r="J39" s="111"/>
      <c r="K39" s="111"/>
      <c r="L39" s="111"/>
      <c r="M39" s="111"/>
      <c r="N39" s="111"/>
      <c r="O39" s="111"/>
      <c r="P39" s="111"/>
      <c r="Q39" s="111"/>
      <c r="R39" s="111"/>
      <c r="S39" s="111"/>
      <c r="T39" s="111"/>
      <c r="U39" s="111"/>
      <c r="V39" s="111"/>
      <c r="W39" s="111"/>
      <c r="X39" s="129" t="e">
        <f>X37+X22</f>
        <v>#REF!</v>
      </c>
    </row>
    <row r="40" spans="1:24" ht="12.75">
      <c r="A40" s="102"/>
      <c r="E40" s="2"/>
      <c r="F40" s="111"/>
      <c r="G40" s="111"/>
      <c r="H40" s="111"/>
      <c r="I40" s="111"/>
      <c r="J40" s="111"/>
      <c r="K40" s="111"/>
      <c r="L40" s="111"/>
      <c r="M40" s="111"/>
      <c r="N40" s="111"/>
      <c r="O40" s="111"/>
      <c r="P40" s="111"/>
      <c r="Q40" s="111"/>
      <c r="R40" s="111"/>
      <c r="S40" s="111"/>
      <c r="T40" s="111"/>
      <c r="U40" s="111"/>
      <c r="V40" s="111"/>
      <c r="W40" s="111"/>
      <c r="X40" s="112"/>
    </row>
    <row r="41" spans="1:24" ht="12.75">
      <c r="A41" s="102"/>
      <c r="E41" s="2"/>
      <c r="F41" s="111"/>
      <c r="G41" s="111"/>
      <c r="H41" s="111"/>
      <c r="I41" s="111"/>
      <c r="J41" s="111"/>
      <c r="K41" s="111"/>
      <c r="L41" s="111"/>
      <c r="M41" s="111"/>
      <c r="N41" s="111"/>
      <c r="O41" s="111"/>
      <c r="P41" s="111"/>
      <c r="Q41" s="111"/>
      <c r="R41" s="111"/>
      <c r="S41" s="111"/>
      <c r="T41" s="111"/>
      <c r="U41" s="111"/>
      <c r="V41" s="111" t="s">
        <v>286</v>
      </c>
      <c r="W41" s="111"/>
      <c r="X41" s="112"/>
    </row>
    <row r="42" spans="1:24" ht="12.75">
      <c r="A42" s="102"/>
      <c r="E42" s="2"/>
      <c r="F42" s="111"/>
      <c r="G42" s="111"/>
      <c r="H42" s="111"/>
      <c r="I42" s="111"/>
      <c r="J42" s="111"/>
      <c r="K42" s="111"/>
      <c r="L42" s="111"/>
      <c r="M42" s="111"/>
      <c r="N42" s="111"/>
      <c r="O42" s="111"/>
      <c r="P42" s="111"/>
      <c r="Q42" s="111"/>
      <c r="R42" s="111"/>
      <c r="S42" s="111"/>
      <c r="T42" s="111"/>
      <c r="U42" s="111"/>
      <c r="V42" s="111" t="s">
        <v>281</v>
      </c>
      <c r="W42" s="111"/>
      <c r="X42" s="130">
        <v>0</v>
      </c>
    </row>
    <row r="43" spans="1:24" ht="13.5" thickBot="1">
      <c r="A43" s="102"/>
      <c r="E43" s="2"/>
      <c r="F43" s="111"/>
      <c r="G43" s="111"/>
      <c r="H43" s="111"/>
      <c r="I43" s="111"/>
      <c r="J43" s="111"/>
      <c r="K43" s="111"/>
      <c r="L43" s="111"/>
      <c r="M43" s="111"/>
      <c r="N43" s="111"/>
      <c r="O43" s="111"/>
      <c r="P43" s="111"/>
      <c r="Q43" s="111"/>
      <c r="R43" s="111"/>
      <c r="S43" s="111"/>
      <c r="T43" s="111"/>
      <c r="U43" s="111"/>
      <c r="V43" s="111" t="s">
        <v>749</v>
      </c>
      <c r="W43" s="111"/>
      <c r="X43" s="131" t="e">
        <f>-#REF!/1000-#REF!/1000-#REF!/1000</f>
        <v>#REF!</v>
      </c>
    </row>
    <row r="44" spans="1:24" ht="12.75">
      <c r="A44" s="102"/>
      <c r="E44" s="2"/>
      <c r="F44" s="111"/>
      <c r="G44" s="111"/>
      <c r="H44" s="111"/>
      <c r="I44" s="111"/>
      <c r="J44" s="111"/>
      <c r="K44" s="111"/>
      <c r="L44" s="111"/>
      <c r="M44" s="111"/>
      <c r="N44" s="111"/>
      <c r="O44" s="111"/>
      <c r="P44" s="111"/>
      <c r="Q44" s="111"/>
      <c r="R44" s="111"/>
      <c r="S44" s="111"/>
      <c r="T44" s="111"/>
      <c r="U44" s="111"/>
      <c r="V44" s="111"/>
      <c r="W44" s="111"/>
      <c r="X44" s="112" t="e">
        <f>SUM(X42:X43)</f>
        <v>#REF!</v>
      </c>
    </row>
    <row r="45" spans="1:24" ht="12.75">
      <c r="A45" s="102"/>
      <c r="B45" s="103"/>
      <c r="C45" s="103"/>
      <c r="D45" s="103"/>
      <c r="E45" s="111"/>
      <c r="F45" s="111"/>
      <c r="G45" s="111"/>
      <c r="H45" s="111"/>
      <c r="I45" s="103"/>
      <c r="J45" s="60"/>
      <c r="K45" s="60"/>
      <c r="L45" s="60"/>
      <c r="M45" s="60"/>
      <c r="N45" s="60"/>
      <c r="O45" s="111"/>
      <c r="P45" s="2"/>
      <c r="Q45" s="111"/>
      <c r="R45" s="111"/>
      <c r="S45" s="111"/>
      <c r="T45" s="111"/>
      <c r="U45" s="111"/>
      <c r="V45" s="111"/>
      <c r="W45" s="111"/>
      <c r="X45" s="128"/>
    </row>
    <row r="46" spans="1:24" ht="12.75">
      <c r="A46" s="102"/>
      <c r="B46" s="103"/>
      <c r="C46" s="103"/>
      <c r="D46" s="103"/>
      <c r="E46" s="111"/>
      <c r="F46" s="111"/>
      <c r="G46" s="111"/>
      <c r="H46" s="111"/>
      <c r="I46" s="60"/>
      <c r="J46" s="60"/>
      <c r="K46" s="60"/>
      <c r="L46" s="60"/>
      <c r="M46" s="60"/>
      <c r="N46" s="60"/>
      <c r="O46" s="111"/>
      <c r="P46" s="2"/>
      <c r="Q46" s="111"/>
      <c r="R46" s="111"/>
      <c r="S46" s="111"/>
      <c r="T46" s="111"/>
      <c r="U46" s="111"/>
      <c r="V46" s="111" t="s">
        <v>790</v>
      </c>
      <c r="W46" s="111"/>
      <c r="X46" s="112" t="e">
        <f>X44+X39</f>
        <v>#REF!</v>
      </c>
    </row>
    <row r="47" spans="1:24" ht="12.75">
      <c r="A47" s="102"/>
      <c r="B47" s="103"/>
      <c r="C47" s="103"/>
      <c r="D47" s="103"/>
      <c r="E47" s="111"/>
      <c r="F47" s="111"/>
      <c r="G47" s="111"/>
      <c r="H47" s="111"/>
      <c r="I47" s="60"/>
      <c r="J47" s="60"/>
      <c r="K47" s="60"/>
      <c r="L47" s="60"/>
      <c r="M47" s="60"/>
      <c r="N47" s="111"/>
      <c r="O47" s="111"/>
      <c r="P47" s="2"/>
      <c r="Q47" s="111"/>
      <c r="R47" s="111"/>
      <c r="S47" s="111"/>
      <c r="T47" s="111"/>
      <c r="U47" s="111"/>
      <c r="V47" s="111"/>
      <c r="W47" s="111"/>
      <c r="X47" s="112"/>
    </row>
    <row r="48" spans="1:24" ht="12.75">
      <c r="A48" s="102"/>
      <c r="B48" s="103"/>
      <c r="C48" s="103"/>
      <c r="D48" s="103"/>
      <c r="E48" s="111"/>
      <c r="F48" s="111"/>
      <c r="G48" s="111"/>
      <c r="H48" s="111"/>
      <c r="I48" s="60"/>
      <c r="J48" s="60"/>
      <c r="K48" s="60"/>
      <c r="L48" s="60"/>
      <c r="M48" s="60"/>
      <c r="N48" s="111"/>
      <c r="O48" s="111"/>
      <c r="P48" s="2"/>
      <c r="Q48" s="111"/>
      <c r="R48" s="111"/>
      <c r="S48" s="111"/>
      <c r="T48" s="111"/>
      <c r="U48" s="111"/>
      <c r="V48" s="111"/>
      <c r="W48" s="111"/>
      <c r="X48" s="112"/>
    </row>
    <row r="49" spans="1:25" ht="12.75">
      <c r="A49" s="102"/>
      <c r="B49" s="103"/>
      <c r="C49" s="103"/>
      <c r="D49" s="103"/>
      <c r="E49" s="111"/>
      <c r="F49" s="111"/>
      <c r="G49" s="111"/>
      <c r="H49" s="111"/>
      <c r="I49" s="60"/>
      <c r="J49" s="60"/>
      <c r="K49" s="60"/>
      <c r="L49" s="60"/>
      <c r="M49" s="60"/>
      <c r="N49" s="111"/>
      <c r="O49" s="111"/>
      <c r="P49" s="2"/>
      <c r="Q49" s="111"/>
      <c r="R49" s="111"/>
      <c r="S49" s="111"/>
      <c r="T49" s="111"/>
      <c r="U49" s="111"/>
      <c r="V49" s="111" t="s">
        <v>198</v>
      </c>
      <c r="W49" s="111"/>
      <c r="X49" s="112" t="e">
        <f>-#REF!-#REF!</f>
        <v>#REF!</v>
      </c>
      <c r="Y49" s="132"/>
    </row>
    <row r="50" spans="1:25" ht="12.75">
      <c r="A50" s="102"/>
      <c r="B50" s="103"/>
      <c r="C50" s="103"/>
      <c r="D50" s="103"/>
      <c r="E50" s="111"/>
      <c r="F50" s="111"/>
      <c r="G50" s="111"/>
      <c r="H50" s="111"/>
      <c r="I50" s="60"/>
      <c r="J50" s="60"/>
      <c r="K50" s="60"/>
      <c r="L50" s="60"/>
      <c r="M50" s="60"/>
      <c r="N50" s="111"/>
      <c r="O50" s="111"/>
      <c r="P50" s="2"/>
      <c r="Q50" s="111"/>
      <c r="R50" s="111"/>
      <c r="S50" s="111"/>
      <c r="T50" s="111"/>
      <c r="U50" s="111"/>
      <c r="V50" s="111"/>
      <c r="W50" s="111"/>
      <c r="X50" s="133" t="e">
        <f>SUM(X46:X49)</f>
        <v>#REF!</v>
      </c>
      <c r="Y50" s="132"/>
    </row>
    <row r="51" spans="1:24" ht="12.75">
      <c r="A51" s="102"/>
      <c r="B51" s="103"/>
      <c r="C51" s="103"/>
      <c r="D51" s="103"/>
      <c r="E51" s="111"/>
      <c r="F51" s="111"/>
      <c r="G51" s="111"/>
      <c r="H51" s="111"/>
      <c r="I51" s="60"/>
      <c r="J51" s="60"/>
      <c r="K51" s="60"/>
      <c r="L51" s="60"/>
      <c r="M51" s="60"/>
      <c r="N51" s="111"/>
      <c r="O51" s="111"/>
      <c r="P51" s="2"/>
      <c r="Q51" s="111"/>
      <c r="R51" s="111"/>
      <c r="S51" s="111"/>
      <c r="T51" s="111"/>
      <c r="U51" s="111"/>
      <c r="V51" s="111"/>
      <c r="W51" s="111"/>
      <c r="X51" s="112"/>
    </row>
    <row r="52" spans="1:24" ht="12.75">
      <c r="A52" s="102"/>
      <c r="B52" s="103"/>
      <c r="C52" s="103"/>
      <c r="D52" s="103"/>
      <c r="E52" s="111"/>
      <c r="F52" s="111"/>
      <c r="G52" s="111"/>
      <c r="H52" s="111"/>
      <c r="I52" s="103"/>
      <c r="J52" s="103"/>
      <c r="K52" s="103"/>
      <c r="L52" s="103"/>
      <c r="M52" s="103"/>
      <c r="N52" s="111"/>
      <c r="O52" s="111"/>
      <c r="P52" s="2"/>
      <c r="Q52" s="111"/>
      <c r="R52" s="111"/>
      <c r="S52" s="111"/>
      <c r="T52" s="111"/>
      <c r="U52" s="111"/>
      <c r="V52" s="111" t="s">
        <v>282</v>
      </c>
      <c r="W52" s="111"/>
      <c r="X52" s="112" t="e">
        <f>-#REF!/1000-#REF!/1000</f>
        <v>#REF!</v>
      </c>
    </row>
    <row r="53" spans="1:24" ht="12.75">
      <c r="A53" s="102"/>
      <c r="B53" s="103"/>
      <c r="C53" s="103"/>
      <c r="D53" s="103"/>
      <c r="E53" s="111"/>
      <c r="F53" s="111"/>
      <c r="G53" s="111"/>
      <c r="H53" s="111"/>
      <c r="I53" s="103"/>
      <c r="J53" s="103"/>
      <c r="K53" s="103"/>
      <c r="L53" s="103"/>
      <c r="M53" s="103"/>
      <c r="N53" s="111"/>
      <c r="O53" s="111"/>
      <c r="P53" s="2"/>
      <c r="Q53" s="111"/>
      <c r="R53" s="111"/>
      <c r="S53" s="111"/>
      <c r="T53" s="111"/>
      <c r="U53" s="111"/>
      <c r="V53" s="111"/>
      <c r="W53" s="111"/>
      <c r="X53" s="133" t="e">
        <f>X50+X52</f>
        <v>#REF!</v>
      </c>
    </row>
    <row r="54" spans="1:24" ht="12.75">
      <c r="A54" s="102"/>
      <c r="B54" s="103"/>
      <c r="C54" s="103"/>
      <c r="D54" s="103"/>
      <c r="E54" s="111"/>
      <c r="F54" s="111"/>
      <c r="G54" s="111"/>
      <c r="H54" s="111"/>
      <c r="I54" s="103"/>
      <c r="J54" s="103"/>
      <c r="K54" s="103"/>
      <c r="L54" s="103"/>
      <c r="M54" s="103"/>
      <c r="N54" s="111"/>
      <c r="O54" s="111"/>
      <c r="P54" s="2"/>
      <c r="Q54" s="111"/>
      <c r="R54" s="111"/>
      <c r="S54" s="111"/>
      <c r="T54" s="111"/>
      <c r="U54" s="111"/>
      <c r="V54" s="111"/>
      <c r="W54" s="111"/>
      <c r="X54" s="112"/>
    </row>
    <row r="55" spans="1:26" ht="12.75">
      <c r="A55" s="102"/>
      <c r="B55" s="103"/>
      <c r="C55" s="103"/>
      <c r="D55" s="103"/>
      <c r="E55" s="111"/>
      <c r="F55" s="111"/>
      <c r="G55" s="111"/>
      <c r="H55" s="111"/>
      <c r="I55" s="60"/>
      <c r="J55" s="103"/>
      <c r="K55" s="103"/>
      <c r="L55" s="103"/>
      <c r="M55" s="103"/>
      <c r="N55" s="111"/>
      <c r="O55" s="111"/>
      <c r="P55" s="2"/>
      <c r="Q55" s="111"/>
      <c r="R55" s="111"/>
      <c r="S55" s="111"/>
      <c r="T55" s="111"/>
      <c r="U55" s="111"/>
      <c r="V55" s="111" t="s">
        <v>283</v>
      </c>
      <c r="W55" s="60"/>
      <c r="X55" s="112" t="e">
        <f>+#REF!</f>
        <v>#REF!</v>
      </c>
      <c r="Z55" s="101"/>
    </row>
    <row r="56" spans="1:24" ht="12.75">
      <c r="A56" s="102"/>
      <c r="B56" s="103"/>
      <c r="C56" s="103"/>
      <c r="D56" s="103"/>
      <c r="E56" s="111"/>
      <c r="F56" s="111"/>
      <c r="G56" s="111"/>
      <c r="H56" s="111"/>
      <c r="I56" s="103"/>
      <c r="J56" s="103"/>
      <c r="K56" s="103"/>
      <c r="L56" s="103"/>
      <c r="M56" s="103"/>
      <c r="N56" s="111"/>
      <c r="O56" s="111"/>
      <c r="P56" s="2"/>
      <c r="Q56" s="111"/>
      <c r="R56" s="111"/>
      <c r="S56" s="111"/>
      <c r="T56" s="111"/>
      <c r="U56" s="111"/>
      <c r="V56" s="111"/>
      <c r="W56" s="111"/>
      <c r="X56" s="112"/>
    </row>
    <row r="57" spans="1:24" ht="13.5" thickBot="1">
      <c r="A57" s="102"/>
      <c r="B57" s="103"/>
      <c r="C57" s="103"/>
      <c r="D57" s="103"/>
      <c r="E57" s="111"/>
      <c r="F57" s="111"/>
      <c r="G57" s="111"/>
      <c r="H57" s="111"/>
      <c r="I57" s="111"/>
      <c r="J57" s="103"/>
      <c r="K57" s="103"/>
      <c r="L57" s="103"/>
      <c r="M57" s="103"/>
      <c r="N57" s="111"/>
      <c r="O57" s="111"/>
      <c r="P57" s="2"/>
      <c r="Q57" s="111"/>
      <c r="R57" s="111"/>
      <c r="S57" s="111"/>
      <c r="T57" s="111"/>
      <c r="U57" s="111"/>
      <c r="V57" s="111" t="s">
        <v>284</v>
      </c>
      <c r="W57" s="111"/>
      <c r="X57" s="134" t="e">
        <f>X53-X55</f>
        <v>#REF!</v>
      </c>
    </row>
    <row r="58" spans="1:24" ht="13.5" thickTop="1">
      <c r="A58" s="102"/>
      <c r="B58" s="103"/>
      <c r="C58" s="103"/>
      <c r="D58" s="103"/>
      <c r="E58" s="111"/>
      <c r="F58" s="111"/>
      <c r="G58" s="111"/>
      <c r="H58" s="111"/>
      <c r="I58" s="103"/>
      <c r="J58" s="103"/>
      <c r="K58" s="103"/>
      <c r="L58" s="103"/>
      <c r="M58" s="103"/>
      <c r="N58" s="114"/>
      <c r="O58" s="111"/>
      <c r="P58" s="2"/>
      <c r="Q58" s="111"/>
      <c r="R58" s="111"/>
      <c r="S58" s="111"/>
      <c r="T58" s="111"/>
      <c r="U58" s="111"/>
      <c r="V58" s="111"/>
      <c r="W58" s="111"/>
      <c r="X58" s="127"/>
    </row>
    <row r="59" spans="1:24" ht="13.5" thickBot="1">
      <c r="A59" s="135"/>
      <c r="B59" s="136"/>
      <c r="C59" s="136"/>
      <c r="D59" s="136"/>
      <c r="E59" s="137"/>
      <c r="F59" s="137"/>
      <c r="G59" s="137"/>
      <c r="H59" s="137"/>
      <c r="I59" s="137"/>
      <c r="J59" s="137"/>
      <c r="K59" s="137"/>
      <c r="L59" s="137"/>
      <c r="M59" s="137"/>
      <c r="N59" s="137"/>
      <c r="O59" s="137"/>
      <c r="P59" s="137"/>
      <c r="Q59" s="137"/>
      <c r="R59" s="137"/>
      <c r="S59" s="137"/>
      <c r="T59" s="137"/>
      <c r="U59" s="137"/>
      <c r="V59" s="137"/>
      <c r="W59" s="137"/>
      <c r="X59" s="138"/>
    </row>
    <row r="60" spans="1:4" ht="13.5" thickTop="1">
      <c r="A60" s="59"/>
      <c r="B60" s="59"/>
      <c r="C60" s="59"/>
      <c r="D60" s="59"/>
    </row>
    <row r="61" spans="1:4" ht="12.75">
      <c r="A61" s="59"/>
      <c r="B61" s="59"/>
      <c r="C61" s="59"/>
      <c r="D61" s="59"/>
    </row>
    <row r="62" spans="1:4" ht="12.75">
      <c r="A62" s="59"/>
      <c r="B62" s="59"/>
      <c r="C62" s="59"/>
      <c r="D62" s="59"/>
    </row>
    <row r="63" spans="1:4" ht="12.75">
      <c r="A63" s="59"/>
      <c r="B63" s="59"/>
      <c r="C63" s="59"/>
      <c r="D63" s="59"/>
    </row>
    <row r="64" spans="1:4" ht="12.75">
      <c r="A64" s="59"/>
      <c r="B64" s="59"/>
      <c r="C64" s="59"/>
      <c r="D64" s="59"/>
    </row>
    <row r="65" spans="1:4" ht="12.75">
      <c r="A65" s="59"/>
      <c r="B65" s="59"/>
      <c r="C65" s="59"/>
      <c r="D65" s="59"/>
    </row>
    <row r="66" spans="1:4" ht="12.75">
      <c r="A66" s="59"/>
      <c r="B66" s="59"/>
      <c r="C66" s="59"/>
      <c r="D66" s="59"/>
    </row>
    <row r="67" spans="1:4" ht="12.75">
      <c r="A67" s="59"/>
      <c r="B67" s="59"/>
      <c r="C67" s="59"/>
      <c r="D67" s="59"/>
    </row>
    <row r="68" spans="1:4" ht="12.75">
      <c r="A68" s="59"/>
      <c r="B68" s="59"/>
      <c r="C68" s="59"/>
      <c r="D68" s="59"/>
    </row>
    <row r="69" spans="1:4" ht="12.75">
      <c r="A69" s="59"/>
      <c r="B69" s="59"/>
      <c r="C69" s="59"/>
      <c r="D69" s="59"/>
    </row>
    <row r="70" spans="1:4" ht="12.75">
      <c r="A70" s="59"/>
      <c r="B70" s="59"/>
      <c r="C70" s="59"/>
      <c r="D70" s="59"/>
    </row>
    <row r="71" spans="1:4" ht="12.75">
      <c r="A71" s="59"/>
      <c r="B71" s="59"/>
      <c r="C71" s="59"/>
      <c r="D71" s="59"/>
    </row>
    <row r="72" spans="1:4" ht="12.75">
      <c r="A72" s="59"/>
      <c r="B72" s="59"/>
      <c r="C72" s="59"/>
      <c r="D72" s="59"/>
    </row>
    <row r="73" spans="1:4" ht="12.75">
      <c r="A73" s="59"/>
      <c r="B73" s="59"/>
      <c r="C73" s="59"/>
      <c r="D73" s="59"/>
    </row>
    <row r="74" spans="1:4" ht="12.75">
      <c r="A74" s="59"/>
      <c r="B74" s="59"/>
      <c r="C74" s="59"/>
      <c r="D74" s="59"/>
    </row>
    <row r="75" spans="1:4" ht="12.75">
      <c r="A75" s="59"/>
      <c r="B75" s="59"/>
      <c r="C75" s="59"/>
      <c r="D75" s="59"/>
    </row>
    <row r="76" spans="1:4" ht="12.75">
      <c r="A76" s="59"/>
      <c r="B76" s="59"/>
      <c r="C76" s="59"/>
      <c r="D76" s="59"/>
    </row>
    <row r="77" spans="1:4" ht="12.75">
      <c r="A77" s="59"/>
      <c r="B77" s="59"/>
      <c r="C77" s="59"/>
      <c r="D77" s="59"/>
    </row>
    <row r="78" spans="1:4" ht="12.75">
      <c r="A78" s="59"/>
      <c r="B78" s="59"/>
      <c r="C78" s="59"/>
      <c r="D78" s="59"/>
    </row>
    <row r="79" spans="1:4" ht="12.75">
      <c r="A79" s="59"/>
      <c r="B79" s="59"/>
      <c r="C79" s="59"/>
      <c r="D79" s="59"/>
    </row>
    <row r="80" spans="1:4" ht="12.75">
      <c r="A80" s="59"/>
      <c r="B80" s="59"/>
      <c r="C80" s="59"/>
      <c r="D80" s="59"/>
    </row>
    <row r="81" spans="1:4" ht="12.75">
      <c r="A81" s="59"/>
      <c r="B81" s="59"/>
      <c r="C81" s="59"/>
      <c r="D81" s="59"/>
    </row>
    <row r="82" spans="1:4" ht="12.75">
      <c r="A82" s="59"/>
      <c r="B82" s="59"/>
      <c r="C82" s="59"/>
      <c r="D82" s="59"/>
    </row>
    <row r="83" spans="1:4" ht="12.75">
      <c r="A83" s="59"/>
      <c r="B83" s="59"/>
      <c r="C83" s="59"/>
      <c r="D83" s="59"/>
    </row>
    <row r="84" spans="1:4" ht="12.75">
      <c r="A84" s="59"/>
      <c r="B84" s="59"/>
      <c r="C84" s="59"/>
      <c r="D84" s="59"/>
    </row>
    <row r="85" spans="1:4" ht="12.75">
      <c r="A85" s="59"/>
      <c r="B85" s="59"/>
      <c r="C85" s="59"/>
      <c r="D85" s="59"/>
    </row>
    <row r="86" spans="1:4" ht="12.75">
      <c r="A86" s="59"/>
      <c r="B86" s="59"/>
      <c r="C86" s="59"/>
      <c r="D86" s="59"/>
    </row>
    <row r="87" spans="1:4" ht="12.75">
      <c r="A87" s="59"/>
      <c r="B87" s="59"/>
      <c r="C87" s="59"/>
      <c r="D87" s="59"/>
    </row>
    <row r="88" spans="1:4" ht="12.75">
      <c r="A88" s="59"/>
      <c r="B88" s="59"/>
      <c r="C88" s="59"/>
      <c r="D88" s="59"/>
    </row>
    <row r="89" spans="1:4" ht="12.75">
      <c r="A89" s="59"/>
      <c r="B89" s="59"/>
      <c r="C89" s="59"/>
      <c r="D89" s="59"/>
    </row>
    <row r="90" spans="1:4" ht="12.75">
      <c r="A90" s="59"/>
      <c r="B90" s="59"/>
      <c r="C90" s="59"/>
      <c r="D90" s="59"/>
    </row>
    <row r="91" spans="1:4" ht="12.75">
      <c r="A91" s="59"/>
      <c r="B91" s="59"/>
      <c r="C91" s="59"/>
      <c r="D91" s="59"/>
    </row>
    <row r="92" spans="1:4" ht="12.75">
      <c r="A92" s="59"/>
      <c r="B92" s="59"/>
      <c r="C92" s="59"/>
      <c r="D92" s="59"/>
    </row>
    <row r="93" spans="1:4" ht="12.75">
      <c r="A93" s="59"/>
      <c r="B93" s="59"/>
      <c r="C93" s="59"/>
      <c r="D93" s="59"/>
    </row>
    <row r="94" spans="1:4" ht="12.75">
      <c r="A94" s="59"/>
      <c r="B94" s="59"/>
      <c r="C94" s="59"/>
      <c r="D94" s="59"/>
    </row>
    <row r="95" spans="1:4" ht="12.75">
      <c r="A95" s="59"/>
      <c r="B95" s="59"/>
      <c r="C95" s="59"/>
      <c r="D95" s="59"/>
    </row>
    <row r="96" spans="1:4" ht="12.75">
      <c r="A96" s="59"/>
      <c r="B96" s="59"/>
      <c r="C96" s="59"/>
      <c r="D96" s="59"/>
    </row>
    <row r="97" spans="1:4" ht="12.75">
      <c r="A97" s="59"/>
      <c r="B97" s="59"/>
      <c r="C97" s="59"/>
      <c r="D97" s="59"/>
    </row>
    <row r="98" spans="1:4" ht="12.75">
      <c r="A98" s="59"/>
      <c r="B98" s="59"/>
      <c r="C98" s="59"/>
      <c r="D98" s="59"/>
    </row>
    <row r="99" spans="1:4" ht="12.75">
      <c r="A99" s="59"/>
      <c r="B99" s="59"/>
      <c r="C99" s="59"/>
      <c r="D99" s="59"/>
    </row>
    <row r="100" spans="1:4" ht="12.75">
      <c r="A100" s="59"/>
      <c r="B100" s="59"/>
      <c r="C100" s="59"/>
      <c r="D100" s="59"/>
    </row>
    <row r="101" spans="1:4" ht="12.75">
      <c r="A101" s="59"/>
      <c r="B101" s="59"/>
      <c r="C101" s="59"/>
      <c r="D101" s="59"/>
    </row>
    <row r="102" spans="1:4" ht="12.75">
      <c r="A102" s="59"/>
      <c r="B102" s="59"/>
      <c r="C102" s="59"/>
      <c r="D102" s="59"/>
    </row>
    <row r="103" spans="1:4" ht="12.75">
      <c r="A103" s="59"/>
      <c r="B103" s="59"/>
      <c r="C103" s="59"/>
      <c r="D103" s="59"/>
    </row>
    <row r="104" spans="1:4" ht="12.75">
      <c r="A104" s="59"/>
      <c r="B104" s="59"/>
      <c r="C104" s="59"/>
      <c r="D104" s="59"/>
    </row>
    <row r="105" spans="1:4" ht="12.75">
      <c r="A105" s="59"/>
      <c r="B105" s="59"/>
      <c r="C105" s="59"/>
      <c r="D105" s="59"/>
    </row>
    <row r="106" spans="1:4" ht="12.75">
      <c r="A106" s="59"/>
      <c r="B106" s="59"/>
      <c r="C106" s="59"/>
      <c r="D106" s="59"/>
    </row>
    <row r="107" spans="1:4" ht="12.75">
      <c r="A107" s="59"/>
      <c r="B107" s="59"/>
      <c r="C107" s="59"/>
      <c r="D107" s="59"/>
    </row>
  </sheetData>
  <printOptions/>
  <pageMargins left="0.75" right="0.27" top="1" bottom="1" header="0.5" footer="0.5"/>
  <pageSetup fitToHeight="1" fitToWidth="1" horizontalDpi="300" verticalDpi="300" orientation="landscape" paperSize="9" scale="52" r:id="rId3"/>
  <headerFooter alignWithMargins="0">
    <oddHeader>&amp;R &amp;D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80"/>
  <sheetViews>
    <sheetView zoomScale="60" zoomScaleNormal="60" workbookViewId="0" topLeftCell="A1">
      <selection activeCell="C27" sqref="C27"/>
    </sheetView>
  </sheetViews>
  <sheetFormatPr defaultColWidth="9.140625" defaultRowHeight="12.75"/>
  <cols>
    <col min="1" max="1" width="21.28125" style="2" customWidth="1"/>
    <col min="2" max="2" width="9.8515625" style="2" customWidth="1"/>
    <col min="3" max="3" width="15.421875" style="2" customWidth="1"/>
    <col min="4" max="4" width="16.28125" style="2" customWidth="1"/>
    <col min="5" max="5" width="15.8515625" style="2" bestFit="1" customWidth="1"/>
    <col min="6" max="6" width="14.7109375" style="2" bestFit="1" customWidth="1"/>
    <col min="7" max="7" width="14.00390625" style="2" bestFit="1" customWidth="1"/>
    <col min="8" max="8" width="7.57421875" style="2" customWidth="1"/>
    <col min="9" max="9" width="15.57421875" style="2" customWidth="1"/>
    <col min="10" max="16384" width="8.8515625" style="2" customWidth="1"/>
  </cols>
  <sheetData>
    <row r="1" spans="1:5" ht="12.75">
      <c r="A1" s="49"/>
      <c r="B1" s="90"/>
      <c r="C1" s="90"/>
      <c r="D1" s="90"/>
      <c r="E1" s="49"/>
    </row>
    <row r="2" spans="1:9" ht="13.5" thickBot="1">
      <c r="A2" s="93"/>
      <c r="B2" s="94" t="s">
        <v>350</v>
      </c>
      <c r="C2" s="94" t="s">
        <v>679</v>
      </c>
      <c r="D2" s="396" t="s">
        <v>353</v>
      </c>
      <c r="E2" s="234" t="s">
        <v>680</v>
      </c>
      <c r="F2" s="235" t="s">
        <v>681</v>
      </c>
      <c r="G2" s="237" t="s">
        <v>802</v>
      </c>
      <c r="H2" s="421"/>
      <c r="I2" s="234" t="s">
        <v>267</v>
      </c>
    </row>
    <row r="3" spans="1:9" ht="12.75">
      <c r="A3" s="228" t="s">
        <v>511</v>
      </c>
      <c r="B3" s="229">
        <v>0.7</v>
      </c>
      <c r="C3" s="49">
        <v>100000</v>
      </c>
      <c r="D3" s="95">
        <f>(1-B3)*C3</f>
        <v>30000.000000000004</v>
      </c>
      <c r="E3" s="91">
        <v>71259</v>
      </c>
      <c r="F3" s="76">
        <f>B3*C3</f>
        <v>70000</v>
      </c>
      <c r="G3" s="423">
        <v>0</v>
      </c>
      <c r="H3" s="424"/>
      <c r="I3" s="77">
        <v>0</v>
      </c>
    </row>
    <row r="4" spans="1:9" ht="12.75">
      <c r="A4" s="33"/>
      <c r="B4" s="230"/>
      <c r="C4" s="1"/>
      <c r="D4" s="95"/>
      <c r="E4" s="232"/>
      <c r="F4" s="76"/>
      <c r="G4" s="76"/>
      <c r="H4" s="77"/>
      <c r="I4" s="77"/>
    </row>
    <row r="5" spans="1:9" ht="12.75">
      <c r="A5" s="34"/>
      <c r="B5" s="231">
        <f aca="true" t="shared" si="0" ref="B5:I5">SUM(B3:B4)</f>
        <v>0.7</v>
      </c>
      <c r="C5" s="67">
        <f t="shared" si="0"/>
        <v>100000</v>
      </c>
      <c r="D5" s="238">
        <f t="shared" si="0"/>
        <v>30000.000000000004</v>
      </c>
      <c r="E5" s="233">
        <f t="shared" si="0"/>
        <v>71259</v>
      </c>
      <c r="F5" s="236">
        <f t="shared" si="0"/>
        <v>70000</v>
      </c>
      <c r="G5" s="79">
        <f t="shared" si="0"/>
        <v>0</v>
      </c>
      <c r="H5" s="80"/>
      <c r="I5" s="238">
        <f t="shared" si="0"/>
        <v>0</v>
      </c>
    </row>
    <row r="6" ht="12.75"/>
    <row r="7" spans="6:9" ht="12.75">
      <c r="F7" s="23"/>
      <c r="G7" s="69"/>
      <c r="H7" s="69"/>
      <c r="I7" s="417"/>
    </row>
    <row r="8" spans="6:9" ht="12.75">
      <c r="F8" s="171" t="s">
        <v>338</v>
      </c>
      <c r="G8" s="147" t="s">
        <v>353</v>
      </c>
      <c r="H8" s="147"/>
      <c r="I8" s="418" t="s">
        <v>145</v>
      </c>
    </row>
    <row r="9" spans="6:9" ht="12.75">
      <c r="F9" s="411">
        <v>0.7</v>
      </c>
      <c r="G9" s="410">
        <v>0.3</v>
      </c>
      <c r="H9" s="410"/>
      <c r="I9" s="408"/>
    </row>
    <row r="10" spans="6:9" ht="12.75">
      <c r="F10" s="412" t="s">
        <v>337</v>
      </c>
      <c r="G10" s="49"/>
      <c r="H10" s="49"/>
      <c r="I10" s="33"/>
    </row>
    <row r="11" spans="2:9" ht="12.75">
      <c r="B11" s="2" t="s">
        <v>658</v>
      </c>
      <c r="F11" s="413">
        <v>70000</v>
      </c>
      <c r="G11" s="395"/>
      <c r="H11" s="395"/>
      <c r="I11" s="409">
        <f>SUM(F11:G11)</f>
        <v>70000</v>
      </c>
    </row>
    <row r="12" spans="2:9" ht="12.75">
      <c r="B12" s="2" t="s">
        <v>118</v>
      </c>
      <c r="C12" s="60"/>
      <c r="D12" s="60"/>
      <c r="E12" s="72"/>
      <c r="F12" s="414">
        <v>-71259</v>
      </c>
      <c r="G12" s="395"/>
      <c r="H12" s="395"/>
      <c r="I12" s="409">
        <f>SUM(F12:G12)</f>
        <v>-71259</v>
      </c>
    </row>
    <row r="13" spans="2:9" ht="12.75">
      <c r="B13" s="2" t="s">
        <v>119</v>
      </c>
      <c r="C13" s="60"/>
      <c r="D13" s="60"/>
      <c r="E13" s="397"/>
      <c r="F13" s="404">
        <f>SUM(F11:F12)</f>
        <v>-1259</v>
      </c>
      <c r="G13" s="398"/>
      <c r="H13" s="398"/>
      <c r="I13" s="419">
        <f>SUM(I11:I12)</f>
        <v>-1259</v>
      </c>
    </row>
    <row r="14" spans="3:9" ht="12.75">
      <c r="C14" s="60"/>
      <c r="D14" s="60"/>
      <c r="E14" s="49"/>
      <c r="F14" s="413"/>
      <c r="G14" s="395"/>
      <c r="H14" s="395"/>
      <c r="I14" s="33"/>
    </row>
    <row r="15" spans="2:9" ht="12.75">
      <c r="B15" s="2" t="s">
        <v>120</v>
      </c>
      <c r="C15" s="60"/>
      <c r="D15" s="60"/>
      <c r="E15" s="60"/>
      <c r="F15" s="413"/>
      <c r="G15" s="395"/>
      <c r="H15" s="395"/>
      <c r="I15" s="33"/>
    </row>
    <row r="16" spans="2:9" ht="12.75">
      <c r="B16" s="12" t="s">
        <v>515</v>
      </c>
      <c r="C16" s="60"/>
      <c r="D16" s="60"/>
      <c r="E16" s="60"/>
      <c r="F16" s="404">
        <f>21504.29*0.7</f>
        <v>15053.002999999999</v>
      </c>
      <c r="G16" s="398">
        <f>21504.29*0.3</f>
        <v>6451.287</v>
      </c>
      <c r="H16" s="398" t="s">
        <v>124</v>
      </c>
      <c r="I16" s="419">
        <f>SUM(F16:G16)</f>
        <v>21504.29</v>
      </c>
    </row>
    <row r="17" spans="2:10" ht="12.75">
      <c r="B17" s="12" t="s">
        <v>516</v>
      </c>
      <c r="C17" s="60"/>
      <c r="D17" s="60"/>
      <c r="E17" s="60"/>
      <c r="F17" s="405">
        <f>(-8519.31*0.7)</f>
        <v>-5963.516999999999</v>
      </c>
      <c r="G17" s="407">
        <f>-8519.31*0.3</f>
        <v>-2555.7929999999997</v>
      </c>
      <c r="H17" s="395" t="s">
        <v>124</v>
      </c>
      <c r="I17" s="409">
        <f>SUM(F17:G17)</f>
        <v>-8519.309999999998</v>
      </c>
      <c r="J17" s="2" t="s">
        <v>124</v>
      </c>
    </row>
    <row r="18" spans="2:9" ht="12.75">
      <c r="B18" s="12"/>
      <c r="C18" s="60"/>
      <c r="D18" s="60"/>
      <c r="E18" s="422" t="s">
        <v>125</v>
      </c>
      <c r="F18" s="413">
        <f>SUM(F16:F17)</f>
        <v>9089.486</v>
      </c>
      <c r="G18" s="395">
        <f>SUM(G16:G17)</f>
        <v>3895.4940000000006</v>
      </c>
      <c r="H18" s="416"/>
      <c r="I18" s="420">
        <f>SUM(I16:I17)</f>
        <v>12984.980000000003</v>
      </c>
    </row>
    <row r="19" spans="2:9" ht="13.5" thickBot="1">
      <c r="B19" s="2" t="s">
        <v>517</v>
      </c>
      <c r="C19" s="60"/>
      <c r="D19" s="60"/>
      <c r="E19" s="397"/>
      <c r="F19" s="415">
        <f>+F13-F18</f>
        <v>-10348.486</v>
      </c>
      <c r="G19" s="406">
        <f>-(+G13-G18)</f>
        <v>3895.4940000000006</v>
      </c>
      <c r="H19" s="406"/>
      <c r="I19" s="415">
        <f>+I13-I18</f>
        <v>-14243.980000000003</v>
      </c>
    </row>
    <row r="20" spans="3:9" ht="13.5" thickTop="1">
      <c r="C20" s="60"/>
      <c r="D20" s="60"/>
      <c r="E20" s="60"/>
      <c r="F20" s="405"/>
      <c r="G20" s="407"/>
      <c r="H20" s="407"/>
      <c r="I20" s="34"/>
    </row>
    <row r="21" spans="3:8" ht="12.75">
      <c r="C21" s="60"/>
      <c r="D21" s="60"/>
      <c r="E21" s="60"/>
      <c r="F21" s="395"/>
      <c r="G21" s="394"/>
      <c r="H21" s="394"/>
    </row>
    <row r="22" spans="6:8" ht="12.75">
      <c r="F22" s="394"/>
      <c r="G22" s="394"/>
      <c r="H22" s="394"/>
    </row>
    <row r="23" spans="2:8" ht="12.75">
      <c r="B23" s="402"/>
      <c r="C23" s="60"/>
      <c r="D23" s="60"/>
      <c r="E23" s="60"/>
      <c r="F23" s="395"/>
      <c r="G23" s="395"/>
      <c r="H23" s="395"/>
    </row>
    <row r="24" spans="2:8" ht="12.75">
      <c r="B24" s="60"/>
      <c r="C24" s="60"/>
      <c r="D24" s="60"/>
      <c r="E24" s="60"/>
      <c r="F24" s="403"/>
      <c r="G24" s="403"/>
      <c r="H24" s="403"/>
    </row>
    <row r="25" spans="1:5" ht="12.75">
      <c r="A25" s="49"/>
      <c r="B25" s="90"/>
      <c r="C25" s="90"/>
      <c r="D25" s="90"/>
      <c r="E25" s="49"/>
    </row>
    <row r="26" spans="1:9" ht="13.5" thickBot="1">
      <c r="A26" s="93"/>
      <c r="B26" s="94" t="s">
        <v>350</v>
      </c>
      <c r="C26" s="94" t="s">
        <v>679</v>
      </c>
      <c r="D26" s="396" t="s">
        <v>353</v>
      </c>
      <c r="E26" s="234" t="s">
        <v>680</v>
      </c>
      <c r="F26" s="235" t="s">
        <v>681</v>
      </c>
      <c r="G26" s="237" t="s">
        <v>802</v>
      </c>
      <c r="H26" s="421"/>
      <c r="I26" s="234" t="s">
        <v>267</v>
      </c>
    </row>
    <row r="27" spans="1:9" ht="12.75">
      <c r="A27" s="228" t="s">
        <v>660</v>
      </c>
      <c r="B27" s="229">
        <v>0.445</v>
      </c>
      <c r="C27" s="49">
        <v>1400000</v>
      </c>
      <c r="D27" s="95">
        <f>(1-B27)*C27</f>
        <v>776999.9999999999</v>
      </c>
      <c r="E27" s="91">
        <v>1400000</v>
      </c>
      <c r="F27" s="76">
        <f>B27*C27</f>
        <v>623000</v>
      </c>
      <c r="G27" s="423">
        <v>0</v>
      </c>
      <c r="H27" s="424"/>
      <c r="I27" s="77">
        <v>0</v>
      </c>
    </row>
    <row r="28" spans="1:9" ht="12.75">
      <c r="A28" s="33"/>
      <c r="B28" s="230"/>
      <c r="C28" s="1"/>
      <c r="D28" s="95"/>
      <c r="E28" s="232"/>
      <c r="F28" s="76"/>
      <c r="G28" s="76"/>
      <c r="H28" s="77"/>
      <c r="I28" s="77"/>
    </row>
    <row r="29" spans="1:9" ht="12.75">
      <c r="A29" s="34"/>
      <c r="B29" s="231">
        <f aca="true" t="shared" si="1" ref="B29:G29">SUM(B27:B28)</f>
        <v>0.445</v>
      </c>
      <c r="C29" s="67">
        <f t="shared" si="1"/>
        <v>1400000</v>
      </c>
      <c r="D29" s="238">
        <f t="shared" si="1"/>
        <v>776999.9999999999</v>
      </c>
      <c r="E29" s="233">
        <f t="shared" si="1"/>
        <v>1400000</v>
      </c>
      <c r="F29" s="236">
        <f t="shared" si="1"/>
        <v>623000</v>
      </c>
      <c r="G29" s="79">
        <f t="shared" si="1"/>
        <v>0</v>
      </c>
      <c r="H29" s="80"/>
      <c r="I29" s="238">
        <f>SUM(I27:I28)</f>
        <v>0</v>
      </c>
    </row>
    <row r="30" ht="12.75"/>
    <row r="31" spans="6:9" ht="12.75">
      <c r="F31" s="23"/>
      <c r="G31" s="69"/>
      <c r="H31" s="69"/>
      <c r="I31" s="417"/>
    </row>
    <row r="32" spans="6:9" ht="12.75">
      <c r="F32" s="171" t="s">
        <v>338</v>
      </c>
      <c r="G32" s="147" t="s">
        <v>353</v>
      </c>
      <c r="H32" s="147"/>
      <c r="I32" s="418" t="s">
        <v>145</v>
      </c>
    </row>
    <row r="33" spans="6:9" ht="12.75">
      <c r="F33" s="425">
        <v>0.445</v>
      </c>
      <c r="G33" s="426">
        <v>0.555</v>
      </c>
      <c r="H33" s="410"/>
      <c r="I33" s="408"/>
    </row>
    <row r="34" spans="6:9" ht="12.75">
      <c r="F34" s="412" t="s">
        <v>337</v>
      </c>
      <c r="G34" s="49"/>
      <c r="H34" s="49"/>
      <c r="I34" s="33"/>
    </row>
    <row r="35" spans="2:9" ht="12.75">
      <c r="B35" s="2" t="s">
        <v>809</v>
      </c>
      <c r="F35" s="413">
        <v>1500000</v>
      </c>
      <c r="G35" s="395"/>
      <c r="H35" s="395"/>
      <c r="I35" s="409">
        <f>SUM(F35:G35)</f>
        <v>1500000</v>
      </c>
    </row>
    <row r="36" spans="2:9" ht="12.75">
      <c r="B36" s="2" t="s">
        <v>122</v>
      </c>
      <c r="C36" s="60"/>
      <c r="D36" s="60"/>
      <c r="E36" s="72"/>
      <c r="F36" s="414">
        <f>-1400000/2</f>
        <v>-700000</v>
      </c>
      <c r="G36" s="395"/>
      <c r="H36" s="395"/>
      <c r="I36" s="409">
        <f>SUM(F36:G36)</f>
        <v>-700000</v>
      </c>
    </row>
    <row r="37" spans="2:9" ht="12.75">
      <c r="B37" s="2" t="s">
        <v>245</v>
      </c>
      <c r="C37" s="60"/>
      <c r="D37" s="60"/>
      <c r="E37" s="397"/>
      <c r="F37" s="404">
        <f>SUM(F35:F36)</f>
        <v>800000</v>
      </c>
      <c r="G37" s="398"/>
      <c r="H37" s="398"/>
      <c r="I37" s="419">
        <f>SUM(I35:I36)</f>
        <v>800000</v>
      </c>
    </row>
    <row r="38" spans="3:9" ht="12.75">
      <c r="C38" s="60"/>
      <c r="D38" s="60"/>
      <c r="E38" s="49"/>
      <c r="F38" s="413"/>
      <c r="G38" s="395"/>
      <c r="H38" s="395"/>
      <c r="I38" s="33"/>
    </row>
    <row r="39" spans="2:9" ht="12.75">
      <c r="B39" s="2" t="s">
        <v>246</v>
      </c>
      <c r="C39" s="60"/>
      <c r="D39" s="60"/>
      <c r="E39" s="60"/>
      <c r="F39" s="413"/>
      <c r="G39" s="395"/>
      <c r="H39" s="395"/>
      <c r="I39" s="33"/>
    </row>
    <row r="40" spans="2:10" ht="12.75">
      <c r="B40" s="12" t="s">
        <v>494</v>
      </c>
      <c r="C40" s="60"/>
      <c r="D40" s="60"/>
      <c r="E40" s="60"/>
      <c r="F40" s="404">
        <f>-1664622.53*0.445</f>
        <v>-740757.02585</v>
      </c>
      <c r="G40" s="398">
        <f>-1664622.53*0.555</f>
        <v>-923865.50415</v>
      </c>
      <c r="H40" s="398"/>
      <c r="I40" s="419">
        <f>SUM(F40:G40)</f>
        <v>-1664622.53</v>
      </c>
      <c r="J40" s="2" t="s">
        <v>808</v>
      </c>
    </row>
    <row r="41" spans="2:10" ht="12.75">
      <c r="B41" s="12" t="s">
        <v>806</v>
      </c>
      <c r="C41" s="60"/>
      <c r="D41" s="60"/>
      <c r="E41" s="60"/>
      <c r="F41" s="405">
        <f>(-64737.6*0.445)</f>
        <v>-28808.232</v>
      </c>
      <c r="G41" s="407">
        <f>-64737.6*0.555</f>
        <v>-35929.368</v>
      </c>
      <c r="H41" s="395"/>
      <c r="I41" s="409">
        <f>SUM(F41:G41)</f>
        <v>-64737.600000000006</v>
      </c>
      <c r="J41" s="2" t="s">
        <v>807</v>
      </c>
    </row>
    <row r="42" spans="2:9" ht="12.75">
      <c r="B42" s="12"/>
      <c r="C42" s="60"/>
      <c r="D42" s="60"/>
      <c r="E42" s="422" t="s">
        <v>808</v>
      </c>
      <c r="F42" s="413">
        <f>SUM(F40:F41)</f>
        <v>-769565.2578499999</v>
      </c>
      <c r="G42" s="395">
        <f>SUM(G40:G41)</f>
        <v>-959794.8721500001</v>
      </c>
      <c r="H42" s="416"/>
      <c r="I42" s="420">
        <f>SUM(I40:I41)</f>
        <v>-1729360.1300000001</v>
      </c>
    </row>
    <row r="43" spans="2:9" ht="13.5" thickBot="1">
      <c r="B43" s="2" t="s">
        <v>123</v>
      </c>
      <c r="C43" s="60"/>
      <c r="D43" s="60"/>
      <c r="E43" s="397"/>
      <c r="F43" s="415">
        <f>+F37-F42</f>
        <v>1569565.25785</v>
      </c>
      <c r="G43" s="415">
        <f>+G37-G42</f>
        <v>959794.8721500001</v>
      </c>
      <c r="H43" s="406"/>
      <c r="I43" s="415">
        <f>+I37-I42</f>
        <v>2529360.13</v>
      </c>
    </row>
    <row r="44" spans="3:9" ht="13.5" thickTop="1">
      <c r="C44" s="60"/>
      <c r="D44" s="60"/>
      <c r="E44" s="60"/>
      <c r="F44" s="405"/>
      <c r="G44" s="407"/>
      <c r="H44" s="407"/>
      <c r="I44" s="34"/>
    </row>
    <row r="45" spans="3:8" ht="12.75">
      <c r="C45" s="60"/>
      <c r="D45" s="60"/>
      <c r="E45" s="60"/>
      <c r="F45" s="395"/>
      <c r="G45" s="394"/>
      <c r="H45" s="394"/>
    </row>
    <row r="46" spans="2:6" ht="13.5" thickBot="1">
      <c r="B46" s="2" t="s">
        <v>123</v>
      </c>
      <c r="F46" s="427">
        <f>+F19+F43</f>
        <v>1559216.77185</v>
      </c>
    </row>
    <row r="47" ht="13.5" thickTop="1">
      <c r="F47" s="395"/>
    </row>
    <row r="48" ht="12.75">
      <c r="F48" s="395"/>
    </row>
    <row r="51" spans="1:10" ht="12.75">
      <c r="A51" s="428" t="s">
        <v>359</v>
      </c>
      <c r="B51" s="24"/>
      <c r="C51" s="24"/>
      <c r="D51" s="24"/>
      <c r="E51" s="24"/>
      <c r="F51" s="24"/>
      <c r="G51" s="24"/>
      <c r="H51" s="24"/>
      <c r="I51" s="24"/>
      <c r="J51" s="224"/>
    </row>
    <row r="52" spans="1:10" ht="12.75">
      <c r="A52" s="429"/>
      <c r="B52" s="60"/>
      <c r="C52" s="60"/>
      <c r="D52" s="60"/>
      <c r="E52" s="60"/>
      <c r="F52" s="72" t="s">
        <v>351</v>
      </c>
      <c r="G52" s="72" t="s">
        <v>352</v>
      </c>
      <c r="H52" s="60"/>
      <c r="I52" s="60"/>
      <c r="J52" s="75"/>
    </row>
    <row r="53" spans="1:10" ht="12.75">
      <c r="A53" s="74"/>
      <c r="B53" s="60"/>
      <c r="C53" s="60"/>
      <c r="D53" s="60"/>
      <c r="E53" s="60"/>
      <c r="F53" s="72" t="s">
        <v>337</v>
      </c>
      <c r="G53" s="72" t="s">
        <v>337</v>
      </c>
      <c r="H53" s="60"/>
      <c r="I53" s="60"/>
      <c r="J53" s="75"/>
    </row>
    <row r="54" spans="1:10" ht="12.75">
      <c r="A54" s="429" t="s">
        <v>383</v>
      </c>
      <c r="B54" s="60"/>
      <c r="C54" s="60"/>
      <c r="D54" s="60"/>
      <c r="E54" s="60"/>
      <c r="F54" s="60"/>
      <c r="G54" s="60"/>
      <c r="H54" s="60"/>
      <c r="I54" s="60"/>
      <c r="J54" s="75"/>
    </row>
    <row r="55" spans="1:10" ht="12.75">
      <c r="A55" s="74" t="s">
        <v>360</v>
      </c>
      <c r="B55" s="60"/>
      <c r="C55" s="60"/>
      <c r="D55" s="60"/>
      <c r="E55" s="60"/>
      <c r="F55" s="395">
        <f>-+I40</f>
        <v>1664622.53</v>
      </c>
      <c r="G55" s="395"/>
      <c r="H55" s="60"/>
      <c r="I55" s="60"/>
      <c r="J55" s="75"/>
    </row>
    <row r="56" spans="1:10" ht="12.75">
      <c r="A56" s="74" t="s">
        <v>746</v>
      </c>
      <c r="B56" s="60"/>
      <c r="C56" s="60"/>
      <c r="D56" s="60"/>
      <c r="E56" s="60"/>
      <c r="F56" s="395">
        <f>-+I41</f>
        <v>64737.600000000006</v>
      </c>
      <c r="G56" s="395"/>
      <c r="H56" s="60"/>
      <c r="I56" s="60"/>
      <c r="J56" s="75"/>
    </row>
    <row r="57" spans="1:10" ht="12.75">
      <c r="A57" s="74" t="s">
        <v>361</v>
      </c>
      <c r="B57" s="60"/>
      <c r="C57" s="60"/>
      <c r="D57" s="60"/>
      <c r="E57" s="60"/>
      <c r="F57" s="395"/>
      <c r="G57" s="395">
        <f>-F42</f>
        <v>769565.2578499999</v>
      </c>
      <c r="H57" s="60"/>
      <c r="I57" s="60"/>
      <c r="J57" s="75"/>
    </row>
    <row r="58" spans="1:10" ht="12.75">
      <c r="A58" s="74" t="s">
        <v>362</v>
      </c>
      <c r="B58" s="60"/>
      <c r="C58" s="60"/>
      <c r="D58" s="60"/>
      <c r="E58" s="60"/>
      <c r="F58" s="395"/>
      <c r="G58" s="395">
        <v>499387</v>
      </c>
      <c r="H58" s="60"/>
      <c r="I58" s="60"/>
      <c r="J58" s="75"/>
    </row>
    <row r="59" spans="1:10" ht="12.75">
      <c r="A59" s="74" t="s">
        <v>363</v>
      </c>
      <c r="B59" s="60"/>
      <c r="C59" s="60"/>
      <c r="D59" s="60"/>
      <c r="E59" s="60"/>
      <c r="F59" s="395"/>
      <c r="G59" s="395">
        <v>19421</v>
      </c>
      <c r="H59" s="60"/>
      <c r="I59" s="60"/>
      <c r="J59" s="75"/>
    </row>
    <row r="60" spans="1:10" ht="12.75">
      <c r="A60" s="74" t="s">
        <v>364</v>
      </c>
      <c r="B60" s="60"/>
      <c r="C60" s="60"/>
      <c r="D60" s="60"/>
      <c r="E60" s="60"/>
      <c r="F60" s="395"/>
      <c r="G60" s="395">
        <v>460408</v>
      </c>
      <c r="H60" s="60"/>
      <c r="I60" s="60"/>
      <c r="J60" s="75"/>
    </row>
    <row r="61" spans="1:10" ht="12.75">
      <c r="A61" s="74" t="s">
        <v>557</v>
      </c>
      <c r="B61" s="60"/>
      <c r="C61" s="60"/>
      <c r="D61" s="60"/>
      <c r="E61" s="60"/>
      <c r="F61" s="395">
        <v>19421</v>
      </c>
      <c r="G61" s="395"/>
      <c r="H61" s="60"/>
      <c r="I61" s="60"/>
      <c r="J61" s="75"/>
    </row>
    <row r="62" spans="1:10" ht="13.5" thickBot="1">
      <c r="A62" s="74"/>
      <c r="B62" s="60"/>
      <c r="C62" s="60"/>
      <c r="D62" s="60"/>
      <c r="E62" s="60"/>
      <c r="F62" s="406">
        <f>SUM(F54:F61)</f>
        <v>1748781.1300000001</v>
      </c>
      <c r="G62" s="406">
        <f>SUM(G57:G61)</f>
        <v>1748781.25785</v>
      </c>
      <c r="H62" s="60"/>
      <c r="I62" s="60"/>
      <c r="J62" s="75"/>
    </row>
    <row r="63" spans="1:10" ht="13.5" thickTop="1">
      <c r="A63" s="74" t="s">
        <v>25</v>
      </c>
      <c r="B63" s="60"/>
      <c r="C63" s="60"/>
      <c r="D63" s="60"/>
      <c r="E63" s="60"/>
      <c r="F63" s="395"/>
      <c r="G63" s="395"/>
      <c r="H63" s="60"/>
      <c r="I63" s="60"/>
      <c r="J63" s="75"/>
    </row>
    <row r="64" spans="1:10" ht="12.75">
      <c r="A64" s="74"/>
      <c r="B64" s="60"/>
      <c r="C64" s="60"/>
      <c r="D64" s="60"/>
      <c r="E64" s="60"/>
      <c r="F64" s="395"/>
      <c r="G64" s="395"/>
      <c r="H64" s="60"/>
      <c r="I64" s="60"/>
      <c r="J64" s="75"/>
    </row>
    <row r="65" spans="1:10" ht="12.75">
      <c r="A65" s="74"/>
      <c r="B65" s="60"/>
      <c r="C65" s="60"/>
      <c r="D65" s="60"/>
      <c r="E65" s="60"/>
      <c r="F65" s="395"/>
      <c r="G65" s="395"/>
      <c r="H65" s="60"/>
      <c r="I65" s="60"/>
      <c r="J65" s="75"/>
    </row>
    <row r="66" spans="1:10" ht="12.75">
      <c r="A66" s="429" t="s">
        <v>518</v>
      </c>
      <c r="B66" s="60"/>
      <c r="C66" s="60"/>
      <c r="D66" s="60"/>
      <c r="E66" s="60"/>
      <c r="F66" s="395"/>
      <c r="G66" s="395"/>
      <c r="H66" s="60"/>
      <c r="I66" s="60"/>
      <c r="J66" s="75"/>
    </row>
    <row r="67" spans="1:10" ht="12.75">
      <c r="A67" s="74" t="s">
        <v>742</v>
      </c>
      <c r="B67" s="60"/>
      <c r="C67" s="60"/>
      <c r="D67" s="60"/>
      <c r="E67" s="60"/>
      <c r="F67" s="395"/>
      <c r="G67" s="395">
        <f>+I16</f>
        <v>21504.29</v>
      </c>
      <c r="H67" s="60"/>
      <c r="I67" s="60"/>
      <c r="J67" s="75"/>
    </row>
    <row r="68" spans="1:10" ht="12.75">
      <c r="A68" s="74" t="s">
        <v>746</v>
      </c>
      <c r="B68" s="60"/>
      <c r="C68" s="60"/>
      <c r="D68" s="60"/>
      <c r="E68" s="60"/>
      <c r="F68" s="395">
        <f>-+I17</f>
        <v>8519.309999999998</v>
      </c>
      <c r="G68" s="395"/>
      <c r="H68" s="60"/>
      <c r="I68" s="60"/>
      <c r="J68" s="75"/>
    </row>
    <row r="69" spans="1:10" ht="12.75">
      <c r="A69" s="74" t="s">
        <v>528</v>
      </c>
      <c r="B69" s="60"/>
      <c r="C69" s="60"/>
      <c r="D69" s="60"/>
      <c r="E69" s="60"/>
      <c r="F69" s="395">
        <f>F18</f>
        <v>9089.486</v>
      </c>
      <c r="G69" s="395"/>
      <c r="H69" s="60"/>
      <c r="I69" s="60"/>
      <c r="J69" s="75"/>
    </row>
    <row r="70" spans="1:10" ht="12.75">
      <c r="A70" s="74" t="s">
        <v>362</v>
      </c>
      <c r="B70" s="60"/>
      <c r="C70" s="60"/>
      <c r="D70" s="60"/>
      <c r="E70" s="60"/>
      <c r="F70" s="395">
        <f>+G16</f>
        <v>6451.287</v>
      </c>
      <c r="G70" s="395"/>
      <c r="H70" s="60"/>
      <c r="I70" s="60"/>
      <c r="J70" s="75"/>
    </row>
    <row r="71" spans="1:10" ht="12.75">
      <c r="A71" s="74" t="s">
        <v>365</v>
      </c>
      <c r="B71" s="60"/>
      <c r="C71" s="60"/>
      <c r="D71" s="60"/>
      <c r="E71" s="60"/>
      <c r="F71" s="395"/>
      <c r="G71" s="395">
        <f>-+G17</f>
        <v>2555.7929999999997</v>
      </c>
      <c r="H71" s="60"/>
      <c r="I71" s="60"/>
      <c r="J71" s="75"/>
    </row>
    <row r="72" spans="1:10" ht="13.5" thickBot="1">
      <c r="A72" s="74"/>
      <c r="B72" s="60"/>
      <c r="C72" s="60"/>
      <c r="D72" s="60"/>
      <c r="E72" s="60"/>
      <c r="F72" s="406">
        <f>SUM(F68:F71)</f>
        <v>24060.083</v>
      </c>
      <c r="G72" s="406">
        <f>SUM(G67:G71)</f>
        <v>24060.083</v>
      </c>
      <c r="H72" s="60"/>
      <c r="I72" s="60"/>
      <c r="J72" s="75"/>
    </row>
    <row r="73" spans="1:10" ht="13.5" thickTop="1">
      <c r="A73" s="74" t="s">
        <v>24</v>
      </c>
      <c r="B73" s="60"/>
      <c r="C73" s="60"/>
      <c r="D73" s="60"/>
      <c r="E73" s="60"/>
      <c r="F73" s="395"/>
      <c r="G73" s="395"/>
      <c r="H73" s="60"/>
      <c r="I73" s="60"/>
      <c r="J73" s="75"/>
    </row>
    <row r="74" spans="1:10" ht="12.75">
      <c r="A74" s="25"/>
      <c r="B74" s="26"/>
      <c r="C74" s="26"/>
      <c r="D74" s="26"/>
      <c r="E74" s="26"/>
      <c r="F74" s="407"/>
      <c r="G74" s="407"/>
      <c r="H74" s="26"/>
      <c r="I74" s="26"/>
      <c r="J74" s="225"/>
    </row>
    <row r="75" spans="6:7" ht="12.75">
      <c r="F75" s="394"/>
      <c r="G75" s="394"/>
    </row>
    <row r="76" spans="6:7" ht="12.75">
      <c r="F76" s="394"/>
      <c r="G76" s="394"/>
    </row>
    <row r="77" spans="6:7" ht="12.75">
      <c r="F77" s="394"/>
      <c r="G77" s="394"/>
    </row>
    <row r="78" spans="6:7" ht="12.75">
      <c r="F78" s="394"/>
      <c r="G78" s="394"/>
    </row>
    <row r="79" spans="6:7" ht="12.75">
      <c r="F79" s="394"/>
      <c r="G79" s="394"/>
    </row>
    <row r="80" spans="6:7" ht="12.75">
      <c r="F80" s="394"/>
      <c r="G80" s="394"/>
    </row>
  </sheetData>
  <printOptions/>
  <pageMargins left="0.75" right="0.75" top="1" bottom="1" header="0.5" footer="0.5"/>
  <pageSetup fitToHeight="1" fitToWidth="1" horizontalDpi="300" verticalDpi="300" orientation="portrait" paperSize="9" scale="63" r:id="rId3"/>
  <headerFooter alignWithMargins="0">
    <oddHeader>&amp;R&amp;D &amp;T</oddHeader>
  </headerFooter>
  <legacyDrawing r:id="rId2"/>
</worksheet>
</file>

<file path=xl/worksheets/sheet16.xml><?xml version="1.0" encoding="utf-8"?>
<worksheet xmlns="http://schemas.openxmlformats.org/spreadsheetml/2006/main" xmlns:r="http://schemas.openxmlformats.org/officeDocument/2006/relationships">
  <dimension ref="A1:L84"/>
  <sheetViews>
    <sheetView workbookViewId="0" topLeftCell="A1">
      <pane xSplit="1" ySplit="3" topLeftCell="C42" activePane="bottomRight" state="frozen"/>
      <selection pane="topLeft" activeCell="A1" sqref="A1"/>
      <selection pane="topRight" activeCell="B1" sqref="B1"/>
      <selection pane="bottomLeft" activeCell="A4" sqref="A4"/>
      <selection pane="bottomRight" activeCell="D57" sqref="D57"/>
    </sheetView>
  </sheetViews>
  <sheetFormatPr defaultColWidth="9.140625" defaultRowHeight="12.75"/>
  <cols>
    <col min="1" max="1" width="72.28125" style="0" customWidth="1"/>
    <col min="2" max="2" width="16.00390625" style="0" customWidth="1"/>
    <col min="3" max="3" width="15.57421875" style="0" customWidth="1"/>
    <col min="4" max="4" width="16.57421875" style="0" customWidth="1"/>
    <col min="5" max="5" width="16.00390625" style="0" customWidth="1"/>
    <col min="6" max="6" width="1.7109375" style="0" customWidth="1"/>
    <col min="7" max="7" width="30.28125" style="0" customWidth="1"/>
    <col min="8" max="8" width="13.7109375" style="0" customWidth="1"/>
    <col min="9" max="9" width="12.7109375" style="0" customWidth="1"/>
    <col min="10" max="10" width="14.00390625" style="0" bestFit="1" customWidth="1"/>
    <col min="11" max="11" width="14.00390625" style="0" customWidth="1"/>
    <col min="12" max="12" width="15.140625" style="0" customWidth="1"/>
  </cols>
  <sheetData>
    <row r="1" spans="1:8" ht="12.75">
      <c r="A1" s="298" t="s">
        <v>664</v>
      </c>
      <c r="G1" s="92"/>
      <c r="H1" s="92"/>
    </row>
    <row r="2" spans="5:8" ht="12.75">
      <c r="E2" s="439"/>
      <c r="G2" s="708"/>
      <c r="H2" s="708"/>
    </row>
    <row r="3" spans="1:8" ht="12.75">
      <c r="A3" s="298" t="s">
        <v>667</v>
      </c>
      <c r="G3" s="92"/>
      <c r="H3" s="92"/>
    </row>
    <row r="4" spans="1:12" ht="12.75">
      <c r="A4" s="430"/>
      <c r="B4" s="431" t="s">
        <v>338</v>
      </c>
      <c r="C4" s="431" t="s">
        <v>773</v>
      </c>
      <c r="D4" s="431" t="s">
        <v>171</v>
      </c>
      <c r="E4" s="431" t="s">
        <v>790</v>
      </c>
      <c r="G4" s="456"/>
      <c r="H4" s="457" t="s">
        <v>338</v>
      </c>
      <c r="I4" s="457" t="s">
        <v>773</v>
      </c>
      <c r="J4" s="457" t="s">
        <v>171</v>
      </c>
      <c r="K4" s="458" t="s">
        <v>790</v>
      </c>
      <c r="L4" s="465" t="s">
        <v>107</v>
      </c>
    </row>
    <row r="5" spans="2:11" ht="12.75">
      <c r="B5" s="431" t="s">
        <v>337</v>
      </c>
      <c r="C5" s="431" t="s">
        <v>337</v>
      </c>
      <c r="D5" s="431" t="s">
        <v>337</v>
      </c>
      <c r="E5" s="431" t="s">
        <v>337</v>
      </c>
      <c r="G5" s="459"/>
      <c r="H5" s="460" t="s">
        <v>337</v>
      </c>
      <c r="I5" s="460" t="s">
        <v>337</v>
      </c>
      <c r="J5" s="460" t="s">
        <v>337</v>
      </c>
      <c r="K5" s="453" t="s">
        <v>337</v>
      </c>
    </row>
    <row r="6" spans="2:11" ht="12.75">
      <c r="B6" s="432"/>
      <c r="C6" s="433"/>
      <c r="D6" s="433"/>
      <c r="E6" s="433"/>
      <c r="F6" s="433"/>
      <c r="G6" s="461"/>
      <c r="H6" s="462"/>
      <c r="I6" s="441"/>
      <c r="J6" s="441"/>
      <c r="K6" s="444"/>
    </row>
    <row r="7" spans="1:11" ht="12.75">
      <c r="A7" t="s">
        <v>780</v>
      </c>
      <c r="B7" s="433"/>
      <c r="C7" s="433"/>
      <c r="D7" s="433"/>
      <c r="E7" s="433"/>
      <c r="F7" s="433"/>
      <c r="G7" s="443"/>
      <c r="H7" s="441"/>
      <c r="I7" s="441"/>
      <c r="J7" s="441"/>
      <c r="K7" s="444"/>
    </row>
    <row r="8" spans="1:12" ht="12.75">
      <c r="A8" t="s">
        <v>666</v>
      </c>
      <c r="B8" s="433" t="e">
        <f>+#REF!*1000</f>
        <v>#REF!</v>
      </c>
      <c r="C8" s="433"/>
      <c r="D8" s="433"/>
      <c r="E8" s="433" t="e">
        <f>SUM(B8:D8)</f>
        <v>#REF!</v>
      </c>
      <c r="F8" s="433"/>
      <c r="G8" s="443" t="s">
        <v>560</v>
      </c>
      <c r="H8" s="441">
        <v>27800612</v>
      </c>
      <c r="I8" s="441"/>
      <c r="J8" s="441"/>
      <c r="K8" s="444">
        <f>SUM(H8:J8)</f>
        <v>27800612</v>
      </c>
      <c r="L8" s="433" t="e">
        <f>+E8-K8</f>
        <v>#REF!</v>
      </c>
    </row>
    <row r="9" spans="1:12" ht="12.75">
      <c r="A9" t="s">
        <v>304</v>
      </c>
      <c r="B9" s="433"/>
      <c r="C9" s="433" t="e">
        <f>+#REF!*1000</f>
        <v>#REF!</v>
      </c>
      <c r="D9" s="433"/>
      <c r="E9" s="433" t="e">
        <f aca="true" t="shared" si="0" ref="E9:E16">SUM(B9:D9)</f>
        <v>#REF!</v>
      </c>
      <c r="F9" s="433"/>
      <c r="G9" s="443" t="s">
        <v>455</v>
      </c>
      <c r="H9" s="441"/>
      <c r="I9" s="441">
        <v>-3399399</v>
      </c>
      <c r="J9" s="441"/>
      <c r="K9" s="444">
        <f>SUM(H9:J9)</f>
        <v>-3399399</v>
      </c>
      <c r="L9" s="433" t="e">
        <f>+E9-K9</f>
        <v>#REF!</v>
      </c>
    </row>
    <row r="10" spans="2:11" ht="12.75">
      <c r="B10" s="433"/>
      <c r="C10" s="433"/>
      <c r="D10" s="433"/>
      <c r="E10" s="433"/>
      <c r="F10" s="433"/>
      <c r="G10" s="443"/>
      <c r="H10" s="441"/>
      <c r="I10" s="441"/>
      <c r="J10" s="441"/>
      <c r="K10" s="444"/>
    </row>
    <row r="11" spans="1:12" ht="12.75">
      <c r="A11" t="s">
        <v>665</v>
      </c>
      <c r="B11" s="433" t="e">
        <f>+#REF!*1000</f>
        <v>#REF!</v>
      </c>
      <c r="C11" s="433"/>
      <c r="D11" s="433"/>
      <c r="E11" s="433" t="e">
        <f t="shared" si="0"/>
        <v>#REF!</v>
      </c>
      <c r="F11" s="433"/>
      <c r="G11" s="443"/>
      <c r="H11" s="441">
        <v>-33056910</v>
      </c>
      <c r="I11" s="441"/>
      <c r="J11" s="441"/>
      <c r="K11" s="444">
        <f>SUM(H11:J11)</f>
        <v>-33056910</v>
      </c>
      <c r="L11" s="433" t="e">
        <f>+E11-K11</f>
        <v>#REF!</v>
      </c>
    </row>
    <row r="12" spans="2:11" ht="12.75">
      <c r="B12" s="433"/>
      <c r="C12" s="433"/>
      <c r="D12" s="433"/>
      <c r="E12" s="433"/>
      <c r="F12" s="433"/>
      <c r="G12" s="443"/>
      <c r="H12" s="441"/>
      <c r="I12" s="441"/>
      <c r="J12" s="441"/>
      <c r="K12" s="444"/>
    </row>
    <row r="13" spans="1:12" ht="12.75">
      <c r="A13" t="s">
        <v>512</v>
      </c>
      <c r="B13" s="433" t="e">
        <f>+#REF!*1000</f>
        <v>#REF!</v>
      </c>
      <c r="C13" s="433"/>
      <c r="D13" s="433"/>
      <c r="E13" s="433" t="e">
        <f t="shared" si="0"/>
        <v>#REF!</v>
      </c>
      <c r="F13" s="433"/>
      <c r="G13" s="443"/>
      <c r="H13" s="441">
        <v>-17045134</v>
      </c>
      <c r="I13" s="441"/>
      <c r="J13" s="441"/>
      <c r="K13" s="444">
        <f>SUM(H13:J13)</f>
        <v>-17045134</v>
      </c>
      <c r="L13" s="433" t="e">
        <f>+E13-K13</f>
        <v>#REF!</v>
      </c>
    </row>
    <row r="14" spans="2:11" ht="12.75">
      <c r="B14" s="433"/>
      <c r="C14" s="433"/>
      <c r="D14" s="433"/>
      <c r="E14" s="433"/>
      <c r="F14" s="433"/>
      <c r="G14" s="443"/>
      <c r="H14" s="441"/>
      <c r="I14" s="441"/>
      <c r="J14" s="441"/>
      <c r="K14" s="444"/>
    </row>
    <row r="15" spans="1:12" ht="12.75">
      <c r="A15" t="s">
        <v>508</v>
      </c>
      <c r="B15" s="433"/>
      <c r="C15" s="433"/>
      <c r="D15" s="433" t="e">
        <f>+#REF!*1000</f>
        <v>#REF!</v>
      </c>
      <c r="E15" s="433" t="e">
        <f t="shared" si="0"/>
        <v>#REF!</v>
      </c>
      <c r="F15" s="433"/>
      <c r="G15" s="443"/>
      <c r="H15" s="441">
        <v>0</v>
      </c>
      <c r="I15" s="441"/>
      <c r="J15" s="441">
        <v>2694061</v>
      </c>
      <c r="K15" s="444">
        <f>SUM(H15:J15)</f>
        <v>2694061</v>
      </c>
      <c r="L15" s="433" t="e">
        <f>+E15-K15</f>
        <v>#REF!</v>
      </c>
    </row>
    <row r="16" spans="1:12" ht="12.75">
      <c r="A16" t="s">
        <v>69</v>
      </c>
      <c r="B16" s="433" t="e">
        <f>+#REF!*1000</f>
        <v>#REF!</v>
      </c>
      <c r="C16" s="433" t="e">
        <f>+#REF!*1000</f>
        <v>#REF!</v>
      </c>
      <c r="D16" s="433"/>
      <c r="E16" s="433" t="e">
        <f t="shared" si="0"/>
        <v>#REF!</v>
      </c>
      <c r="F16" s="433"/>
      <c r="G16" s="443" t="s">
        <v>456</v>
      </c>
      <c r="H16" s="441">
        <v>21719609</v>
      </c>
      <c r="I16" s="441">
        <v>1156000</v>
      </c>
      <c r="J16" s="441"/>
      <c r="K16" s="444">
        <f>SUM(H16:J16)</f>
        <v>22875609</v>
      </c>
      <c r="L16" s="433" t="e">
        <f>+E16-K16</f>
        <v>#REF!</v>
      </c>
    </row>
    <row r="17" spans="1:12" ht="12.75">
      <c r="A17" s="435" t="s">
        <v>796</v>
      </c>
      <c r="B17" s="433"/>
      <c r="C17" s="433"/>
      <c r="D17" s="433"/>
      <c r="E17" s="433"/>
      <c r="F17" s="433"/>
      <c r="G17" s="443"/>
      <c r="H17" s="441"/>
      <c r="I17" s="441"/>
      <c r="J17" s="441"/>
      <c r="K17" s="444"/>
      <c r="L17" s="433"/>
    </row>
    <row r="18" spans="1:11" ht="12.75">
      <c r="A18" t="s">
        <v>790</v>
      </c>
      <c r="B18" s="434" t="e">
        <f>SUM(B8:B16)</f>
        <v>#REF!</v>
      </c>
      <c r="C18" s="434" t="e">
        <f>SUM(C8:C16)</f>
        <v>#REF!</v>
      </c>
      <c r="D18" s="434" t="e">
        <f>SUM(D8:D16)</f>
        <v>#REF!</v>
      </c>
      <c r="E18" s="434" t="e">
        <f>SUM(E8:E16)</f>
        <v>#REF!</v>
      </c>
      <c r="F18" s="433"/>
      <c r="G18" s="443"/>
      <c r="H18" s="434">
        <f>SUM(H8:H16)</f>
        <v>-581823</v>
      </c>
      <c r="I18" s="434">
        <f>SUM(I8:I16)</f>
        <v>-2243399</v>
      </c>
      <c r="J18" s="434">
        <f>SUM(J8:J16)</f>
        <v>2694061</v>
      </c>
      <c r="K18" s="445">
        <f>SUM(K8:K16)</f>
        <v>-131161</v>
      </c>
    </row>
    <row r="19" spans="2:11" ht="12.75">
      <c r="B19" s="433"/>
      <c r="C19" s="433"/>
      <c r="D19" s="433"/>
      <c r="E19" s="433"/>
      <c r="F19" s="433"/>
      <c r="G19" s="443"/>
      <c r="H19" s="441"/>
      <c r="I19" s="441"/>
      <c r="J19" s="441"/>
      <c r="K19" s="444"/>
    </row>
    <row r="20" spans="1:12" ht="12.75">
      <c r="A20" t="s">
        <v>553</v>
      </c>
      <c r="B20" s="433"/>
      <c r="C20" s="433"/>
      <c r="D20" s="433"/>
      <c r="E20" s="433" t="e">
        <f>+#REF!</f>
        <v>#REF!</v>
      </c>
      <c r="F20" s="433"/>
      <c r="G20" s="443"/>
      <c r="H20" s="441"/>
      <c r="I20" s="441"/>
      <c r="J20" s="441"/>
      <c r="K20" s="444">
        <v>13997631</v>
      </c>
      <c r="L20" s="433" t="e">
        <f>+E20-K20</f>
        <v>#REF!</v>
      </c>
    </row>
    <row r="21" spans="2:11" ht="12.75">
      <c r="B21" s="433"/>
      <c r="C21" s="433"/>
      <c r="D21" s="433"/>
      <c r="E21" s="433"/>
      <c r="F21" s="433"/>
      <c r="G21" s="443"/>
      <c r="H21" s="441"/>
      <c r="I21" s="441"/>
      <c r="J21" s="441"/>
      <c r="K21" s="444"/>
    </row>
    <row r="22" spans="1:11" ht="12.75">
      <c r="A22" s="436" t="s">
        <v>668</v>
      </c>
      <c r="B22" s="433"/>
      <c r="C22" s="433"/>
      <c r="D22" s="433"/>
      <c r="E22" s="433"/>
      <c r="F22" s="433"/>
      <c r="G22" s="443"/>
      <c r="H22" s="441"/>
      <c r="I22" s="441"/>
      <c r="J22" s="441"/>
      <c r="K22" s="444"/>
    </row>
    <row r="23" spans="1:12" ht="12.75">
      <c r="A23" s="435" t="s">
        <v>669</v>
      </c>
      <c r="B23" s="433"/>
      <c r="C23" s="433"/>
      <c r="D23" s="433" t="e">
        <f>+#REF!</f>
        <v>#REF!</v>
      </c>
      <c r="E23" s="433"/>
      <c r="F23" s="433"/>
      <c r="G23" s="443"/>
      <c r="H23" s="441"/>
      <c r="I23" s="441"/>
      <c r="J23" s="441">
        <v>-25391784</v>
      </c>
      <c r="K23" s="444"/>
      <c r="L23" s="433" t="e">
        <f>+D23-J23</f>
        <v>#REF!</v>
      </c>
    </row>
    <row r="24" spans="1:12" ht="12.75">
      <c r="A24" s="435" t="s">
        <v>670</v>
      </c>
      <c r="B24" s="433"/>
      <c r="C24" s="433"/>
      <c r="D24" s="433" t="e">
        <f>+#REF!</f>
        <v>#REF!</v>
      </c>
      <c r="E24" s="433"/>
      <c r="F24" s="433"/>
      <c r="G24" s="443"/>
      <c r="H24" s="441"/>
      <c r="I24" s="441"/>
      <c r="J24" s="441">
        <v>-3265000</v>
      </c>
      <c r="K24" s="444"/>
      <c r="L24" s="433" t="e">
        <f aca="true" t="shared" si="1" ref="L24:L32">+D24-J24</f>
        <v>#REF!</v>
      </c>
    </row>
    <row r="25" spans="1:12" ht="12.75">
      <c r="A25" s="435" t="s">
        <v>184</v>
      </c>
      <c r="B25" s="433"/>
      <c r="C25" s="433"/>
      <c r="D25" s="433" t="e">
        <f>+#REF!</f>
        <v>#REF!</v>
      </c>
      <c r="E25" s="433"/>
      <c r="F25" s="433"/>
      <c r="G25" s="443"/>
      <c r="H25" s="441"/>
      <c r="I25" s="441"/>
      <c r="J25" s="441">
        <v>-41798243</v>
      </c>
      <c r="K25" s="444"/>
      <c r="L25" s="433" t="e">
        <f t="shared" si="1"/>
        <v>#REF!</v>
      </c>
    </row>
    <row r="26" spans="1:12" ht="12.75">
      <c r="A26" s="435" t="s">
        <v>185</v>
      </c>
      <c r="B26" s="433"/>
      <c r="C26" s="433"/>
      <c r="D26" s="433" t="e">
        <f>+#REF!</f>
        <v>#REF!</v>
      </c>
      <c r="E26" s="433"/>
      <c r="F26" s="433"/>
      <c r="G26" s="443"/>
      <c r="H26" s="441"/>
      <c r="I26" s="441"/>
      <c r="J26" s="441">
        <v>3399399</v>
      </c>
      <c r="K26" s="444"/>
      <c r="L26" s="433" t="e">
        <f t="shared" si="1"/>
        <v>#REF!</v>
      </c>
    </row>
    <row r="27" spans="1:12" ht="12.75">
      <c r="A27" s="435" t="s">
        <v>186</v>
      </c>
      <c r="B27" s="433"/>
      <c r="C27" s="433"/>
      <c r="D27" s="433" t="e">
        <f>+#REF!</f>
        <v>#REF!</v>
      </c>
      <c r="E27" s="433"/>
      <c r="F27" s="433"/>
      <c r="G27" s="443"/>
      <c r="H27" s="441"/>
      <c r="I27" s="441"/>
      <c r="J27" s="441">
        <v>50279048</v>
      </c>
      <c r="K27" s="444"/>
      <c r="L27" s="433" t="e">
        <f t="shared" si="1"/>
        <v>#REF!</v>
      </c>
    </row>
    <row r="28" spans="1:12" ht="12.75">
      <c r="A28" s="435" t="s">
        <v>309</v>
      </c>
      <c r="B28" s="433"/>
      <c r="C28" s="433"/>
      <c r="D28" s="433" t="e">
        <f>+#REF!</f>
        <v>#REF!</v>
      </c>
      <c r="E28" s="433"/>
      <c r="F28" s="433"/>
      <c r="G28" s="443"/>
      <c r="H28" s="441"/>
      <c r="I28" s="441"/>
      <c r="J28" s="441">
        <v>3718591</v>
      </c>
      <c r="K28" s="444"/>
      <c r="L28" s="433" t="e">
        <f t="shared" si="1"/>
        <v>#REF!</v>
      </c>
    </row>
    <row r="29" spans="1:12" ht="12.75">
      <c r="A29" s="435" t="s">
        <v>644</v>
      </c>
      <c r="B29" s="433"/>
      <c r="C29" s="433"/>
      <c r="D29" s="433" t="e">
        <f>+#REF!</f>
        <v>#REF!</v>
      </c>
      <c r="E29" s="433"/>
      <c r="F29" s="433"/>
      <c r="G29" s="443"/>
      <c r="H29" s="441"/>
      <c r="I29" s="441"/>
      <c r="J29" s="441">
        <v>200000</v>
      </c>
      <c r="K29" s="444"/>
      <c r="L29" s="433" t="e">
        <f t="shared" si="1"/>
        <v>#REF!</v>
      </c>
    </row>
    <row r="30" spans="1:12" ht="12.75">
      <c r="A30" s="435" t="s">
        <v>645</v>
      </c>
      <c r="B30" s="433"/>
      <c r="C30" s="433"/>
      <c r="D30" s="433" t="e">
        <f>+#REF!</f>
        <v>#REF!</v>
      </c>
      <c r="E30" s="433"/>
      <c r="F30" s="433"/>
      <c r="G30" s="443"/>
      <c r="H30" s="441"/>
      <c r="I30" s="441"/>
      <c r="J30" s="441">
        <v>-500000</v>
      </c>
      <c r="K30" s="444"/>
      <c r="L30" s="433" t="e">
        <f t="shared" si="1"/>
        <v>#REF!</v>
      </c>
    </row>
    <row r="31" spans="1:12" ht="12.75">
      <c r="A31" s="435" t="s">
        <v>310</v>
      </c>
      <c r="B31" s="433"/>
      <c r="C31" s="433"/>
      <c r="D31" s="433" t="e">
        <f>+#REF!</f>
        <v>#REF!</v>
      </c>
      <c r="E31" s="433"/>
      <c r="F31" s="433"/>
      <c r="G31" s="443"/>
      <c r="H31" s="441"/>
      <c r="I31" s="441"/>
      <c r="J31" s="441">
        <v>-129718</v>
      </c>
      <c r="K31" s="444"/>
      <c r="L31" s="433" t="e">
        <f t="shared" si="1"/>
        <v>#REF!</v>
      </c>
    </row>
    <row r="32" spans="1:12" ht="12.75">
      <c r="A32" s="435" t="s">
        <v>643</v>
      </c>
      <c r="B32" s="433"/>
      <c r="C32" s="433"/>
      <c r="D32" s="433" t="e">
        <f>+#REF!</f>
        <v>#REF!</v>
      </c>
      <c r="E32" s="433"/>
      <c r="F32" s="433"/>
      <c r="G32" s="443"/>
      <c r="H32" s="441"/>
      <c r="I32" s="441"/>
      <c r="J32" s="441">
        <v>904955</v>
      </c>
      <c r="K32" s="444"/>
      <c r="L32" s="433" t="e">
        <f t="shared" si="1"/>
        <v>#REF!</v>
      </c>
    </row>
    <row r="33" spans="1:12" ht="12.75">
      <c r="A33" s="435" t="s">
        <v>558</v>
      </c>
      <c r="B33" s="433"/>
      <c r="C33" s="433"/>
      <c r="D33" s="433" t="e">
        <f>+#REF!</f>
        <v>#REF!</v>
      </c>
      <c r="E33" s="433"/>
      <c r="F33" s="433"/>
      <c r="G33" s="443"/>
      <c r="H33" s="441"/>
      <c r="I33" s="441"/>
      <c r="J33" s="441"/>
      <c r="K33" s="444"/>
      <c r="L33" s="433"/>
    </row>
    <row r="34" spans="2:11" ht="12.75">
      <c r="B34" s="433"/>
      <c r="C34" s="433"/>
      <c r="D34" s="434"/>
      <c r="E34" s="433" t="e">
        <f>SUM(D23:D33)</f>
        <v>#REF!</v>
      </c>
      <c r="F34" s="433"/>
      <c r="G34" s="443"/>
      <c r="H34" s="441"/>
      <c r="I34" s="441"/>
      <c r="J34" s="434"/>
      <c r="K34" s="444">
        <f>SUM(J23:J32)</f>
        <v>-12582752</v>
      </c>
    </row>
    <row r="35" spans="2:11" ht="12.75">
      <c r="B35" s="433"/>
      <c r="C35" s="433"/>
      <c r="D35" s="433"/>
      <c r="E35" s="433"/>
      <c r="F35" s="433"/>
      <c r="G35" s="443"/>
      <c r="H35" s="441"/>
      <c r="I35" s="441"/>
      <c r="J35" s="441"/>
      <c r="K35" s="444"/>
    </row>
    <row r="36" spans="1:11" ht="12.75">
      <c r="A36" s="430" t="s">
        <v>554</v>
      </c>
      <c r="B36" s="433"/>
      <c r="C36" s="433"/>
      <c r="D36" s="433"/>
      <c r="E36" s="433"/>
      <c r="F36" s="433"/>
      <c r="G36" s="443"/>
      <c r="H36" s="441"/>
      <c r="I36" s="441"/>
      <c r="J36" s="441"/>
      <c r="K36" s="444"/>
    </row>
    <row r="37" spans="1:12" ht="12.75">
      <c r="A37" s="435" t="s">
        <v>555</v>
      </c>
      <c r="D37" s="433" t="e">
        <f>+#REF!</f>
        <v>#REF!</v>
      </c>
      <c r="E37" s="433"/>
      <c r="G37" s="442"/>
      <c r="H37" s="441"/>
      <c r="I37" s="441"/>
      <c r="J37" s="441">
        <v>4031970</v>
      </c>
      <c r="K37" s="444"/>
      <c r="L37" s="433" t="e">
        <f>+D37-J37</f>
        <v>#REF!</v>
      </c>
    </row>
    <row r="38" spans="1:12" ht="12.75">
      <c r="A38" s="435" t="s">
        <v>556</v>
      </c>
      <c r="D38" s="433" t="e">
        <f>+#REF!</f>
        <v>#REF!</v>
      </c>
      <c r="E38" s="433"/>
      <c r="G38" s="442"/>
      <c r="H38" s="441"/>
      <c r="I38" s="441"/>
      <c r="J38" s="441">
        <v>2210118</v>
      </c>
      <c r="K38" s="444"/>
      <c r="L38" s="433" t="e">
        <f>+D38-J38</f>
        <v>#REF!</v>
      </c>
    </row>
    <row r="39" spans="1:12" ht="12.75">
      <c r="A39" s="435" t="s">
        <v>98</v>
      </c>
      <c r="D39" s="433" t="e">
        <f>+#REF!</f>
        <v>#REF!</v>
      </c>
      <c r="E39" s="433"/>
      <c r="G39" s="442"/>
      <c r="H39" s="441"/>
      <c r="I39" s="441"/>
      <c r="J39" s="441">
        <v>-7484603</v>
      </c>
      <c r="K39" s="444"/>
      <c r="L39" s="433" t="e">
        <f>+D39-J39</f>
        <v>#REF!</v>
      </c>
    </row>
    <row r="40" spans="1:12" ht="12.75">
      <c r="A40" s="435" t="s">
        <v>99</v>
      </c>
      <c r="D40" s="433">
        <v>-1969129</v>
      </c>
      <c r="E40" s="433"/>
      <c r="G40" s="442"/>
      <c r="H40" s="441"/>
      <c r="I40" s="441"/>
      <c r="J40" s="441">
        <v>-41203</v>
      </c>
      <c r="K40" s="444"/>
      <c r="L40" s="433">
        <f>+D40-J40</f>
        <v>-1927926</v>
      </c>
    </row>
    <row r="41" spans="4:11" ht="12.75">
      <c r="D41" s="434"/>
      <c r="E41" s="433" t="e">
        <f>SUM(D37:D40)</f>
        <v>#REF!</v>
      </c>
      <c r="G41" s="442"/>
      <c r="H41" s="441"/>
      <c r="I41" s="441"/>
      <c r="J41" s="434"/>
      <c r="K41" s="444">
        <f>SUM(J37:J40)</f>
        <v>-1283718</v>
      </c>
    </row>
    <row r="42" spans="4:12" ht="13.5" thickBot="1">
      <c r="D42" s="433"/>
      <c r="E42" s="437" t="e">
        <f>SUM(E18:E41)</f>
        <v>#REF!</v>
      </c>
      <c r="G42" s="442"/>
      <c r="H42" s="441"/>
      <c r="I42" s="441"/>
      <c r="J42" s="441"/>
      <c r="K42" s="447">
        <f>SUM(K18:K41)</f>
        <v>0</v>
      </c>
      <c r="L42" s="451" t="e">
        <f>SUM(L8:L41)</f>
        <v>#REF!</v>
      </c>
    </row>
    <row r="43" spans="4:11" ht="13.5" thickTop="1">
      <c r="D43" s="433"/>
      <c r="E43" s="433"/>
      <c r="G43" s="463"/>
      <c r="H43" s="464"/>
      <c r="I43" s="464"/>
      <c r="J43" s="464"/>
      <c r="K43" s="449"/>
    </row>
    <row r="44" spans="1:11" ht="13.5" thickBot="1">
      <c r="A44" t="s">
        <v>493</v>
      </c>
      <c r="D44" s="433"/>
      <c r="E44" s="466" t="e">
        <f>+#REF!*1000</f>
        <v>#REF!</v>
      </c>
      <c r="G44" s="92"/>
      <c r="H44" s="441"/>
      <c r="I44" s="441"/>
      <c r="J44" s="441"/>
      <c r="K44" s="441"/>
    </row>
    <row r="45" spans="4:11" ht="13.5" thickTop="1">
      <c r="D45" s="433"/>
      <c r="E45" s="433"/>
      <c r="G45" s="92"/>
      <c r="H45" s="441"/>
      <c r="I45" s="441"/>
      <c r="J45" s="441"/>
      <c r="K45" s="441"/>
    </row>
    <row r="46" spans="4:11" ht="12.75">
      <c r="D46" s="433"/>
      <c r="E46" s="433" t="e">
        <f>+E42-E44</f>
        <v>#REF!</v>
      </c>
      <c r="G46" s="92"/>
      <c r="H46" s="441"/>
      <c r="I46" s="441"/>
      <c r="J46" s="441"/>
      <c r="K46" s="441"/>
    </row>
    <row r="47" spans="4:11" ht="12.75">
      <c r="D47" s="433"/>
      <c r="E47" s="433"/>
      <c r="G47" s="92"/>
      <c r="H47" s="441"/>
      <c r="I47" s="441"/>
      <c r="J47" s="441"/>
      <c r="K47" s="441"/>
    </row>
    <row r="48" spans="4:11" ht="12.75">
      <c r="D48" s="433"/>
      <c r="E48" s="433"/>
      <c r="G48" s="92"/>
      <c r="H48" s="441"/>
      <c r="I48" s="441"/>
      <c r="J48" s="441"/>
      <c r="K48" s="441"/>
    </row>
    <row r="49" spans="4:11" ht="12.75">
      <c r="D49" s="433"/>
      <c r="E49" s="433"/>
      <c r="G49" s="92"/>
      <c r="H49" s="441"/>
      <c r="I49" s="433"/>
      <c r="J49" s="433"/>
      <c r="K49" s="433"/>
    </row>
    <row r="50" spans="1:11" ht="12.75">
      <c r="A50" s="298" t="s">
        <v>219</v>
      </c>
      <c r="D50" s="433"/>
      <c r="E50" s="433"/>
      <c r="G50" s="452" t="s">
        <v>219</v>
      </c>
      <c r="H50" s="445"/>
      <c r="I50" s="432" t="s">
        <v>107</v>
      </c>
      <c r="J50" s="433"/>
      <c r="K50" s="433"/>
    </row>
    <row r="51" spans="1:11" ht="12.75">
      <c r="A51" s="298"/>
      <c r="D51" s="433"/>
      <c r="E51" s="454" t="s">
        <v>20</v>
      </c>
      <c r="G51" s="450"/>
      <c r="H51" s="455" t="s">
        <v>21</v>
      </c>
      <c r="I51" s="432"/>
      <c r="J51" s="433"/>
      <c r="K51" s="433"/>
    </row>
    <row r="52" spans="1:11" ht="12.75">
      <c r="A52" s="298"/>
      <c r="D52" s="433"/>
      <c r="E52" s="432" t="s">
        <v>337</v>
      </c>
      <c r="G52" s="450"/>
      <c r="H52" s="455" t="s">
        <v>337</v>
      </c>
      <c r="I52" s="432"/>
      <c r="J52" s="433"/>
      <c r="K52" s="433"/>
    </row>
    <row r="53" spans="1:11" ht="12.75">
      <c r="A53" s="440" t="s">
        <v>481</v>
      </c>
      <c r="D53" s="433"/>
      <c r="E53" s="433">
        <v>0</v>
      </c>
      <c r="G53" s="443"/>
      <c r="H53" s="444">
        <v>700001</v>
      </c>
      <c r="I53" s="433">
        <f>+E53-H53</f>
        <v>-700001</v>
      </c>
      <c r="J53" s="433"/>
      <c r="K53" s="433"/>
    </row>
    <row r="54" spans="1:11" ht="12.75">
      <c r="A54" s="435" t="s">
        <v>100</v>
      </c>
      <c r="D54" s="433"/>
      <c r="E54" s="433" t="e">
        <f>+#REF!*1000</f>
        <v>#REF!</v>
      </c>
      <c r="G54" s="443"/>
      <c r="H54" s="444">
        <v>754876</v>
      </c>
      <c r="I54" s="433" t="e">
        <f>+E54-H54</f>
        <v>#REF!</v>
      </c>
      <c r="J54" s="433"/>
      <c r="K54" s="433"/>
    </row>
    <row r="55" spans="4:11" ht="12.75">
      <c r="D55" s="433"/>
      <c r="E55" s="434" t="e">
        <f>SUM(E54:E54)</f>
        <v>#REF!</v>
      </c>
      <c r="G55" s="443"/>
      <c r="H55" s="445">
        <f>SUM(H53:H54)</f>
        <v>1454877</v>
      </c>
      <c r="I55" s="433"/>
      <c r="J55" s="433"/>
      <c r="K55" s="433"/>
    </row>
    <row r="56" spans="1:11" ht="12.75">
      <c r="A56" s="430" t="s">
        <v>101</v>
      </c>
      <c r="D56" s="433"/>
      <c r="E56" s="433"/>
      <c r="G56" s="443"/>
      <c r="H56" s="444"/>
      <c r="I56" s="433"/>
      <c r="J56" s="433"/>
      <c r="K56" s="433"/>
    </row>
    <row r="57" spans="1:10" ht="12.75">
      <c r="A57" s="435" t="s">
        <v>19</v>
      </c>
      <c r="B57" s="433"/>
      <c r="D57" s="433" t="e">
        <f>+#REF!</f>
        <v>#REF!</v>
      </c>
      <c r="E57" s="433"/>
      <c r="G57" s="443">
        <v>9588732</v>
      </c>
      <c r="H57" s="444"/>
      <c r="I57" s="433" t="e">
        <f>+D57-G57</f>
        <v>#REF!</v>
      </c>
      <c r="J57" s="433"/>
    </row>
    <row r="58" spans="1:10" ht="12.75">
      <c r="A58" s="435" t="s">
        <v>612</v>
      </c>
      <c r="D58" s="433" t="e">
        <f>+#REF!</f>
        <v>#REF!</v>
      </c>
      <c r="E58" s="433"/>
      <c r="G58" s="443">
        <v>-754876</v>
      </c>
      <c r="H58" s="444"/>
      <c r="I58" s="433" t="e">
        <f aca="true" t="shared" si="2" ref="I58:I63">+D58-G58</f>
        <v>#REF!</v>
      </c>
      <c r="J58" s="433"/>
    </row>
    <row r="59" spans="1:10" ht="12.75">
      <c r="A59" s="435" t="s">
        <v>613</v>
      </c>
      <c r="B59" s="433"/>
      <c r="D59" s="433" t="e">
        <f>+#REF!</f>
        <v>#REF!</v>
      </c>
      <c r="E59" s="433"/>
      <c r="G59" s="443">
        <v>-83305</v>
      </c>
      <c r="H59" s="444"/>
      <c r="I59" s="433" t="e">
        <f t="shared" si="2"/>
        <v>#REF!</v>
      </c>
      <c r="J59" s="433"/>
    </row>
    <row r="60" spans="1:10" ht="12.75">
      <c r="A60" s="435" t="s">
        <v>18</v>
      </c>
      <c r="B60" s="433"/>
      <c r="D60" s="433" t="e">
        <f>+#REF!</f>
        <v>#REF!</v>
      </c>
      <c r="E60" s="433"/>
      <c r="G60" s="443">
        <v>663635</v>
      </c>
      <c r="H60" s="444"/>
      <c r="I60" s="433" t="e">
        <f t="shared" si="2"/>
        <v>#REF!</v>
      </c>
      <c r="J60" s="433"/>
    </row>
    <row r="61" spans="1:10" ht="12.75">
      <c r="A61" s="435" t="s">
        <v>614</v>
      </c>
      <c r="B61" s="433"/>
      <c r="D61" s="433" t="e">
        <f>+#REF!</f>
        <v>#REF!</v>
      </c>
      <c r="E61" s="433"/>
      <c r="G61" s="443">
        <v>-460408</v>
      </c>
      <c r="H61" s="444"/>
      <c r="I61" s="433" t="e">
        <f t="shared" si="2"/>
        <v>#REF!</v>
      </c>
      <c r="J61" s="433"/>
    </row>
    <row r="62" spans="1:10" ht="12.75">
      <c r="A62" s="435" t="s">
        <v>389</v>
      </c>
      <c r="D62" s="433" t="e">
        <f>+#REF!</f>
        <v>#REF!</v>
      </c>
      <c r="E62" s="433"/>
      <c r="G62" s="443">
        <v>696443</v>
      </c>
      <c r="H62" s="444"/>
      <c r="I62" s="433" t="e">
        <f t="shared" si="2"/>
        <v>#REF!</v>
      </c>
      <c r="J62" s="433"/>
    </row>
    <row r="63" spans="1:10" ht="12.75">
      <c r="A63" s="435" t="s">
        <v>615</v>
      </c>
      <c r="D63" s="433" t="e">
        <f>+#REF!</f>
        <v>#REF!</v>
      </c>
      <c r="E63" s="433"/>
      <c r="G63" s="443">
        <v>-700001</v>
      </c>
      <c r="H63" s="444"/>
      <c r="I63" s="433" t="e">
        <f t="shared" si="2"/>
        <v>#REF!</v>
      </c>
      <c r="J63" s="433"/>
    </row>
    <row r="64" spans="4:10" ht="12.75">
      <c r="D64" s="434"/>
      <c r="E64" s="433" t="e">
        <f>SUM(D57:D63)</f>
        <v>#REF!</v>
      </c>
      <c r="G64" s="446"/>
      <c r="H64" s="444">
        <f>SUM(G57:G63)</f>
        <v>8950220</v>
      </c>
      <c r="I64" s="433"/>
      <c r="J64" s="433"/>
    </row>
    <row r="65" spans="4:10" ht="13.5" thickBot="1">
      <c r="D65" s="433"/>
      <c r="E65" s="437" t="e">
        <f>SUM(E55:E64)</f>
        <v>#REF!</v>
      </c>
      <c r="G65" s="443"/>
      <c r="H65" s="447">
        <f>SUM(H55:H64)</f>
        <v>10405097</v>
      </c>
      <c r="I65" s="451" t="e">
        <f>SUM(I53:I64)</f>
        <v>#REF!</v>
      </c>
      <c r="J65" s="433"/>
    </row>
    <row r="66" spans="4:10" ht="13.5" thickTop="1">
      <c r="D66" s="433"/>
      <c r="E66" s="433"/>
      <c r="G66" s="448"/>
      <c r="H66" s="449"/>
      <c r="I66" s="433"/>
      <c r="J66" s="433"/>
    </row>
    <row r="67" spans="1:10" ht="13.5" thickBot="1">
      <c r="A67" t="s">
        <v>493</v>
      </c>
      <c r="D67" s="433"/>
      <c r="E67" s="466" t="e">
        <f>+#REF!*1000</f>
        <v>#REF!</v>
      </c>
      <c r="G67" s="433"/>
      <c r="H67" s="433"/>
      <c r="I67" s="433"/>
      <c r="J67" s="433"/>
    </row>
    <row r="68" spans="4:10" ht="13.5" thickTop="1">
      <c r="D68" s="433"/>
      <c r="E68" s="433"/>
      <c r="G68" s="433"/>
      <c r="H68" s="433"/>
      <c r="I68" s="433"/>
      <c r="J68" s="433"/>
    </row>
    <row r="69" spans="4:10" ht="12.75">
      <c r="D69" s="433"/>
      <c r="E69" s="433" t="e">
        <f>+E65-E67</f>
        <v>#REF!</v>
      </c>
      <c r="G69" s="433"/>
      <c r="H69" s="433"/>
      <c r="I69" s="433"/>
      <c r="J69" s="433"/>
    </row>
    <row r="70" spans="4:10" ht="12.75">
      <c r="D70" s="433"/>
      <c r="E70" s="433"/>
      <c r="G70" s="433"/>
      <c r="H70" s="433"/>
      <c r="I70" s="433"/>
      <c r="J70" s="433"/>
    </row>
    <row r="71" spans="4:10" ht="12.75">
      <c r="D71" s="433"/>
      <c r="E71" s="433"/>
      <c r="G71" s="433"/>
      <c r="H71" s="433"/>
      <c r="I71" s="433"/>
      <c r="J71" s="433"/>
    </row>
    <row r="72" spans="4:10" ht="12.75">
      <c r="D72" s="433"/>
      <c r="E72" s="433"/>
      <c r="G72" s="433"/>
      <c r="H72" s="433"/>
      <c r="I72" s="433"/>
      <c r="J72" s="433"/>
    </row>
    <row r="73" spans="4:10" ht="12.75">
      <c r="D73" s="433"/>
      <c r="E73" s="433"/>
      <c r="G73" s="433"/>
      <c r="H73" s="433"/>
      <c r="I73" s="433"/>
      <c r="J73" s="433"/>
    </row>
    <row r="74" spans="4:10" ht="12.75">
      <c r="D74" s="433"/>
      <c r="E74" s="433"/>
      <c r="G74" s="433"/>
      <c r="H74" s="433"/>
      <c r="I74" s="433"/>
      <c r="J74" s="433"/>
    </row>
    <row r="75" spans="4:10" ht="12.75">
      <c r="D75" s="433"/>
      <c r="E75" s="433"/>
      <c r="G75" s="433"/>
      <c r="H75" s="433"/>
      <c r="I75" s="433"/>
      <c r="J75" s="433"/>
    </row>
    <row r="76" spans="4:10" ht="12.75">
      <c r="D76" s="433"/>
      <c r="E76" s="433"/>
      <c r="G76" s="433"/>
      <c r="H76" s="433"/>
      <c r="I76" s="433"/>
      <c r="J76" s="433"/>
    </row>
    <row r="77" spans="4:5" ht="12.75">
      <c r="D77" s="433"/>
      <c r="E77" s="433"/>
    </row>
    <row r="78" spans="4:5" ht="12.75">
      <c r="D78" s="433"/>
      <c r="E78" s="433"/>
    </row>
    <row r="79" spans="4:5" ht="12.75">
      <c r="D79" s="433"/>
      <c r="E79" s="433"/>
    </row>
    <row r="80" spans="4:5" ht="12.75">
      <c r="D80" s="433"/>
      <c r="E80" s="433"/>
    </row>
    <row r="81" spans="4:5" ht="12.75">
      <c r="D81" s="433"/>
      <c r="E81" s="433"/>
    </row>
    <row r="82" spans="4:5" ht="12.75">
      <c r="D82" s="433"/>
      <c r="E82" s="433"/>
    </row>
    <row r="83" spans="4:5" ht="12.75">
      <c r="D83" s="433"/>
      <c r="E83" s="433"/>
    </row>
    <row r="84" spans="4:5" ht="12.75">
      <c r="D84" s="433"/>
      <c r="E84" s="433"/>
    </row>
  </sheetData>
  <mergeCells count="1">
    <mergeCell ref="G2:H2"/>
  </mergeCells>
  <printOptions/>
  <pageMargins left="0.75" right="0.75" top="1" bottom="1" header="0.5" footer="0.5"/>
  <pageSetup horizontalDpi="600" verticalDpi="600" orientation="portrait" scale="38" r:id="rId1"/>
</worksheet>
</file>

<file path=xl/worksheets/sheet17.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K31"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59"/>
    </row>
    <row r="2" ht="12.75">
      <c r="A2" s="59"/>
    </row>
    <row r="4" ht="12.75">
      <c r="A4" s="64"/>
    </row>
    <row r="6" spans="2:15" ht="12.75">
      <c r="B6" s="23"/>
      <c r="C6" s="24"/>
      <c r="D6" s="69"/>
      <c r="E6" s="70"/>
      <c r="G6" s="161"/>
      <c r="H6" s="24"/>
      <c r="I6" s="69"/>
      <c r="J6" s="70"/>
      <c r="L6" s="161"/>
      <c r="M6" s="24"/>
      <c r="N6" s="69"/>
      <c r="O6" s="70"/>
    </row>
    <row r="7" spans="2:15" ht="12.75">
      <c r="B7" s="71"/>
      <c r="C7" s="60"/>
      <c r="D7" s="72"/>
      <c r="E7" s="73"/>
      <c r="G7" s="71"/>
      <c r="H7" s="60"/>
      <c r="I7" s="72"/>
      <c r="J7" s="73"/>
      <c r="L7" s="71"/>
      <c r="M7" s="60"/>
      <c r="N7" s="72"/>
      <c r="O7" s="73"/>
    </row>
    <row r="8" spans="2:15" ht="12.75">
      <c r="B8" s="74"/>
      <c r="C8" s="60"/>
      <c r="D8" s="60"/>
      <c r="E8" s="75"/>
      <c r="G8" s="74"/>
      <c r="H8" s="60"/>
      <c r="I8" s="60"/>
      <c r="J8" s="75"/>
      <c r="L8" s="74"/>
      <c r="M8" s="60"/>
      <c r="N8" s="60"/>
      <c r="O8" s="75"/>
    </row>
    <row r="9" spans="2:15" ht="12.75">
      <c r="B9" s="74"/>
      <c r="C9" s="60"/>
      <c r="D9" s="60"/>
      <c r="E9" s="75"/>
      <c r="G9" s="74"/>
      <c r="H9" s="60"/>
      <c r="I9" s="60"/>
      <c r="J9" s="75"/>
      <c r="L9" s="74"/>
      <c r="M9" s="60"/>
      <c r="N9" s="60"/>
      <c r="O9" s="75"/>
    </row>
    <row r="10" spans="2:15" ht="12.75">
      <c r="B10" s="74"/>
      <c r="C10" s="60"/>
      <c r="D10" s="60"/>
      <c r="E10" s="75"/>
      <c r="G10" s="74"/>
      <c r="H10" s="60"/>
      <c r="I10" s="60"/>
      <c r="J10" s="75"/>
      <c r="L10" s="74"/>
      <c r="M10" s="60"/>
      <c r="N10" s="60"/>
      <c r="O10" s="75"/>
    </row>
    <row r="11" spans="2:15" ht="12.75">
      <c r="B11" s="76"/>
      <c r="C11" s="49"/>
      <c r="D11" s="49"/>
      <c r="E11" s="77"/>
      <c r="G11" s="76"/>
      <c r="H11" s="84"/>
      <c r="I11" s="49"/>
      <c r="J11" s="77"/>
      <c r="L11" s="76"/>
      <c r="M11" s="49"/>
      <c r="N11" s="49"/>
      <c r="O11" s="77"/>
    </row>
    <row r="12" spans="2:15" ht="12.75">
      <c r="B12" s="76"/>
      <c r="C12" s="49"/>
      <c r="D12" s="49"/>
      <c r="E12" s="77"/>
      <c r="G12" s="76"/>
      <c r="H12" s="84"/>
      <c r="I12" s="49"/>
      <c r="J12" s="77"/>
      <c r="L12" s="76"/>
      <c r="M12" s="49"/>
      <c r="N12" s="49"/>
      <c r="O12" s="77"/>
    </row>
    <row r="13" spans="2:15" ht="12.75">
      <c r="B13" s="76"/>
      <c r="C13" s="49"/>
      <c r="D13" s="49"/>
      <c r="E13" s="77"/>
      <c r="G13" s="76"/>
      <c r="H13" s="84"/>
      <c r="I13" s="49"/>
      <c r="J13" s="77"/>
      <c r="L13" s="76"/>
      <c r="M13" s="49"/>
      <c r="N13" s="49"/>
      <c r="O13" s="77"/>
    </row>
    <row r="14" spans="2:15" ht="12.75">
      <c r="B14" s="76"/>
      <c r="C14" s="49"/>
      <c r="D14" s="49"/>
      <c r="E14" s="77"/>
      <c r="G14" s="76"/>
      <c r="J14" s="77"/>
      <c r="L14" s="76"/>
      <c r="M14" s="49"/>
      <c r="N14" s="49"/>
      <c r="O14" s="77"/>
    </row>
    <row r="15" spans="2:15" ht="12.75">
      <c r="B15" s="76"/>
      <c r="C15" s="49"/>
      <c r="D15" s="49"/>
      <c r="E15" s="77"/>
      <c r="G15" s="76"/>
      <c r="H15" s="160"/>
      <c r="I15" s="159"/>
      <c r="J15" s="77"/>
      <c r="L15" s="76"/>
      <c r="M15" s="49"/>
      <c r="N15" s="49"/>
      <c r="O15" s="77"/>
    </row>
    <row r="16" spans="2:15" ht="12.75">
      <c r="B16" s="76"/>
      <c r="C16" s="49"/>
      <c r="D16" s="49"/>
      <c r="E16" s="77"/>
      <c r="G16" s="76"/>
      <c r="H16" s="84"/>
      <c r="I16" s="49"/>
      <c r="J16" s="77"/>
      <c r="L16" s="76"/>
      <c r="M16" s="49"/>
      <c r="N16" s="49"/>
      <c r="O16" s="77"/>
    </row>
    <row r="17" spans="2:15" ht="12.75">
      <c r="B17" s="76"/>
      <c r="C17" s="49"/>
      <c r="D17" s="49"/>
      <c r="E17" s="77"/>
      <c r="G17" s="76"/>
      <c r="H17" s="84"/>
      <c r="I17" s="49"/>
      <c r="J17" s="77"/>
      <c r="L17" s="76"/>
      <c r="M17" s="49"/>
      <c r="N17" s="49"/>
      <c r="O17" s="77"/>
    </row>
    <row r="18" spans="2:15" ht="12.75">
      <c r="B18" s="76"/>
      <c r="C18" s="49"/>
      <c r="D18" s="49"/>
      <c r="E18" s="77"/>
      <c r="G18" s="76"/>
      <c r="H18" s="84"/>
      <c r="I18" s="49"/>
      <c r="J18" s="77"/>
      <c r="L18" s="76"/>
      <c r="M18" s="49"/>
      <c r="N18" s="49"/>
      <c r="O18" s="77"/>
    </row>
    <row r="19" spans="2:15" ht="12.75">
      <c r="B19" s="76"/>
      <c r="C19" s="49"/>
      <c r="D19" s="49"/>
      <c r="E19" s="77"/>
      <c r="G19" s="76"/>
      <c r="H19" s="160"/>
      <c r="I19" s="159"/>
      <c r="J19" s="77"/>
      <c r="L19" s="76"/>
      <c r="M19" s="49"/>
      <c r="N19" s="49"/>
      <c r="O19" s="77"/>
    </row>
    <row r="20" spans="2:15" ht="12.75">
      <c r="B20" s="76"/>
      <c r="C20" s="49"/>
      <c r="D20" s="49"/>
      <c r="E20" s="77"/>
      <c r="G20" s="76"/>
      <c r="H20" s="84"/>
      <c r="I20" s="49"/>
      <c r="J20" s="77"/>
      <c r="L20" s="76"/>
      <c r="M20" s="49"/>
      <c r="N20" s="49"/>
      <c r="O20" s="77"/>
    </row>
    <row r="21" spans="2:15" ht="12.75">
      <c r="B21" s="76"/>
      <c r="C21" s="49"/>
      <c r="D21" s="49"/>
      <c r="E21" s="77"/>
      <c r="G21" s="76"/>
      <c r="H21" s="84"/>
      <c r="I21" s="49"/>
      <c r="J21" s="77"/>
      <c r="L21" s="76"/>
      <c r="M21" s="49"/>
      <c r="N21" s="49"/>
      <c r="O21" s="77"/>
    </row>
    <row r="22" spans="2:15" ht="12.75">
      <c r="B22" s="76"/>
      <c r="C22" s="49"/>
      <c r="D22" s="49"/>
      <c r="E22" s="77"/>
      <c r="G22" s="76"/>
      <c r="H22" s="84"/>
      <c r="I22" s="49"/>
      <c r="J22" s="77"/>
      <c r="L22" s="76"/>
      <c r="M22" s="49"/>
      <c r="N22" s="49"/>
      <c r="O22" s="77"/>
    </row>
    <row r="23" spans="2:15" ht="12.75">
      <c r="B23" s="76"/>
      <c r="C23" s="49"/>
      <c r="D23" s="49"/>
      <c r="E23" s="77"/>
      <c r="G23" s="76"/>
      <c r="H23" s="84"/>
      <c r="I23" s="49"/>
      <c r="J23" s="77"/>
      <c r="L23" s="76"/>
      <c r="M23" s="49"/>
      <c r="N23" s="49"/>
      <c r="O23" s="77"/>
    </row>
    <row r="24" spans="2:15" ht="12.75">
      <c r="B24" s="76"/>
      <c r="C24" s="49"/>
      <c r="D24" s="49"/>
      <c r="E24" s="77"/>
      <c r="G24" s="76"/>
      <c r="H24" s="160"/>
      <c r="I24" s="159"/>
      <c r="J24" s="77"/>
      <c r="L24" s="76"/>
      <c r="M24" s="49"/>
      <c r="N24" s="49"/>
      <c r="O24" s="77"/>
    </row>
    <row r="25" spans="2:15" ht="12.75">
      <c r="B25" s="76"/>
      <c r="C25" s="49"/>
      <c r="D25" s="49"/>
      <c r="E25" s="77"/>
      <c r="G25" s="76"/>
      <c r="H25" s="84"/>
      <c r="I25" s="49"/>
      <c r="J25" s="77"/>
      <c r="L25" s="76"/>
      <c r="M25" s="49"/>
      <c r="N25" s="49"/>
      <c r="O25" s="77"/>
    </row>
    <row r="26" spans="2:15" ht="12.75">
      <c r="B26" s="76"/>
      <c r="C26" s="49"/>
      <c r="D26" s="49"/>
      <c r="E26" s="77"/>
      <c r="G26" s="76"/>
      <c r="H26" s="84"/>
      <c r="I26" s="49"/>
      <c r="J26" s="77"/>
      <c r="L26" s="76"/>
      <c r="M26" s="49"/>
      <c r="N26" s="49"/>
      <c r="O26" s="77"/>
    </row>
    <row r="27" spans="2:15" ht="12.75">
      <c r="B27" s="76"/>
      <c r="C27" s="49"/>
      <c r="D27" s="49"/>
      <c r="E27" s="77"/>
      <c r="G27" s="76"/>
      <c r="H27" s="84"/>
      <c r="I27" s="49"/>
      <c r="J27" s="77"/>
      <c r="L27" s="76"/>
      <c r="M27" s="49"/>
      <c r="N27" s="49"/>
      <c r="O27" s="77"/>
    </row>
    <row r="28" spans="2:15" ht="12.75">
      <c r="B28" s="46"/>
      <c r="C28" s="60"/>
      <c r="D28" s="63"/>
      <c r="E28" s="47"/>
      <c r="G28" s="46"/>
      <c r="H28" s="60"/>
      <c r="I28" s="63"/>
      <c r="J28" s="47"/>
      <c r="L28" s="46"/>
      <c r="M28" s="60"/>
      <c r="N28" s="63"/>
      <c r="O28" s="47"/>
    </row>
    <row r="29" spans="2:15" ht="12.75">
      <c r="B29" s="74"/>
      <c r="C29" s="60"/>
      <c r="D29" s="60"/>
      <c r="E29" s="75"/>
      <c r="G29" s="74"/>
      <c r="H29" s="60"/>
      <c r="I29" s="60"/>
      <c r="J29" s="81"/>
      <c r="L29" s="74"/>
      <c r="M29" s="60"/>
      <c r="N29" s="60"/>
      <c r="O29" s="75"/>
    </row>
    <row r="30" spans="2:15" ht="12.75">
      <c r="B30" s="74"/>
      <c r="C30" s="60"/>
      <c r="D30" s="60"/>
      <c r="E30" s="75"/>
      <c r="G30" s="74"/>
      <c r="H30" s="60"/>
      <c r="I30" s="60"/>
      <c r="J30" s="75"/>
      <c r="L30" s="74"/>
      <c r="M30" s="60"/>
      <c r="N30" s="60"/>
      <c r="O30" s="75"/>
    </row>
    <row r="31" spans="2:15" ht="12.75">
      <c r="B31" s="74"/>
      <c r="C31" s="60"/>
      <c r="D31" s="60"/>
      <c r="E31" s="75"/>
      <c r="G31" s="74"/>
      <c r="H31" s="60"/>
      <c r="I31" s="60"/>
      <c r="J31" s="75"/>
      <c r="L31" s="74"/>
      <c r="M31" s="60"/>
      <c r="N31" s="60"/>
      <c r="O31" s="75"/>
    </row>
    <row r="32" spans="2:15" ht="12.75">
      <c r="B32" s="76"/>
      <c r="C32" s="49"/>
      <c r="D32" s="49"/>
      <c r="E32" s="77"/>
      <c r="G32" s="76"/>
      <c r="H32" s="49"/>
      <c r="I32" s="49"/>
      <c r="J32" s="77"/>
      <c r="L32" s="76"/>
      <c r="M32" s="49"/>
      <c r="N32" s="49"/>
      <c r="O32" s="77"/>
    </row>
    <row r="33" spans="2:15" ht="12.75">
      <c r="B33" s="76"/>
      <c r="C33" s="49"/>
      <c r="D33" s="49"/>
      <c r="E33" s="77"/>
      <c r="G33" s="76"/>
      <c r="H33" s="49"/>
      <c r="I33" s="49"/>
      <c r="J33" s="77"/>
      <c r="L33" s="76"/>
      <c r="M33" s="49"/>
      <c r="N33" s="49"/>
      <c r="O33" s="77"/>
    </row>
    <row r="34" spans="2:15" ht="12.75">
      <c r="B34" s="76"/>
      <c r="C34" s="49"/>
      <c r="D34" s="49"/>
      <c r="E34" s="77"/>
      <c r="G34" s="76"/>
      <c r="H34" s="49"/>
      <c r="I34" s="49"/>
      <c r="J34" s="77"/>
      <c r="L34" s="76"/>
      <c r="M34" s="49"/>
      <c r="N34" s="49"/>
      <c r="O34" s="77"/>
    </row>
    <row r="35" spans="2:15" ht="12.75">
      <c r="B35" s="76"/>
      <c r="C35" s="49"/>
      <c r="D35" s="49"/>
      <c r="E35" s="77"/>
      <c r="G35" s="76"/>
      <c r="H35" s="49"/>
      <c r="I35" s="49"/>
      <c r="J35" s="77"/>
      <c r="L35" s="76"/>
      <c r="M35" s="49"/>
      <c r="N35" s="49"/>
      <c r="O35" s="77"/>
    </row>
    <row r="36" spans="2:15" ht="12.75">
      <c r="B36" s="76"/>
      <c r="C36" s="49"/>
      <c r="D36" s="49"/>
      <c r="E36" s="77"/>
      <c r="G36" s="76"/>
      <c r="H36" s="49"/>
      <c r="I36" s="49"/>
      <c r="J36" s="77"/>
      <c r="L36" s="76"/>
      <c r="M36" s="49"/>
      <c r="N36" s="49"/>
      <c r="O36" s="77"/>
    </row>
    <row r="37" spans="2:15" ht="12.75">
      <c r="B37" s="76"/>
      <c r="C37" s="49"/>
      <c r="D37" s="49"/>
      <c r="E37" s="77"/>
      <c r="G37" s="76"/>
      <c r="H37" s="49"/>
      <c r="I37" s="49"/>
      <c r="J37" s="77"/>
      <c r="L37" s="76"/>
      <c r="M37" s="49"/>
      <c r="N37" s="49"/>
      <c r="O37" s="77"/>
    </row>
    <row r="38" spans="2:15" ht="12.75">
      <c r="B38" s="76"/>
      <c r="C38" s="49"/>
      <c r="D38" s="49"/>
      <c r="E38" s="77"/>
      <c r="G38" s="76"/>
      <c r="H38" s="49"/>
      <c r="I38" s="49"/>
      <c r="J38" s="77"/>
      <c r="L38" s="76"/>
      <c r="M38" s="49"/>
      <c r="N38" s="49"/>
      <c r="O38" s="77"/>
    </row>
    <row r="39" spans="2:15" ht="12.75">
      <c r="B39" s="76"/>
      <c r="C39" s="49"/>
      <c r="D39" s="49"/>
      <c r="E39" s="77"/>
      <c r="G39" s="76"/>
      <c r="H39" s="49"/>
      <c r="I39" s="49"/>
      <c r="J39" s="77"/>
      <c r="L39" s="76"/>
      <c r="M39" s="49"/>
      <c r="N39" s="49"/>
      <c r="O39" s="77"/>
    </row>
    <row r="40" spans="2:15" ht="12.75">
      <c r="B40" s="76"/>
      <c r="C40" s="49"/>
      <c r="D40" s="49"/>
      <c r="E40" s="77"/>
      <c r="G40" s="76"/>
      <c r="H40" s="49"/>
      <c r="I40" s="49"/>
      <c r="J40" s="77"/>
      <c r="L40" s="76"/>
      <c r="M40" s="49"/>
      <c r="N40" s="49"/>
      <c r="O40" s="77"/>
    </row>
    <row r="41" spans="2:15" ht="12.75">
      <c r="B41" s="76"/>
      <c r="C41" s="49"/>
      <c r="D41" s="49"/>
      <c r="E41" s="77"/>
      <c r="G41" s="76"/>
      <c r="H41" s="49"/>
      <c r="I41" s="49"/>
      <c r="J41" s="77"/>
      <c r="L41" s="76"/>
      <c r="M41" s="49"/>
      <c r="N41" s="49"/>
      <c r="O41" s="77"/>
    </row>
    <row r="42" spans="2:15" ht="12.75">
      <c r="B42" s="76"/>
      <c r="C42" s="49"/>
      <c r="D42" s="49"/>
      <c r="E42" s="77"/>
      <c r="G42" s="76"/>
      <c r="H42" s="49"/>
      <c r="I42" s="49"/>
      <c r="J42" s="77"/>
      <c r="L42" s="76"/>
      <c r="M42" s="49"/>
      <c r="N42" s="49"/>
      <c r="O42" s="77"/>
    </row>
    <row r="43" spans="2:15" ht="12.75">
      <c r="B43" s="76"/>
      <c r="C43" s="49"/>
      <c r="D43" s="49"/>
      <c r="E43" s="77"/>
      <c r="G43" s="76"/>
      <c r="H43" s="49"/>
      <c r="I43" s="49"/>
      <c r="J43" s="77"/>
      <c r="L43" s="76"/>
      <c r="M43" s="49"/>
      <c r="N43" s="49"/>
      <c r="O43" s="77"/>
    </row>
    <row r="44" spans="2:15" ht="12.75">
      <c r="B44" s="79"/>
      <c r="C44" s="60"/>
      <c r="D44" s="67"/>
      <c r="E44" s="80"/>
      <c r="G44" s="79"/>
      <c r="H44" s="60"/>
      <c r="I44" s="67"/>
      <c r="J44" s="80"/>
      <c r="L44" s="79"/>
      <c r="M44" s="60"/>
      <c r="N44" s="67"/>
      <c r="O44" s="80"/>
    </row>
    <row r="45" spans="2:15" ht="12.75">
      <c r="B45" s="74"/>
      <c r="C45" s="60"/>
      <c r="D45" s="83"/>
      <c r="E45" s="75"/>
      <c r="G45" s="74"/>
      <c r="H45" s="60"/>
      <c r="I45" s="60"/>
      <c r="J45" s="75"/>
      <c r="L45" s="74"/>
      <c r="M45" s="60"/>
      <c r="N45" s="60"/>
      <c r="O45" s="75"/>
    </row>
    <row r="46" spans="2:15" ht="12.75">
      <c r="B46" s="74"/>
      <c r="C46" s="60"/>
      <c r="D46" s="88"/>
      <c r="E46" s="75"/>
      <c r="G46" s="74"/>
      <c r="H46" s="60"/>
      <c r="I46" s="60"/>
      <c r="J46" s="75"/>
      <c r="L46" s="74"/>
      <c r="M46" s="60"/>
      <c r="N46" s="60"/>
      <c r="O46" s="75"/>
    </row>
    <row r="47" spans="2:15" ht="12.75">
      <c r="B47" s="74"/>
      <c r="C47" s="60"/>
      <c r="D47" s="60"/>
      <c r="E47" s="75"/>
      <c r="G47" s="74"/>
      <c r="H47" s="60"/>
      <c r="I47" s="60"/>
      <c r="J47" s="75"/>
      <c r="L47" s="74"/>
      <c r="M47" s="60"/>
      <c r="N47" s="60"/>
      <c r="O47" s="75"/>
    </row>
    <row r="48" spans="2:15" ht="12.75">
      <c r="B48" s="76"/>
      <c r="C48" s="49"/>
      <c r="D48" s="49"/>
      <c r="E48" s="77"/>
      <c r="G48" s="76"/>
      <c r="H48" s="49"/>
      <c r="I48" s="49"/>
      <c r="J48" s="77"/>
      <c r="L48" s="76"/>
      <c r="M48" s="49"/>
      <c r="N48" s="49"/>
      <c r="O48" s="77"/>
    </row>
    <row r="49" spans="2:15" ht="12.75">
      <c r="B49" s="76"/>
      <c r="E49" s="77"/>
      <c r="G49" s="76"/>
      <c r="H49" s="49"/>
      <c r="I49" s="49"/>
      <c r="J49" s="77"/>
      <c r="L49" s="76"/>
      <c r="M49" s="49"/>
      <c r="N49" s="49"/>
      <c r="O49" s="77"/>
    </row>
    <row r="50" spans="2:15" ht="12.75">
      <c r="B50" s="76"/>
      <c r="C50" s="49"/>
      <c r="D50" s="49"/>
      <c r="E50" s="77"/>
      <c r="G50" s="76"/>
      <c r="H50" s="49"/>
      <c r="I50" s="49"/>
      <c r="J50" s="77"/>
      <c r="L50" s="76"/>
      <c r="M50" s="49"/>
      <c r="N50" s="49"/>
      <c r="O50" s="77"/>
    </row>
    <row r="51" spans="2:15" ht="12.75">
      <c r="B51" s="76"/>
      <c r="C51" s="49"/>
      <c r="D51" s="49"/>
      <c r="E51" s="77"/>
      <c r="G51" s="76"/>
      <c r="H51" s="9"/>
      <c r="I51" s="1"/>
      <c r="J51" s="77"/>
      <c r="L51" s="76"/>
      <c r="M51" s="49"/>
      <c r="N51" s="49"/>
      <c r="O51" s="77"/>
    </row>
    <row r="52" spans="2:15" ht="12.75">
      <c r="B52" s="76"/>
      <c r="C52" s="49"/>
      <c r="D52" s="49"/>
      <c r="E52" s="77"/>
      <c r="G52" s="76"/>
      <c r="H52" s="9"/>
      <c r="I52" s="1"/>
      <c r="J52" s="77"/>
      <c r="L52" s="76"/>
      <c r="M52" s="49"/>
      <c r="N52" s="49"/>
      <c r="O52" s="77"/>
    </row>
    <row r="53" spans="2:15" ht="12.75">
      <c r="B53" s="76"/>
      <c r="C53" s="49"/>
      <c r="D53" s="49"/>
      <c r="E53" s="77"/>
      <c r="G53" s="76"/>
      <c r="J53" s="77"/>
      <c r="L53" s="76"/>
      <c r="M53" s="49"/>
      <c r="N53" s="49"/>
      <c r="O53" s="77"/>
    </row>
    <row r="54" spans="2:15" ht="12.75">
      <c r="B54" s="76"/>
      <c r="C54" s="49"/>
      <c r="D54" s="49"/>
      <c r="E54" s="77"/>
      <c r="G54" s="76"/>
      <c r="H54" s="49"/>
      <c r="I54" s="49"/>
      <c r="J54" s="77"/>
      <c r="L54" s="76"/>
      <c r="M54" s="49"/>
      <c r="N54" s="49"/>
      <c r="O54" s="77"/>
    </row>
    <row r="55" spans="2:15" ht="12.75">
      <c r="B55" s="76"/>
      <c r="C55" s="49"/>
      <c r="D55" s="49"/>
      <c r="E55" s="77"/>
      <c r="G55" s="76"/>
      <c r="H55" s="49"/>
      <c r="I55" s="49"/>
      <c r="J55" s="77"/>
      <c r="L55" s="76"/>
      <c r="M55" s="49"/>
      <c r="N55" s="49"/>
      <c r="O55" s="77"/>
    </row>
    <row r="56" spans="2:15" ht="12.75">
      <c r="B56" s="76"/>
      <c r="C56" s="49"/>
      <c r="D56" s="49"/>
      <c r="E56" s="77"/>
      <c r="G56" s="76"/>
      <c r="H56" s="49"/>
      <c r="I56" s="49"/>
      <c r="J56" s="77"/>
      <c r="L56" s="76"/>
      <c r="M56" s="49"/>
      <c r="N56" s="49"/>
      <c r="O56" s="77"/>
    </row>
    <row r="57" spans="2:15" ht="12.75">
      <c r="B57" s="76"/>
      <c r="C57" s="49"/>
      <c r="D57" s="49"/>
      <c r="E57" s="77"/>
      <c r="G57" s="76"/>
      <c r="H57" s="49"/>
      <c r="I57" s="49"/>
      <c r="J57" s="77"/>
      <c r="L57" s="76"/>
      <c r="M57" s="49"/>
      <c r="N57" s="49"/>
      <c r="O57" s="77"/>
    </row>
    <row r="58" spans="2:15" ht="12.75">
      <c r="B58" s="76"/>
      <c r="C58" s="49"/>
      <c r="D58" s="49"/>
      <c r="E58" s="77"/>
      <c r="G58" s="76"/>
      <c r="H58" s="49"/>
      <c r="I58" s="49"/>
      <c r="J58" s="77"/>
      <c r="L58" s="76"/>
      <c r="M58" s="49"/>
      <c r="N58" s="49"/>
      <c r="O58" s="77"/>
    </row>
    <row r="59" spans="2:15" ht="12.75">
      <c r="B59" s="78"/>
      <c r="C59" s="60"/>
      <c r="D59" s="65"/>
      <c r="E59" s="47"/>
      <c r="G59" s="46"/>
      <c r="H59" s="83"/>
      <c r="I59" s="63"/>
      <c r="J59" s="47"/>
      <c r="K59" s="66"/>
      <c r="L59" s="46"/>
      <c r="M59" s="83"/>
      <c r="N59" s="63"/>
      <c r="O59" s="47"/>
    </row>
    <row r="60" spans="2:15" ht="12.75">
      <c r="B60" s="74"/>
      <c r="C60" s="60"/>
      <c r="D60" s="60"/>
      <c r="E60" s="75"/>
      <c r="G60" s="74"/>
      <c r="H60" s="60"/>
      <c r="I60" s="60"/>
      <c r="J60" s="81"/>
      <c r="L60" s="74"/>
      <c r="M60" s="60"/>
      <c r="N60" s="60"/>
      <c r="O60" s="75"/>
    </row>
    <row r="61" spans="2:15" ht="12.75">
      <c r="B61" s="74"/>
      <c r="C61" s="60"/>
      <c r="D61" s="83"/>
      <c r="E61" s="81"/>
      <c r="G61" s="74"/>
      <c r="H61" s="60"/>
      <c r="I61" s="60"/>
      <c r="J61" s="81"/>
      <c r="L61" s="74"/>
      <c r="M61" s="60"/>
      <c r="N61" s="60"/>
      <c r="O61" s="81"/>
    </row>
    <row r="62" spans="2:15" ht="12.75">
      <c r="B62" s="74"/>
      <c r="C62" s="60"/>
      <c r="D62" s="60"/>
      <c r="E62" s="81"/>
      <c r="G62" s="74"/>
      <c r="H62" s="60"/>
      <c r="I62" s="60"/>
      <c r="J62" s="81"/>
      <c r="L62" s="74"/>
      <c r="M62" s="60"/>
      <c r="N62" s="60"/>
      <c r="O62" s="81"/>
    </row>
    <row r="63" spans="2:15" ht="12.75">
      <c r="B63" s="74"/>
      <c r="C63" s="60"/>
      <c r="D63" s="60"/>
      <c r="E63" s="77"/>
      <c r="G63" s="74"/>
      <c r="H63" s="60"/>
      <c r="I63" s="49"/>
      <c r="J63" s="77"/>
      <c r="L63" s="74"/>
      <c r="M63" s="60"/>
      <c r="N63" s="49"/>
      <c r="O63" s="77"/>
    </row>
    <row r="64" spans="2:15" ht="12.75">
      <c r="B64" s="74"/>
      <c r="C64" s="60"/>
      <c r="D64" s="60"/>
      <c r="E64" s="75"/>
      <c r="G64" s="74"/>
      <c r="H64" s="60"/>
      <c r="I64" s="60"/>
      <c r="J64" s="75"/>
      <c r="L64" s="74"/>
      <c r="M64" s="60"/>
      <c r="N64" s="60"/>
      <c r="O64" s="75"/>
    </row>
    <row r="65" spans="2:15" ht="13.5" thickBot="1">
      <c r="B65" s="25"/>
      <c r="C65" s="26"/>
      <c r="D65" s="26"/>
      <c r="E65" s="82"/>
      <c r="G65" s="25"/>
      <c r="H65" s="26"/>
      <c r="I65" s="26"/>
      <c r="J65" s="82"/>
      <c r="L65" s="25"/>
      <c r="M65" s="26"/>
      <c r="N65" s="26"/>
      <c r="O65" s="82"/>
    </row>
    <row r="66" ht="13.5" thickTop="1"/>
    <row r="67" spans="5:15" ht="12.75">
      <c r="E67" s="1"/>
      <c r="G67" s="1"/>
      <c r="J67" s="1"/>
      <c r="O67" s="1"/>
    </row>
    <row r="68" spans="3:15" ht="12.75">
      <c r="C68" s="68"/>
      <c r="E68" s="162"/>
      <c r="G68" s="49"/>
      <c r="J68" s="18"/>
      <c r="O68" s="162"/>
    </row>
    <row r="69" spans="1:15" ht="12.75">
      <c r="A69" s="153"/>
      <c r="C69" s="68"/>
      <c r="D69" s="173"/>
      <c r="E69" s="162"/>
      <c r="G69" s="49"/>
      <c r="J69" s="18"/>
      <c r="O69" s="66"/>
    </row>
    <row r="70" ht="12.75">
      <c r="G70" s="49"/>
    </row>
  </sheetData>
  <printOptions/>
  <pageMargins left="0.59" right="0.54" top="0.24" bottom="0.24" header="0.24" footer="0.24"/>
  <pageSetup fitToHeight="1" fitToWidth="1" horizontalDpi="300" verticalDpi="300" orientation="landscape" paperSize="9" scale="69" r:id="rId1"/>
  <headerFooter alignWithMargins="0">
    <oddHeader>&amp;R&amp;D  &amp;T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59" t="s">
        <v>40</v>
      </c>
    </row>
    <row r="2" ht="12.75">
      <c r="A2" s="59" t="s">
        <v>150</v>
      </c>
    </row>
    <row r="4" ht="12.75">
      <c r="A4" s="64" t="s">
        <v>41</v>
      </c>
    </row>
    <row r="6" spans="2:15" ht="12.75">
      <c r="B6" s="23"/>
      <c r="C6" s="24"/>
      <c r="D6" s="69" t="s">
        <v>42</v>
      </c>
      <c r="E6" s="70"/>
      <c r="G6" s="161" t="s">
        <v>43</v>
      </c>
      <c r="H6" s="24"/>
      <c r="I6" s="69" t="s">
        <v>42</v>
      </c>
      <c r="J6" s="70"/>
      <c r="L6" s="161" t="s">
        <v>44</v>
      </c>
      <c r="M6" s="24"/>
      <c r="N6" s="69" t="s">
        <v>42</v>
      </c>
      <c r="O6" s="70"/>
    </row>
    <row r="7" spans="2:15" ht="12.75">
      <c r="B7" s="71" t="s">
        <v>45</v>
      </c>
      <c r="C7" s="60"/>
      <c r="D7" s="72" t="s">
        <v>46</v>
      </c>
      <c r="E7" s="73" t="s">
        <v>790</v>
      </c>
      <c r="G7" s="71" t="s">
        <v>697</v>
      </c>
      <c r="H7" s="60"/>
      <c r="I7" s="72" t="s">
        <v>46</v>
      </c>
      <c r="J7" s="73" t="s">
        <v>790</v>
      </c>
      <c r="L7" s="71" t="s">
        <v>698</v>
      </c>
      <c r="M7" s="60"/>
      <c r="N7" s="72" t="s">
        <v>46</v>
      </c>
      <c r="O7" s="73" t="s">
        <v>790</v>
      </c>
    </row>
    <row r="8" spans="2:15" ht="12.75">
      <c r="B8" s="74"/>
      <c r="C8" s="60"/>
      <c r="D8" s="60"/>
      <c r="E8" s="75"/>
      <c r="G8" s="74"/>
      <c r="H8" s="60"/>
      <c r="I8" s="60"/>
      <c r="J8" s="75"/>
      <c r="L8" s="74"/>
      <c r="M8" s="60"/>
      <c r="N8" s="60"/>
      <c r="O8" s="75"/>
    </row>
    <row r="9" spans="1:15" ht="12.75">
      <c r="A9" s="2" t="s">
        <v>266</v>
      </c>
      <c r="B9" s="74"/>
      <c r="C9" s="60"/>
      <c r="D9" s="60"/>
      <c r="E9" s="75"/>
      <c r="G9" s="74"/>
      <c r="H9" s="60"/>
      <c r="I9" s="60"/>
      <c r="J9" s="75"/>
      <c r="L9" s="74"/>
      <c r="M9" s="60"/>
      <c r="N9" s="60"/>
      <c r="O9" s="75"/>
    </row>
    <row r="10" spans="2:15" ht="12.75">
      <c r="B10" s="74"/>
      <c r="C10" s="60"/>
      <c r="D10" s="60"/>
      <c r="E10" s="75"/>
      <c r="G10" s="74"/>
      <c r="H10" s="60"/>
      <c r="I10" s="60"/>
      <c r="J10" s="75"/>
      <c r="L10" s="74"/>
      <c r="M10" s="60"/>
      <c r="N10" s="60"/>
      <c r="O10" s="75"/>
    </row>
    <row r="11" spans="1:15" ht="12.75">
      <c r="A11" s="2" t="s">
        <v>793</v>
      </c>
      <c r="B11" s="76" t="e">
        <f>+#REF!-segOct!B11</f>
        <v>#REF!</v>
      </c>
      <c r="C11" s="49" t="s">
        <v>55</v>
      </c>
      <c r="D11" s="49" t="e">
        <f>+#REF!-segOct!D11</f>
        <v>#REF!</v>
      </c>
      <c r="E11" s="77" t="e">
        <f>+D11+B11</f>
        <v>#REF!</v>
      </c>
      <c r="G11" s="76" t="e">
        <f>+#REF!-segOct!G11</f>
        <v>#REF!</v>
      </c>
      <c r="H11" s="84" t="s">
        <v>54</v>
      </c>
      <c r="I11" s="49" t="e">
        <f>+#REF!-segOct!I11</f>
        <v>#REF!</v>
      </c>
      <c r="J11" s="77" t="e">
        <f>+G11+I11+I13</f>
        <v>#REF!</v>
      </c>
      <c r="L11" s="76" t="e">
        <f>+#REF!-segOct!L11</f>
        <v>#REF!</v>
      </c>
      <c r="M11" s="49"/>
      <c r="N11" s="49" t="e">
        <f>+#REF!-segOct!N11</f>
        <v>#REF!</v>
      </c>
      <c r="O11" s="77" t="e">
        <f>+L11+N11+N12+N13+N14</f>
        <v>#REF!</v>
      </c>
    </row>
    <row r="12" spans="2:15" ht="12.75">
      <c r="B12" s="76"/>
      <c r="C12" s="49"/>
      <c r="D12" s="49"/>
      <c r="E12" s="77"/>
      <c r="G12" s="76"/>
      <c r="H12" s="84"/>
      <c r="I12" s="49"/>
      <c r="J12" s="77"/>
      <c r="L12" s="76"/>
      <c r="M12" s="49"/>
      <c r="N12" s="49" t="e">
        <f>+#REF!-segOct!N12</f>
        <v>#REF!</v>
      </c>
      <c r="O12" s="77"/>
    </row>
    <row r="13" spans="2:15" ht="12.75">
      <c r="B13" s="76"/>
      <c r="C13" s="49"/>
      <c r="D13" s="49"/>
      <c r="E13" s="77"/>
      <c r="G13" s="76"/>
      <c r="H13" s="84" t="s">
        <v>55</v>
      </c>
      <c r="I13" s="49" t="e">
        <f>+#REF!-segOct!I13</f>
        <v>#REF!</v>
      </c>
      <c r="J13" s="77"/>
      <c r="L13" s="76"/>
      <c r="M13" s="49"/>
      <c r="N13" s="49" t="e">
        <f>+#REF!-segOct!N13</f>
        <v>#REF!</v>
      </c>
      <c r="O13" s="77"/>
    </row>
    <row r="14" spans="2:15" ht="12.75">
      <c r="B14" s="76"/>
      <c r="C14" s="49"/>
      <c r="D14" s="49"/>
      <c r="E14" s="77"/>
      <c r="G14" s="76"/>
      <c r="J14" s="77"/>
      <c r="L14" s="76"/>
      <c r="M14" s="49"/>
      <c r="N14" s="49" t="e">
        <f>+#REF!-segOct!N14</f>
        <v>#REF!</v>
      </c>
      <c r="O14" s="77"/>
    </row>
    <row r="15" spans="1:15" ht="12.75">
      <c r="A15" s="2" t="s">
        <v>349</v>
      </c>
      <c r="B15" s="76" t="e">
        <f>+#REF!-segOct!B15</f>
        <v>#REF!</v>
      </c>
      <c r="C15" s="49" t="s">
        <v>55</v>
      </c>
      <c r="D15" s="49" t="e">
        <f>+#REF!-segOct!D15</f>
        <v>#REF!</v>
      </c>
      <c r="E15" s="77" t="e">
        <f>+D15+B15+D16</f>
        <v>#REF!</v>
      </c>
      <c r="G15" s="76" t="e">
        <f>+#REF!-segOct!G15</f>
        <v>#REF!</v>
      </c>
      <c r="H15" s="160" t="s">
        <v>56</v>
      </c>
      <c r="I15" s="49" t="e">
        <f>+#REF!-segOct!I15</f>
        <v>#REF!</v>
      </c>
      <c r="J15" s="77" t="e">
        <f>+G15+I15+I16+I17</f>
        <v>#REF!</v>
      </c>
      <c r="L15" s="76" t="e">
        <f>+#REF!-segOct!L15</f>
        <v>#REF!</v>
      </c>
      <c r="M15" s="49"/>
      <c r="N15" s="49" t="e">
        <f>+#REF!-segOct!N15</f>
        <v>#REF!</v>
      </c>
      <c r="O15" s="77" t="e">
        <f>+L15+N15+N16+N17+N18</f>
        <v>#REF!</v>
      </c>
    </row>
    <row r="16" spans="2:15" ht="12.75">
      <c r="B16" s="76"/>
      <c r="C16" s="49" t="s">
        <v>51</v>
      </c>
      <c r="D16" s="49" t="e">
        <f>#REF!</f>
        <v>#REF!</v>
      </c>
      <c r="E16" s="77"/>
      <c r="G16" s="76"/>
      <c r="H16" s="84" t="s">
        <v>52</v>
      </c>
      <c r="I16" s="49" t="e">
        <f>+#REF!-segOct!I16</f>
        <v>#REF!</v>
      </c>
      <c r="J16" s="77"/>
      <c r="L16" s="76"/>
      <c r="M16" s="49"/>
      <c r="N16" s="49" t="e">
        <f>+#REF!-segOct!N16</f>
        <v>#REF!</v>
      </c>
      <c r="O16" s="77"/>
    </row>
    <row r="17" spans="2:15" ht="12.75">
      <c r="B17" s="76"/>
      <c r="C17" s="49"/>
      <c r="D17" s="49"/>
      <c r="E17" s="77"/>
      <c r="G17" s="76"/>
      <c r="H17" s="84" t="s">
        <v>55</v>
      </c>
      <c r="I17" s="49" t="e">
        <f>+#REF!-segOct!I17</f>
        <v>#REF!</v>
      </c>
      <c r="J17" s="77"/>
      <c r="L17" s="76"/>
      <c r="M17" s="49"/>
      <c r="N17" s="49" t="e">
        <f>+#REF!-segOct!N17</f>
        <v>#REF!</v>
      </c>
      <c r="O17" s="77"/>
    </row>
    <row r="18" spans="2:15" ht="12.75">
      <c r="B18" s="76"/>
      <c r="C18" s="49"/>
      <c r="D18" s="49"/>
      <c r="E18" s="77"/>
      <c r="G18" s="76"/>
      <c r="H18" s="84"/>
      <c r="I18" s="49"/>
      <c r="J18" s="77"/>
      <c r="L18" s="76"/>
      <c r="M18" s="49"/>
      <c r="N18" s="49" t="e">
        <f>+#REF!-segOct!N18</f>
        <v>#REF!</v>
      </c>
      <c r="O18" s="77"/>
    </row>
    <row r="19" spans="1:15" ht="12.75">
      <c r="A19" s="2" t="s">
        <v>792</v>
      </c>
      <c r="B19" s="76" t="e">
        <f>+#REF!-segOct!B19</f>
        <v>#REF!</v>
      </c>
      <c r="C19" s="49" t="s">
        <v>55</v>
      </c>
      <c r="D19" s="49" t="e">
        <f>+#REF!-segOct!D19</f>
        <v>#REF!</v>
      </c>
      <c r="E19" s="77" t="e">
        <f>+D19+B19</f>
        <v>#REF!</v>
      </c>
      <c r="G19" s="76" t="e">
        <f>+#REF!-segOct!G19</f>
        <v>#REF!</v>
      </c>
      <c r="H19" s="160" t="s">
        <v>56</v>
      </c>
      <c r="I19" s="49" t="e">
        <f>+#REF!-segOct!I19</f>
        <v>#REF!</v>
      </c>
      <c r="J19" s="77" t="e">
        <f>+I19+G19+I20+I21+I22</f>
        <v>#REF!</v>
      </c>
      <c r="L19" s="76" t="e">
        <f>+#REF!-segOct!L19</f>
        <v>#REF!</v>
      </c>
      <c r="M19" s="49"/>
      <c r="N19" s="49" t="e">
        <f>+#REF!-segOct!N19</f>
        <v>#REF!</v>
      </c>
      <c r="O19" s="77" t="e">
        <f>+L19+N19+N20</f>
        <v>#REF!</v>
      </c>
    </row>
    <row r="20" spans="2:15" ht="12.75">
      <c r="B20" s="76"/>
      <c r="C20" s="49"/>
      <c r="D20" s="49"/>
      <c r="E20" s="77"/>
      <c r="G20" s="76"/>
      <c r="H20" s="84" t="s">
        <v>52</v>
      </c>
      <c r="I20" s="49" t="e">
        <f>+#REF!-segOct!I20</f>
        <v>#REF!</v>
      </c>
      <c r="J20" s="77"/>
      <c r="L20" s="76"/>
      <c r="M20" s="49"/>
      <c r="N20" s="49" t="e">
        <f>+#REF!-segOct!N20</f>
        <v>#REF!</v>
      </c>
      <c r="O20" s="77"/>
    </row>
    <row r="21" spans="2:15" ht="12.75">
      <c r="B21" s="76"/>
      <c r="C21" s="49"/>
      <c r="D21" s="49"/>
      <c r="E21" s="77"/>
      <c r="G21" s="76"/>
      <c r="H21" s="84" t="s">
        <v>213</v>
      </c>
      <c r="I21" s="49">
        <v>0</v>
      </c>
      <c r="J21" s="77"/>
      <c r="L21" s="76"/>
      <c r="M21" s="49"/>
      <c r="N21" s="49"/>
      <c r="O21" s="77"/>
    </row>
    <row r="22" spans="2:15" ht="12.75">
      <c r="B22" s="76"/>
      <c r="C22" s="49"/>
      <c r="D22" s="49"/>
      <c r="E22" s="77"/>
      <c r="G22" s="76"/>
      <c r="H22" s="84" t="s">
        <v>55</v>
      </c>
      <c r="I22" s="49" t="e">
        <f>+#REF!-segOct!I22</f>
        <v>#REF!</v>
      </c>
      <c r="J22" s="77"/>
      <c r="L22" s="76"/>
      <c r="M22" s="49"/>
      <c r="N22" s="49"/>
      <c r="O22" s="77"/>
    </row>
    <row r="23" spans="2:15" ht="12.75">
      <c r="B23" s="76"/>
      <c r="C23" s="49"/>
      <c r="D23" s="49"/>
      <c r="E23" s="77"/>
      <c r="G23" s="76"/>
      <c r="H23" s="84"/>
      <c r="I23" s="49"/>
      <c r="J23" s="77"/>
      <c r="L23" s="76"/>
      <c r="M23" s="49"/>
      <c r="N23" s="49"/>
      <c r="O23" s="77"/>
    </row>
    <row r="24" spans="1:15" ht="12.75">
      <c r="A24" s="2" t="s">
        <v>785</v>
      </c>
      <c r="B24" s="76" t="e">
        <f>+#REF!-segOct!B24</f>
        <v>#REF!</v>
      </c>
      <c r="C24" s="49" t="s">
        <v>55</v>
      </c>
      <c r="D24" s="49" t="e">
        <f>+#REF!-segOct!D24</f>
        <v>#REF!</v>
      </c>
      <c r="E24" s="77" t="e">
        <f>+D24+B24</f>
        <v>#REF!</v>
      </c>
      <c r="G24" s="76" t="e">
        <f>+#REF!-segOct!G24</f>
        <v>#REF!</v>
      </c>
      <c r="H24" s="160" t="s">
        <v>56</v>
      </c>
      <c r="I24" s="49" t="e">
        <f>+#REF!-segOct!I24</f>
        <v>#REF!</v>
      </c>
      <c r="J24" s="77" t="e">
        <f>+G24+I24+I25+I26+I27</f>
        <v>#REF!</v>
      </c>
      <c r="L24" s="76" t="e">
        <f>+#REF!-segOct!L24</f>
        <v>#REF!</v>
      </c>
      <c r="M24" s="49"/>
      <c r="N24" s="49" t="e">
        <f>+#REF!-segOct!N24</f>
        <v>#REF!</v>
      </c>
      <c r="O24" s="77" t="e">
        <f>+L24+N24+N25</f>
        <v>#REF!</v>
      </c>
    </row>
    <row r="25" spans="2:15" ht="12.75">
      <c r="B25" s="76"/>
      <c r="C25" s="49"/>
      <c r="D25" s="49"/>
      <c r="E25" s="77"/>
      <c r="G25" s="76"/>
      <c r="H25" s="84" t="s">
        <v>52</v>
      </c>
      <c r="I25" s="49" t="e">
        <f>+#REF!-segOct!I25</f>
        <v>#REF!</v>
      </c>
      <c r="J25" s="77"/>
      <c r="L25" s="76"/>
      <c r="M25" s="49"/>
      <c r="N25" s="49" t="e">
        <f>+#REF!-segOct!N25</f>
        <v>#REF!</v>
      </c>
      <c r="O25" s="77"/>
    </row>
    <row r="26" spans="2:15" ht="12.75">
      <c r="B26" s="76"/>
      <c r="C26" s="49"/>
      <c r="D26" s="49"/>
      <c r="E26" s="77"/>
      <c r="G26" s="76"/>
      <c r="H26" s="84" t="s">
        <v>55</v>
      </c>
      <c r="I26" s="49" t="e">
        <f>+#REF!-segOct!I26</f>
        <v>#REF!</v>
      </c>
      <c r="J26" s="77"/>
      <c r="L26" s="76"/>
      <c r="M26" s="49"/>
      <c r="N26" s="49"/>
      <c r="O26" s="77"/>
    </row>
    <row r="27" spans="2:15" ht="12.75">
      <c r="B27" s="76"/>
      <c r="C27" s="49"/>
      <c r="D27" s="49"/>
      <c r="E27" s="77"/>
      <c r="G27" s="76"/>
      <c r="H27" s="84" t="s">
        <v>55</v>
      </c>
      <c r="I27" s="49" t="e">
        <f>+#REF!-segOct!I27</f>
        <v>#REF!</v>
      </c>
      <c r="J27" s="77"/>
      <c r="L27" s="76"/>
      <c r="M27" s="49"/>
      <c r="N27" s="49"/>
      <c r="O27" s="77"/>
    </row>
    <row r="28" spans="2:15" ht="12.75">
      <c r="B28" s="46" t="e">
        <f>SUM(B11:B24)</f>
        <v>#REF!</v>
      </c>
      <c r="C28" s="60"/>
      <c r="D28" s="63" t="e">
        <f>SUM(D11:D24)</f>
        <v>#REF!</v>
      </c>
      <c r="E28" s="47" t="e">
        <f>SUM(E11:E24)</f>
        <v>#REF!</v>
      </c>
      <c r="G28" s="46" t="e">
        <f>SUM(G11:G24)</f>
        <v>#REF!</v>
      </c>
      <c r="H28" s="60"/>
      <c r="I28" s="63" t="e">
        <f>SUM(I11:I27)</f>
        <v>#REF!</v>
      </c>
      <c r="J28" s="47" t="e">
        <f>SUM(J11:J24)</f>
        <v>#REF!</v>
      </c>
      <c r="L28" s="46" t="e">
        <f>SUM(L11:L24)</f>
        <v>#REF!</v>
      </c>
      <c r="M28" s="60"/>
      <c r="N28" s="63" t="e">
        <f>SUM(N11:N24)</f>
        <v>#REF!</v>
      </c>
      <c r="O28" s="47" t="e">
        <f>SUM(O11:O24)</f>
        <v>#REF!</v>
      </c>
    </row>
    <row r="29" spans="2:15" ht="12.75">
      <c r="B29" s="74"/>
      <c r="C29" s="60"/>
      <c r="D29" s="60"/>
      <c r="E29" s="75"/>
      <c r="G29" s="74"/>
      <c r="H29" s="60"/>
      <c r="I29" s="60"/>
      <c r="J29" s="81"/>
      <c r="L29" s="74"/>
      <c r="M29" s="60"/>
      <c r="N29" s="60"/>
      <c r="O29" s="75"/>
    </row>
    <row r="30" spans="1:15" ht="12.75">
      <c r="A30" s="2" t="s">
        <v>699</v>
      </c>
      <c r="B30" s="74"/>
      <c r="C30" s="60"/>
      <c r="D30" s="60"/>
      <c r="E30" s="75"/>
      <c r="G30" s="74"/>
      <c r="H30" s="60"/>
      <c r="I30" s="60"/>
      <c r="J30" s="75"/>
      <c r="L30" s="74"/>
      <c r="M30" s="60"/>
      <c r="N30" s="60"/>
      <c r="O30" s="75"/>
    </row>
    <row r="31" spans="2:15" ht="12.75">
      <c r="B31" s="74"/>
      <c r="C31" s="60"/>
      <c r="D31" s="60"/>
      <c r="E31" s="75"/>
      <c r="G31" s="74"/>
      <c r="H31" s="60"/>
      <c r="I31" s="60"/>
      <c r="J31" s="75"/>
      <c r="L31" s="74"/>
      <c r="M31" s="60"/>
      <c r="N31" s="60"/>
      <c r="O31" s="75"/>
    </row>
    <row r="32" spans="1:15" ht="12.75">
      <c r="A32" s="2" t="s">
        <v>700</v>
      </c>
      <c r="B32" s="76" t="e">
        <f>+#REF!-segOct!B32</f>
        <v>#REF!</v>
      </c>
      <c r="C32" s="49" t="s">
        <v>55</v>
      </c>
      <c r="D32" s="49" t="e">
        <f>+#REF!-segOct!D32</f>
        <v>#REF!</v>
      </c>
      <c r="E32" s="77" t="e">
        <f aca="true" t="shared" si="0" ref="E32:E41">+D32+B32</f>
        <v>#REF!</v>
      </c>
      <c r="G32" s="76" t="e">
        <f>+#REF!-segOct!G32</f>
        <v>#REF!</v>
      </c>
      <c r="H32" s="49" t="s">
        <v>55</v>
      </c>
      <c r="I32" s="49" t="e">
        <f>+#REF!-segOct!I32</f>
        <v>#REF!</v>
      </c>
      <c r="J32" s="77" t="e">
        <f>+I32+G32+I33</f>
        <v>#REF!</v>
      </c>
      <c r="L32" s="76" t="e">
        <f>+#REF!-segOct!L32</f>
        <v>#REF!</v>
      </c>
      <c r="M32" s="49"/>
      <c r="N32" s="49" t="e">
        <f>+#REF!-segOct!N32</f>
        <v>#REF!</v>
      </c>
      <c r="O32" s="77" t="e">
        <f>+N32+L32</f>
        <v>#REF!</v>
      </c>
    </row>
    <row r="33" spans="2:15" ht="12.75">
      <c r="B33" s="76"/>
      <c r="C33" s="49"/>
      <c r="D33" s="49"/>
      <c r="E33" s="77"/>
      <c r="G33" s="76"/>
      <c r="H33" s="49" t="s">
        <v>55</v>
      </c>
      <c r="I33" s="49" t="e">
        <f>+#REF!-segOct!I33</f>
        <v>#REF!</v>
      </c>
      <c r="J33" s="77"/>
      <c r="L33" s="76"/>
      <c r="M33" s="49"/>
      <c r="N33" s="49"/>
      <c r="O33" s="77"/>
    </row>
    <row r="34" spans="1:15" ht="12.75">
      <c r="A34" s="2" t="s">
        <v>701</v>
      </c>
      <c r="B34" s="76" t="e">
        <f>+#REF!-segOct!B34</f>
        <v>#REF!</v>
      </c>
      <c r="C34" s="49" t="s">
        <v>55</v>
      </c>
      <c r="D34" s="49" t="e">
        <f>+#REF!-segOct!D34</f>
        <v>#REF!</v>
      </c>
      <c r="E34" s="77" t="e">
        <f t="shared" si="0"/>
        <v>#REF!</v>
      </c>
      <c r="G34" s="76" t="e">
        <f>+#REF!-segOct!G34</f>
        <v>#REF!</v>
      </c>
      <c r="H34" s="49" t="s">
        <v>55</v>
      </c>
      <c r="I34" s="49" t="e">
        <f>+#REF!-segOct!I34</f>
        <v>#REF!</v>
      </c>
      <c r="J34" s="77" t="e">
        <f>+I34+G34+I35</f>
        <v>#REF!</v>
      </c>
      <c r="L34" s="76" t="e">
        <f>+#REF!-segOct!L34</f>
        <v>#REF!</v>
      </c>
      <c r="M34" s="49"/>
      <c r="N34" s="49" t="e">
        <f>+#REF!-segOct!N34</f>
        <v>#REF!</v>
      </c>
      <c r="O34" s="77" t="e">
        <f aca="true" t="shared" si="1" ref="O34:O43">+N34+L34</f>
        <v>#REF!</v>
      </c>
    </row>
    <row r="35" spans="2:15" ht="12.75">
      <c r="B35" s="76"/>
      <c r="C35" s="49"/>
      <c r="D35" s="49"/>
      <c r="E35" s="77"/>
      <c r="G35" s="76"/>
      <c r="H35" s="49" t="s">
        <v>55</v>
      </c>
      <c r="I35" s="49" t="e">
        <f>+#REF!-segOct!I35</f>
        <v>#REF!</v>
      </c>
      <c r="J35" s="77"/>
      <c r="L35" s="76"/>
      <c r="M35" s="49"/>
      <c r="N35" s="49"/>
      <c r="O35" s="77"/>
    </row>
    <row r="36" spans="1:15" ht="12.75">
      <c r="A36" s="2" t="s">
        <v>577</v>
      </c>
      <c r="B36" s="76" t="e">
        <f>+#REF!-segOct!B36</f>
        <v>#REF!</v>
      </c>
      <c r="C36" s="49" t="s">
        <v>55</v>
      </c>
      <c r="D36" s="49" t="e">
        <f>+#REF!-segOct!D36</f>
        <v>#REF!</v>
      </c>
      <c r="E36" s="77" t="e">
        <f t="shared" si="0"/>
        <v>#REF!</v>
      </c>
      <c r="G36" s="76" t="e">
        <f>+#REF!-segOct!G36</f>
        <v>#REF!</v>
      </c>
      <c r="H36" s="49" t="s">
        <v>55</v>
      </c>
      <c r="I36" s="49" t="e">
        <f>+#REF!-segOct!I36</f>
        <v>#REF!</v>
      </c>
      <c r="J36" s="77" t="e">
        <f>+I36+G36+I37</f>
        <v>#REF!</v>
      </c>
      <c r="L36" s="76" t="e">
        <f>+#REF!-segOct!L36</f>
        <v>#REF!</v>
      </c>
      <c r="M36" s="49"/>
      <c r="N36" s="49" t="e">
        <f>+#REF!-segOct!N36</f>
        <v>#REF!</v>
      </c>
      <c r="O36" s="77" t="e">
        <f t="shared" si="1"/>
        <v>#REF!</v>
      </c>
    </row>
    <row r="37" spans="2:15" ht="12.75">
      <c r="B37" s="76"/>
      <c r="C37" s="49"/>
      <c r="D37" s="49"/>
      <c r="E37" s="77"/>
      <c r="G37" s="76"/>
      <c r="H37" s="49" t="s">
        <v>55</v>
      </c>
      <c r="I37" s="49" t="e">
        <f>+#REF!-segOct!I37</f>
        <v>#REF!</v>
      </c>
      <c r="J37" s="77"/>
      <c r="L37" s="76"/>
      <c r="M37" s="49"/>
      <c r="N37" s="49"/>
      <c r="O37" s="77"/>
    </row>
    <row r="38" spans="1:15" ht="12.75">
      <c r="A38" s="2" t="s">
        <v>578</v>
      </c>
      <c r="B38" s="76" t="e">
        <f>+#REF!-segOct!B38</f>
        <v>#REF!</v>
      </c>
      <c r="C38" s="49" t="s">
        <v>55</v>
      </c>
      <c r="D38" s="49" t="e">
        <f>+#REF!-segOct!D38</f>
        <v>#REF!</v>
      </c>
      <c r="E38" s="77" t="e">
        <f t="shared" si="0"/>
        <v>#REF!</v>
      </c>
      <c r="G38" s="76" t="e">
        <f>+#REF!-segOct!G38</f>
        <v>#REF!</v>
      </c>
      <c r="H38" s="49" t="s">
        <v>55</v>
      </c>
      <c r="I38" s="49" t="e">
        <f>+#REF!-segOct!I38</f>
        <v>#REF!</v>
      </c>
      <c r="J38" s="77" t="e">
        <f>+I38+G38+I39</f>
        <v>#REF!</v>
      </c>
      <c r="L38" s="76" t="e">
        <f>+#REF!-segOct!L38</f>
        <v>#REF!</v>
      </c>
      <c r="M38" s="49"/>
      <c r="N38" s="49" t="e">
        <f>+#REF!-segOct!N38</f>
        <v>#REF!</v>
      </c>
      <c r="O38" s="77" t="e">
        <f t="shared" si="1"/>
        <v>#REF!</v>
      </c>
    </row>
    <row r="39" spans="2:15" ht="12.75">
      <c r="B39" s="76"/>
      <c r="C39" s="49"/>
      <c r="D39" s="49"/>
      <c r="E39" s="77"/>
      <c r="G39" s="76"/>
      <c r="H39" s="49" t="s">
        <v>55</v>
      </c>
      <c r="I39" s="49" t="e">
        <f>+#REF!-segOct!I39</f>
        <v>#REF!</v>
      </c>
      <c r="J39" s="77"/>
      <c r="L39" s="76"/>
      <c r="M39" s="49"/>
      <c r="N39" s="49"/>
      <c r="O39" s="77"/>
    </row>
    <row r="40" spans="1:15" ht="12.75">
      <c r="A40" s="2" t="s">
        <v>579</v>
      </c>
      <c r="B40" s="76" t="e">
        <f>+#REF!-segOct!B40</f>
        <v>#REF!</v>
      </c>
      <c r="C40" s="49"/>
      <c r="D40" s="49" t="e">
        <f>+#REF!-segOct!D40</f>
        <v>#REF!</v>
      </c>
      <c r="E40" s="77" t="e">
        <f t="shared" si="0"/>
        <v>#REF!</v>
      </c>
      <c r="G40" s="76" t="e">
        <f>+#REF!-segOct!G40</f>
        <v>#REF!</v>
      </c>
      <c r="H40" s="49"/>
      <c r="I40" s="49" t="e">
        <f>+#REF!-segOct!I40</f>
        <v>#REF!</v>
      </c>
      <c r="J40" s="77" t="e">
        <f>+I40+G40</f>
        <v>#REF!</v>
      </c>
      <c r="L40" s="76" t="e">
        <f>+#REF!-segOct!L40</f>
        <v>#REF!</v>
      </c>
      <c r="M40" s="49"/>
      <c r="N40" s="49" t="e">
        <f>+#REF!-segOct!N40</f>
        <v>#REF!</v>
      </c>
      <c r="O40" s="77" t="e">
        <f t="shared" si="1"/>
        <v>#REF!</v>
      </c>
    </row>
    <row r="41" spans="1:15" ht="12.75">
      <c r="A41" s="2" t="s">
        <v>786</v>
      </c>
      <c r="B41" s="76" t="e">
        <f>+#REF!-segOct!B41</f>
        <v>#REF!</v>
      </c>
      <c r="C41" s="49" t="s">
        <v>55</v>
      </c>
      <c r="D41" s="49" t="e">
        <f>+#REF!-segOct!D41</f>
        <v>#REF!</v>
      </c>
      <c r="E41" s="77" t="e">
        <f t="shared" si="0"/>
        <v>#REF!</v>
      </c>
      <c r="G41" s="76" t="e">
        <f>+#REF!-segOct!G41</f>
        <v>#REF!</v>
      </c>
      <c r="H41" s="49" t="s">
        <v>55</v>
      </c>
      <c r="I41" s="49" t="e">
        <f>+#REF!-segOct!I41</f>
        <v>#REF!</v>
      </c>
      <c r="J41" s="77" t="e">
        <f>+I41+G41</f>
        <v>#REF!</v>
      </c>
      <c r="L41" s="76" t="e">
        <f>+#REF!-segOct!L41</f>
        <v>#REF!</v>
      </c>
      <c r="M41" s="49"/>
      <c r="N41" s="49" t="e">
        <f>+#REF!-segOct!N41</f>
        <v>#REF!</v>
      </c>
      <c r="O41" s="77" t="e">
        <f t="shared" si="1"/>
        <v>#REF!</v>
      </c>
    </row>
    <row r="42" spans="1:15" ht="12.75">
      <c r="A42" s="2" t="s">
        <v>787</v>
      </c>
      <c r="B42" s="76" t="e">
        <f>+#REF!-segOct!B42</f>
        <v>#REF!</v>
      </c>
      <c r="C42" s="49"/>
      <c r="D42" s="49" t="e">
        <f>+#REF!-segOct!D42</f>
        <v>#REF!</v>
      </c>
      <c r="E42" s="77">
        <v>0</v>
      </c>
      <c r="G42" s="76" t="e">
        <f>+#REF!-segOct!G42</f>
        <v>#REF!</v>
      </c>
      <c r="H42" s="49"/>
      <c r="I42" s="49" t="e">
        <f>+#REF!-segOct!I42</f>
        <v>#REF!</v>
      </c>
      <c r="J42" s="77" t="e">
        <f>+G42</f>
        <v>#REF!</v>
      </c>
      <c r="L42" s="76" t="e">
        <f>+#REF!-segOct!L42</f>
        <v>#REF!</v>
      </c>
      <c r="M42" s="49"/>
      <c r="N42" s="49" t="e">
        <f>+#REF!-segOct!N42</f>
        <v>#REF!</v>
      </c>
      <c r="O42" s="77" t="e">
        <f t="shared" si="1"/>
        <v>#REF!</v>
      </c>
    </row>
    <row r="43" spans="1:15" ht="12.75">
      <c r="A43" s="2" t="s">
        <v>794</v>
      </c>
      <c r="B43" s="76" t="e">
        <f>+#REF!-segOct!B43</f>
        <v>#REF!</v>
      </c>
      <c r="C43" s="49"/>
      <c r="D43" s="49" t="e">
        <f>+#REF!-segOct!D43</f>
        <v>#REF!</v>
      </c>
      <c r="E43" s="77">
        <v>0</v>
      </c>
      <c r="G43" s="76" t="e">
        <f>+#REF!-segOct!G43</f>
        <v>#REF!</v>
      </c>
      <c r="H43" s="49"/>
      <c r="I43" s="49" t="e">
        <f>+#REF!-segOct!I43</f>
        <v>#REF!</v>
      </c>
      <c r="J43" s="77" t="e">
        <f>+I43+G43</f>
        <v>#REF!</v>
      </c>
      <c r="L43" s="76" t="e">
        <f>+#REF!-segOct!L43</f>
        <v>#REF!</v>
      </c>
      <c r="M43" s="49"/>
      <c r="N43" s="49" t="e">
        <f>+#REF!-segOct!N43</f>
        <v>#REF!</v>
      </c>
      <c r="O43" s="77" t="e">
        <f t="shared" si="1"/>
        <v>#REF!</v>
      </c>
    </row>
    <row r="44" spans="2:15" ht="12.75">
      <c r="B44" s="79" t="e">
        <f>SUM(B32:B43)</f>
        <v>#REF!</v>
      </c>
      <c r="C44" s="60"/>
      <c r="D44" s="67" t="e">
        <f>SUM(D32:D43)</f>
        <v>#REF!</v>
      </c>
      <c r="E44" s="80" t="e">
        <f>SUM(E32:E43)</f>
        <v>#REF!</v>
      </c>
      <c r="G44" s="79" t="e">
        <f>SUM(G32:G43)</f>
        <v>#REF!</v>
      </c>
      <c r="H44" s="60"/>
      <c r="I44" s="67" t="e">
        <f>SUM(I32:I43)</f>
        <v>#REF!</v>
      </c>
      <c r="J44" s="80" t="e">
        <f>SUM(J32:J43)</f>
        <v>#REF!</v>
      </c>
      <c r="L44" s="79" t="e">
        <f>SUM(L32:L43)</f>
        <v>#REF!</v>
      </c>
      <c r="M44" s="60"/>
      <c r="N44" s="67" t="e">
        <f>SUM(N32:N43)</f>
        <v>#REF!</v>
      </c>
      <c r="O44" s="80" t="e">
        <f>SUM(O32:O43)</f>
        <v>#REF!</v>
      </c>
    </row>
    <row r="45" spans="2:15" ht="12.75">
      <c r="B45" s="74"/>
      <c r="C45" s="60"/>
      <c r="D45" s="83"/>
      <c r="E45" s="75"/>
      <c r="G45" s="74"/>
      <c r="H45" s="60"/>
      <c r="I45" s="60"/>
      <c r="J45" s="75"/>
      <c r="L45" s="74"/>
      <c r="M45" s="60"/>
      <c r="N45" s="60"/>
      <c r="O45" s="75"/>
    </row>
    <row r="46" spans="1:15" ht="12.75">
      <c r="A46" s="2" t="s">
        <v>532</v>
      </c>
      <c r="B46" s="74"/>
      <c r="C46" s="60"/>
      <c r="D46" s="88"/>
      <c r="E46" s="75"/>
      <c r="G46" s="74"/>
      <c r="H46" s="60"/>
      <c r="I46" s="60"/>
      <c r="J46" s="75"/>
      <c r="L46" s="74"/>
      <c r="M46" s="60"/>
      <c r="N46" s="60"/>
      <c r="O46" s="75"/>
    </row>
    <row r="47" spans="2:15" ht="12.75">
      <c r="B47" s="74"/>
      <c r="C47" s="60"/>
      <c r="D47" s="60"/>
      <c r="E47" s="75"/>
      <c r="G47" s="74"/>
      <c r="H47" s="60"/>
      <c r="I47" s="60"/>
      <c r="J47" s="75"/>
      <c r="L47" s="74"/>
      <c r="M47" s="60"/>
      <c r="N47" s="60"/>
      <c r="O47" s="75"/>
    </row>
    <row r="48" spans="1:15" ht="12.75">
      <c r="A48" s="2" t="s">
        <v>338</v>
      </c>
      <c r="B48" s="76" t="e">
        <f>+#REF!-segOct!B48</f>
        <v>#REF!</v>
      </c>
      <c r="C48" s="49" t="s">
        <v>51</v>
      </c>
      <c r="D48" s="49" t="e">
        <f>+#REF!-segOct!D48</f>
        <v>#REF!</v>
      </c>
      <c r="E48" s="77" t="e">
        <f>+B48+D48</f>
        <v>#REF!</v>
      </c>
      <c r="G48" s="76" t="e">
        <f>+#REF!-segOct!G48</f>
        <v>#REF!</v>
      </c>
      <c r="H48" s="49" t="s">
        <v>53</v>
      </c>
      <c r="I48" s="49" t="e">
        <f>+#REF!-segOct!I48</f>
        <v>#REF!</v>
      </c>
      <c r="J48" s="77" t="e">
        <f>+G48+I48+I49+I50+I51+I52</f>
        <v>#REF!</v>
      </c>
      <c r="L48" s="76" t="e">
        <f>+#REF!-segOct!L48</f>
        <v>#REF!</v>
      </c>
      <c r="M48" s="49"/>
      <c r="N48" s="49" t="e">
        <f>+#REF!-segOct!N48</f>
        <v>#REF!</v>
      </c>
      <c r="O48" s="77" t="e">
        <f>+N48+L48+N49+N50+N51+N52</f>
        <v>#REF!</v>
      </c>
    </row>
    <row r="49" spans="2:15" ht="12.75">
      <c r="B49" s="76"/>
      <c r="D49" s="49" t="e">
        <f>+#REF!-segOct!D49</f>
        <v>#REF!</v>
      </c>
      <c r="E49" s="77"/>
      <c r="G49" s="76"/>
      <c r="H49" s="49"/>
      <c r="I49" s="49">
        <v>0</v>
      </c>
      <c r="J49" s="77"/>
      <c r="L49" s="76"/>
      <c r="M49" s="49"/>
      <c r="N49" s="49" t="e">
        <f>+#REF!-segOct!N49</f>
        <v>#REF!</v>
      </c>
      <c r="O49" s="77"/>
    </row>
    <row r="50" spans="2:15" ht="12.75">
      <c r="B50" s="76"/>
      <c r="C50" s="49"/>
      <c r="D50" s="49" t="e">
        <f>+#REF!-segOct!D50</f>
        <v>#REF!</v>
      </c>
      <c r="E50" s="77"/>
      <c r="G50" s="76"/>
      <c r="H50" s="49" t="s">
        <v>213</v>
      </c>
      <c r="I50" s="49">
        <v>0</v>
      </c>
      <c r="J50" s="77"/>
      <c r="L50" s="76"/>
      <c r="M50" s="49"/>
      <c r="N50" s="49" t="e">
        <f>+#REF!-segOct!N50</f>
        <v>#REF!</v>
      </c>
      <c r="O50" s="77"/>
    </row>
    <row r="51" spans="2:15" ht="12.75">
      <c r="B51" s="76"/>
      <c r="C51" s="49"/>
      <c r="D51" s="49" t="e">
        <f>+#REF!-segOct!D51</f>
        <v>#REF!</v>
      </c>
      <c r="E51" s="77"/>
      <c r="G51" s="76"/>
      <c r="H51" s="49" t="s">
        <v>155</v>
      </c>
      <c r="I51" s="49" t="e">
        <f>+#REF!-segOct!I51</f>
        <v>#REF!</v>
      </c>
      <c r="J51" s="77"/>
      <c r="L51" s="76"/>
      <c r="M51" s="49"/>
      <c r="N51" s="49" t="e">
        <f>+#REF!-segOct!N51</f>
        <v>#REF!</v>
      </c>
      <c r="O51" s="77"/>
    </row>
    <row r="52" spans="2:15" ht="12.75">
      <c r="B52" s="76"/>
      <c r="C52" s="49"/>
      <c r="D52" s="49" t="e">
        <f>+#REF!-segOct!D52</f>
        <v>#REF!</v>
      </c>
      <c r="E52" s="77"/>
      <c r="G52" s="76"/>
      <c r="H52" s="9"/>
      <c r="I52" s="49" t="e">
        <f>+#REF!-segOct!I52</f>
        <v>#REF!</v>
      </c>
      <c r="J52" s="77"/>
      <c r="L52" s="76"/>
      <c r="M52" s="49"/>
      <c r="N52" s="49"/>
      <c r="O52" s="77"/>
    </row>
    <row r="53" spans="1:15" ht="12.75">
      <c r="A53" s="2" t="s">
        <v>789</v>
      </c>
      <c r="B53" s="76" t="e">
        <f>+#REF!-segOct!B53</f>
        <v>#REF!</v>
      </c>
      <c r="C53" s="49"/>
      <c r="D53" s="49" t="e">
        <f>+#REF!-segOct!D53</f>
        <v>#REF!</v>
      </c>
      <c r="E53" s="77" t="e">
        <f>+D53+B53</f>
        <v>#REF!</v>
      </c>
      <c r="G53" s="76" t="e">
        <f>+#REF!-segOct!G53</f>
        <v>#REF!</v>
      </c>
      <c r="I53" s="49" t="e">
        <f>+#REF!-segOct!I53</f>
        <v>#REF!</v>
      </c>
      <c r="J53" s="77" t="e">
        <f>+G53</f>
        <v>#REF!</v>
      </c>
      <c r="L53" s="76" t="e">
        <f>+#REF!-segOct!L53</f>
        <v>#REF!</v>
      </c>
      <c r="M53" s="49"/>
      <c r="N53" s="49" t="e">
        <f>+#REF!-segOct!N53</f>
        <v>#REF!</v>
      </c>
      <c r="O53" s="77" t="e">
        <f aca="true" t="shared" si="2" ref="O53:O58">+N53+L53</f>
        <v>#REF!</v>
      </c>
    </row>
    <row r="54" spans="1:15" ht="12.75">
      <c r="A54" s="2" t="s">
        <v>788</v>
      </c>
      <c r="B54" s="76" t="e">
        <f>+#REF!-segOct!B54</f>
        <v>#REF!</v>
      </c>
      <c r="C54" s="49"/>
      <c r="D54" s="49" t="e">
        <f>+#REF!-segOct!D54</f>
        <v>#REF!</v>
      </c>
      <c r="E54" s="77" t="e">
        <f>+D54+B54</f>
        <v>#REF!</v>
      </c>
      <c r="G54" s="76" t="e">
        <f>+#REF!-segOct!G54</f>
        <v>#REF!</v>
      </c>
      <c r="H54" s="49"/>
      <c r="I54" s="49" t="e">
        <f>+#REF!-segOct!I54</f>
        <v>#REF!</v>
      </c>
      <c r="J54" s="77" t="e">
        <f>+G54</f>
        <v>#REF!</v>
      </c>
      <c r="L54" s="76" t="e">
        <f>+#REF!-segOct!L54</f>
        <v>#REF!</v>
      </c>
      <c r="M54" s="49"/>
      <c r="N54" s="49" t="e">
        <f>+#REF!-segOct!N54</f>
        <v>#REF!</v>
      </c>
      <c r="O54" s="77" t="e">
        <f t="shared" si="2"/>
        <v>#REF!</v>
      </c>
    </row>
    <row r="55" spans="1:15" ht="12.75">
      <c r="A55" s="2" t="s">
        <v>48</v>
      </c>
      <c r="B55" s="76" t="e">
        <f>+#REF!-segOct!B55</f>
        <v>#REF!</v>
      </c>
      <c r="C55" s="49"/>
      <c r="D55" s="49" t="e">
        <f>+#REF!-segOct!D55</f>
        <v>#REF!</v>
      </c>
      <c r="E55" s="77" t="e">
        <f>+D55+B55</f>
        <v>#REF!</v>
      </c>
      <c r="G55" s="76" t="e">
        <f>+#REF!-segOct!G55</f>
        <v>#REF!</v>
      </c>
      <c r="H55" s="49"/>
      <c r="I55" s="49" t="e">
        <f>+#REF!-segOct!I55</f>
        <v>#REF!</v>
      </c>
      <c r="J55" s="77" t="e">
        <f>+G55+I55</f>
        <v>#REF!</v>
      </c>
      <c r="L55" s="76" t="e">
        <f>+#REF!-segOct!L55</f>
        <v>#REF!</v>
      </c>
      <c r="M55" s="49"/>
      <c r="N55" s="49" t="e">
        <f>+#REF!-segOct!N55</f>
        <v>#REF!</v>
      </c>
      <c r="O55" s="77" t="e">
        <f t="shared" si="2"/>
        <v>#REF!</v>
      </c>
    </row>
    <row r="56" spans="1:15" ht="12.75">
      <c r="A56" s="2" t="s">
        <v>49</v>
      </c>
      <c r="B56" s="76" t="e">
        <f>+#REF!-segOct!B56</f>
        <v>#REF!</v>
      </c>
      <c r="C56" s="49"/>
      <c r="D56" s="49" t="e">
        <f>+#REF!-segOct!D56</f>
        <v>#REF!</v>
      </c>
      <c r="E56" s="77" t="e">
        <f>+D56+B56</f>
        <v>#REF!</v>
      </c>
      <c r="G56" s="76" t="e">
        <f>+#REF!-segOct!G56</f>
        <v>#REF!</v>
      </c>
      <c r="H56" s="49"/>
      <c r="I56" s="49" t="e">
        <f>+#REF!-segOct!I56</f>
        <v>#REF!</v>
      </c>
      <c r="J56" s="77" t="e">
        <f>+G56</f>
        <v>#REF!</v>
      </c>
      <c r="L56" s="76" t="e">
        <f>+#REF!-segOct!L56</f>
        <v>#REF!</v>
      </c>
      <c r="M56" s="49"/>
      <c r="N56" s="49" t="e">
        <f>+#REF!-segOct!N56</f>
        <v>#REF!</v>
      </c>
      <c r="O56" s="77" t="e">
        <f t="shared" si="2"/>
        <v>#REF!</v>
      </c>
    </row>
    <row r="57" spans="1:15" ht="12.75">
      <c r="A57" s="2" t="s">
        <v>382</v>
      </c>
      <c r="B57" s="76" t="e">
        <f>+#REF!-segOct!B57</f>
        <v>#REF!</v>
      </c>
      <c r="C57" s="49"/>
      <c r="D57" s="49" t="e">
        <f>+#REF!-segOct!D57</f>
        <v>#REF!</v>
      </c>
      <c r="E57" s="77" t="e">
        <f>+D57+B57</f>
        <v>#REF!</v>
      </c>
      <c r="G57" s="76" t="e">
        <f>+#REF!-segOct!G57</f>
        <v>#REF!</v>
      </c>
      <c r="H57" s="49"/>
      <c r="I57" s="49" t="e">
        <f>+#REF!-segOct!I57</f>
        <v>#REF!</v>
      </c>
      <c r="J57" s="77" t="e">
        <f>+G57</f>
        <v>#REF!</v>
      </c>
      <c r="L57" s="76" t="e">
        <f>+#REF!-segOct!L57</f>
        <v>#REF!</v>
      </c>
      <c r="M57" s="49"/>
      <c r="N57" s="49" t="e">
        <f>+#REF!-segOct!N57</f>
        <v>#REF!</v>
      </c>
      <c r="O57" s="77" t="e">
        <f t="shared" si="2"/>
        <v>#REF!</v>
      </c>
    </row>
    <row r="58" spans="1:15" ht="12.75">
      <c r="A58" s="2" t="s">
        <v>595</v>
      </c>
      <c r="B58" s="76" t="e">
        <f>+#REF!-segOct!B58</f>
        <v>#REF!</v>
      </c>
      <c r="C58" s="49"/>
      <c r="D58" s="49" t="e">
        <f>+#REF!-segOct!D58</f>
        <v>#REF!</v>
      </c>
      <c r="E58" s="77" t="e">
        <f>+B58+D58</f>
        <v>#REF!</v>
      </c>
      <c r="G58" s="76" t="e">
        <f>+#REF!-segOct!G58</f>
        <v>#REF!</v>
      </c>
      <c r="H58" s="49"/>
      <c r="I58" s="49" t="e">
        <f>+#REF!-segOct!I58</f>
        <v>#REF!</v>
      </c>
      <c r="J58" s="77" t="e">
        <f>+G58</f>
        <v>#REF!</v>
      </c>
      <c r="L58" s="76" t="e">
        <f>+#REF!-segOct!L58</f>
        <v>#REF!</v>
      </c>
      <c r="M58" s="49"/>
      <c r="N58" s="49" t="e">
        <f>+#REF!-segOct!N58</f>
        <v>#REF!</v>
      </c>
      <c r="O58" s="77" t="e">
        <f t="shared" si="2"/>
        <v>#REF!</v>
      </c>
    </row>
    <row r="59" spans="2:15" ht="12.75">
      <c r="B59" s="78" t="e">
        <f>SUM(B48:B58)</f>
        <v>#REF!</v>
      </c>
      <c r="C59" s="60"/>
      <c r="D59" s="65" t="e">
        <f>SUM(D48:D58)</f>
        <v>#REF!</v>
      </c>
      <c r="E59" s="47" t="e">
        <f>SUM(E48:E58)</f>
        <v>#REF!</v>
      </c>
      <c r="G59" s="46" t="e">
        <f>SUM(G48:G58)</f>
        <v>#REF!</v>
      </c>
      <c r="H59" s="83"/>
      <c r="I59" s="63" t="e">
        <f>SUM(I48:I58)</f>
        <v>#REF!</v>
      </c>
      <c r="J59" s="47" t="e">
        <f>SUM(J48:J58)</f>
        <v>#REF!</v>
      </c>
      <c r="K59" s="66"/>
      <c r="L59" s="46" t="e">
        <f>SUM(L48:L58)</f>
        <v>#REF!</v>
      </c>
      <c r="M59" s="83"/>
      <c r="N59" s="63" t="e">
        <f>SUM(N48:N58)</f>
        <v>#REF!</v>
      </c>
      <c r="O59" s="47" t="e">
        <f>SUM(O48:O58)</f>
        <v>#REF!</v>
      </c>
    </row>
    <row r="60" spans="2:15" ht="12.75">
      <c r="B60" s="74"/>
      <c r="C60" s="60"/>
      <c r="D60" s="60"/>
      <c r="E60" s="75"/>
      <c r="G60" s="74"/>
      <c r="H60" s="60"/>
      <c r="I60" s="60"/>
      <c r="J60" s="81"/>
      <c r="L60" s="74"/>
      <c r="M60" s="60"/>
      <c r="N60" s="60"/>
      <c r="O60" s="75"/>
    </row>
    <row r="61" spans="1:15" ht="12.75">
      <c r="A61" s="2" t="s">
        <v>790</v>
      </c>
      <c r="B61" s="74"/>
      <c r="C61" s="60"/>
      <c r="D61" s="83"/>
      <c r="E61" s="81" t="e">
        <f>+E59+E44+E28</f>
        <v>#REF!</v>
      </c>
      <c r="G61" s="74"/>
      <c r="H61" s="60"/>
      <c r="I61" s="60"/>
      <c r="J61" s="81" t="e">
        <f>+J59+J44+J28</f>
        <v>#REF!</v>
      </c>
      <c r="L61" s="74"/>
      <c r="M61" s="60"/>
      <c r="N61" s="60"/>
      <c r="O61" s="81" t="e">
        <f>+O59+O44+O28</f>
        <v>#REF!</v>
      </c>
    </row>
    <row r="62" spans="2:15" ht="12.75">
      <c r="B62" s="74"/>
      <c r="C62" s="60"/>
      <c r="D62" s="60"/>
      <c r="E62" s="81"/>
      <c r="G62" s="74"/>
      <c r="H62" s="60"/>
      <c r="I62" s="60"/>
      <c r="J62" s="81"/>
      <c r="L62" s="74"/>
      <c r="M62" s="60"/>
      <c r="N62" s="60"/>
      <c r="O62" s="81"/>
    </row>
    <row r="63" spans="1:15" ht="12.75">
      <c r="A63" s="2" t="s">
        <v>50</v>
      </c>
      <c r="B63" s="74"/>
      <c r="C63" s="60"/>
      <c r="D63" s="60"/>
      <c r="E63" s="77" t="e">
        <f>+#REF!-segOct!E63</f>
        <v>#REF!</v>
      </c>
      <c r="G63" s="74"/>
      <c r="H63" s="60" t="s">
        <v>54</v>
      </c>
      <c r="I63" s="49" t="e">
        <f>+#REF!-segOct!I63</f>
        <v>#REF!</v>
      </c>
      <c r="J63" s="77" t="e">
        <f>+I63</f>
        <v>#REF!</v>
      </c>
      <c r="L63" s="74"/>
      <c r="M63" s="60"/>
      <c r="N63" s="49" t="e">
        <f>+#REF!-segOct!N63</f>
        <v>#REF!</v>
      </c>
      <c r="O63" s="77" t="e">
        <f>+N63</f>
        <v>#REF!</v>
      </c>
    </row>
    <row r="64" spans="2:15" ht="12.75">
      <c r="B64" s="74"/>
      <c r="C64" s="60"/>
      <c r="D64" s="60"/>
      <c r="E64" s="75"/>
      <c r="G64" s="74"/>
      <c r="H64" s="60"/>
      <c r="I64" s="60"/>
      <c r="J64" s="75"/>
      <c r="L64" s="74"/>
      <c r="M64" s="60"/>
      <c r="N64" s="60"/>
      <c r="O64" s="75"/>
    </row>
    <row r="65" spans="2:15" ht="13.5" thickBot="1">
      <c r="B65" s="25"/>
      <c r="C65" s="26"/>
      <c r="D65" s="26"/>
      <c r="E65" s="82" t="e">
        <f>+E61+E63</f>
        <v>#REF!</v>
      </c>
      <c r="G65" s="25"/>
      <c r="H65" s="26"/>
      <c r="I65" s="26"/>
      <c r="J65" s="82" t="e">
        <f>+J61+J63</f>
        <v>#REF!</v>
      </c>
      <c r="L65" s="25"/>
      <c r="M65" s="26"/>
      <c r="N65" s="26"/>
      <c r="O65" s="249" t="e">
        <f>+O61+O63</f>
        <v>#REF!</v>
      </c>
    </row>
    <row r="66" ht="13.5" thickTop="1"/>
    <row r="67" spans="1:15" ht="12.75">
      <c r="A67" s="2" t="s">
        <v>76</v>
      </c>
      <c r="E67" s="1" t="e">
        <f>+segOct!E65+'seg Apr'!E65</f>
        <v>#REF!</v>
      </c>
      <c r="G67" s="1"/>
      <c r="J67" s="1" t="e">
        <f>+J65+segOct!J65</f>
        <v>#REF!</v>
      </c>
      <c r="O67" s="1" t="e">
        <f>+O65+segOct!O65</f>
        <v>#REF!</v>
      </c>
    </row>
    <row r="68" spans="3:15" ht="12.75">
      <c r="C68" s="68"/>
      <c r="E68" s="162" t="e">
        <f>+E67-#REF!</f>
        <v>#REF!</v>
      </c>
      <c r="G68" s="49"/>
      <c r="J68" s="18" t="e">
        <f>+J67-#REF!</f>
        <v>#REF!</v>
      </c>
      <c r="O68" s="162" t="e">
        <f>+O67-#REF!</f>
        <v>#REF!</v>
      </c>
    </row>
    <row r="69" spans="1:15" ht="12.75">
      <c r="A69" s="153" t="s">
        <v>713</v>
      </c>
      <c r="C69" s="68"/>
      <c r="D69" s="173" t="e">
        <f>+D44+D28</f>
        <v>#REF!</v>
      </c>
      <c r="E69" s="162"/>
      <c r="G69" s="49"/>
      <c r="J69" s="18"/>
      <c r="O69" s="66"/>
    </row>
    <row r="70" ht="12.75">
      <c r="G70" s="49"/>
    </row>
  </sheetData>
  <printOptions horizontalCentered="1" verticalCentered="1"/>
  <pageMargins left="0.55" right="0.46" top="0.24" bottom="0.26" header="0.24" footer="0.24"/>
  <pageSetup fitToHeight="1" fitToWidth="1" horizontalDpi="300" verticalDpi="300" orientation="landscape" paperSize="9" scale="69"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dimension ref="A1:J125"/>
  <sheetViews>
    <sheetView zoomScale="75" zoomScaleNormal="75" workbookViewId="0" topLeftCell="A3">
      <pane xSplit="2" ySplit="10" topLeftCell="C69" activePane="bottomRight" state="frozen"/>
      <selection pane="topLeft" activeCell="A3" sqref="A3"/>
      <selection pane="topRight" activeCell="C3" sqref="C3"/>
      <selection pane="bottomLeft" activeCell="A13" sqref="A13"/>
      <selection pane="bottomRight" activeCell="A69" sqref="A69"/>
    </sheetView>
  </sheetViews>
  <sheetFormatPr defaultColWidth="9.140625" defaultRowHeight="12.75"/>
  <cols>
    <col min="1" max="1" width="3.00390625" style="2" bestFit="1" customWidth="1"/>
    <col min="2" max="2" width="36.421875" style="2" customWidth="1"/>
    <col min="3" max="3" width="13.57421875" style="3" customWidth="1"/>
    <col min="4" max="4" width="3.7109375" style="2" customWidth="1"/>
    <col min="5" max="5" width="16.28125" style="3" customWidth="1"/>
    <col min="6" max="6" width="3.7109375" style="2" customWidth="1"/>
    <col min="7" max="7" width="11.28125" style="2" bestFit="1" customWidth="1"/>
    <col min="8" max="8" width="3.7109375" style="2" customWidth="1"/>
    <col min="9" max="9" width="16.57421875" style="2" customWidth="1"/>
    <col min="10" max="16384" width="8.8515625" style="2" customWidth="1"/>
  </cols>
  <sheetData>
    <row r="1" ht="15.75">
      <c r="B1" s="85" t="s">
        <v>11</v>
      </c>
    </row>
    <row r="4" ht="12.75">
      <c r="B4" s="2" t="s">
        <v>214</v>
      </c>
    </row>
    <row r="5" ht="12.75">
      <c r="B5" s="2" t="s">
        <v>616</v>
      </c>
    </row>
    <row r="7" spans="2:8" ht="12.75">
      <c r="B7" s="2" t="s">
        <v>617</v>
      </c>
      <c r="D7" s="9" t="s">
        <v>618</v>
      </c>
      <c r="H7" s="9" t="s">
        <v>619</v>
      </c>
    </row>
    <row r="8" spans="3:9" ht="12.75">
      <c r="C8" s="16" t="s">
        <v>620</v>
      </c>
      <c r="E8" s="16" t="s">
        <v>621</v>
      </c>
      <c r="G8" s="9" t="s">
        <v>620</v>
      </c>
      <c r="I8" s="9" t="s">
        <v>621</v>
      </c>
    </row>
    <row r="9" spans="3:9" ht="12.75">
      <c r="C9" s="16" t="s">
        <v>622</v>
      </c>
      <c r="E9" s="16" t="s">
        <v>407</v>
      </c>
      <c r="G9" s="9" t="s">
        <v>622</v>
      </c>
      <c r="I9" s="9" t="s">
        <v>407</v>
      </c>
    </row>
    <row r="10" spans="3:9" ht="12.75">
      <c r="C10" s="16" t="s">
        <v>408</v>
      </c>
      <c r="E10" s="16" t="s">
        <v>408</v>
      </c>
      <c r="G10" s="9" t="s">
        <v>409</v>
      </c>
      <c r="I10" s="9" t="s">
        <v>410</v>
      </c>
    </row>
    <row r="11" spans="3:10" ht="12.75">
      <c r="C11" s="17">
        <v>37468</v>
      </c>
      <c r="D11" s="10"/>
      <c r="E11" s="17">
        <v>37103</v>
      </c>
      <c r="F11" s="10"/>
      <c r="G11" s="11">
        <f>+C11</f>
        <v>37468</v>
      </c>
      <c r="H11" s="10"/>
      <c r="I11" s="11">
        <f>+E11</f>
        <v>37103</v>
      </c>
      <c r="J11" s="10"/>
    </row>
    <row r="12" spans="3:9" ht="12.75">
      <c r="C12" s="16" t="s">
        <v>87</v>
      </c>
      <c r="E12" s="16" t="s">
        <v>87</v>
      </c>
      <c r="G12" s="9" t="s">
        <v>87</v>
      </c>
      <c r="I12" s="9" t="s">
        <v>87</v>
      </c>
    </row>
    <row r="13" ht="12.75">
      <c r="G13" s="18"/>
    </row>
    <row r="14" spans="1:9" ht="12.75">
      <c r="A14" s="2">
        <v>1</v>
      </c>
      <c r="B14" s="12" t="s">
        <v>753</v>
      </c>
      <c r="C14" s="18" t="e">
        <f>ROUND(+#REF!,0)</f>
        <v>#REF!</v>
      </c>
      <c r="E14" s="151">
        <v>22420</v>
      </c>
      <c r="G14" s="18" t="e">
        <f>ROUND(+#REF!,0)</f>
        <v>#REF!</v>
      </c>
      <c r="I14" s="151">
        <v>49681</v>
      </c>
    </row>
    <row r="15" spans="3:9" ht="12.75">
      <c r="C15" s="18"/>
      <c r="E15" s="18"/>
      <c r="G15" s="18"/>
      <c r="I15" s="18"/>
    </row>
    <row r="16" spans="2:9" ht="12.75">
      <c r="B16" s="12" t="s">
        <v>411</v>
      </c>
      <c r="C16" s="18"/>
      <c r="E16" s="151"/>
      <c r="G16" s="18"/>
      <c r="I16" s="151"/>
    </row>
    <row r="17" spans="2:9" ht="12.75">
      <c r="B17" s="12"/>
      <c r="C17" s="18"/>
      <c r="E17" s="18"/>
      <c r="G17" s="18"/>
      <c r="I17" s="18"/>
    </row>
    <row r="18" spans="2:9" ht="12.75">
      <c r="B18" s="2" t="s">
        <v>755</v>
      </c>
      <c r="C18" s="18" t="e">
        <f>ROUND(+#REF!+#REF!+#REF!,0)</f>
        <v>#REF!</v>
      </c>
      <c r="E18" s="151">
        <v>155</v>
      </c>
      <c r="G18" s="18" t="e">
        <f>ROUND(+#REF!+#REF!+#REF!,0)</f>
        <v>#REF!</v>
      </c>
      <c r="I18" s="151">
        <v>320</v>
      </c>
    </row>
    <row r="19" spans="3:9" ht="12.75">
      <c r="C19" s="18"/>
      <c r="E19" s="18"/>
      <c r="G19" s="18"/>
      <c r="I19" s="18"/>
    </row>
    <row r="20" spans="1:9" ht="51">
      <c r="A20" s="14">
        <v>2</v>
      </c>
      <c r="B20" s="13" t="s">
        <v>115</v>
      </c>
      <c r="C20" s="18" t="e">
        <f>ROUND(+#REF!-#REF!+#REF!,0)</f>
        <v>#REF!</v>
      </c>
      <c r="E20" s="151">
        <v>3328</v>
      </c>
      <c r="G20" s="18" t="e">
        <f>ROUND(+#REF!-#REF!+#REF!,0)</f>
        <v>#REF!</v>
      </c>
      <c r="I20" s="151">
        <v>5373</v>
      </c>
    </row>
    <row r="21" spans="3:9" ht="12.75">
      <c r="C21" s="18"/>
      <c r="E21" s="18"/>
      <c r="G21" s="18"/>
      <c r="I21" s="18"/>
    </row>
    <row r="22" spans="2:9" ht="12.75">
      <c r="B22" s="2" t="s">
        <v>754</v>
      </c>
      <c r="C22" s="18" t="e">
        <f>-ROUND(+#REF!+#REF!+#REF!,0)</f>
        <v>#REF!</v>
      </c>
      <c r="E22" s="151">
        <v>-868</v>
      </c>
      <c r="G22" s="18" t="e">
        <f>-ROUND(+#REF!+#REF!+#REF!,0)</f>
        <v>#REF!</v>
      </c>
      <c r="I22" s="151">
        <v>-1672</v>
      </c>
    </row>
    <row r="23" spans="3:9" ht="12.75">
      <c r="C23" s="18"/>
      <c r="E23" s="18"/>
      <c r="G23" s="18"/>
      <c r="I23" s="18"/>
    </row>
    <row r="24" spans="2:9" ht="12.75">
      <c r="B24" s="2" t="s">
        <v>412</v>
      </c>
      <c r="C24" s="18" t="e">
        <f>-ROUND(+#REF!-#REF!,0)</f>
        <v>#REF!</v>
      </c>
      <c r="E24" s="151">
        <v>-1375</v>
      </c>
      <c r="G24" s="18" t="e">
        <f>-ROUND(+#REF!-#REF!,0)</f>
        <v>#REF!</v>
      </c>
      <c r="I24" s="151">
        <v>-2701</v>
      </c>
    </row>
    <row r="25" spans="3:9" ht="12.75">
      <c r="C25" s="18"/>
      <c r="E25" s="18"/>
      <c r="G25" s="18"/>
      <c r="I25" s="18"/>
    </row>
    <row r="26" spans="2:9" ht="12.75">
      <c r="B26" s="2" t="s">
        <v>413</v>
      </c>
      <c r="C26" s="18"/>
      <c r="E26" s="151"/>
      <c r="G26" s="18"/>
      <c r="I26" s="151"/>
    </row>
    <row r="27" spans="3:9" ht="12.75">
      <c r="C27" s="18"/>
      <c r="E27" s="18"/>
      <c r="G27" s="18"/>
      <c r="I27" s="18"/>
    </row>
    <row r="28" spans="2:9" ht="51">
      <c r="B28" s="13" t="s">
        <v>84</v>
      </c>
      <c r="C28" s="18" t="e">
        <f>+C20+C22+C24</f>
        <v>#REF!</v>
      </c>
      <c r="E28" s="18">
        <f>+E20+E22+E24</f>
        <v>1085</v>
      </c>
      <c r="G28" s="18" t="e">
        <f>+G20+G22+G24</f>
        <v>#REF!</v>
      </c>
      <c r="I28" s="18">
        <f>+I20+I22+I24</f>
        <v>1000</v>
      </c>
    </row>
    <row r="29" spans="3:9" ht="12.75">
      <c r="C29" s="18"/>
      <c r="E29" s="18"/>
      <c r="G29" s="18"/>
      <c r="I29" s="18"/>
    </row>
    <row r="30" spans="2:9" ht="25.5">
      <c r="B30" s="13" t="s">
        <v>241</v>
      </c>
      <c r="C30" s="18" t="e">
        <f>ROUND(#REF!,0)</f>
        <v>#REF!</v>
      </c>
      <c r="E30" s="151">
        <v>146</v>
      </c>
      <c r="G30" s="18" t="e">
        <f>ROUND(#REF!,0)</f>
        <v>#REF!</v>
      </c>
      <c r="I30" s="151">
        <v>353</v>
      </c>
    </row>
    <row r="31" spans="3:9" ht="12.75">
      <c r="C31" s="18"/>
      <c r="E31" s="18"/>
      <c r="G31" s="18"/>
      <c r="I31" s="18"/>
    </row>
    <row r="32" spans="2:9" ht="25.5">
      <c r="B32" s="13" t="s">
        <v>580</v>
      </c>
      <c r="C32" s="18" t="e">
        <f>C28+C30</f>
        <v>#REF!</v>
      </c>
      <c r="E32" s="18">
        <f>E28+E30</f>
        <v>1231</v>
      </c>
      <c r="G32" s="18" t="e">
        <f>G28+G30</f>
        <v>#REF!</v>
      </c>
      <c r="I32" s="18">
        <f>I28+I30</f>
        <v>1353</v>
      </c>
    </row>
    <row r="33" spans="3:9" ht="12.75">
      <c r="C33" s="18"/>
      <c r="E33" s="18"/>
      <c r="G33" s="18"/>
      <c r="I33" s="18"/>
    </row>
    <row r="34" spans="2:9" ht="12.75">
      <c r="B34" s="2" t="s">
        <v>414</v>
      </c>
      <c r="C34" s="18" t="e">
        <f>ROUND(#REF!,0)</f>
        <v>#REF!</v>
      </c>
      <c r="E34" s="151">
        <v>-882</v>
      </c>
      <c r="G34" s="18" t="e">
        <f>ROUND(#REF!,0)</f>
        <v>#REF!</v>
      </c>
      <c r="I34" s="151">
        <v>-999</v>
      </c>
    </row>
    <row r="35" spans="3:9" ht="12.75">
      <c r="C35" s="18"/>
      <c r="E35" s="18"/>
      <c r="G35" s="18"/>
      <c r="I35" s="18"/>
    </row>
    <row r="36" spans="2:9" ht="25.5">
      <c r="B36" s="13" t="s">
        <v>36</v>
      </c>
      <c r="C36" s="18" t="e">
        <f>C32+C34</f>
        <v>#REF!</v>
      </c>
      <c r="E36" s="18">
        <f>E32+E34</f>
        <v>349</v>
      </c>
      <c r="G36" s="18" t="e">
        <f>G32+G34</f>
        <v>#REF!</v>
      </c>
      <c r="I36" s="18">
        <f>I32+I34</f>
        <v>354</v>
      </c>
    </row>
    <row r="37" spans="3:9" ht="12.75">
      <c r="C37" s="18"/>
      <c r="E37" s="18"/>
      <c r="G37" s="18"/>
      <c r="I37" s="18"/>
    </row>
    <row r="38" spans="2:9" ht="12.75">
      <c r="B38" s="2" t="s">
        <v>37</v>
      </c>
      <c r="C38" s="18" t="e">
        <f>ROUND(#REF!,0)</f>
        <v>#REF!</v>
      </c>
      <c r="E38" s="151">
        <v>-838</v>
      </c>
      <c r="G38" s="18" t="e">
        <f>ROUND(#REF!,0)</f>
        <v>#REF!</v>
      </c>
      <c r="I38" s="151">
        <v>-1539</v>
      </c>
    </row>
    <row r="39" spans="3:9" ht="12.75">
      <c r="C39" s="18"/>
      <c r="E39" s="18"/>
      <c r="G39" s="18"/>
      <c r="I39" s="18"/>
    </row>
    <row r="40" spans="2:9" ht="12.75">
      <c r="B40" s="2" t="s">
        <v>581</v>
      </c>
      <c r="C40" s="18"/>
      <c r="E40" s="18"/>
      <c r="G40" s="18"/>
      <c r="I40" s="18"/>
    </row>
    <row r="41" spans="3:9" ht="12.75">
      <c r="C41" s="18"/>
      <c r="E41" s="18"/>
      <c r="G41" s="18"/>
      <c r="I41" s="18"/>
    </row>
    <row r="42" spans="2:9" ht="25.5">
      <c r="B42" s="13" t="s">
        <v>609</v>
      </c>
      <c r="C42" s="18" t="e">
        <f>+C36+C38</f>
        <v>#REF!</v>
      </c>
      <c r="E42" s="151">
        <f>+E36+E38</f>
        <v>-489</v>
      </c>
      <c r="G42" s="18" t="e">
        <f>+G36+G38</f>
        <v>#REF!</v>
      </c>
      <c r="I42" s="151">
        <f>+I36+I38</f>
        <v>-1185</v>
      </c>
    </row>
    <row r="43" spans="3:9" ht="12.75">
      <c r="C43" s="18"/>
      <c r="E43" s="18"/>
      <c r="G43" s="18"/>
      <c r="I43" s="18"/>
    </row>
    <row r="44" spans="2:9" ht="12.75">
      <c r="B44" s="2" t="s">
        <v>610</v>
      </c>
      <c r="C44" s="18">
        <v>0</v>
      </c>
      <c r="E44" s="151"/>
      <c r="G44" s="18">
        <v>0</v>
      </c>
      <c r="I44" s="151"/>
    </row>
    <row r="45" spans="2:9" ht="12.75">
      <c r="B45" s="2" t="s">
        <v>415</v>
      </c>
      <c r="C45" s="18">
        <v>0</v>
      </c>
      <c r="E45" s="151"/>
      <c r="G45" s="18">
        <v>0</v>
      </c>
      <c r="I45" s="151"/>
    </row>
    <row r="46" spans="2:9" ht="25.5">
      <c r="B46" s="13" t="s">
        <v>416</v>
      </c>
      <c r="C46" s="18">
        <v>0</v>
      </c>
      <c r="E46" s="151"/>
      <c r="G46" s="18">
        <v>0</v>
      </c>
      <c r="I46" s="151"/>
    </row>
    <row r="47" spans="3:9" ht="12.75">
      <c r="C47" s="18"/>
      <c r="E47" s="18"/>
      <c r="G47" s="18"/>
      <c r="I47" s="18"/>
    </row>
    <row r="48" spans="2:9" ht="25.5">
      <c r="B48" s="13" t="s">
        <v>611</v>
      </c>
      <c r="C48" s="18" t="e">
        <f>C42</f>
        <v>#REF!</v>
      </c>
      <c r="E48" s="151">
        <f>+E42</f>
        <v>-489</v>
      </c>
      <c r="G48" s="18" t="e">
        <f>G42</f>
        <v>#REF!</v>
      </c>
      <c r="I48" s="151">
        <f>+I42</f>
        <v>-1185</v>
      </c>
    </row>
    <row r="49" spans="7:9" ht="12.75">
      <c r="G49" s="18"/>
      <c r="I49" s="3"/>
    </row>
    <row r="50" spans="1:9" ht="38.25">
      <c r="A50" s="14">
        <v>3</v>
      </c>
      <c r="B50" s="13" t="s">
        <v>535</v>
      </c>
      <c r="C50" s="44"/>
      <c r="E50" s="16"/>
      <c r="G50" s="18"/>
      <c r="I50" s="16"/>
    </row>
    <row r="51" spans="7:9" ht="12.75">
      <c r="G51" s="18"/>
      <c r="I51" s="3"/>
    </row>
    <row r="52" spans="2:9" ht="25.5">
      <c r="B52" s="13" t="s">
        <v>312</v>
      </c>
      <c r="C52" s="18" t="e">
        <f>C42/+C102*100</f>
        <v>#REF!</v>
      </c>
      <c r="D52" s="6"/>
      <c r="E52" s="144">
        <v>-0.98</v>
      </c>
      <c r="F52" s="6"/>
      <c r="G52" s="18" t="e">
        <f>G42/+C102*100</f>
        <v>#REF!</v>
      </c>
      <c r="I52" s="144">
        <v>-2.37</v>
      </c>
    </row>
    <row r="53" spans="3:9" ht="12.75">
      <c r="C53" s="18"/>
      <c r="D53" s="6"/>
      <c r="E53" s="6"/>
      <c r="F53" s="6"/>
      <c r="G53" s="18"/>
      <c r="I53" s="5"/>
    </row>
    <row r="54" spans="2:9" ht="25.5">
      <c r="B54" s="13" t="s">
        <v>536</v>
      </c>
      <c r="C54" s="18">
        <v>0</v>
      </c>
      <c r="D54" s="6"/>
      <c r="E54" s="144">
        <v>0</v>
      </c>
      <c r="F54" s="6"/>
      <c r="G54" s="18">
        <v>0</v>
      </c>
      <c r="I54" s="144">
        <v>0</v>
      </c>
    </row>
    <row r="55" spans="3:9" ht="12.75">
      <c r="C55" s="6"/>
      <c r="D55" s="6"/>
      <c r="E55" s="6"/>
      <c r="F55" s="6"/>
      <c r="G55" s="6"/>
      <c r="I55" s="6"/>
    </row>
    <row r="58" ht="12.75">
      <c r="B58" s="2" t="s">
        <v>417</v>
      </c>
    </row>
    <row r="59" spans="3:5" ht="12.75">
      <c r="C59" s="16" t="s">
        <v>418</v>
      </c>
      <c r="D59" s="9"/>
      <c r="E59" s="16" t="s">
        <v>419</v>
      </c>
    </row>
    <row r="60" spans="3:5" ht="12.75">
      <c r="C60" s="16" t="s">
        <v>420</v>
      </c>
      <c r="D60" s="9"/>
      <c r="E60" s="16" t="s">
        <v>421</v>
      </c>
    </row>
    <row r="61" spans="3:5" ht="12.75">
      <c r="C61" s="16" t="s">
        <v>408</v>
      </c>
      <c r="D61" s="9"/>
      <c r="E61" s="16" t="s">
        <v>422</v>
      </c>
    </row>
    <row r="62" spans="3:5" ht="12.75">
      <c r="C62" s="16" t="s">
        <v>87</v>
      </c>
      <c r="D62" s="9"/>
      <c r="E62" s="16" t="s">
        <v>87</v>
      </c>
    </row>
    <row r="63" spans="3:5" ht="12.75">
      <c r="C63" s="17">
        <f>+C11</f>
        <v>37468</v>
      </c>
      <c r="D63" s="11"/>
      <c r="E63" s="17">
        <v>37287</v>
      </c>
    </row>
    <row r="65" spans="1:5" ht="12.75">
      <c r="A65" s="2">
        <v>1</v>
      </c>
      <c r="B65" s="2" t="s">
        <v>121</v>
      </c>
      <c r="C65" s="18" t="e">
        <f>ROUND(+#REF!,0)</f>
        <v>#REF!</v>
      </c>
      <c r="D65" s="18"/>
      <c r="E65" s="18">
        <v>37820</v>
      </c>
    </row>
    <row r="66" spans="3:5" ht="12.75">
      <c r="C66" s="18"/>
      <c r="D66" s="18"/>
      <c r="E66" s="18"/>
    </row>
    <row r="67" spans="1:5" ht="12.75">
      <c r="A67" s="2">
        <v>2</v>
      </c>
      <c r="B67" s="2" t="s">
        <v>38</v>
      </c>
      <c r="C67" s="18" t="e">
        <f>ROUND(+#REF!,0)</f>
        <v>#REF!</v>
      </c>
      <c r="D67" s="18"/>
      <c r="E67" s="18">
        <v>1785</v>
      </c>
    </row>
    <row r="68" spans="3:5" ht="12.75">
      <c r="C68" s="18"/>
      <c r="D68" s="18"/>
      <c r="E68" s="18"/>
    </row>
    <row r="69" spans="1:5" ht="12.75">
      <c r="A69" s="2">
        <v>3</v>
      </c>
      <c r="B69" s="2" t="s">
        <v>423</v>
      </c>
      <c r="C69" s="18" t="e">
        <f>ROUND(+#REF!,0)</f>
        <v>#REF!</v>
      </c>
      <c r="D69" s="18"/>
      <c r="E69" s="18">
        <v>5692</v>
      </c>
    </row>
    <row r="70" spans="3:5" ht="12.75">
      <c r="C70" s="18"/>
      <c r="D70" s="18"/>
      <c r="E70" s="18"/>
    </row>
    <row r="71" spans="1:5" ht="12.75">
      <c r="A71" s="2">
        <v>4</v>
      </c>
      <c r="B71" s="2" t="s">
        <v>110</v>
      </c>
      <c r="C71" s="18" t="e">
        <f>ROUND(+#REF!,0)</f>
        <v>#REF!</v>
      </c>
      <c r="D71" s="18"/>
      <c r="E71" s="18">
        <v>6370</v>
      </c>
    </row>
    <row r="72" spans="3:5" ht="12.75">
      <c r="C72" s="18"/>
      <c r="D72" s="18"/>
      <c r="E72" s="18"/>
    </row>
    <row r="73" spans="1:5" ht="12.75">
      <c r="A73" s="2">
        <v>5</v>
      </c>
      <c r="B73" s="2" t="s">
        <v>39</v>
      </c>
      <c r="C73" s="18" t="e">
        <f>ROUND(+#REF!,0)</f>
        <v>#REF!</v>
      </c>
      <c r="D73" s="18"/>
      <c r="E73" s="18">
        <v>0</v>
      </c>
    </row>
    <row r="74" spans="3:5" ht="12.75">
      <c r="C74" s="18"/>
      <c r="D74" s="18"/>
      <c r="E74" s="18"/>
    </row>
    <row r="75" spans="1:5" ht="12.75">
      <c r="A75" s="2">
        <v>6</v>
      </c>
      <c r="B75" s="2" t="s">
        <v>111</v>
      </c>
      <c r="C75" s="18">
        <v>0</v>
      </c>
      <c r="D75" s="18"/>
      <c r="E75" s="18">
        <v>0</v>
      </c>
    </row>
    <row r="76" spans="3:5" ht="12.75">
      <c r="C76" s="18"/>
      <c r="D76" s="18"/>
      <c r="E76" s="18"/>
    </row>
    <row r="77" spans="1:5" ht="12.75">
      <c r="A77" s="2">
        <v>7</v>
      </c>
      <c r="B77" s="2" t="s">
        <v>237</v>
      </c>
      <c r="C77" s="18" t="e">
        <f>ROUND(+#REF!,0)</f>
        <v>#REF!</v>
      </c>
      <c r="D77" s="18"/>
      <c r="E77" s="18">
        <v>0</v>
      </c>
    </row>
    <row r="78" spans="3:5" ht="12.75">
      <c r="C78" s="18"/>
      <c r="D78" s="18"/>
      <c r="E78" s="18"/>
    </row>
    <row r="79" spans="1:5" ht="12.75">
      <c r="A79" s="2">
        <v>8</v>
      </c>
      <c r="B79" s="2" t="s">
        <v>268</v>
      </c>
      <c r="C79" s="18"/>
      <c r="D79" s="18"/>
      <c r="E79" s="18"/>
    </row>
    <row r="80" spans="2:5" ht="12.75">
      <c r="B80" s="15" t="s">
        <v>238</v>
      </c>
      <c r="C80" s="18" t="e">
        <f>ROUND(+#REF!,0)</f>
        <v>#REF!</v>
      </c>
      <c r="D80" s="18"/>
      <c r="E80" s="18">
        <f>43596-E67</f>
        <v>41811</v>
      </c>
    </row>
    <row r="81" spans="2:5" ht="12.75">
      <c r="B81" s="15" t="s">
        <v>112</v>
      </c>
      <c r="C81" s="18" t="e">
        <f>ROUND(+#REF!,0)</f>
        <v>#REF!</v>
      </c>
      <c r="D81" s="18"/>
      <c r="E81" s="18">
        <v>34014</v>
      </c>
    </row>
    <row r="82" spans="2:5" ht="12.75">
      <c r="B82" s="15" t="s">
        <v>113</v>
      </c>
      <c r="C82" s="18"/>
      <c r="D82" s="18"/>
      <c r="E82" s="18"/>
    </row>
    <row r="83" spans="2:5" ht="12.75">
      <c r="B83" s="15" t="s">
        <v>114</v>
      </c>
      <c r="C83" s="18" t="e">
        <f>ROUND(+#REF!+#REF!,0)</f>
        <v>#REF!</v>
      </c>
      <c r="D83" s="18"/>
      <c r="E83" s="18">
        <v>15562</v>
      </c>
    </row>
    <row r="84" spans="2:5" ht="12.75">
      <c r="B84" s="15" t="s">
        <v>656</v>
      </c>
      <c r="C84" s="18" t="e">
        <f>ROUND(+#REF!+#REF!+#REF!,0)</f>
        <v>#REF!</v>
      </c>
      <c r="D84" s="18"/>
      <c r="E84" s="18">
        <f>648+1508</f>
        <v>2156</v>
      </c>
    </row>
    <row r="85" spans="2:5" ht="12.75">
      <c r="B85" s="15" t="s">
        <v>514</v>
      </c>
      <c r="C85" s="18" t="e">
        <f>ROUND(+#REF!,0)</f>
        <v>#REF!</v>
      </c>
      <c r="D85" s="18"/>
      <c r="E85" s="18">
        <v>2986</v>
      </c>
    </row>
    <row r="86" spans="2:5" ht="12.75">
      <c r="B86" s="15"/>
      <c r="C86" s="65" t="e">
        <f>SUM(C80:C85)</f>
        <v>#REF!</v>
      </c>
      <c r="D86" s="18"/>
      <c r="E86" s="65">
        <f>SUM(E80:E85)</f>
        <v>96529</v>
      </c>
    </row>
    <row r="87" spans="3:5" ht="12.75">
      <c r="C87" s="18"/>
      <c r="D87" s="18"/>
      <c r="E87" s="18"/>
    </row>
    <row r="88" spans="1:5" ht="12.75">
      <c r="A88" s="2">
        <v>9</v>
      </c>
      <c r="B88" s="2" t="s">
        <v>229</v>
      </c>
      <c r="C88" s="18"/>
      <c r="D88" s="18"/>
      <c r="E88" s="18"/>
    </row>
    <row r="89" spans="2:5" ht="12.75">
      <c r="B89" s="15" t="s">
        <v>386</v>
      </c>
      <c r="C89" s="18" t="e">
        <f>ROUND(+#REF!+#REF!,0)</f>
        <v>#REF!</v>
      </c>
      <c r="D89" s="18"/>
      <c r="E89" s="18">
        <v>29177</v>
      </c>
    </row>
    <row r="90" spans="2:5" ht="12.75">
      <c r="B90" s="15" t="s">
        <v>224</v>
      </c>
      <c r="C90" s="18" t="e">
        <f>ROUND(+#REF!,0)</f>
        <v>#REF!</v>
      </c>
      <c r="D90" s="18"/>
      <c r="E90" s="18">
        <f>7579+1</f>
        <v>7580</v>
      </c>
    </row>
    <row r="91" spans="2:5" ht="12.75">
      <c r="B91" s="15" t="s">
        <v>293</v>
      </c>
      <c r="C91" s="18" t="e">
        <f>ROUND(+#REF!+#REF!+#REF!,0)</f>
        <v>#REF!</v>
      </c>
      <c r="D91" s="18"/>
      <c r="E91" s="18">
        <f>1353+2360+1318</f>
        <v>5031</v>
      </c>
    </row>
    <row r="92" spans="2:5" ht="12.75">
      <c r="B92" s="15" t="s">
        <v>294</v>
      </c>
      <c r="C92" s="18" t="e">
        <f>ROUND(+#REF!,0)</f>
        <v>#REF!</v>
      </c>
      <c r="D92" s="18"/>
      <c r="E92" s="18">
        <v>2</v>
      </c>
    </row>
    <row r="93" spans="2:5" ht="12.75">
      <c r="B93" s="15"/>
      <c r="C93" s="18"/>
      <c r="D93" s="18"/>
      <c r="E93" s="18"/>
    </row>
    <row r="94" spans="2:5" ht="12.75">
      <c r="B94" s="15"/>
      <c r="C94" s="65" t="e">
        <f>SUM(C89:C93)</f>
        <v>#REF!</v>
      </c>
      <c r="D94" s="18"/>
      <c r="E94" s="65">
        <f>SUM(E89:E93)</f>
        <v>41790</v>
      </c>
    </row>
    <row r="95" spans="3:5" ht="12.75">
      <c r="C95" s="18"/>
      <c r="D95" s="18"/>
      <c r="E95" s="18"/>
    </row>
    <row r="96" spans="1:5" ht="12.75">
      <c r="A96" s="2">
        <v>10</v>
      </c>
      <c r="B96" s="2" t="s">
        <v>296</v>
      </c>
      <c r="C96" s="18" t="e">
        <f>C86-C94</f>
        <v>#REF!</v>
      </c>
      <c r="D96" s="18"/>
      <c r="E96" s="18">
        <f>E86-E94</f>
        <v>54739</v>
      </c>
    </row>
    <row r="97" spans="3:5" ht="12.75">
      <c r="C97" s="18"/>
      <c r="D97" s="18"/>
      <c r="E97" s="18"/>
    </row>
    <row r="98" spans="2:5" ht="13.5" thickBot="1">
      <c r="B98" s="22"/>
      <c r="C98" s="89" t="e">
        <f>SUM(C65:C77)+C96</f>
        <v>#REF!</v>
      </c>
      <c r="D98" s="18"/>
      <c r="E98" s="89">
        <f>SUM(E65:E77)+E96</f>
        <v>106406</v>
      </c>
    </row>
    <row r="99" spans="3:5" ht="13.5" thickTop="1">
      <c r="C99" s="18"/>
      <c r="D99" s="18"/>
      <c r="E99" s="18"/>
    </row>
    <row r="100" spans="1:5" ht="12.75">
      <c r="A100" s="2">
        <v>11</v>
      </c>
      <c r="B100" s="2" t="s">
        <v>297</v>
      </c>
      <c r="C100" s="18"/>
      <c r="D100" s="18"/>
      <c r="E100" s="18"/>
    </row>
    <row r="101" spans="3:5" ht="12.75">
      <c r="C101" s="18"/>
      <c r="D101" s="18"/>
      <c r="E101" s="18"/>
    </row>
    <row r="102" spans="2:5" ht="12.75">
      <c r="B102" s="2" t="s">
        <v>336</v>
      </c>
      <c r="C102" s="18" t="e">
        <f>ROUND(+#REF!,0)</f>
        <v>#REF!</v>
      </c>
      <c r="D102" s="18"/>
      <c r="E102" s="18">
        <v>50100</v>
      </c>
    </row>
    <row r="103" spans="3:5" ht="12.75">
      <c r="C103" s="18"/>
      <c r="D103" s="18"/>
      <c r="E103" s="18"/>
    </row>
    <row r="104" spans="2:5" ht="12.75">
      <c r="B104" s="2" t="s">
        <v>795</v>
      </c>
      <c r="C104" s="18"/>
      <c r="D104" s="18"/>
      <c r="E104" s="18"/>
    </row>
    <row r="105" spans="2:5" ht="12.75">
      <c r="B105" s="15" t="s">
        <v>298</v>
      </c>
      <c r="C105" s="18" t="e">
        <f>ROUND(+#REF!,0)</f>
        <v>#REF!</v>
      </c>
      <c r="D105" s="18"/>
      <c r="E105" s="18">
        <v>3704</v>
      </c>
    </row>
    <row r="106" spans="2:5" ht="12.75">
      <c r="B106" s="15" t="s">
        <v>299</v>
      </c>
      <c r="C106" s="18" t="e">
        <f>ROUND(+#REF!,0)</f>
        <v>#REF!</v>
      </c>
      <c r="D106" s="18"/>
      <c r="E106" s="18">
        <v>586</v>
      </c>
    </row>
    <row r="107" spans="2:5" ht="12.75">
      <c r="B107" s="15" t="s">
        <v>300</v>
      </c>
      <c r="C107" s="18" t="e">
        <f>ROUND(+#REF!,0)</f>
        <v>#REF!</v>
      </c>
      <c r="D107" s="18"/>
      <c r="E107" s="18">
        <f>128</f>
        <v>128</v>
      </c>
    </row>
    <row r="108" spans="2:5" ht="12.75">
      <c r="B108" s="15" t="s">
        <v>301</v>
      </c>
      <c r="C108" s="18" t="e">
        <f>ROUND(+#REF!+#REF!,0)</f>
        <v>#REF!</v>
      </c>
      <c r="D108" s="18"/>
      <c r="E108" s="18">
        <v>2499</v>
      </c>
    </row>
    <row r="109" spans="2:5" ht="12.75">
      <c r="B109" s="15" t="s">
        <v>302</v>
      </c>
      <c r="C109" s="18" t="e">
        <f>+#REF!</f>
        <v>#REF!</v>
      </c>
      <c r="D109" s="18"/>
      <c r="E109" s="18">
        <v>481</v>
      </c>
    </row>
    <row r="110" spans="2:5" ht="12.75">
      <c r="B110" s="15"/>
      <c r="C110" s="65" t="e">
        <f>SUM(C105:C109)</f>
        <v>#REF!</v>
      </c>
      <c r="D110" s="18"/>
      <c r="E110" s="65">
        <f>SUM(E105:E109)</f>
        <v>7398</v>
      </c>
    </row>
    <row r="111" spans="3:5" ht="12.75">
      <c r="C111" s="18"/>
      <c r="D111" s="18"/>
      <c r="E111" s="18"/>
    </row>
    <row r="112" spans="1:5" ht="12.75">
      <c r="A112" s="2">
        <v>12</v>
      </c>
      <c r="B112" s="2" t="s">
        <v>303</v>
      </c>
      <c r="C112" s="18" t="e">
        <f>ROUND(+#REF!,0)</f>
        <v>#REF!</v>
      </c>
      <c r="D112" s="18"/>
      <c r="E112" s="18">
        <v>28456</v>
      </c>
    </row>
    <row r="113" spans="3:5" ht="12.75">
      <c r="C113" s="18"/>
      <c r="D113" s="18"/>
      <c r="E113" s="18"/>
    </row>
    <row r="114" spans="1:5" ht="12.75">
      <c r="A114" s="2">
        <v>13</v>
      </c>
      <c r="B114" s="2" t="s">
        <v>489</v>
      </c>
      <c r="C114" s="18" t="e">
        <f>ROUND(+#REF!,0)</f>
        <v>#REF!</v>
      </c>
      <c r="D114" s="18"/>
      <c r="E114" s="18">
        <v>19703</v>
      </c>
    </row>
    <row r="115" spans="3:5" ht="12.75">
      <c r="C115" s="18"/>
      <c r="D115" s="18"/>
      <c r="E115" s="18"/>
    </row>
    <row r="116" spans="1:5" ht="12.75">
      <c r="A116" s="2">
        <v>14</v>
      </c>
      <c r="B116" s="2" t="s">
        <v>490</v>
      </c>
      <c r="C116" s="18" t="e">
        <f>ROUND(+#REF!,0)</f>
        <v>#REF!</v>
      </c>
      <c r="D116" s="18"/>
      <c r="E116" s="18">
        <v>0</v>
      </c>
    </row>
    <row r="117" spans="3:5" ht="12.75">
      <c r="C117" s="18"/>
      <c r="D117" s="18"/>
      <c r="E117" s="18"/>
    </row>
    <row r="118" spans="1:5" ht="12.75">
      <c r="A118" s="2">
        <v>15</v>
      </c>
      <c r="B118" s="2" t="s">
        <v>239</v>
      </c>
      <c r="C118" s="18" t="e">
        <f>ROUND(+#REF!,0)</f>
        <v>#REF!</v>
      </c>
      <c r="D118" s="18"/>
      <c r="E118" s="18">
        <v>749</v>
      </c>
    </row>
    <row r="119" spans="3:5" ht="12.75">
      <c r="C119" s="18"/>
      <c r="D119" s="18"/>
      <c r="E119" s="18"/>
    </row>
    <row r="120" spans="3:5" ht="12.75">
      <c r="C120" s="65" t="e">
        <f>SUM(C102:C119)-C110</f>
        <v>#REF!</v>
      </c>
      <c r="D120" s="18"/>
      <c r="E120" s="65">
        <f>SUM(E102:E119)-E110</f>
        <v>106406</v>
      </c>
    </row>
    <row r="122" spans="1:5" ht="12.75">
      <c r="A122" s="2">
        <v>16</v>
      </c>
      <c r="B122" s="2" t="s">
        <v>240</v>
      </c>
      <c r="C122" s="157" t="e">
        <f>(C98-C112-C114-C116-C118)/C102</f>
        <v>#REF!</v>
      </c>
      <c r="E122" s="157">
        <f>(E98-E112-E114-E116-E118)/E102</f>
        <v>1.1476646706586826</v>
      </c>
    </row>
    <row r="125" spans="3:5" ht="12.75">
      <c r="C125" s="3" t="e">
        <f>+C98-C120</f>
        <v>#REF!</v>
      </c>
      <c r="E125" s="3">
        <f>+E98-E120</f>
        <v>0</v>
      </c>
    </row>
  </sheetData>
  <printOptions/>
  <pageMargins left="0.59" right="0.48" top="0.25" bottom="0.19" header="0.27" footer="0.19"/>
  <pageSetup horizontalDpi="300" verticalDpi="300" orientation="portrait" scale="85" r:id="rId1"/>
  <headerFooter alignWithMargins="0">
    <oddHeader>&amp;R&amp;D  &amp;T</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workbookViewId="0" topLeftCell="A29">
      <selection activeCell="B50" sqref="B50"/>
    </sheetView>
  </sheetViews>
  <sheetFormatPr defaultColWidth="9.140625" defaultRowHeight="12.75"/>
  <cols>
    <col min="1" max="1" width="3.00390625" style="2" customWidth="1"/>
    <col min="2" max="2" width="40.28125" style="2" customWidth="1"/>
    <col min="3" max="3" width="12.28125" style="304" customWidth="1"/>
    <col min="4" max="4" width="1.7109375" style="304" customWidth="1"/>
    <col min="5" max="5" width="12.28125" style="304" customWidth="1"/>
    <col min="6" max="6" width="3.57421875" style="304" customWidth="1"/>
    <col min="7" max="7" width="12.28125" style="304" customWidth="1"/>
    <col min="8" max="8" width="1.57421875" style="304" customWidth="1"/>
    <col min="9" max="9" width="12.28125" style="304" customWidth="1"/>
    <col min="10" max="16384" width="8.8515625" style="2" customWidth="1"/>
  </cols>
  <sheetData>
    <row r="1" spans="2:5" ht="18.75">
      <c r="B1" s="175" t="s">
        <v>159</v>
      </c>
      <c r="C1" s="175"/>
      <c r="D1" s="175"/>
      <c r="E1" s="2"/>
    </row>
    <row r="3" ht="15.75">
      <c r="B3" s="174" t="s">
        <v>0</v>
      </c>
    </row>
    <row r="4" ht="15.75">
      <c r="B4" s="174" t="s">
        <v>829</v>
      </c>
    </row>
    <row r="7" spans="3:9" ht="12.75">
      <c r="C7" s="694" t="s">
        <v>9</v>
      </c>
      <c r="D7" s="695"/>
      <c r="E7" s="696"/>
      <c r="G7" s="694" t="s">
        <v>10</v>
      </c>
      <c r="H7" s="695"/>
      <c r="I7" s="696"/>
    </row>
    <row r="8" spans="3:9" ht="12.75">
      <c r="C8" s="691" t="s">
        <v>830</v>
      </c>
      <c r="D8" s="692"/>
      <c r="E8" s="693"/>
      <c r="G8" s="691" t="s">
        <v>831</v>
      </c>
      <c r="H8" s="692"/>
      <c r="I8" s="693"/>
    </row>
    <row r="9" spans="3:9" ht="12.75">
      <c r="C9" s="529">
        <v>2008</v>
      </c>
      <c r="D9" s="472"/>
      <c r="E9" s="529">
        <v>2007</v>
      </c>
      <c r="G9" s="529">
        <v>2008</v>
      </c>
      <c r="H9" s="472"/>
      <c r="I9" s="529">
        <v>2007</v>
      </c>
    </row>
    <row r="10" spans="3:9" ht="12.75">
      <c r="C10" s="519" t="s">
        <v>87</v>
      </c>
      <c r="E10" s="519" t="s">
        <v>87</v>
      </c>
      <c r="G10" s="535" t="s">
        <v>87</v>
      </c>
      <c r="I10" s="535" t="s">
        <v>87</v>
      </c>
    </row>
    <row r="11" spans="1:2" ht="12.75">
      <c r="A11" s="304"/>
      <c r="B11" s="304"/>
    </row>
    <row r="12" spans="1:2" ht="12.75">
      <c r="A12" s="304"/>
      <c r="B12" s="375"/>
    </row>
    <row r="13" spans="2:9" ht="12.75">
      <c r="B13" s="2" t="s">
        <v>215</v>
      </c>
      <c r="C13" s="520">
        <f>ROUND('[2]P&amp;L'!AC9,0)/1000</f>
        <v>65934.153</v>
      </c>
      <c r="D13" s="372"/>
      <c r="E13" s="520">
        <v>54479</v>
      </c>
      <c r="F13" s="372"/>
      <c r="G13" s="520">
        <f>ROUND('[2]P&amp;L'!AA9,0)/1000</f>
        <v>208152.471</v>
      </c>
      <c r="H13" s="372"/>
      <c r="I13" s="520">
        <v>162194</v>
      </c>
    </row>
    <row r="14" spans="3:9" ht="12.75">
      <c r="C14" s="521"/>
      <c r="D14" s="372"/>
      <c r="E14" s="521"/>
      <c r="F14" s="372"/>
      <c r="G14" s="521"/>
      <c r="H14" s="372"/>
      <c r="I14" s="521"/>
    </row>
    <row r="15" spans="2:9" ht="12.75">
      <c r="B15" s="2" t="s">
        <v>89</v>
      </c>
      <c r="C15" s="521">
        <f>+('[2]P&amp;L'!AC13+'[2]P&amp;L'!AC14)/1000</f>
        <v>-49533.058</v>
      </c>
      <c r="D15" s="372"/>
      <c r="E15" s="521">
        <v>-39008</v>
      </c>
      <c r="F15" s="372"/>
      <c r="G15" s="521">
        <f>+('[2]P&amp;L'!AA13+'[2]P&amp;L'!AA14)/1000</f>
        <v>-157615.811</v>
      </c>
      <c r="H15" s="372"/>
      <c r="I15" s="521">
        <v>-124714</v>
      </c>
    </row>
    <row r="16" spans="3:9" ht="12.75">
      <c r="C16" s="521"/>
      <c r="D16" s="372"/>
      <c r="E16" s="521"/>
      <c r="F16" s="372"/>
      <c r="G16" s="521"/>
      <c r="H16" s="372"/>
      <c r="I16" s="521"/>
    </row>
    <row r="17" spans="2:9" ht="12.75">
      <c r="B17" s="59" t="s">
        <v>623</v>
      </c>
      <c r="C17" s="520">
        <f>SUM(C13:C15)</f>
        <v>16401.09500000001</v>
      </c>
      <c r="D17" s="372"/>
      <c r="E17" s="520">
        <f>SUM(E13:E15)</f>
        <v>15471</v>
      </c>
      <c r="F17" s="372"/>
      <c r="G17" s="520">
        <f>SUM(G13:G15)</f>
        <v>50536.66</v>
      </c>
      <c r="H17" s="372"/>
      <c r="I17" s="520">
        <f>SUM(I13:I15)</f>
        <v>37480</v>
      </c>
    </row>
    <row r="18" spans="3:9" ht="12.75">
      <c r="C18" s="530"/>
      <c r="D18" s="372"/>
      <c r="E18" s="530"/>
      <c r="F18" s="372"/>
      <c r="G18" s="530"/>
      <c r="H18" s="372"/>
      <c r="I18" s="530"/>
    </row>
    <row r="19" spans="2:9" ht="12.75">
      <c r="B19" s="2" t="s">
        <v>95</v>
      </c>
      <c r="C19" s="521">
        <f>ROUND('[2]P&amp;L'!AC36,0)/1000</f>
        <v>764.292</v>
      </c>
      <c r="D19" s="372"/>
      <c r="E19" s="521">
        <v>622</v>
      </c>
      <c r="F19" s="372"/>
      <c r="G19" s="521">
        <f>ROUND('[2]P&amp;L'!AA36,0)/1000</f>
        <v>3288.331</v>
      </c>
      <c r="H19" s="372"/>
      <c r="I19" s="521">
        <v>2015</v>
      </c>
    </row>
    <row r="20" spans="3:9" ht="12.75">
      <c r="C20" s="521"/>
      <c r="D20" s="372"/>
      <c r="E20" s="521"/>
      <c r="F20" s="372"/>
      <c r="G20" s="521"/>
      <c r="H20" s="372"/>
      <c r="I20" s="521"/>
    </row>
    <row r="21" spans="2:10" ht="12.75">
      <c r="B21" s="304" t="s">
        <v>311</v>
      </c>
      <c r="C21" s="521">
        <f>ROUND(-'[2]P&amp;L'!AC47-'[2]P&amp;L'!AC56-'[2]P&amp;L'!AC57-'[2]P&amp;L'!AC58-'[2]P&amp;L'!AC63+'[2]P&amp;L'!AC76-'[2]P&amp;L'!AC61,0)/1000</f>
        <v>-4257.367</v>
      </c>
      <c r="D21" s="372"/>
      <c r="E21" s="521">
        <v>-3120</v>
      </c>
      <c r="F21" s="372"/>
      <c r="G21" s="521">
        <f>ROUND(-'[2]P&amp;L'!AA47-'[2]P&amp;L'!AA56-'[2]P&amp;L'!AA57-+'[2]P&amp;L'!AA61+'[2]P&amp;L'!AA63+'[2]P&amp;L'!AA76,0)/1000</f>
        <v>-12190.704</v>
      </c>
      <c r="H21" s="372"/>
      <c r="I21" s="521">
        <v>-9671</v>
      </c>
      <c r="J21" s="468"/>
    </row>
    <row r="22" spans="3:9" ht="12.75">
      <c r="C22" s="521"/>
      <c r="D22" s="372"/>
      <c r="E22" s="521"/>
      <c r="F22" s="372"/>
      <c r="G22" s="521"/>
      <c r="H22" s="372"/>
      <c r="I22" s="521"/>
    </row>
    <row r="23" spans="2:9" ht="12.75">
      <c r="B23" s="2" t="s">
        <v>624</v>
      </c>
      <c r="C23" s="521">
        <f>ROUND(-'[2]P&amp;L'!AC51-'[2]P&amp;L'!AC52-'[2]P&amp;L'!AC53,0)/1000</f>
        <v>-265.826</v>
      </c>
      <c r="D23" s="372"/>
      <c r="E23" s="521">
        <v>-235</v>
      </c>
      <c r="F23" s="372"/>
      <c r="G23" s="521">
        <f>ROUND(-'[2]P&amp;L'!AA51-'[2]P&amp;L'!AA52-'[2]P&amp;L'!AA53,0)/1000</f>
        <v>-676.267</v>
      </c>
      <c r="H23" s="372"/>
      <c r="I23" s="521">
        <v>-719</v>
      </c>
    </row>
    <row r="24" spans="3:9" ht="12.75">
      <c r="C24" s="521"/>
      <c r="D24" s="372"/>
      <c r="E24" s="521"/>
      <c r="F24" s="372"/>
      <c r="G24" s="521"/>
      <c r="H24" s="372"/>
      <c r="I24" s="521"/>
    </row>
    <row r="25" spans="2:9" ht="12.75">
      <c r="B25" s="2" t="s">
        <v>385</v>
      </c>
      <c r="C25" s="521">
        <f>ROUND('[2]P&amp;L'!AC64,0)/1000</f>
        <v>430.761</v>
      </c>
      <c r="D25" s="372"/>
      <c r="E25" s="521">
        <v>1136</v>
      </c>
      <c r="F25" s="372"/>
      <c r="G25" s="521">
        <f>ROUND('[2]P&amp;L'!AA64,0)/1000</f>
        <v>2142.313</v>
      </c>
      <c r="H25" s="372"/>
      <c r="I25" s="521">
        <v>1224</v>
      </c>
    </row>
    <row r="26" spans="3:9" ht="12.75">
      <c r="C26" s="525"/>
      <c r="D26" s="372"/>
      <c r="E26" s="525"/>
      <c r="F26" s="372"/>
      <c r="G26" s="525"/>
      <c r="H26" s="372"/>
      <c r="I26" s="525"/>
    </row>
    <row r="27" spans="2:9" ht="12.75">
      <c r="B27" s="59" t="s">
        <v>187</v>
      </c>
      <c r="C27" s="522">
        <f>SUM(C17:C26)</f>
        <v>13072.95500000001</v>
      </c>
      <c r="D27" s="372"/>
      <c r="E27" s="522">
        <f>SUM(E17:E25)</f>
        <v>13874</v>
      </c>
      <c r="F27" s="372"/>
      <c r="G27" s="522">
        <f>SUM(G17:G26)</f>
        <v>43100.333000000006</v>
      </c>
      <c r="H27" s="372"/>
      <c r="I27" s="522">
        <f>SUM(I17:I26)</f>
        <v>30329</v>
      </c>
    </row>
    <row r="28" spans="3:9" ht="12.75">
      <c r="C28" s="521"/>
      <c r="D28" s="372"/>
      <c r="E28" s="521"/>
      <c r="F28" s="372"/>
      <c r="G28" s="521"/>
      <c r="H28" s="372"/>
      <c r="I28" s="521"/>
    </row>
    <row r="29" spans="2:9" ht="12.75">
      <c r="B29" s="2" t="s">
        <v>307</v>
      </c>
      <c r="C29" s="521">
        <f>ROUND('[2]P&amp;L'!AC81,0)/1000</f>
        <v>-2781.661</v>
      </c>
      <c r="D29" s="372"/>
      <c r="E29" s="521">
        <v>-3106</v>
      </c>
      <c r="F29" s="372"/>
      <c r="G29" s="521">
        <f>ROUND(+'[2]P&amp;L'!AA81,0)/1000</f>
        <v>-9765.763</v>
      </c>
      <c r="H29" s="372"/>
      <c r="I29" s="521">
        <v>-7673</v>
      </c>
    </row>
    <row r="30" spans="3:9" ht="12.75">
      <c r="C30" s="521"/>
      <c r="D30" s="372"/>
      <c r="E30" s="521"/>
      <c r="F30" s="372"/>
      <c r="G30" s="521"/>
      <c r="H30" s="372"/>
      <c r="I30" s="521"/>
    </row>
    <row r="31" spans="2:11" ht="12.75">
      <c r="B31" s="59" t="s">
        <v>188</v>
      </c>
      <c r="C31" s="522">
        <f>SUM(C27:C30)</f>
        <v>10291.29400000001</v>
      </c>
      <c r="D31" s="372"/>
      <c r="E31" s="522">
        <f>SUM(E27:E30)</f>
        <v>10768</v>
      </c>
      <c r="F31" s="372"/>
      <c r="G31" s="522">
        <f>SUM(G27:G30)</f>
        <v>33334.57000000001</v>
      </c>
      <c r="H31" s="372"/>
      <c r="I31" s="522">
        <f>SUM(I27:I30)</f>
        <v>22656</v>
      </c>
      <c r="K31" s="22"/>
    </row>
    <row r="32" spans="2:9" ht="12.75">
      <c r="B32" s="59"/>
      <c r="C32" s="521"/>
      <c r="D32" s="372"/>
      <c r="E32" s="521"/>
      <c r="F32" s="372"/>
      <c r="G32" s="521"/>
      <c r="H32" s="372"/>
      <c r="I32" s="521"/>
    </row>
    <row r="33" spans="2:9" ht="12.75">
      <c r="B33" s="59" t="s">
        <v>323</v>
      </c>
      <c r="C33" s="521"/>
      <c r="D33" s="372"/>
      <c r="E33" s="521"/>
      <c r="F33" s="372"/>
      <c r="G33" s="521"/>
      <c r="H33" s="372"/>
      <c r="I33" s="521"/>
    </row>
    <row r="34" spans="2:9" ht="12.75">
      <c r="B34" s="2" t="s">
        <v>559</v>
      </c>
      <c r="C34" s="521">
        <f>+'[2]P&amp;L'!AC92/1000</f>
        <v>6271.693600000001</v>
      </c>
      <c r="D34" s="372"/>
      <c r="E34" s="521">
        <v>6785</v>
      </c>
      <c r="F34" s="372"/>
      <c r="G34" s="521">
        <f>ROUND('[2]P&amp;L'!AA92,0)/1000</f>
        <v>20944.338</v>
      </c>
      <c r="H34" s="372"/>
      <c r="I34" s="521">
        <v>14047</v>
      </c>
    </row>
    <row r="35" spans="2:9" ht="12.75">
      <c r="B35" s="2" t="s">
        <v>672</v>
      </c>
      <c r="C35" s="521">
        <f>-ROUND('[2]P&amp;L'!AC86,0)/1000</f>
        <v>4019.6</v>
      </c>
      <c r="D35" s="372"/>
      <c r="E35" s="521">
        <v>3983</v>
      </c>
      <c r="F35" s="372"/>
      <c r="G35" s="521">
        <f>-ROUND('[2]P&amp;L'!AA86,0)/1000</f>
        <v>12390.232</v>
      </c>
      <c r="H35" s="372"/>
      <c r="I35" s="521">
        <v>8609</v>
      </c>
    </row>
    <row r="36" spans="3:9" ht="12.75">
      <c r="C36" s="521"/>
      <c r="D36" s="372"/>
      <c r="E36" s="521"/>
      <c r="F36" s="372"/>
      <c r="G36" s="521"/>
      <c r="H36" s="372"/>
      <c r="I36" s="521"/>
    </row>
    <row r="37" spans="2:9" ht="13.5" thickBot="1">
      <c r="B37" s="59"/>
      <c r="C37" s="531">
        <f>SUM(C34:C36)</f>
        <v>10291.2936</v>
      </c>
      <c r="D37" s="372"/>
      <c r="E37" s="531">
        <f>SUM(E34:E36)</f>
        <v>10768</v>
      </c>
      <c r="F37" s="372"/>
      <c r="G37" s="531">
        <f>SUM(G34:G36)</f>
        <v>33334.57</v>
      </c>
      <c r="H37" s="372"/>
      <c r="I37" s="531">
        <f>SUM(I34:I36)</f>
        <v>22656</v>
      </c>
    </row>
    <row r="38" spans="1:9" ht="13.5" thickTop="1">
      <c r="A38" s="304"/>
      <c r="B38" s="304"/>
      <c r="C38" s="476"/>
      <c r="D38" s="476"/>
      <c r="E38" s="476"/>
      <c r="F38" s="476"/>
      <c r="G38" s="476"/>
      <c r="H38" s="476"/>
      <c r="I38" s="476"/>
    </row>
    <row r="39" spans="1:9" ht="12.75">
      <c r="A39" s="304"/>
      <c r="B39" s="304"/>
      <c r="C39" s="476"/>
      <c r="D39" s="476"/>
      <c r="E39" s="476"/>
      <c r="F39" s="476"/>
      <c r="G39" s="476"/>
      <c r="H39" s="476"/>
      <c r="I39" s="476"/>
    </row>
    <row r="40" spans="1:9" ht="12.75">
      <c r="A40" s="304"/>
      <c r="B40" s="375" t="s">
        <v>177</v>
      </c>
      <c r="C40" s="476"/>
      <c r="D40" s="476"/>
      <c r="E40" s="476"/>
      <c r="F40" s="476"/>
      <c r="G40" s="476"/>
      <c r="H40" s="476"/>
      <c r="I40" s="476"/>
    </row>
    <row r="41" spans="1:9" ht="12.75">
      <c r="A41" s="304"/>
      <c r="B41" s="375" t="s">
        <v>712</v>
      </c>
      <c r="C41" s="476"/>
      <c r="D41" s="476"/>
      <c r="E41" s="476"/>
      <c r="F41" s="476"/>
      <c r="G41" s="476"/>
      <c r="H41" s="476"/>
      <c r="I41" s="476"/>
    </row>
    <row r="42" spans="2:9" ht="12.75">
      <c r="B42" s="2" t="s">
        <v>387</v>
      </c>
      <c r="C42" s="532">
        <f>+'[2]EPS'!G28/1000</f>
        <v>11.78722</v>
      </c>
      <c r="D42" s="476"/>
      <c r="E42" s="532">
        <v>12.77</v>
      </c>
      <c r="F42" s="476"/>
      <c r="G42" s="532">
        <f>+'[2]EPS'!G30/1000</f>
        <v>39.363459999999996</v>
      </c>
      <c r="H42" s="476"/>
      <c r="I42" s="532">
        <v>26.43</v>
      </c>
    </row>
    <row r="43" spans="3:9" ht="12.75">
      <c r="C43" s="533"/>
      <c r="D43" s="476"/>
      <c r="E43" s="533"/>
      <c r="F43" s="476"/>
      <c r="G43" s="533"/>
      <c r="H43" s="476"/>
      <c r="I43" s="533"/>
    </row>
    <row r="44" spans="2:9" ht="12.75">
      <c r="B44" s="12" t="s">
        <v>405</v>
      </c>
      <c r="C44" s="532">
        <f>'[2]Fully diluted'!I29/1000</f>
        <v>11.616922167881867</v>
      </c>
      <c r="D44" s="476"/>
      <c r="E44" s="534">
        <v>12.58</v>
      </c>
      <c r="F44" s="476"/>
      <c r="G44" s="532">
        <f>'[2]Fully diluted'!K29/1000</f>
        <v>38.79474274014943</v>
      </c>
      <c r="H44" s="476"/>
      <c r="I44" s="534">
        <v>26.05</v>
      </c>
    </row>
    <row r="45" ht="12.75">
      <c r="G45" s="468"/>
    </row>
    <row r="50" spans="3:7" ht="12.75">
      <c r="C50" s="477"/>
      <c r="D50" s="478"/>
      <c r="G50" s="479"/>
    </row>
    <row r="51" spans="2:7" ht="12.75" customHeight="1" hidden="1">
      <c r="B51" s="153" t="s">
        <v>142</v>
      </c>
      <c r="C51" s="477">
        <f>C31-C37</f>
        <v>0.0004000000099040335</v>
      </c>
      <c r="D51" s="478"/>
      <c r="G51" s="479">
        <f>G31-G37</f>
        <v>0</v>
      </c>
    </row>
    <row r="52" spans="2:9" ht="12.75" hidden="1">
      <c r="B52" s="507" t="s">
        <v>832</v>
      </c>
      <c r="C52" s="512">
        <f>+C31-C37</f>
        <v>0.0004000000099040335</v>
      </c>
      <c r="D52" s="513"/>
      <c r="E52" s="512">
        <f>+E31-E37</f>
        <v>0</v>
      </c>
      <c r="F52" s="513"/>
      <c r="G52" s="512">
        <f>+G31-G37</f>
        <v>0</v>
      </c>
      <c r="H52" s="513"/>
      <c r="I52" s="512">
        <f>+I31-I37</f>
        <v>0</v>
      </c>
    </row>
  </sheetData>
  <mergeCells count="4">
    <mergeCell ref="C8:E8"/>
    <mergeCell ref="G8:I8"/>
    <mergeCell ref="C7:E7"/>
    <mergeCell ref="G7:I7"/>
  </mergeCells>
  <printOptions horizontalCentered="1" verticalCentered="1"/>
  <pageMargins left="0.1" right="0.1" top="0.1" bottom="0.1" header="0.1" footer="0.1"/>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0"/>
  </sheetPr>
  <dimension ref="A1:E18"/>
  <sheetViews>
    <sheetView workbookViewId="0" topLeftCell="A1">
      <selection activeCell="A7" sqref="A7"/>
    </sheetView>
  </sheetViews>
  <sheetFormatPr defaultColWidth="9.140625" defaultRowHeight="12.75"/>
  <cols>
    <col min="1" max="1" width="22.140625" style="0" customWidth="1"/>
    <col min="2" max="2" width="13.28125" style="0" customWidth="1"/>
    <col min="3" max="3" width="13.7109375" style="0" customWidth="1"/>
    <col min="4" max="4" width="15.8515625" style="0" customWidth="1"/>
  </cols>
  <sheetData>
    <row r="1" spans="1:5" ht="12.75">
      <c r="A1" s="567" t="s">
        <v>159</v>
      </c>
      <c r="B1" s="567"/>
      <c r="C1" s="567"/>
      <c r="D1" s="302"/>
      <c r="E1" s="302"/>
    </row>
    <row r="2" spans="1:5" ht="12.75">
      <c r="A2" s="568" t="s">
        <v>7</v>
      </c>
      <c r="B2" s="567"/>
      <c r="C2" s="567"/>
      <c r="D2" s="302"/>
      <c r="E2" s="302"/>
    </row>
    <row r="3" spans="1:3" ht="12.75">
      <c r="A3" s="290"/>
      <c r="B3" s="290"/>
      <c r="C3" s="290"/>
    </row>
    <row r="4" ht="12.75">
      <c r="A4" s="298" t="s">
        <v>4</v>
      </c>
    </row>
    <row r="5" ht="12.75">
      <c r="A5" s="569" t="s">
        <v>812</v>
      </c>
    </row>
    <row r="7" spans="1:4" ht="13.5" thickBot="1">
      <c r="A7" t="s">
        <v>3</v>
      </c>
      <c r="D7" s="509">
        <v>53165900</v>
      </c>
    </row>
    <row r="8" ht="13.5" thickTop="1">
      <c r="D8" s="469"/>
    </row>
    <row r="9" ht="12.75">
      <c r="D9" s="469"/>
    </row>
    <row r="10" ht="12.75">
      <c r="D10" s="570" t="s">
        <v>337</v>
      </c>
    </row>
    <row r="11" spans="1:4" ht="12.75">
      <c r="A11" t="s">
        <v>608</v>
      </c>
      <c r="D11" s="469">
        <f>+D7*0.05</f>
        <v>2658295</v>
      </c>
    </row>
    <row r="12" ht="12.75">
      <c r="D12" s="469"/>
    </row>
    <row r="13" spans="1:4" ht="12.75">
      <c r="A13" t="s">
        <v>83</v>
      </c>
      <c r="D13" s="469">
        <f>+D11*0.26</f>
        <v>691156.7000000001</v>
      </c>
    </row>
    <row r="14" ht="12.75">
      <c r="D14" s="469"/>
    </row>
    <row r="15" spans="1:4" ht="12.75">
      <c r="A15" t="s">
        <v>607</v>
      </c>
      <c r="D15" s="469">
        <f>+D11-D13</f>
        <v>1967138.2999999998</v>
      </c>
    </row>
    <row r="16" ht="12.75">
      <c r="D16" s="469"/>
    </row>
    <row r="17" ht="12.75">
      <c r="D17" s="469"/>
    </row>
    <row r="18" ht="12.75">
      <c r="D18" s="469"/>
    </row>
  </sheetData>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0"/>
  </sheetPr>
  <dimension ref="A1:BX158"/>
  <sheetViews>
    <sheetView workbookViewId="0" topLeftCell="A1">
      <pane xSplit="4" ySplit="6" topLeftCell="E7" activePane="bottomRight" state="frozen"/>
      <selection pane="topLeft" activeCell="B29" sqref="B29"/>
      <selection pane="topRight" activeCell="B29" sqref="B29"/>
      <selection pane="bottomLeft" activeCell="B29" sqref="B29"/>
      <selection pane="bottomRight" activeCell="E12" sqref="E12"/>
    </sheetView>
  </sheetViews>
  <sheetFormatPr defaultColWidth="9.140625" defaultRowHeight="12.75"/>
  <cols>
    <col min="1" max="2" width="9.140625" style="278" customWidth="1"/>
    <col min="3" max="3" width="19.8515625" style="278" customWidth="1"/>
    <col min="4" max="4" width="1.7109375" style="278" customWidth="1"/>
    <col min="5" max="5" width="13.28125" style="274" customWidth="1"/>
    <col min="6" max="6" width="1.7109375" style="640" customWidth="1"/>
    <col min="7" max="7" width="13.28125" style="274" customWidth="1"/>
    <col min="8" max="8" width="1.7109375" style="640" customWidth="1"/>
    <col min="9" max="9" width="13.28125" style="274" customWidth="1"/>
    <col min="10" max="10" width="1.7109375" style="640" customWidth="1"/>
    <col min="11" max="11" width="13.28125" style="274" customWidth="1"/>
    <col min="12" max="12" width="1.7109375" style="640" customWidth="1"/>
    <col min="13" max="13" width="13.28125" style="274" customWidth="1"/>
    <col min="14" max="14" width="1.7109375" style="640" customWidth="1"/>
    <col min="15" max="15" width="13.28125" style="274" customWidth="1"/>
    <col min="16" max="16" width="1.7109375" style="640" customWidth="1"/>
    <col min="17" max="17" width="13.28125" style="274" customWidth="1"/>
    <col min="18" max="18" width="1.7109375" style="640" customWidth="1"/>
    <col min="19" max="19" width="13.28125" style="274" customWidth="1"/>
    <col min="20" max="20" width="1.7109375" style="640" customWidth="1"/>
    <col min="21" max="21" width="13.28125" style="274" customWidth="1"/>
    <col min="22" max="22" width="1.7109375" style="640" customWidth="1"/>
    <col min="23" max="23" width="13.28125" style="274" customWidth="1"/>
    <col min="24" max="24" width="1.7109375" style="640" customWidth="1"/>
    <col min="25" max="25" width="13.8515625" style="274" customWidth="1"/>
    <col min="26" max="26" width="1.7109375" style="640" customWidth="1"/>
    <col min="27" max="27" width="12.7109375" style="274" customWidth="1"/>
    <col min="28" max="28" width="2.421875" style="305" customWidth="1"/>
    <col min="29" max="29" width="13.28125" style="274" customWidth="1"/>
    <col min="30" max="30" width="1.7109375" style="640" customWidth="1"/>
    <col min="31" max="31" width="13.28125" style="274" customWidth="1"/>
    <col min="32" max="32" width="1.7109375" style="640" customWidth="1"/>
    <col min="33" max="33" width="13.28125" style="274" customWidth="1"/>
    <col min="34" max="34" width="1.7109375" style="640" customWidth="1"/>
    <col min="35" max="35" width="13.28125" style="274" customWidth="1"/>
    <col min="36" max="36" width="1.7109375" style="640" customWidth="1"/>
    <col min="37" max="37" width="13.28125" style="274" customWidth="1"/>
    <col min="38" max="38" width="1.7109375" style="640" customWidth="1"/>
    <col min="39" max="39" width="13.28125" style="274" customWidth="1"/>
    <col min="40" max="40" width="1.7109375" style="640" customWidth="1"/>
    <col min="41" max="41" width="13.28125" style="274" customWidth="1"/>
    <col min="42" max="42" width="1.7109375" style="640" customWidth="1"/>
    <col min="43" max="43" width="13.57421875" style="274" customWidth="1"/>
    <col min="44" max="44" width="1.7109375" style="641" customWidth="1"/>
    <col min="45" max="45" width="5.28125" style="642" customWidth="1"/>
    <col min="46" max="46" width="11.8515625" style="286" customWidth="1"/>
    <col min="47" max="47" width="11.421875" style="286" customWidth="1"/>
    <col min="48" max="48" width="11.421875" style="642" customWidth="1"/>
    <col min="49" max="49" width="1.7109375" style="642" customWidth="1"/>
    <col min="50" max="50" width="12.28125" style="274" bestFit="1" customWidth="1"/>
    <col min="51" max="51" width="14.7109375" style="641" customWidth="1"/>
    <col min="52" max="76" width="9.140625" style="641" customWidth="1"/>
    <col min="77" max="16384" width="9.140625" style="278" customWidth="1"/>
  </cols>
  <sheetData>
    <row r="1" ht="12.75">
      <c r="A1" s="639" t="s">
        <v>551</v>
      </c>
    </row>
    <row r="2" ht="12.75">
      <c r="A2" s="639" t="s">
        <v>426</v>
      </c>
    </row>
    <row r="3" ht="12.75">
      <c r="A3" s="639" t="s">
        <v>324</v>
      </c>
    </row>
    <row r="4" spans="1:76" s="643" customFormat="1" ht="12.75">
      <c r="A4" s="639"/>
      <c r="C4" s="644"/>
      <c r="D4" s="644"/>
      <c r="E4" s="645"/>
      <c r="F4" s="646"/>
      <c r="G4" s="645"/>
      <c r="H4" s="646"/>
      <c r="I4" s="645"/>
      <c r="J4" s="646"/>
      <c r="K4" s="645"/>
      <c r="L4" s="646"/>
      <c r="M4" s="645"/>
      <c r="N4" s="646"/>
      <c r="O4" s="645"/>
      <c r="P4" s="646"/>
      <c r="Q4" s="645"/>
      <c r="R4" s="646"/>
      <c r="S4" s="645"/>
      <c r="T4" s="646"/>
      <c r="U4" s="645"/>
      <c r="V4" s="646"/>
      <c r="W4" s="645"/>
      <c r="X4" s="646"/>
      <c r="Y4" s="645"/>
      <c r="Z4" s="646"/>
      <c r="AA4" s="645"/>
      <c r="AB4" s="386"/>
      <c r="AC4" s="645"/>
      <c r="AD4" s="646"/>
      <c r="AE4" s="645"/>
      <c r="AF4" s="646"/>
      <c r="AG4" s="645"/>
      <c r="AH4" s="646"/>
      <c r="AI4" s="645"/>
      <c r="AJ4" s="646"/>
      <c r="AK4" s="645"/>
      <c r="AL4" s="646"/>
      <c r="AM4" s="645"/>
      <c r="AN4" s="646"/>
      <c r="AO4" s="645"/>
      <c r="AP4" s="646"/>
      <c r="AQ4" s="645"/>
      <c r="AR4" s="646"/>
      <c r="AS4" s="647"/>
      <c r="AT4" s="709" t="s">
        <v>325</v>
      </c>
      <c r="AU4" s="709"/>
      <c r="AV4" s="649"/>
      <c r="AW4" s="649"/>
      <c r="AX4" s="650" t="s">
        <v>326</v>
      </c>
      <c r="AY4" s="651"/>
      <c r="AZ4" s="651"/>
      <c r="BA4" s="651"/>
      <c r="BB4" s="651"/>
      <c r="BC4" s="651"/>
      <c r="BD4" s="651"/>
      <c r="BE4" s="651"/>
      <c r="BF4" s="651"/>
      <c r="BG4" s="651"/>
      <c r="BH4" s="651"/>
      <c r="BI4" s="651"/>
      <c r="BJ4" s="651"/>
      <c r="BK4" s="651"/>
      <c r="BL4" s="651"/>
      <c r="BM4" s="651"/>
      <c r="BN4" s="651"/>
      <c r="BO4" s="651"/>
      <c r="BP4" s="651"/>
      <c r="BQ4" s="651"/>
      <c r="BR4" s="651"/>
      <c r="BS4" s="651"/>
      <c r="BT4" s="651"/>
      <c r="BU4" s="651"/>
      <c r="BV4" s="651"/>
      <c r="BW4" s="651"/>
      <c r="BX4" s="651"/>
    </row>
    <row r="5" spans="3:76" s="643" customFormat="1" ht="12.75">
      <c r="C5" s="652"/>
      <c r="D5" s="652"/>
      <c r="E5" s="653" t="s">
        <v>757</v>
      </c>
      <c r="F5" s="649"/>
      <c r="G5" s="653" t="s">
        <v>574</v>
      </c>
      <c r="H5" s="649"/>
      <c r="I5" s="653" t="s">
        <v>791</v>
      </c>
      <c r="J5" s="649"/>
      <c r="K5" s="653" t="s">
        <v>783</v>
      </c>
      <c r="L5" s="649"/>
      <c r="M5" s="653" t="s">
        <v>782</v>
      </c>
      <c r="N5" s="649"/>
      <c r="O5" s="653" t="s">
        <v>784</v>
      </c>
      <c r="P5" s="649"/>
      <c r="Q5" s="653" t="s">
        <v>792</v>
      </c>
      <c r="R5" s="649"/>
      <c r="S5" s="653" t="s">
        <v>772</v>
      </c>
      <c r="T5" s="649"/>
      <c r="U5" s="653" t="s">
        <v>130</v>
      </c>
      <c r="V5" s="649"/>
      <c r="W5" s="653" t="s">
        <v>773</v>
      </c>
      <c r="X5" s="649"/>
      <c r="Y5" s="653" t="s">
        <v>131</v>
      </c>
      <c r="Z5" s="649"/>
      <c r="AA5" s="653" t="s">
        <v>170</v>
      </c>
      <c r="AB5" s="665"/>
      <c r="AC5" s="653" t="s">
        <v>794</v>
      </c>
      <c r="AD5" s="649"/>
      <c r="AE5" s="653" t="s">
        <v>132</v>
      </c>
      <c r="AF5" s="649"/>
      <c r="AG5" s="653" t="s">
        <v>171</v>
      </c>
      <c r="AH5" s="649"/>
      <c r="AI5" s="653" t="s">
        <v>85</v>
      </c>
      <c r="AJ5" s="649"/>
      <c r="AK5" s="653" t="s">
        <v>333</v>
      </c>
      <c r="AL5" s="649"/>
      <c r="AM5" s="653" t="s">
        <v>156</v>
      </c>
      <c r="AN5" s="649"/>
      <c r="AO5" s="653" t="s">
        <v>157</v>
      </c>
      <c r="AP5" s="649"/>
      <c r="AQ5" s="653" t="s">
        <v>271</v>
      </c>
      <c r="AR5" s="654"/>
      <c r="AS5" s="649"/>
      <c r="AT5" s="655" t="s">
        <v>351</v>
      </c>
      <c r="AU5" s="655" t="s">
        <v>352</v>
      </c>
      <c r="AV5" s="649"/>
      <c r="AW5" s="649"/>
      <c r="AX5" s="650" t="s">
        <v>271</v>
      </c>
      <c r="AY5" s="651"/>
      <c r="AZ5" s="651"/>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row>
    <row r="6" spans="3:76" s="643" customFormat="1" ht="12.75">
      <c r="C6" s="644"/>
      <c r="D6" s="644"/>
      <c r="E6" s="656" t="s">
        <v>337</v>
      </c>
      <c r="F6" s="647"/>
      <c r="G6" s="656" t="s">
        <v>337</v>
      </c>
      <c r="H6" s="647"/>
      <c r="I6" s="656" t="s">
        <v>337</v>
      </c>
      <c r="J6" s="647"/>
      <c r="K6" s="656" t="s">
        <v>337</v>
      </c>
      <c r="L6" s="647"/>
      <c r="M6" s="656" t="s">
        <v>337</v>
      </c>
      <c r="N6" s="647"/>
      <c r="O6" s="656" t="s">
        <v>337</v>
      </c>
      <c r="P6" s="647"/>
      <c r="Q6" s="656" t="s">
        <v>337</v>
      </c>
      <c r="R6" s="647"/>
      <c r="S6" s="656" t="s">
        <v>337</v>
      </c>
      <c r="T6" s="647"/>
      <c r="U6" s="656" t="s">
        <v>337</v>
      </c>
      <c r="V6" s="647"/>
      <c r="W6" s="656" t="s">
        <v>337</v>
      </c>
      <c r="X6" s="647"/>
      <c r="Y6" s="656" t="s">
        <v>337</v>
      </c>
      <c r="Z6" s="647"/>
      <c r="AA6" s="656" t="s">
        <v>337</v>
      </c>
      <c r="AB6" s="666"/>
      <c r="AC6" s="656" t="s">
        <v>337</v>
      </c>
      <c r="AD6" s="647"/>
      <c r="AE6" s="656" t="s">
        <v>337</v>
      </c>
      <c r="AF6" s="647"/>
      <c r="AG6" s="656" t="s">
        <v>337</v>
      </c>
      <c r="AH6" s="647"/>
      <c r="AI6" s="656" t="s">
        <v>337</v>
      </c>
      <c r="AJ6" s="647"/>
      <c r="AK6" s="656" t="s">
        <v>337</v>
      </c>
      <c r="AL6" s="647"/>
      <c r="AM6" s="656" t="s">
        <v>337</v>
      </c>
      <c r="AN6" s="647"/>
      <c r="AO6" s="656" t="s">
        <v>337</v>
      </c>
      <c r="AP6" s="647"/>
      <c r="AQ6" s="656" t="s">
        <v>337</v>
      </c>
      <c r="AR6" s="647"/>
      <c r="AS6" s="647"/>
      <c r="AT6" s="648" t="s">
        <v>337</v>
      </c>
      <c r="AU6" s="648" t="s">
        <v>337</v>
      </c>
      <c r="AV6" s="647"/>
      <c r="AW6" s="647"/>
      <c r="AX6" s="657" t="s">
        <v>337</v>
      </c>
      <c r="AY6" s="651"/>
      <c r="AZ6" s="651"/>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1"/>
    </row>
    <row r="7" spans="1:50" ht="12.75">
      <c r="A7" s="290" t="s">
        <v>327</v>
      </c>
      <c r="E7" s="500"/>
      <c r="G7" s="500"/>
      <c r="I7" s="500"/>
      <c r="K7" s="500"/>
      <c r="M7" s="500"/>
      <c r="O7" s="500"/>
      <c r="Q7" s="500"/>
      <c r="S7" s="500"/>
      <c r="U7" s="500"/>
      <c r="W7" s="500"/>
      <c r="Y7" s="500"/>
      <c r="AA7" s="500"/>
      <c r="AC7" s="500"/>
      <c r="AE7" s="500"/>
      <c r="AG7" s="500"/>
      <c r="AI7" s="500"/>
      <c r="AK7" s="500"/>
      <c r="AM7" s="500"/>
      <c r="AO7" s="500"/>
      <c r="AQ7" s="500"/>
      <c r="AX7" s="658"/>
    </row>
    <row r="8" spans="1:50" ht="12.75">
      <c r="A8" s="290" t="s">
        <v>328</v>
      </c>
      <c r="E8" s="500"/>
      <c r="G8" s="500"/>
      <c r="I8" s="500"/>
      <c r="K8" s="500"/>
      <c r="M8" s="500"/>
      <c r="O8" s="500"/>
      <c r="Q8" s="500"/>
      <c r="S8" s="500"/>
      <c r="U8" s="500"/>
      <c r="W8" s="500"/>
      <c r="Y8" s="500"/>
      <c r="AA8" s="500"/>
      <c r="AC8" s="500"/>
      <c r="AE8" s="500"/>
      <c r="AG8" s="500"/>
      <c r="AI8" s="500"/>
      <c r="AK8" s="500"/>
      <c r="AM8" s="500"/>
      <c r="AO8" s="500"/>
      <c r="AQ8" s="500"/>
      <c r="AX8" s="658"/>
    </row>
    <row r="9" spans="1:50" ht="12.75">
      <c r="A9" s="278" t="s">
        <v>552</v>
      </c>
      <c r="E9" s="500">
        <v>0</v>
      </c>
      <c r="G9" s="500">
        <v>0</v>
      </c>
      <c r="I9" s="500">
        <v>3050000</v>
      </c>
      <c r="K9" s="500">
        <v>0</v>
      </c>
      <c r="M9" s="500">
        <v>0</v>
      </c>
      <c r="O9" s="500">
        <v>0</v>
      </c>
      <c r="Q9" s="500">
        <v>0</v>
      </c>
      <c r="S9" s="500">
        <v>0</v>
      </c>
      <c r="U9" s="500">
        <v>0</v>
      </c>
      <c r="W9" s="500">
        <v>0</v>
      </c>
      <c r="Y9" s="500">
        <v>0</v>
      </c>
      <c r="AA9" s="500">
        <v>0</v>
      </c>
      <c r="AC9" s="500">
        <v>0</v>
      </c>
      <c r="AE9" s="500">
        <v>0</v>
      </c>
      <c r="AG9" s="500">
        <v>0</v>
      </c>
      <c r="AI9" s="500">
        <v>0</v>
      </c>
      <c r="AK9" s="500">
        <v>0</v>
      </c>
      <c r="AM9" s="500">
        <v>0</v>
      </c>
      <c r="AO9" s="500">
        <v>0</v>
      </c>
      <c r="AQ9" s="500">
        <f>SUM(E9:AO9)</f>
        <v>3050000</v>
      </c>
      <c r="AX9" s="658">
        <f aca="true" t="shared" si="0" ref="AX9:AX16">AQ9+AT9-AU9</f>
        <v>3050000</v>
      </c>
    </row>
    <row r="10" spans="1:50" ht="12.75">
      <c r="A10" s="278" t="s">
        <v>329</v>
      </c>
      <c r="E10" s="500">
        <v>765621</v>
      </c>
      <c r="G10" s="500">
        <v>250000</v>
      </c>
      <c r="I10" s="500">
        <v>0</v>
      </c>
      <c r="K10" s="500">
        <v>0</v>
      </c>
      <c r="M10" s="500">
        <f>211907+527000</f>
        <v>738907</v>
      </c>
      <c r="O10" s="500">
        <v>0</v>
      </c>
      <c r="Q10" s="500">
        <v>0</v>
      </c>
      <c r="S10" s="500">
        <v>0</v>
      </c>
      <c r="U10" s="500">
        <v>0</v>
      </c>
      <c r="W10" s="500">
        <v>1860000</v>
      </c>
      <c r="Y10" s="500">
        <v>2820000</v>
      </c>
      <c r="AA10" s="500">
        <v>0</v>
      </c>
      <c r="AC10" s="500">
        <v>0</v>
      </c>
      <c r="AE10" s="500">
        <v>0</v>
      </c>
      <c r="AG10" s="500">
        <v>0</v>
      </c>
      <c r="AI10" s="500">
        <v>0</v>
      </c>
      <c r="AK10" s="500">
        <v>0</v>
      </c>
      <c r="AM10" s="500">
        <v>0</v>
      </c>
      <c r="AO10" s="500">
        <v>0</v>
      </c>
      <c r="AQ10" s="500">
        <f aca="true" t="shared" si="1" ref="AQ10:AQ16">SUM(E10:AO10)</f>
        <v>6434528</v>
      </c>
      <c r="AX10" s="658">
        <f t="shared" si="0"/>
        <v>6434528</v>
      </c>
    </row>
    <row r="11" spans="1:50" ht="12.75">
      <c r="A11" s="278" t="s">
        <v>330</v>
      </c>
      <c r="E11" s="500">
        <v>1431880</v>
      </c>
      <c r="G11" s="500">
        <v>174356</v>
      </c>
      <c r="I11" s="500">
        <v>1375185</v>
      </c>
      <c r="K11" s="500">
        <v>0</v>
      </c>
      <c r="M11" s="500">
        <f>890242+656065-73000</f>
        <v>1473307</v>
      </c>
      <c r="O11" s="500">
        <v>0</v>
      </c>
      <c r="Q11" s="500">
        <v>0</v>
      </c>
      <c r="S11" s="500">
        <v>0</v>
      </c>
      <c r="U11" s="500">
        <v>0</v>
      </c>
      <c r="W11" s="500">
        <v>2583150</v>
      </c>
      <c r="Y11" s="500">
        <f>4172200+3800000</f>
        <v>7972200</v>
      </c>
      <c r="AA11" s="500">
        <v>0</v>
      </c>
      <c r="AC11" s="500">
        <v>0</v>
      </c>
      <c r="AE11" s="500">
        <v>0</v>
      </c>
      <c r="AG11" s="500">
        <v>0</v>
      </c>
      <c r="AI11" s="500">
        <v>0</v>
      </c>
      <c r="AK11" s="500">
        <v>0</v>
      </c>
      <c r="AM11" s="500">
        <v>0</v>
      </c>
      <c r="AO11" s="500">
        <v>0</v>
      </c>
      <c r="AQ11" s="500">
        <f t="shared" si="1"/>
        <v>15010078</v>
      </c>
      <c r="AS11" s="659"/>
      <c r="AW11" s="659"/>
      <c r="AX11" s="658">
        <f t="shared" si="0"/>
        <v>15010078</v>
      </c>
    </row>
    <row r="12" spans="1:50" ht="12.75">
      <c r="A12" s="278" t="s">
        <v>331</v>
      </c>
      <c r="E12" s="500">
        <v>0</v>
      </c>
      <c r="G12" s="500">
        <v>0</v>
      </c>
      <c r="I12" s="500">
        <v>0</v>
      </c>
      <c r="K12" s="500">
        <v>0</v>
      </c>
      <c r="M12" s="500">
        <v>0</v>
      </c>
      <c r="O12" s="500">
        <v>0</v>
      </c>
      <c r="Q12" s="500">
        <v>0</v>
      </c>
      <c r="S12" s="500">
        <f>638217+124253</f>
        <v>762470</v>
      </c>
      <c r="U12" s="500">
        <v>0</v>
      </c>
      <c r="W12" s="500">
        <v>70563651</v>
      </c>
      <c r="Y12" s="500">
        <v>15008102</v>
      </c>
      <c r="AA12" s="500">
        <v>0</v>
      </c>
      <c r="AC12" s="500">
        <v>0</v>
      </c>
      <c r="AE12" s="500">
        <v>0</v>
      </c>
      <c r="AG12" s="500">
        <v>0</v>
      </c>
      <c r="AI12" s="500">
        <v>0</v>
      </c>
      <c r="AK12" s="500">
        <v>0</v>
      </c>
      <c r="AM12" s="500">
        <v>0</v>
      </c>
      <c r="AO12" s="500">
        <v>0</v>
      </c>
      <c r="AQ12" s="500">
        <f t="shared" si="1"/>
        <v>86334223</v>
      </c>
      <c r="AX12" s="658">
        <f t="shared" si="0"/>
        <v>86334223</v>
      </c>
    </row>
    <row r="13" spans="1:50" ht="12.75">
      <c r="A13" s="278" t="s">
        <v>332</v>
      </c>
      <c r="E13" s="500">
        <f>58612-16900</f>
        <v>41712</v>
      </c>
      <c r="G13" s="500">
        <v>0</v>
      </c>
      <c r="I13" s="500">
        <v>145643</v>
      </c>
      <c r="K13" s="500">
        <v>0</v>
      </c>
      <c r="M13" s="500">
        <v>0</v>
      </c>
      <c r="O13" s="500">
        <v>0</v>
      </c>
      <c r="Q13" s="500">
        <v>0</v>
      </c>
      <c r="S13" s="500">
        <v>53106</v>
      </c>
      <c r="U13" s="500">
        <v>0</v>
      </c>
      <c r="W13" s="500">
        <v>1622055</v>
      </c>
      <c r="Y13" s="500">
        <v>1031813</v>
      </c>
      <c r="AA13" s="500">
        <v>0</v>
      </c>
      <c r="AC13" s="500">
        <v>0</v>
      </c>
      <c r="AE13" s="500">
        <v>0</v>
      </c>
      <c r="AG13" s="500">
        <v>0</v>
      </c>
      <c r="AI13" s="500">
        <v>0</v>
      </c>
      <c r="AK13" s="500">
        <v>0</v>
      </c>
      <c r="AM13" s="500">
        <v>0</v>
      </c>
      <c r="AO13" s="500">
        <v>0</v>
      </c>
      <c r="AQ13" s="500">
        <f t="shared" si="1"/>
        <v>2894329</v>
      </c>
      <c r="AX13" s="658">
        <f t="shared" si="0"/>
        <v>2894329</v>
      </c>
    </row>
    <row r="14" spans="1:50" ht="12.75">
      <c r="A14" s="278" t="s">
        <v>537</v>
      </c>
      <c r="E14" s="500">
        <v>58800</v>
      </c>
      <c r="G14" s="500">
        <v>28286</v>
      </c>
      <c r="I14" s="500">
        <v>4393</v>
      </c>
      <c r="K14" s="500">
        <v>3785</v>
      </c>
      <c r="M14" s="500">
        <v>269490</v>
      </c>
      <c r="O14" s="500">
        <v>0</v>
      </c>
      <c r="Q14" s="500">
        <v>344868</v>
      </c>
      <c r="S14" s="500">
        <v>0</v>
      </c>
      <c r="U14" s="500">
        <v>0</v>
      </c>
      <c r="W14" s="500">
        <v>3560423</v>
      </c>
      <c r="Y14" s="500">
        <v>782859</v>
      </c>
      <c r="AA14" s="500">
        <v>0</v>
      </c>
      <c r="AC14" s="500">
        <v>0</v>
      </c>
      <c r="AE14" s="500">
        <v>0</v>
      </c>
      <c r="AG14" s="500">
        <v>0</v>
      </c>
      <c r="AI14" s="500">
        <v>0</v>
      </c>
      <c r="AK14" s="500">
        <v>0</v>
      </c>
      <c r="AM14" s="500">
        <v>0</v>
      </c>
      <c r="AO14" s="500">
        <v>0</v>
      </c>
      <c r="AQ14" s="500">
        <f t="shared" si="1"/>
        <v>5052904</v>
      </c>
      <c r="AX14" s="658">
        <f t="shared" si="0"/>
        <v>5052904</v>
      </c>
    </row>
    <row r="15" spans="1:50" ht="12.75">
      <c r="A15" s="278" t="s">
        <v>538</v>
      </c>
      <c r="E15" s="500">
        <f>83711-14724</f>
        <v>68987</v>
      </c>
      <c r="G15" s="500">
        <v>230217</v>
      </c>
      <c r="I15" s="500">
        <v>444175</v>
      </c>
      <c r="K15" s="500">
        <v>263740</v>
      </c>
      <c r="M15" s="500">
        <v>0</v>
      </c>
      <c r="O15" s="500">
        <v>10533</v>
      </c>
      <c r="Q15" s="500">
        <v>0</v>
      </c>
      <c r="S15" s="500">
        <v>0</v>
      </c>
      <c r="U15" s="500">
        <v>0</v>
      </c>
      <c r="W15" s="500">
        <v>2944667</v>
      </c>
      <c r="Y15" s="500">
        <v>441445</v>
      </c>
      <c r="AA15" s="500">
        <v>0</v>
      </c>
      <c r="AC15" s="500">
        <v>0</v>
      </c>
      <c r="AE15" s="500">
        <v>0</v>
      </c>
      <c r="AG15" s="500">
        <v>0</v>
      </c>
      <c r="AI15" s="500">
        <v>0</v>
      </c>
      <c r="AK15" s="500">
        <v>0</v>
      </c>
      <c r="AM15" s="500">
        <v>0</v>
      </c>
      <c r="AO15" s="500">
        <v>0</v>
      </c>
      <c r="AQ15" s="500">
        <f t="shared" si="1"/>
        <v>4403764</v>
      </c>
      <c r="AX15" s="658">
        <f t="shared" si="0"/>
        <v>4403764</v>
      </c>
    </row>
    <row r="16" spans="1:50" ht="12.75">
      <c r="A16" s="278" t="s">
        <v>539</v>
      </c>
      <c r="E16" s="500">
        <f>1500-1500</f>
        <v>0</v>
      </c>
      <c r="G16" s="500">
        <v>0</v>
      </c>
      <c r="I16" s="500">
        <v>1068255</v>
      </c>
      <c r="K16" s="500">
        <v>0</v>
      </c>
      <c r="M16" s="500">
        <v>0</v>
      </c>
      <c r="O16" s="500">
        <v>0</v>
      </c>
      <c r="Q16" s="500">
        <v>0</v>
      </c>
      <c r="S16" s="500">
        <v>46120</v>
      </c>
      <c r="U16" s="500">
        <v>0</v>
      </c>
      <c r="W16" s="500">
        <v>931497</v>
      </c>
      <c r="Y16" s="500">
        <v>685585</v>
      </c>
      <c r="AA16" s="500">
        <v>0</v>
      </c>
      <c r="AC16" s="500">
        <v>0</v>
      </c>
      <c r="AE16" s="500">
        <v>0</v>
      </c>
      <c r="AG16" s="500">
        <v>0</v>
      </c>
      <c r="AI16" s="500">
        <v>0</v>
      </c>
      <c r="AK16" s="500">
        <v>0</v>
      </c>
      <c r="AM16" s="500">
        <v>0</v>
      </c>
      <c r="AO16" s="500">
        <v>0</v>
      </c>
      <c r="AQ16" s="500">
        <f t="shared" si="1"/>
        <v>2731457</v>
      </c>
      <c r="AX16" s="658">
        <f t="shared" si="0"/>
        <v>2731457</v>
      </c>
    </row>
    <row r="17" spans="5:50" ht="13.5" thickBot="1">
      <c r="E17" s="660">
        <f>SUM(E9:E16)</f>
        <v>2367000</v>
      </c>
      <c r="G17" s="660">
        <f>SUM(G9:G16)</f>
        <v>682859</v>
      </c>
      <c r="I17" s="660">
        <f>SUM(I9:I16)</f>
        <v>6087651</v>
      </c>
      <c r="K17" s="660">
        <f>SUM(K9:K16)</f>
        <v>267525</v>
      </c>
      <c r="M17" s="660">
        <f>SUM(M9:M16)</f>
        <v>2481704</v>
      </c>
      <c r="O17" s="660">
        <f>SUM(O9:O16)</f>
        <v>10533</v>
      </c>
      <c r="Q17" s="660">
        <f>SUM(Q9:Q16)</f>
        <v>344868</v>
      </c>
      <c r="S17" s="660">
        <f>SUM(S9:S16)</f>
        <v>861696</v>
      </c>
      <c r="U17" s="660">
        <f>SUM(U9:U16)</f>
        <v>0</v>
      </c>
      <c r="W17" s="660">
        <f>SUM(W9:W16)</f>
        <v>84065443</v>
      </c>
      <c r="Y17" s="660">
        <f>SUM(Y9:Y16)</f>
        <v>28742004</v>
      </c>
      <c r="AA17" s="660">
        <f>SUM(AA9:AA16)</f>
        <v>0</v>
      </c>
      <c r="AC17" s="660">
        <f>SUM(AC9:AC16)</f>
        <v>0</v>
      </c>
      <c r="AE17" s="660">
        <f>SUM(AE9:AE16)</f>
        <v>0</v>
      </c>
      <c r="AG17" s="660">
        <f>SUM(AG9:AG16)</f>
        <v>0</v>
      </c>
      <c r="AI17" s="660">
        <f>SUM(AI9:AI16)</f>
        <v>0</v>
      </c>
      <c r="AK17" s="660">
        <f>SUM(AK9:AK16)</f>
        <v>0</v>
      </c>
      <c r="AM17" s="660">
        <f>SUM(AM9:AM16)</f>
        <v>0</v>
      </c>
      <c r="AO17" s="660">
        <f>SUM(AO9:AO16)</f>
        <v>0</v>
      </c>
      <c r="AQ17" s="660">
        <f>SUM(AQ9:AQ16)</f>
        <v>125911283</v>
      </c>
      <c r="AX17" s="661">
        <f>SUM(AX9:AX16)</f>
        <v>125911283</v>
      </c>
    </row>
    <row r="18" spans="1:50" ht="12.75">
      <c r="A18" s="290" t="s">
        <v>540</v>
      </c>
      <c r="E18" s="662"/>
      <c r="G18" s="662"/>
      <c r="I18" s="662"/>
      <c r="K18" s="662"/>
      <c r="M18" s="662"/>
      <c r="O18" s="662"/>
      <c r="Q18" s="662"/>
      <c r="S18" s="662"/>
      <c r="U18" s="662"/>
      <c r="W18" s="662"/>
      <c r="Y18" s="662"/>
      <c r="AA18" s="662"/>
      <c r="AC18" s="662"/>
      <c r="AE18" s="662"/>
      <c r="AG18" s="662"/>
      <c r="AI18" s="662"/>
      <c r="AK18" s="662"/>
      <c r="AM18" s="662"/>
      <c r="AO18" s="662"/>
      <c r="AQ18" s="662"/>
      <c r="AX18" s="663"/>
    </row>
    <row r="19" spans="1:50" ht="12.75">
      <c r="A19" s="278" t="s">
        <v>552</v>
      </c>
      <c r="E19" s="662">
        <v>0</v>
      </c>
      <c r="G19" s="662">
        <v>0</v>
      </c>
      <c r="I19" s="662">
        <v>0</v>
      </c>
      <c r="K19" s="662">
        <v>0</v>
      </c>
      <c r="M19" s="662">
        <v>0</v>
      </c>
      <c r="O19" s="662">
        <v>0</v>
      </c>
      <c r="Q19" s="662">
        <v>0</v>
      </c>
      <c r="S19" s="662">
        <v>0</v>
      </c>
      <c r="U19" s="662">
        <v>0</v>
      </c>
      <c r="W19" s="662">
        <v>0</v>
      </c>
      <c r="Y19" s="662">
        <v>0</v>
      </c>
      <c r="AA19" s="662">
        <v>0</v>
      </c>
      <c r="AC19" s="662">
        <v>0</v>
      </c>
      <c r="AE19" s="662">
        <v>0</v>
      </c>
      <c r="AG19" s="662">
        <v>0</v>
      </c>
      <c r="AI19" s="662">
        <v>0</v>
      </c>
      <c r="AK19" s="662">
        <v>0</v>
      </c>
      <c r="AM19" s="662">
        <v>0</v>
      </c>
      <c r="AO19" s="662">
        <v>0</v>
      </c>
      <c r="AQ19" s="500">
        <f>SUM(E19:AO19)</f>
        <v>0</v>
      </c>
      <c r="AX19" s="658">
        <f aca="true" t="shared" si="2" ref="AX19:AX26">AQ19+AT19-AU19</f>
        <v>0</v>
      </c>
    </row>
    <row r="20" spans="1:50" ht="12.75">
      <c r="A20" s="278" t="s">
        <v>329</v>
      </c>
      <c r="E20" s="662">
        <v>0</v>
      </c>
      <c r="G20" s="662">
        <v>0</v>
      </c>
      <c r="I20" s="662">
        <v>0</v>
      </c>
      <c r="K20" s="662">
        <v>0</v>
      </c>
      <c r="M20" s="662">
        <v>0</v>
      </c>
      <c r="O20" s="662">
        <v>0</v>
      </c>
      <c r="Q20" s="662">
        <v>0</v>
      </c>
      <c r="S20" s="662">
        <v>0</v>
      </c>
      <c r="U20" s="662">
        <v>0</v>
      </c>
      <c r="W20" s="662">
        <v>0</v>
      </c>
      <c r="Y20" s="662">
        <v>0</v>
      </c>
      <c r="AA20" s="662">
        <v>0</v>
      </c>
      <c r="AC20" s="662">
        <v>0</v>
      </c>
      <c r="AE20" s="662">
        <v>0</v>
      </c>
      <c r="AG20" s="662">
        <v>0</v>
      </c>
      <c r="AI20" s="662">
        <v>0</v>
      </c>
      <c r="AK20" s="662">
        <v>0</v>
      </c>
      <c r="AM20" s="662">
        <v>0</v>
      </c>
      <c r="AO20" s="662">
        <v>0</v>
      </c>
      <c r="AQ20" s="500">
        <f>SUM(E20:AO20)</f>
        <v>0</v>
      </c>
      <c r="AX20" s="658">
        <f t="shared" si="2"/>
        <v>0</v>
      </c>
    </row>
    <row r="21" spans="1:50" ht="12.75">
      <c r="A21" s="278" t="s">
        <v>330</v>
      </c>
      <c r="E21" s="662">
        <v>0</v>
      </c>
      <c r="G21" s="662">
        <v>17989</v>
      </c>
      <c r="I21" s="662">
        <v>0</v>
      </c>
      <c r="K21" s="662">
        <v>0</v>
      </c>
      <c r="M21" s="662">
        <v>-37000</v>
      </c>
      <c r="O21" s="662">
        <v>0</v>
      </c>
      <c r="Q21" s="662">
        <v>0</v>
      </c>
      <c r="S21" s="662">
        <v>0</v>
      </c>
      <c r="U21" s="662">
        <v>0</v>
      </c>
      <c r="W21" s="662">
        <v>288074</v>
      </c>
      <c r="Y21" s="662">
        <v>0</v>
      </c>
      <c r="AA21" s="662">
        <v>0</v>
      </c>
      <c r="AC21" s="662">
        <v>0</v>
      </c>
      <c r="AE21" s="662">
        <v>0</v>
      </c>
      <c r="AG21" s="662">
        <v>0</v>
      </c>
      <c r="AI21" s="662">
        <v>0</v>
      </c>
      <c r="AK21" s="662">
        <v>0</v>
      </c>
      <c r="AM21" s="662">
        <v>0</v>
      </c>
      <c r="AO21" s="662">
        <v>0</v>
      </c>
      <c r="AQ21" s="500">
        <f aca="true" t="shared" si="3" ref="AQ21:AQ26">SUM(E21:AO21)</f>
        <v>269063</v>
      </c>
      <c r="AX21" s="658">
        <f t="shared" si="2"/>
        <v>269063</v>
      </c>
    </row>
    <row r="22" spans="1:50" ht="12.75">
      <c r="A22" s="278" t="s">
        <v>331</v>
      </c>
      <c r="E22" s="662">
        <v>0</v>
      </c>
      <c r="G22" s="662">
        <v>0</v>
      </c>
      <c r="I22" s="662">
        <v>0</v>
      </c>
      <c r="K22" s="662">
        <v>0</v>
      </c>
      <c r="M22" s="662">
        <v>0</v>
      </c>
      <c r="O22" s="662">
        <v>0</v>
      </c>
      <c r="Q22" s="662">
        <v>0</v>
      </c>
      <c r="S22" s="662">
        <v>0</v>
      </c>
      <c r="U22" s="662">
        <v>0</v>
      </c>
      <c r="W22" s="662">
        <v>5281897</v>
      </c>
      <c r="Y22" s="662">
        <v>729526</v>
      </c>
      <c r="AA22" s="662">
        <v>0</v>
      </c>
      <c r="AC22" s="662">
        <v>0</v>
      </c>
      <c r="AE22" s="662">
        <v>0</v>
      </c>
      <c r="AG22" s="662">
        <v>0</v>
      </c>
      <c r="AI22" s="662">
        <v>0</v>
      </c>
      <c r="AK22" s="662">
        <v>0</v>
      </c>
      <c r="AM22" s="662">
        <v>0</v>
      </c>
      <c r="AO22" s="662">
        <v>0</v>
      </c>
      <c r="AQ22" s="500">
        <f t="shared" si="3"/>
        <v>6011423</v>
      </c>
      <c r="AX22" s="658">
        <f t="shared" si="2"/>
        <v>6011423</v>
      </c>
    </row>
    <row r="23" spans="1:50" ht="12.75">
      <c r="A23" s="278" t="s">
        <v>332</v>
      </c>
      <c r="E23" s="662">
        <v>16900</v>
      </c>
      <c r="G23" s="662">
        <v>0</v>
      </c>
      <c r="I23" s="662">
        <v>0</v>
      </c>
      <c r="K23" s="662">
        <v>0</v>
      </c>
      <c r="M23" s="662">
        <v>2973</v>
      </c>
      <c r="O23" s="662">
        <v>0</v>
      </c>
      <c r="Q23" s="662">
        <v>0</v>
      </c>
      <c r="S23" s="662">
        <v>0</v>
      </c>
      <c r="U23" s="662">
        <v>0</v>
      </c>
      <c r="W23" s="662">
        <v>192767</v>
      </c>
      <c r="Y23" s="662">
        <v>6775</v>
      </c>
      <c r="AA23" s="662">
        <v>0</v>
      </c>
      <c r="AC23" s="662">
        <v>0</v>
      </c>
      <c r="AE23" s="662">
        <v>0</v>
      </c>
      <c r="AG23" s="662">
        <v>0</v>
      </c>
      <c r="AI23" s="662">
        <v>0</v>
      </c>
      <c r="AK23" s="662">
        <v>0</v>
      </c>
      <c r="AM23" s="662">
        <v>0</v>
      </c>
      <c r="AO23" s="662">
        <v>0</v>
      </c>
      <c r="AQ23" s="500">
        <f t="shared" si="3"/>
        <v>219415</v>
      </c>
      <c r="AX23" s="658">
        <f t="shared" si="2"/>
        <v>219415</v>
      </c>
    </row>
    <row r="24" spans="1:50" ht="12.75">
      <c r="A24" s="278" t="s">
        <v>537</v>
      </c>
      <c r="E24" s="662">
        <v>0</v>
      </c>
      <c r="G24" s="662">
        <v>0</v>
      </c>
      <c r="I24" s="662">
        <v>0</v>
      </c>
      <c r="K24" s="662">
        <v>0</v>
      </c>
      <c r="M24" s="662">
        <v>0</v>
      </c>
      <c r="O24" s="662">
        <v>0</v>
      </c>
      <c r="Q24" s="662">
        <v>0</v>
      </c>
      <c r="S24" s="662">
        <v>0</v>
      </c>
      <c r="U24" s="662">
        <v>0</v>
      </c>
      <c r="W24" s="662">
        <v>0</v>
      </c>
      <c r="Y24" s="662">
        <v>0</v>
      </c>
      <c r="AA24" s="662">
        <v>0</v>
      </c>
      <c r="AC24" s="662">
        <v>0</v>
      </c>
      <c r="AE24" s="662">
        <v>0</v>
      </c>
      <c r="AG24" s="662">
        <v>0</v>
      </c>
      <c r="AI24" s="662">
        <v>0</v>
      </c>
      <c r="AK24" s="662">
        <v>0</v>
      </c>
      <c r="AM24" s="662">
        <v>0</v>
      </c>
      <c r="AO24" s="662">
        <v>0</v>
      </c>
      <c r="AQ24" s="500">
        <f t="shared" si="3"/>
        <v>0</v>
      </c>
      <c r="AX24" s="658">
        <f t="shared" si="2"/>
        <v>0</v>
      </c>
    </row>
    <row r="25" spans="1:50" ht="12.75">
      <c r="A25" s="278" t="s">
        <v>538</v>
      </c>
      <c r="E25" s="500">
        <v>14724</v>
      </c>
      <c r="G25" s="500">
        <v>0</v>
      </c>
      <c r="I25" s="500">
        <v>0</v>
      </c>
      <c r="K25" s="500">
        <v>0</v>
      </c>
      <c r="M25" s="500">
        <v>0</v>
      </c>
      <c r="O25" s="500">
        <v>0</v>
      </c>
      <c r="Q25" s="500">
        <v>0</v>
      </c>
      <c r="S25" s="500">
        <v>0</v>
      </c>
      <c r="U25" s="500">
        <v>0</v>
      </c>
      <c r="W25" s="500">
        <v>371703</v>
      </c>
      <c r="Y25" s="500">
        <v>11306</v>
      </c>
      <c r="AA25" s="500">
        <v>0</v>
      </c>
      <c r="AC25" s="500">
        <v>0</v>
      </c>
      <c r="AE25" s="500">
        <v>0</v>
      </c>
      <c r="AG25" s="500">
        <v>0</v>
      </c>
      <c r="AI25" s="500">
        <v>0</v>
      </c>
      <c r="AK25" s="500">
        <v>0</v>
      </c>
      <c r="AM25" s="500">
        <v>0</v>
      </c>
      <c r="AO25" s="500">
        <v>0</v>
      </c>
      <c r="AQ25" s="500">
        <f t="shared" si="3"/>
        <v>397733</v>
      </c>
      <c r="AX25" s="658">
        <f t="shared" si="2"/>
        <v>397733</v>
      </c>
    </row>
    <row r="26" spans="1:50" ht="12.75">
      <c r="A26" s="278" t="s">
        <v>539</v>
      </c>
      <c r="E26" s="662">
        <v>1500</v>
      </c>
      <c r="G26" s="662">
        <v>0</v>
      </c>
      <c r="I26" s="662">
        <v>0</v>
      </c>
      <c r="K26" s="662">
        <v>0</v>
      </c>
      <c r="M26" s="662">
        <v>0</v>
      </c>
      <c r="O26" s="662">
        <v>0</v>
      </c>
      <c r="Q26" s="662">
        <v>0</v>
      </c>
      <c r="S26" s="662">
        <v>0</v>
      </c>
      <c r="U26" s="662">
        <v>0</v>
      </c>
      <c r="W26" s="662">
        <v>891038</v>
      </c>
      <c r="Y26" s="662">
        <v>3980</v>
      </c>
      <c r="AA26" s="662">
        <v>0</v>
      </c>
      <c r="AC26" s="662">
        <v>0</v>
      </c>
      <c r="AE26" s="662">
        <v>0</v>
      </c>
      <c r="AG26" s="662">
        <v>0</v>
      </c>
      <c r="AI26" s="662">
        <v>0</v>
      </c>
      <c r="AK26" s="662">
        <v>0</v>
      </c>
      <c r="AM26" s="662">
        <v>0</v>
      </c>
      <c r="AO26" s="662">
        <v>0</v>
      </c>
      <c r="AQ26" s="500">
        <f t="shared" si="3"/>
        <v>896518</v>
      </c>
      <c r="AX26" s="658">
        <f t="shared" si="2"/>
        <v>896518</v>
      </c>
    </row>
    <row r="27" spans="5:50" ht="13.5" thickBot="1">
      <c r="E27" s="660">
        <f>SUM(E19:E26)</f>
        <v>33124</v>
      </c>
      <c r="G27" s="660">
        <f>SUM(G19:G26)</f>
        <v>17989</v>
      </c>
      <c r="I27" s="667">
        <f>SUM(I19:I26)</f>
        <v>0</v>
      </c>
      <c r="K27" s="667">
        <f>SUM(K19:K26)</f>
        <v>0</v>
      </c>
      <c r="M27" s="667">
        <f>SUM(M19:M26)</f>
        <v>-34027</v>
      </c>
      <c r="O27" s="667">
        <f>SUM(O19:O26)</f>
        <v>0</v>
      </c>
      <c r="Q27" s="667">
        <f>SUM(Q19:Q26)</f>
        <v>0</v>
      </c>
      <c r="S27" s="667">
        <f>SUM(S19:S26)</f>
        <v>0</v>
      </c>
      <c r="U27" s="660">
        <f>SUM(U19:U26)</f>
        <v>0</v>
      </c>
      <c r="W27" s="660">
        <f>SUM(W19:W26)</f>
        <v>7025479</v>
      </c>
      <c r="Y27" s="660">
        <f>SUM(Y19:Y26)</f>
        <v>751587</v>
      </c>
      <c r="AA27" s="660">
        <f>SUM(AA19:AA26)</f>
        <v>0</v>
      </c>
      <c r="AC27" s="660">
        <f>SUM(AC19:AC26)</f>
        <v>0</v>
      </c>
      <c r="AE27" s="660">
        <f>SUM(AE19:AE26)</f>
        <v>0</v>
      </c>
      <c r="AG27" s="660">
        <f>SUM(AG19:AG26)</f>
        <v>0</v>
      </c>
      <c r="AI27" s="660">
        <f>SUM(AI19:AI26)</f>
        <v>0</v>
      </c>
      <c r="AK27" s="660">
        <f>SUM(AK19:AK26)</f>
        <v>0</v>
      </c>
      <c r="AM27" s="660">
        <f>SUM(AM19:AM26)</f>
        <v>0</v>
      </c>
      <c r="AO27" s="660">
        <f>SUM(AO19:AO26)</f>
        <v>0</v>
      </c>
      <c r="AQ27" s="660">
        <f>SUM(AQ19:AQ26)</f>
        <v>7794152</v>
      </c>
      <c r="AX27" s="661">
        <f>SUM(AX19:AX26)</f>
        <v>7794152</v>
      </c>
    </row>
    <row r="28" spans="5:50" ht="12.75">
      <c r="E28" s="662"/>
      <c r="G28" s="662"/>
      <c r="I28" s="662"/>
      <c r="K28" s="662"/>
      <c r="M28" s="662"/>
      <c r="O28" s="662"/>
      <c r="Q28" s="662"/>
      <c r="S28" s="662"/>
      <c r="U28" s="662"/>
      <c r="W28" s="662"/>
      <c r="Y28" s="662"/>
      <c r="AA28" s="662"/>
      <c r="AC28" s="662"/>
      <c r="AE28" s="662"/>
      <c r="AG28" s="662"/>
      <c r="AI28" s="662"/>
      <c r="AK28" s="662"/>
      <c r="AM28" s="662"/>
      <c r="AO28" s="662"/>
      <c r="AQ28" s="662"/>
      <c r="AX28" s="663"/>
    </row>
    <row r="29" spans="1:50" ht="12.75">
      <c r="A29" s="290" t="s">
        <v>541</v>
      </c>
      <c r="E29" s="662"/>
      <c r="G29" s="662"/>
      <c r="I29" s="662"/>
      <c r="K29" s="662"/>
      <c r="M29" s="662"/>
      <c r="O29" s="662"/>
      <c r="Q29" s="662"/>
      <c r="S29" s="662"/>
      <c r="U29" s="662"/>
      <c r="W29" s="662"/>
      <c r="Y29" s="662"/>
      <c r="AA29" s="662"/>
      <c r="AC29" s="662"/>
      <c r="AE29" s="662"/>
      <c r="AG29" s="662"/>
      <c r="AI29" s="662"/>
      <c r="AK29" s="662"/>
      <c r="AM29" s="662"/>
      <c r="AO29" s="662"/>
      <c r="AQ29" s="662"/>
      <c r="AX29" s="663"/>
    </row>
    <row r="30" spans="1:50" ht="12.75">
      <c r="A30" s="278" t="s">
        <v>552</v>
      </c>
      <c r="E30" s="662">
        <v>0</v>
      </c>
      <c r="G30" s="662">
        <v>0</v>
      </c>
      <c r="I30" s="662">
        <v>0</v>
      </c>
      <c r="K30" s="662">
        <v>0</v>
      </c>
      <c r="M30" s="662">
        <v>0</v>
      </c>
      <c r="O30" s="662">
        <v>0</v>
      </c>
      <c r="Q30" s="662">
        <v>0</v>
      </c>
      <c r="S30" s="662">
        <v>0</v>
      </c>
      <c r="U30" s="662">
        <v>0</v>
      </c>
      <c r="W30" s="662">
        <v>0</v>
      </c>
      <c r="Y30" s="662">
        <v>0</v>
      </c>
      <c r="AA30" s="662">
        <v>0</v>
      </c>
      <c r="AC30" s="662">
        <v>0</v>
      </c>
      <c r="AE30" s="662">
        <v>0</v>
      </c>
      <c r="AG30" s="662">
        <v>0</v>
      </c>
      <c r="AI30" s="662">
        <v>0</v>
      </c>
      <c r="AK30" s="662">
        <v>0</v>
      </c>
      <c r="AM30" s="662">
        <v>0</v>
      </c>
      <c r="AO30" s="662">
        <v>0</v>
      </c>
      <c r="AQ30" s="500">
        <f aca="true" t="shared" si="4" ref="AQ30:AQ37">SUM(E30:AO30)</f>
        <v>0</v>
      </c>
      <c r="AX30" s="658">
        <f aca="true" t="shared" si="5" ref="AX30:AX37">AQ30-AT30+AU30</f>
        <v>0</v>
      </c>
    </row>
    <row r="31" spans="1:50" ht="12.75">
      <c r="A31" s="278" t="s">
        <v>329</v>
      </c>
      <c r="E31" s="662">
        <v>0</v>
      </c>
      <c r="G31" s="662">
        <v>0</v>
      </c>
      <c r="I31" s="662">
        <v>0</v>
      </c>
      <c r="K31" s="662">
        <v>0</v>
      </c>
      <c r="M31" s="662">
        <v>0</v>
      </c>
      <c r="O31" s="662">
        <v>0</v>
      </c>
      <c r="Q31" s="662">
        <v>0</v>
      </c>
      <c r="S31" s="662">
        <v>0</v>
      </c>
      <c r="U31" s="662">
        <v>0</v>
      </c>
      <c r="W31" s="662">
        <v>0</v>
      </c>
      <c r="Y31" s="662">
        <v>0</v>
      </c>
      <c r="AA31" s="662">
        <v>0</v>
      </c>
      <c r="AC31" s="662">
        <v>0</v>
      </c>
      <c r="AE31" s="662">
        <v>0</v>
      </c>
      <c r="AG31" s="662">
        <v>0</v>
      </c>
      <c r="AI31" s="662">
        <v>0</v>
      </c>
      <c r="AK31" s="662">
        <v>0</v>
      </c>
      <c r="AM31" s="662">
        <v>0</v>
      </c>
      <c r="AO31" s="662">
        <v>0</v>
      </c>
      <c r="AQ31" s="500">
        <f t="shared" si="4"/>
        <v>0</v>
      </c>
      <c r="AX31" s="658">
        <f t="shared" si="5"/>
        <v>0</v>
      </c>
    </row>
    <row r="32" spans="1:50" ht="12.75">
      <c r="A32" s="278" t="s">
        <v>330</v>
      </c>
      <c r="E32" s="662">
        <v>0</v>
      </c>
      <c r="G32" s="662">
        <v>0</v>
      </c>
      <c r="I32" s="662">
        <v>0</v>
      </c>
      <c r="K32" s="662">
        <v>0</v>
      </c>
      <c r="M32" s="662">
        <v>0</v>
      </c>
      <c r="O32" s="662">
        <v>0</v>
      </c>
      <c r="Q32" s="662">
        <v>0</v>
      </c>
      <c r="S32" s="662">
        <v>0</v>
      </c>
      <c r="U32" s="662">
        <v>0</v>
      </c>
      <c r="W32" s="662">
        <v>0</v>
      </c>
      <c r="Y32" s="662">
        <v>0</v>
      </c>
      <c r="AA32" s="662">
        <v>0</v>
      </c>
      <c r="AC32" s="662">
        <v>0</v>
      </c>
      <c r="AE32" s="662">
        <v>0</v>
      </c>
      <c r="AG32" s="662">
        <v>0</v>
      </c>
      <c r="AI32" s="662">
        <v>0</v>
      </c>
      <c r="AK32" s="662">
        <v>0</v>
      </c>
      <c r="AM32" s="662">
        <v>0</v>
      </c>
      <c r="AO32" s="662">
        <v>0</v>
      </c>
      <c r="AQ32" s="500">
        <f t="shared" si="4"/>
        <v>0</v>
      </c>
      <c r="AX32" s="658">
        <f t="shared" si="5"/>
        <v>0</v>
      </c>
    </row>
    <row r="33" spans="1:50" ht="12.75">
      <c r="A33" s="278" t="s">
        <v>331</v>
      </c>
      <c r="E33" s="662">
        <v>0</v>
      </c>
      <c r="G33" s="662">
        <v>0</v>
      </c>
      <c r="I33" s="662">
        <v>0</v>
      </c>
      <c r="K33" s="662">
        <v>0</v>
      </c>
      <c r="M33" s="662">
        <v>0</v>
      </c>
      <c r="O33" s="662">
        <v>0</v>
      </c>
      <c r="Q33" s="662">
        <v>0</v>
      </c>
      <c r="S33" s="662">
        <f>638217+124253</f>
        <v>762470</v>
      </c>
      <c r="U33" s="662">
        <v>0</v>
      </c>
      <c r="W33" s="662">
        <v>0</v>
      </c>
      <c r="Y33" s="662">
        <v>10695</v>
      </c>
      <c r="AA33" s="662">
        <v>0</v>
      </c>
      <c r="AC33" s="662">
        <v>0</v>
      </c>
      <c r="AE33" s="662">
        <v>0</v>
      </c>
      <c r="AG33" s="662">
        <v>0</v>
      </c>
      <c r="AI33" s="662">
        <v>0</v>
      </c>
      <c r="AK33" s="662">
        <v>0</v>
      </c>
      <c r="AM33" s="662">
        <v>0</v>
      </c>
      <c r="AO33" s="662">
        <v>0</v>
      </c>
      <c r="AQ33" s="500">
        <f t="shared" si="4"/>
        <v>773165</v>
      </c>
      <c r="AX33" s="658">
        <f t="shared" si="5"/>
        <v>773165</v>
      </c>
    </row>
    <row r="34" spans="1:50" ht="12.75">
      <c r="A34" s="278" t="s">
        <v>332</v>
      </c>
      <c r="E34" s="662">
        <v>0</v>
      </c>
      <c r="G34" s="662">
        <v>0</v>
      </c>
      <c r="I34" s="662">
        <v>941</v>
      </c>
      <c r="K34" s="662">
        <v>0</v>
      </c>
      <c r="M34" s="662">
        <v>0</v>
      </c>
      <c r="O34" s="662">
        <v>0</v>
      </c>
      <c r="Q34" s="662">
        <v>0</v>
      </c>
      <c r="S34" s="662">
        <v>53106</v>
      </c>
      <c r="U34" s="662">
        <v>0</v>
      </c>
      <c r="W34" s="662">
        <v>0</v>
      </c>
      <c r="Y34" s="662">
        <v>0</v>
      </c>
      <c r="AA34" s="662">
        <v>0</v>
      </c>
      <c r="AC34" s="662">
        <v>0</v>
      </c>
      <c r="AE34" s="662">
        <v>0</v>
      </c>
      <c r="AG34" s="662">
        <v>0</v>
      </c>
      <c r="AI34" s="662">
        <v>0</v>
      </c>
      <c r="AK34" s="662">
        <v>0</v>
      </c>
      <c r="AM34" s="662">
        <v>0</v>
      </c>
      <c r="AO34" s="662">
        <v>0</v>
      </c>
      <c r="AQ34" s="500">
        <f t="shared" si="4"/>
        <v>54047</v>
      </c>
      <c r="AX34" s="658">
        <f t="shared" si="5"/>
        <v>54047</v>
      </c>
    </row>
    <row r="35" spans="1:50" ht="12.75">
      <c r="A35" s="278" t="s">
        <v>537</v>
      </c>
      <c r="E35" s="662">
        <v>0</v>
      </c>
      <c r="G35" s="662">
        <v>0</v>
      </c>
      <c r="I35" s="662">
        <v>0</v>
      </c>
      <c r="K35" s="662">
        <v>3785</v>
      </c>
      <c r="M35" s="662">
        <v>0</v>
      </c>
      <c r="O35" s="662">
        <v>0</v>
      </c>
      <c r="Q35" s="662">
        <v>231138</v>
      </c>
      <c r="S35" s="662">
        <v>0</v>
      </c>
      <c r="U35" s="662">
        <v>0</v>
      </c>
      <c r="W35" s="662">
        <v>0</v>
      </c>
      <c r="Y35" s="662">
        <v>0</v>
      </c>
      <c r="AA35" s="662">
        <v>0</v>
      </c>
      <c r="AC35" s="662">
        <v>0</v>
      </c>
      <c r="AE35" s="662">
        <v>0</v>
      </c>
      <c r="AG35" s="662">
        <v>0</v>
      </c>
      <c r="AI35" s="662">
        <v>0</v>
      </c>
      <c r="AK35" s="662">
        <v>0</v>
      </c>
      <c r="AM35" s="662">
        <v>0</v>
      </c>
      <c r="AO35" s="662">
        <v>0</v>
      </c>
      <c r="AQ35" s="500">
        <f t="shared" si="4"/>
        <v>234923</v>
      </c>
      <c r="AX35" s="658">
        <f t="shared" si="5"/>
        <v>234923</v>
      </c>
    </row>
    <row r="36" spans="1:50" ht="12.75">
      <c r="A36" s="278" t="s">
        <v>538</v>
      </c>
      <c r="E36" s="500">
        <v>0</v>
      </c>
      <c r="G36" s="500">
        <v>48147</v>
      </c>
      <c r="I36" s="500">
        <v>112790</v>
      </c>
      <c r="K36" s="500">
        <v>9948</v>
      </c>
      <c r="M36" s="500">
        <v>0</v>
      </c>
      <c r="O36" s="500">
        <v>0</v>
      </c>
      <c r="Q36" s="500">
        <v>0</v>
      </c>
      <c r="S36" s="500">
        <v>0</v>
      </c>
      <c r="U36" s="500">
        <v>0</v>
      </c>
      <c r="W36" s="500">
        <v>6288</v>
      </c>
      <c r="Y36" s="500">
        <v>0</v>
      </c>
      <c r="AA36" s="500">
        <v>0</v>
      </c>
      <c r="AC36" s="500">
        <v>0</v>
      </c>
      <c r="AE36" s="500">
        <v>0</v>
      </c>
      <c r="AG36" s="500">
        <v>0</v>
      </c>
      <c r="AI36" s="500">
        <v>0</v>
      </c>
      <c r="AK36" s="500">
        <v>0</v>
      </c>
      <c r="AM36" s="500">
        <v>0</v>
      </c>
      <c r="AO36" s="500">
        <v>0</v>
      </c>
      <c r="AQ36" s="500">
        <f t="shared" si="4"/>
        <v>177173</v>
      </c>
      <c r="AX36" s="658">
        <f t="shared" si="5"/>
        <v>177173</v>
      </c>
    </row>
    <row r="37" spans="1:50" ht="12.75">
      <c r="A37" s="278" t="s">
        <v>539</v>
      </c>
      <c r="E37" s="662">
        <v>0</v>
      </c>
      <c r="G37" s="662">
        <v>0</v>
      </c>
      <c r="I37" s="662">
        <v>0</v>
      </c>
      <c r="K37" s="662">
        <v>0</v>
      </c>
      <c r="M37" s="662">
        <v>0</v>
      </c>
      <c r="O37" s="662">
        <v>0</v>
      </c>
      <c r="Q37" s="662">
        <v>0</v>
      </c>
      <c r="S37" s="662">
        <v>46120</v>
      </c>
      <c r="U37" s="662">
        <v>0</v>
      </c>
      <c r="W37" s="662">
        <v>0</v>
      </c>
      <c r="Y37" s="662">
        <v>0</v>
      </c>
      <c r="AA37" s="662">
        <v>0</v>
      </c>
      <c r="AC37" s="662">
        <v>0</v>
      </c>
      <c r="AE37" s="662">
        <v>0</v>
      </c>
      <c r="AG37" s="662">
        <v>0</v>
      </c>
      <c r="AI37" s="662">
        <v>0</v>
      </c>
      <c r="AK37" s="662">
        <v>0</v>
      </c>
      <c r="AM37" s="662">
        <v>0</v>
      </c>
      <c r="AO37" s="662">
        <v>0</v>
      </c>
      <c r="AQ37" s="500">
        <f t="shared" si="4"/>
        <v>46120</v>
      </c>
      <c r="AX37" s="658">
        <f t="shared" si="5"/>
        <v>46120</v>
      </c>
    </row>
    <row r="38" spans="5:50" ht="13.5" thickBot="1">
      <c r="E38" s="660">
        <f>SUM(E30:E37)</f>
        <v>0</v>
      </c>
      <c r="G38" s="660">
        <f>SUM(G30:G37)</f>
        <v>48147</v>
      </c>
      <c r="I38" s="660">
        <f>SUM(I30:I37)</f>
        <v>113731</v>
      </c>
      <c r="K38" s="660">
        <f>SUM(K30:K37)</f>
        <v>13733</v>
      </c>
      <c r="M38" s="660">
        <f>SUM(M30:M37)</f>
        <v>0</v>
      </c>
      <c r="O38" s="660">
        <f>SUM(O30:O37)</f>
        <v>0</v>
      </c>
      <c r="Q38" s="660">
        <f>SUM(Q30:Q37)</f>
        <v>231138</v>
      </c>
      <c r="S38" s="660">
        <f>SUM(S30:S37)</f>
        <v>861696</v>
      </c>
      <c r="U38" s="660">
        <f>SUM(U30:U37)</f>
        <v>0</v>
      </c>
      <c r="W38" s="660">
        <f>SUM(W30:W37)</f>
        <v>6288</v>
      </c>
      <c r="Y38" s="660">
        <f>SUM(Y30:Y37)</f>
        <v>10695</v>
      </c>
      <c r="AA38" s="660">
        <f>SUM(AA30:AA37)</f>
        <v>0</v>
      </c>
      <c r="AC38" s="660">
        <f>SUM(AC30:AC37)</f>
        <v>0</v>
      </c>
      <c r="AE38" s="660">
        <f>SUM(AE30:AE37)</f>
        <v>0</v>
      </c>
      <c r="AG38" s="660">
        <f>SUM(AG30:AG37)</f>
        <v>0</v>
      </c>
      <c r="AI38" s="660">
        <f>SUM(AI30:AI37)</f>
        <v>0</v>
      </c>
      <c r="AK38" s="660">
        <f>SUM(AK30:AK37)</f>
        <v>0</v>
      </c>
      <c r="AM38" s="660">
        <f>SUM(AM30:AM37)</f>
        <v>0</v>
      </c>
      <c r="AO38" s="660">
        <f>SUM(AO30:AO37)</f>
        <v>0</v>
      </c>
      <c r="AQ38" s="660">
        <f>SUM(AQ30:AQ37)</f>
        <v>1285428</v>
      </c>
      <c r="AX38" s="661">
        <f>SUM(AX30:AX37)</f>
        <v>1285428</v>
      </c>
    </row>
    <row r="39" spans="5:50" ht="11.25" customHeight="1">
      <c r="E39" s="662"/>
      <c r="G39" s="662"/>
      <c r="I39" s="662"/>
      <c r="K39" s="662"/>
      <c r="M39" s="662"/>
      <c r="O39" s="662"/>
      <c r="Q39" s="662"/>
      <c r="S39" s="662"/>
      <c r="U39" s="662"/>
      <c r="W39" s="662"/>
      <c r="Y39" s="662"/>
      <c r="AA39" s="662"/>
      <c r="AC39" s="662"/>
      <c r="AE39" s="662"/>
      <c r="AG39" s="662"/>
      <c r="AI39" s="662"/>
      <c r="AK39" s="662"/>
      <c r="AM39" s="662"/>
      <c r="AO39" s="662"/>
      <c r="AQ39" s="662"/>
      <c r="AX39" s="663"/>
    </row>
    <row r="40" spans="1:50" ht="12.75">
      <c r="A40" s="290" t="s">
        <v>542</v>
      </c>
      <c r="E40" s="662"/>
      <c r="G40" s="662"/>
      <c r="I40" s="662"/>
      <c r="K40" s="662"/>
      <c r="M40" s="662"/>
      <c r="O40" s="662"/>
      <c r="Q40" s="662"/>
      <c r="S40" s="662"/>
      <c r="U40" s="662"/>
      <c r="W40" s="662"/>
      <c r="Y40" s="662"/>
      <c r="AA40" s="662"/>
      <c r="AC40" s="662"/>
      <c r="AE40" s="662"/>
      <c r="AG40" s="662"/>
      <c r="AI40" s="662"/>
      <c r="AK40" s="662"/>
      <c r="AM40" s="662"/>
      <c r="AO40" s="662"/>
      <c r="AQ40" s="662"/>
      <c r="AX40" s="663"/>
    </row>
    <row r="41" spans="1:50" ht="12.75">
      <c r="A41" s="278" t="s">
        <v>552</v>
      </c>
      <c r="E41" s="662">
        <v>0</v>
      </c>
      <c r="G41" s="662">
        <f aca="true" t="shared" si="6" ref="G41:G48">G9+G19-G30</f>
        <v>0</v>
      </c>
      <c r="I41" s="662">
        <f aca="true" t="shared" si="7" ref="I41:I48">I9+I19-I30</f>
        <v>3050000</v>
      </c>
      <c r="K41" s="662">
        <f aca="true" t="shared" si="8" ref="K41:K48">K9+K19-K30</f>
        <v>0</v>
      </c>
      <c r="M41" s="662">
        <f aca="true" t="shared" si="9" ref="M41:M48">M9+M19-M30</f>
        <v>0</v>
      </c>
      <c r="O41" s="662">
        <f aca="true" t="shared" si="10" ref="O41:O48">O9+O19-O30</f>
        <v>0</v>
      </c>
      <c r="Q41" s="662">
        <f aca="true" t="shared" si="11" ref="Q41:Q48">Q9+Q19-Q30</f>
        <v>0</v>
      </c>
      <c r="S41" s="662">
        <f aca="true" t="shared" si="12" ref="S41:S48">S9+S19-S30</f>
        <v>0</v>
      </c>
      <c r="U41" s="662">
        <v>0</v>
      </c>
      <c r="W41" s="662">
        <v>0</v>
      </c>
      <c r="Y41" s="662">
        <v>0</v>
      </c>
      <c r="AA41" s="662">
        <v>0</v>
      </c>
      <c r="AC41" s="662">
        <f aca="true" t="shared" si="13" ref="AC41:AC48">AC9+AC19-AC30</f>
        <v>0</v>
      </c>
      <c r="AE41" s="662">
        <f aca="true" t="shared" si="14" ref="AE41:AE48">AE9+AE19-AE30</f>
        <v>0</v>
      </c>
      <c r="AG41" s="662">
        <f aca="true" t="shared" si="15" ref="AG41:AG48">AG9+AG19-AG30</f>
        <v>0</v>
      </c>
      <c r="AI41" s="662">
        <f aca="true" t="shared" si="16" ref="AI41:AI48">AI9+AI19-AI30</f>
        <v>0</v>
      </c>
      <c r="AK41" s="662">
        <f aca="true" t="shared" si="17" ref="AK41:AK48">AK9+AK19-AK30</f>
        <v>0</v>
      </c>
      <c r="AM41" s="662">
        <f aca="true" t="shared" si="18" ref="AM41:AM48">AM9+AM19-AM30</f>
        <v>0</v>
      </c>
      <c r="AO41" s="662">
        <f aca="true" t="shared" si="19" ref="AO41:AO48">AO9+AO19-AO30</f>
        <v>0</v>
      </c>
      <c r="AQ41" s="500">
        <f aca="true" t="shared" si="20" ref="AQ41:AQ48">SUM(E41:AO41)</f>
        <v>3050000</v>
      </c>
      <c r="AX41" s="658">
        <f>AQ41-AT41+AU41</f>
        <v>3050000</v>
      </c>
    </row>
    <row r="42" spans="1:50" ht="12.75">
      <c r="A42" s="278" t="s">
        <v>329</v>
      </c>
      <c r="E42" s="662">
        <f aca="true" t="shared" si="21" ref="E42:E48">E10+E20-E31</f>
        <v>765621</v>
      </c>
      <c r="G42" s="662">
        <f t="shared" si="6"/>
        <v>250000</v>
      </c>
      <c r="I42" s="662">
        <f t="shared" si="7"/>
        <v>0</v>
      </c>
      <c r="K42" s="662">
        <f t="shared" si="8"/>
        <v>0</v>
      </c>
      <c r="M42" s="662">
        <f t="shared" si="9"/>
        <v>738907</v>
      </c>
      <c r="O42" s="662">
        <f t="shared" si="10"/>
        <v>0</v>
      </c>
      <c r="Q42" s="662">
        <f t="shared" si="11"/>
        <v>0</v>
      </c>
      <c r="S42" s="662">
        <f t="shared" si="12"/>
        <v>0</v>
      </c>
      <c r="U42" s="662">
        <v>0</v>
      </c>
      <c r="W42" s="662">
        <f aca="true" t="shared" si="22" ref="W42:W48">W10+W20-W31</f>
        <v>1860000</v>
      </c>
      <c r="Y42" s="662">
        <f aca="true" t="shared" si="23" ref="Y42:Y48">Y10+Y20-Y31</f>
        <v>2820000</v>
      </c>
      <c r="AA42" s="662">
        <v>0</v>
      </c>
      <c r="AC42" s="662">
        <f t="shared" si="13"/>
        <v>0</v>
      </c>
      <c r="AE42" s="662">
        <f t="shared" si="14"/>
        <v>0</v>
      </c>
      <c r="AG42" s="662">
        <f t="shared" si="15"/>
        <v>0</v>
      </c>
      <c r="AI42" s="662">
        <f t="shared" si="16"/>
        <v>0</v>
      </c>
      <c r="AK42" s="662">
        <f t="shared" si="17"/>
        <v>0</v>
      </c>
      <c r="AM42" s="662">
        <f t="shared" si="18"/>
        <v>0</v>
      </c>
      <c r="AO42" s="662">
        <f t="shared" si="19"/>
        <v>0</v>
      </c>
      <c r="AQ42" s="500">
        <f t="shared" si="20"/>
        <v>6434528</v>
      </c>
      <c r="AX42" s="658">
        <f aca="true" t="shared" si="24" ref="AX42:AX48">AQ42-AT42+AU42</f>
        <v>6434528</v>
      </c>
    </row>
    <row r="43" spans="1:50" ht="12.75">
      <c r="A43" s="278" t="s">
        <v>330</v>
      </c>
      <c r="E43" s="662">
        <f t="shared" si="21"/>
        <v>1431880</v>
      </c>
      <c r="G43" s="662">
        <f t="shared" si="6"/>
        <v>192345</v>
      </c>
      <c r="I43" s="662">
        <f t="shared" si="7"/>
        <v>1375185</v>
      </c>
      <c r="K43" s="662">
        <f t="shared" si="8"/>
        <v>0</v>
      </c>
      <c r="M43" s="662">
        <f t="shared" si="9"/>
        <v>1436307</v>
      </c>
      <c r="O43" s="662">
        <f t="shared" si="10"/>
        <v>0</v>
      </c>
      <c r="Q43" s="662">
        <f t="shared" si="11"/>
        <v>0</v>
      </c>
      <c r="S43" s="662">
        <f t="shared" si="12"/>
        <v>0</v>
      </c>
      <c r="U43" s="662">
        <v>0</v>
      </c>
      <c r="W43" s="662">
        <f t="shared" si="22"/>
        <v>2871224</v>
      </c>
      <c r="Y43" s="662">
        <f t="shared" si="23"/>
        <v>7972200</v>
      </c>
      <c r="AA43" s="662">
        <v>0</v>
      </c>
      <c r="AC43" s="662">
        <f t="shared" si="13"/>
        <v>0</v>
      </c>
      <c r="AE43" s="662">
        <f t="shared" si="14"/>
        <v>0</v>
      </c>
      <c r="AG43" s="662">
        <f t="shared" si="15"/>
        <v>0</v>
      </c>
      <c r="AI43" s="662">
        <f t="shared" si="16"/>
        <v>0</v>
      </c>
      <c r="AK43" s="662">
        <f t="shared" si="17"/>
        <v>0</v>
      </c>
      <c r="AM43" s="662">
        <f t="shared" si="18"/>
        <v>0</v>
      </c>
      <c r="AO43" s="662">
        <f t="shared" si="19"/>
        <v>0</v>
      </c>
      <c r="AQ43" s="500">
        <f t="shared" si="20"/>
        <v>15279141</v>
      </c>
      <c r="AX43" s="658">
        <f t="shared" si="24"/>
        <v>15279141</v>
      </c>
    </row>
    <row r="44" spans="1:50" ht="12.75">
      <c r="A44" s="278" t="s">
        <v>331</v>
      </c>
      <c r="E44" s="662">
        <f t="shared" si="21"/>
        <v>0</v>
      </c>
      <c r="G44" s="662">
        <f t="shared" si="6"/>
        <v>0</v>
      </c>
      <c r="I44" s="662">
        <f t="shared" si="7"/>
        <v>0</v>
      </c>
      <c r="K44" s="662">
        <f t="shared" si="8"/>
        <v>0</v>
      </c>
      <c r="M44" s="662">
        <f t="shared" si="9"/>
        <v>0</v>
      </c>
      <c r="O44" s="662">
        <f t="shared" si="10"/>
        <v>0</v>
      </c>
      <c r="Q44" s="662">
        <f t="shared" si="11"/>
        <v>0</v>
      </c>
      <c r="S44" s="662">
        <f t="shared" si="12"/>
        <v>0</v>
      </c>
      <c r="U44" s="662">
        <v>0</v>
      </c>
      <c r="W44" s="662">
        <f t="shared" si="22"/>
        <v>75845548</v>
      </c>
      <c r="Y44" s="662">
        <f t="shared" si="23"/>
        <v>15726933</v>
      </c>
      <c r="AA44" s="662">
        <v>0</v>
      </c>
      <c r="AC44" s="662">
        <f t="shared" si="13"/>
        <v>0</v>
      </c>
      <c r="AE44" s="662">
        <f t="shared" si="14"/>
        <v>0</v>
      </c>
      <c r="AG44" s="662">
        <f t="shared" si="15"/>
        <v>0</v>
      </c>
      <c r="AI44" s="662">
        <f t="shared" si="16"/>
        <v>0</v>
      </c>
      <c r="AK44" s="662">
        <f t="shared" si="17"/>
        <v>0</v>
      </c>
      <c r="AM44" s="662">
        <f t="shared" si="18"/>
        <v>0</v>
      </c>
      <c r="AO44" s="662">
        <f t="shared" si="19"/>
        <v>0</v>
      </c>
      <c r="AQ44" s="500">
        <f t="shared" si="20"/>
        <v>91572481</v>
      </c>
      <c r="AX44" s="658">
        <f t="shared" si="24"/>
        <v>91572481</v>
      </c>
    </row>
    <row r="45" spans="1:50" ht="12.75">
      <c r="A45" s="278" t="s">
        <v>332</v>
      </c>
      <c r="E45" s="662">
        <f t="shared" si="21"/>
        <v>58612</v>
      </c>
      <c r="G45" s="662">
        <f t="shared" si="6"/>
        <v>0</v>
      </c>
      <c r="I45" s="662">
        <f t="shared" si="7"/>
        <v>144702</v>
      </c>
      <c r="K45" s="662">
        <f t="shared" si="8"/>
        <v>0</v>
      </c>
      <c r="M45" s="662">
        <f t="shared" si="9"/>
        <v>2973</v>
      </c>
      <c r="O45" s="662">
        <f t="shared" si="10"/>
        <v>0</v>
      </c>
      <c r="Q45" s="662">
        <f t="shared" si="11"/>
        <v>0</v>
      </c>
      <c r="S45" s="662">
        <f t="shared" si="12"/>
        <v>0</v>
      </c>
      <c r="U45" s="662">
        <v>0</v>
      </c>
      <c r="W45" s="662">
        <f t="shared" si="22"/>
        <v>1814822</v>
      </c>
      <c r="Y45" s="662">
        <f t="shared" si="23"/>
        <v>1038588</v>
      </c>
      <c r="AA45" s="662">
        <v>0</v>
      </c>
      <c r="AC45" s="662">
        <f t="shared" si="13"/>
        <v>0</v>
      </c>
      <c r="AE45" s="662">
        <f t="shared" si="14"/>
        <v>0</v>
      </c>
      <c r="AG45" s="662">
        <f t="shared" si="15"/>
        <v>0</v>
      </c>
      <c r="AI45" s="662">
        <f t="shared" si="16"/>
        <v>0</v>
      </c>
      <c r="AK45" s="662">
        <f t="shared" si="17"/>
        <v>0</v>
      </c>
      <c r="AM45" s="662">
        <f t="shared" si="18"/>
        <v>0</v>
      </c>
      <c r="AO45" s="662">
        <f t="shared" si="19"/>
        <v>0</v>
      </c>
      <c r="AQ45" s="500">
        <f t="shared" si="20"/>
        <v>3059697</v>
      </c>
      <c r="AX45" s="658">
        <f t="shared" si="24"/>
        <v>3059697</v>
      </c>
    </row>
    <row r="46" spans="1:50" ht="12.75">
      <c r="A46" s="278" t="s">
        <v>537</v>
      </c>
      <c r="E46" s="662">
        <f t="shared" si="21"/>
        <v>58800</v>
      </c>
      <c r="G46" s="662">
        <f t="shared" si="6"/>
        <v>28286</v>
      </c>
      <c r="I46" s="662">
        <f t="shared" si="7"/>
        <v>4393</v>
      </c>
      <c r="K46" s="662">
        <f t="shared" si="8"/>
        <v>0</v>
      </c>
      <c r="M46" s="662">
        <f t="shared" si="9"/>
        <v>269490</v>
      </c>
      <c r="O46" s="662">
        <f t="shared" si="10"/>
        <v>0</v>
      </c>
      <c r="Q46" s="662">
        <f t="shared" si="11"/>
        <v>113730</v>
      </c>
      <c r="S46" s="662">
        <f t="shared" si="12"/>
        <v>0</v>
      </c>
      <c r="U46" s="662">
        <v>0</v>
      </c>
      <c r="W46" s="662">
        <f t="shared" si="22"/>
        <v>3560423</v>
      </c>
      <c r="Y46" s="662">
        <f t="shared" si="23"/>
        <v>782859</v>
      </c>
      <c r="AA46" s="662">
        <v>0</v>
      </c>
      <c r="AC46" s="662">
        <f t="shared" si="13"/>
        <v>0</v>
      </c>
      <c r="AE46" s="662">
        <f t="shared" si="14"/>
        <v>0</v>
      </c>
      <c r="AG46" s="662">
        <f t="shared" si="15"/>
        <v>0</v>
      </c>
      <c r="AI46" s="662">
        <f t="shared" si="16"/>
        <v>0</v>
      </c>
      <c r="AK46" s="662">
        <f t="shared" si="17"/>
        <v>0</v>
      </c>
      <c r="AM46" s="662">
        <f t="shared" si="18"/>
        <v>0</v>
      </c>
      <c r="AO46" s="662">
        <f t="shared" si="19"/>
        <v>0</v>
      </c>
      <c r="AQ46" s="500">
        <f t="shared" si="20"/>
        <v>4817981</v>
      </c>
      <c r="AX46" s="658">
        <f t="shared" si="24"/>
        <v>4817981</v>
      </c>
    </row>
    <row r="47" spans="1:50" ht="12.75">
      <c r="A47" s="278" t="s">
        <v>538</v>
      </c>
      <c r="E47" s="662">
        <f t="shared" si="21"/>
        <v>83711</v>
      </c>
      <c r="G47" s="662">
        <f t="shared" si="6"/>
        <v>182070</v>
      </c>
      <c r="I47" s="662">
        <f t="shared" si="7"/>
        <v>331385</v>
      </c>
      <c r="K47" s="662">
        <f t="shared" si="8"/>
        <v>253792</v>
      </c>
      <c r="M47" s="662">
        <f t="shared" si="9"/>
        <v>0</v>
      </c>
      <c r="O47" s="662">
        <f t="shared" si="10"/>
        <v>10533</v>
      </c>
      <c r="Q47" s="662">
        <f t="shared" si="11"/>
        <v>0</v>
      </c>
      <c r="S47" s="662">
        <f t="shared" si="12"/>
        <v>0</v>
      </c>
      <c r="U47" s="500">
        <v>0</v>
      </c>
      <c r="W47" s="662">
        <f t="shared" si="22"/>
        <v>3310082</v>
      </c>
      <c r="Y47" s="662">
        <f t="shared" si="23"/>
        <v>452751</v>
      </c>
      <c r="AA47" s="500">
        <v>0</v>
      </c>
      <c r="AC47" s="662">
        <f t="shared" si="13"/>
        <v>0</v>
      </c>
      <c r="AE47" s="662">
        <f t="shared" si="14"/>
        <v>0</v>
      </c>
      <c r="AG47" s="662">
        <f t="shared" si="15"/>
        <v>0</v>
      </c>
      <c r="AI47" s="662">
        <f t="shared" si="16"/>
        <v>0</v>
      </c>
      <c r="AK47" s="662">
        <f t="shared" si="17"/>
        <v>0</v>
      </c>
      <c r="AM47" s="662">
        <f t="shared" si="18"/>
        <v>0</v>
      </c>
      <c r="AO47" s="662">
        <f t="shared" si="19"/>
        <v>0</v>
      </c>
      <c r="AQ47" s="500">
        <f t="shared" si="20"/>
        <v>4624324</v>
      </c>
      <c r="AX47" s="658">
        <f>AQ47-AT47+AU47</f>
        <v>4624324</v>
      </c>
    </row>
    <row r="48" spans="1:50" ht="12.75">
      <c r="A48" s="278" t="s">
        <v>539</v>
      </c>
      <c r="E48" s="662">
        <f t="shared" si="21"/>
        <v>1500</v>
      </c>
      <c r="G48" s="662">
        <f t="shared" si="6"/>
        <v>0</v>
      </c>
      <c r="I48" s="662">
        <f t="shared" si="7"/>
        <v>1068255</v>
      </c>
      <c r="K48" s="662">
        <f t="shared" si="8"/>
        <v>0</v>
      </c>
      <c r="M48" s="662">
        <f t="shared" si="9"/>
        <v>0</v>
      </c>
      <c r="O48" s="662">
        <f t="shared" si="10"/>
        <v>0</v>
      </c>
      <c r="Q48" s="662">
        <f t="shared" si="11"/>
        <v>0</v>
      </c>
      <c r="S48" s="662">
        <f t="shared" si="12"/>
        <v>0</v>
      </c>
      <c r="U48" s="662">
        <v>0</v>
      </c>
      <c r="W48" s="662">
        <f t="shared" si="22"/>
        <v>1822535</v>
      </c>
      <c r="Y48" s="662">
        <f t="shared" si="23"/>
        <v>689565</v>
      </c>
      <c r="AA48" s="662">
        <v>0</v>
      </c>
      <c r="AC48" s="662">
        <f t="shared" si="13"/>
        <v>0</v>
      </c>
      <c r="AE48" s="662">
        <f t="shared" si="14"/>
        <v>0</v>
      </c>
      <c r="AG48" s="662">
        <f t="shared" si="15"/>
        <v>0</v>
      </c>
      <c r="AI48" s="662">
        <f t="shared" si="16"/>
        <v>0</v>
      </c>
      <c r="AK48" s="662">
        <f t="shared" si="17"/>
        <v>0</v>
      </c>
      <c r="AM48" s="662">
        <f t="shared" si="18"/>
        <v>0</v>
      </c>
      <c r="AO48" s="662">
        <f t="shared" si="19"/>
        <v>0</v>
      </c>
      <c r="AQ48" s="500">
        <f t="shared" si="20"/>
        <v>3581855</v>
      </c>
      <c r="AX48" s="658">
        <f t="shared" si="24"/>
        <v>3581855</v>
      </c>
    </row>
    <row r="49" spans="5:50" ht="13.5" thickBot="1">
      <c r="E49" s="660">
        <f>SUM(E41:E48)</f>
        <v>2400124</v>
      </c>
      <c r="G49" s="660">
        <f>SUM(G41:G48)</f>
        <v>652701</v>
      </c>
      <c r="I49" s="660">
        <f>SUM(I41:I48)</f>
        <v>5973920</v>
      </c>
      <c r="K49" s="660">
        <f>SUM(K41:K48)</f>
        <v>253792</v>
      </c>
      <c r="M49" s="660">
        <f>SUM(M41:M48)</f>
        <v>2447677</v>
      </c>
      <c r="O49" s="660">
        <f>SUM(O41:O48)</f>
        <v>10533</v>
      </c>
      <c r="Q49" s="660">
        <f>SUM(Q41:Q48)</f>
        <v>113730</v>
      </c>
      <c r="S49" s="660">
        <f>SUM(S41:S48)</f>
        <v>0</v>
      </c>
      <c r="U49" s="660">
        <f>SUM(U41:U48)</f>
        <v>0</v>
      </c>
      <c r="W49" s="660">
        <f>SUM(W41:W48)</f>
        <v>91084634</v>
      </c>
      <c r="Y49" s="660">
        <f>SUM(Y41:Y48)</f>
        <v>29482896</v>
      </c>
      <c r="AA49" s="660">
        <f>SUM(AA41:AA48)</f>
        <v>0</v>
      </c>
      <c r="AC49" s="660">
        <f>SUM(AC41:AC48)</f>
        <v>0</v>
      </c>
      <c r="AE49" s="660">
        <f>SUM(AE41:AE48)</f>
        <v>0</v>
      </c>
      <c r="AG49" s="660">
        <f>SUM(AG41:AG48)</f>
        <v>0</v>
      </c>
      <c r="AI49" s="660">
        <f>SUM(AI41:AI48)</f>
        <v>0</v>
      </c>
      <c r="AK49" s="660">
        <f>SUM(AK41:AK48)</f>
        <v>0</v>
      </c>
      <c r="AM49" s="660">
        <f>SUM(AM41:AM48)</f>
        <v>0</v>
      </c>
      <c r="AO49" s="660">
        <f>SUM(AO41:AO48)</f>
        <v>0</v>
      </c>
      <c r="AQ49" s="660">
        <f>SUM(AQ41:AQ48)</f>
        <v>132420007</v>
      </c>
      <c r="AX49" s="661">
        <f>SUM(AX41:AX48)</f>
        <v>132420007</v>
      </c>
    </row>
    <row r="50" spans="5:50" ht="6.75" customHeight="1">
      <c r="E50" s="662"/>
      <c r="G50" s="662"/>
      <c r="I50" s="662"/>
      <c r="K50" s="662"/>
      <c r="M50" s="662"/>
      <c r="O50" s="662"/>
      <c r="Q50" s="662"/>
      <c r="S50" s="662"/>
      <c r="U50" s="662"/>
      <c r="W50" s="662"/>
      <c r="Y50" s="662"/>
      <c r="AA50" s="662"/>
      <c r="AC50" s="662"/>
      <c r="AE50" s="662"/>
      <c r="AG50" s="662"/>
      <c r="AI50" s="662"/>
      <c r="AK50" s="662"/>
      <c r="AM50" s="662"/>
      <c r="AO50" s="662"/>
      <c r="AQ50" s="662"/>
      <c r="AX50" s="663"/>
    </row>
    <row r="51" spans="1:50" ht="12.75">
      <c r="A51" s="290" t="s">
        <v>505</v>
      </c>
      <c r="E51" s="500"/>
      <c r="G51" s="500"/>
      <c r="I51" s="500"/>
      <c r="K51" s="500"/>
      <c r="M51" s="500"/>
      <c r="O51" s="500"/>
      <c r="Q51" s="500"/>
      <c r="S51" s="500"/>
      <c r="U51" s="500"/>
      <c r="W51" s="500"/>
      <c r="Y51" s="500"/>
      <c r="AA51" s="500"/>
      <c r="AC51" s="500"/>
      <c r="AE51" s="500"/>
      <c r="AG51" s="500"/>
      <c r="AI51" s="500"/>
      <c r="AK51" s="500"/>
      <c r="AM51" s="500"/>
      <c r="AO51" s="500"/>
      <c r="AQ51" s="500"/>
      <c r="AX51" s="658"/>
    </row>
    <row r="52" spans="1:50" ht="12.75">
      <c r="A52" s="290" t="s">
        <v>328</v>
      </c>
      <c r="E52" s="500"/>
      <c r="G52" s="500"/>
      <c r="I52" s="500"/>
      <c r="K52" s="500"/>
      <c r="M52" s="500"/>
      <c r="O52" s="500"/>
      <c r="Q52" s="500"/>
      <c r="S52" s="500"/>
      <c r="U52" s="500"/>
      <c r="W52" s="500"/>
      <c r="Y52" s="500"/>
      <c r="AA52" s="500"/>
      <c r="AC52" s="500"/>
      <c r="AE52" s="500"/>
      <c r="AG52" s="500"/>
      <c r="AI52" s="500"/>
      <c r="AK52" s="500"/>
      <c r="AM52" s="500"/>
      <c r="AO52" s="500"/>
      <c r="AQ52" s="500"/>
      <c r="AX52" s="658"/>
    </row>
    <row r="53" spans="1:50" ht="12.75">
      <c r="A53" s="278" t="s">
        <v>552</v>
      </c>
      <c r="E53" s="500">
        <v>0</v>
      </c>
      <c r="G53" s="500">
        <v>0</v>
      </c>
      <c r="I53" s="500">
        <v>200934</v>
      </c>
      <c r="K53" s="500">
        <v>0</v>
      </c>
      <c r="M53" s="500">
        <v>0</v>
      </c>
      <c r="O53" s="500">
        <v>0</v>
      </c>
      <c r="Q53" s="500">
        <v>0</v>
      </c>
      <c r="S53" s="500">
        <v>0</v>
      </c>
      <c r="U53" s="500">
        <v>0</v>
      </c>
      <c r="W53" s="500">
        <v>0</v>
      </c>
      <c r="Y53" s="500">
        <v>0</v>
      </c>
      <c r="AA53" s="500">
        <v>0</v>
      </c>
      <c r="AC53" s="500">
        <v>0</v>
      </c>
      <c r="AE53" s="500">
        <v>0</v>
      </c>
      <c r="AG53" s="500">
        <v>0</v>
      </c>
      <c r="AI53" s="500">
        <v>0</v>
      </c>
      <c r="AK53" s="500">
        <v>0</v>
      </c>
      <c r="AM53" s="500">
        <v>0</v>
      </c>
      <c r="AO53" s="500">
        <v>0</v>
      </c>
      <c r="AQ53" s="500">
        <f aca="true" t="shared" si="25" ref="AQ53:AQ60">SUM(E53:AO53)</f>
        <v>200934</v>
      </c>
      <c r="AX53" s="658">
        <f aca="true" t="shared" si="26" ref="AX53:AX60">AQ53-AT53+AU53</f>
        <v>200934</v>
      </c>
    </row>
    <row r="54" spans="1:50" ht="12.75">
      <c r="A54" s="278" t="s">
        <v>329</v>
      </c>
      <c r="E54" s="500">
        <v>0</v>
      </c>
      <c r="G54" s="500">
        <v>0</v>
      </c>
      <c r="I54" s="500">
        <v>0</v>
      </c>
      <c r="K54" s="500">
        <v>0</v>
      </c>
      <c r="M54" s="500">
        <v>0</v>
      </c>
      <c r="O54" s="500">
        <v>0</v>
      </c>
      <c r="Q54" s="500">
        <v>0</v>
      </c>
      <c r="S54" s="500">
        <v>0</v>
      </c>
      <c r="U54" s="500">
        <v>0</v>
      </c>
      <c r="W54" s="500">
        <v>0</v>
      </c>
      <c r="Y54" s="500">
        <v>0</v>
      </c>
      <c r="AA54" s="500">
        <v>0</v>
      </c>
      <c r="AC54" s="500">
        <v>0</v>
      </c>
      <c r="AE54" s="500">
        <v>0</v>
      </c>
      <c r="AG54" s="500">
        <v>0</v>
      </c>
      <c r="AI54" s="500">
        <v>0</v>
      </c>
      <c r="AK54" s="500">
        <v>0</v>
      </c>
      <c r="AM54" s="500">
        <v>0</v>
      </c>
      <c r="AO54" s="500">
        <v>0</v>
      </c>
      <c r="AQ54" s="500">
        <f t="shared" si="25"/>
        <v>0</v>
      </c>
      <c r="AX54" s="658">
        <f t="shared" si="26"/>
        <v>0</v>
      </c>
    </row>
    <row r="55" spans="1:50" ht="12.75">
      <c r="A55" s="278" t="s">
        <v>330</v>
      </c>
      <c r="E55" s="500">
        <f>434611-28638</f>
        <v>405973</v>
      </c>
      <c r="G55" s="500">
        <v>71865</v>
      </c>
      <c r="I55" s="500">
        <v>153563</v>
      </c>
      <c r="K55" s="500">
        <v>0</v>
      </c>
      <c r="M55" s="500">
        <v>308343</v>
      </c>
      <c r="O55" s="500">
        <v>0</v>
      </c>
      <c r="Q55" s="500">
        <v>0</v>
      </c>
      <c r="S55" s="500">
        <v>0</v>
      </c>
      <c r="U55" s="500">
        <v>0</v>
      </c>
      <c r="W55" s="500">
        <v>210957</v>
      </c>
      <c r="Y55" s="500">
        <v>1494419</v>
      </c>
      <c r="AA55" s="500">
        <v>0</v>
      </c>
      <c r="AC55" s="500">
        <v>0</v>
      </c>
      <c r="AE55" s="500">
        <v>0</v>
      </c>
      <c r="AG55" s="500">
        <v>0</v>
      </c>
      <c r="AI55" s="500">
        <v>0</v>
      </c>
      <c r="AK55" s="500">
        <v>0</v>
      </c>
      <c r="AM55" s="500">
        <v>0</v>
      </c>
      <c r="AO55" s="500">
        <v>0</v>
      </c>
      <c r="AQ55" s="500">
        <f t="shared" si="25"/>
        <v>2645120</v>
      </c>
      <c r="AW55" s="659"/>
      <c r="AX55" s="658">
        <f t="shared" si="26"/>
        <v>2645120</v>
      </c>
    </row>
    <row r="56" spans="1:50" ht="12.75">
      <c r="A56" s="278" t="s">
        <v>331</v>
      </c>
      <c r="E56" s="500">
        <v>0</v>
      </c>
      <c r="G56" s="500">
        <v>0</v>
      </c>
      <c r="I56" s="500">
        <v>0</v>
      </c>
      <c r="K56" s="500">
        <v>0</v>
      </c>
      <c r="M56" s="500">
        <v>0</v>
      </c>
      <c r="O56" s="500">
        <v>0</v>
      </c>
      <c r="Q56" s="500">
        <v>0</v>
      </c>
      <c r="S56" s="500">
        <f>622448+57235</f>
        <v>679683</v>
      </c>
      <c r="U56" s="500">
        <v>0</v>
      </c>
      <c r="W56" s="500">
        <v>47392883</v>
      </c>
      <c r="Y56" s="500">
        <v>9432781</v>
      </c>
      <c r="AA56" s="500">
        <v>0</v>
      </c>
      <c r="AC56" s="500">
        <v>0</v>
      </c>
      <c r="AE56" s="500">
        <v>0</v>
      </c>
      <c r="AG56" s="500">
        <v>0</v>
      </c>
      <c r="AI56" s="500">
        <v>0</v>
      </c>
      <c r="AK56" s="500">
        <v>0</v>
      </c>
      <c r="AM56" s="500">
        <v>0</v>
      </c>
      <c r="AO56" s="500">
        <v>0</v>
      </c>
      <c r="AQ56" s="500">
        <f t="shared" si="25"/>
        <v>57505347</v>
      </c>
      <c r="AW56" s="659"/>
      <c r="AX56" s="658">
        <f t="shared" si="26"/>
        <v>57505347</v>
      </c>
    </row>
    <row r="57" spans="1:50" ht="12.75">
      <c r="A57" s="278" t="s">
        <v>332</v>
      </c>
      <c r="E57" s="500">
        <f>23788-4903</f>
        <v>18885</v>
      </c>
      <c r="G57" s="500">
        <v>0</v>
      </c>
      <c r="I57" s="500">
        <v>111320</v>
      </c>
      <c r="K57" s="500">
        <v>0</v>
      </c>
      <c r="M57" s="500">
        <v>0</v>
      </c>
      <c r="O57" s="500">
        <v>0</v>
      </c>
      <c r="Q57" s="500">
        <v>0</v>
      </c>
      <c r="S57" s="500">
        <v>45454</v>
      </c>
      <c r="U57" s="500">
        <v>0</v>
      </c>
      <c r="W57" s="500">
        <v>293460</v>
      </c>
      <c r="Y57" s="500">
        <v>736326</v>
      </c>
      <c r="AA57" s="500">
        <v>0</v>
      </c>
      <c r="AC57" s="500">
        <v>0</v>
      </c>
      <c r="AE57" s="500">
        <v>0</v>
      </c>
      <c r="AG57" s="500">
        <v>0</v>
      </c>
      <c r="AI57" s="500">
        <v>0</v>
      </c>
      <c r="AK57" s="500">
        <v>0</v>
      </c>
      <c r="AM57" s="500">
        <v>0</v>
      </c>
      <c r="AO57" s="500">
        <v>0</v>
      </c>
      <c r="AQ57" s="500">
        <f t="shared" si="25"/>
        <v>1205445</v>
      </c>
      <c r="AW57" s="659"/>
      <c r="AX57" s="658">
        <f t="shared" si="26"/>
        <v>1205445</v>
      </c>
    </row>
    <row r="58" spans="1:50" ht="12.75">
      <c r="A58" s="278" t="s">
        <v>537</v>
      </c>
      <c r="E58" s="500">
        <f>13720-11760</f>
        <v>1960</v>
      </c>
      <c r="G58" s="500">
        <v>28285</v>
      </c>
      <c r="I58" s="500">
        <v>4392</v>
      </c>
      <c r="K58" s="500">
        <v>3784</v>
      </c>
      <c r="M58" s="500">
        <v>269490</v>
      </c>
      <c r="O58" s="500">
        <v>0</v>
      </c>
      <c r="Q58" s="500">
        <v>344866</v>
      </c>
      <c r="S58" s="500">
        <v>0</v>
      </c>
      <c r="U58" s="500">
        <v>0</v>
      </c>
      <c r="W58" s="500">
        <v>1991986</v>
      </c>
      <c r="Y58" s="500">
        <v>528441</v>
      </c>
      <c r="AA58" s="500">
        <v>0</v>
      </c>
      <c r="AC58" s="500">
        <v>0</v>
      </c>
      <c r="AE58" s="500">
        <v>0</v>
      </c>
      <c r="AG58" s="500">
        <v>0</v>
      </c>
      <c r="AI58" s="500">
        <v>0</v>
      </c>
      <c r="AK58" s="500">
        <v>0</v>
      </c>
      <c r="AM58" s="500">
        <v>0</v>
      </c>
      <c r="AO58" s="500">
        <v>0</v>
      </c>
      <c r="AQ58" s="500">
        <f t="shared" si="25"/>
        <v>3173204</v>
      </c>
      <c r="AX58" s="658">
        <f t="shared" si="26"/>
        <v>3173204</v>
      </c>
    </row>
    <row r="59" spans="1:50" ht="12.75">
      <c r="A59" s="278" t="s">
        <v>538</v>
      </c>
      <c r="E59" s="500">
        <f>54278-6489</f>
        <v>47789</v>
      </c>
      <c r="G59" s="500">
        <v>227559</v>
      </c>
      <c r="I59" s="500">
        <v>402804</v>
      </c>
      <c r="K59" s="500">
        <v>263081</v>
      </c>
      <c r="M59" s="500">
        <v>0</v>
      </c>
      <c r="O59" s="500">
        <v>10532</v>
      </c>
      <c r="Q59" s="500">
        <v>0</v>
      </c>
      <c r="S59" s="500">
        <v>0</v>
      </c>
      <c r="U59" s="500">
        <v>0</v>
      </c>
      <c r="W59" s="500">
        <v>1690161</v>
      </c>
      <c r="Y59" s="500">
        <v>386776</v>
      </c>
      <c r="AA59" s="500">
        <v>0</v>
      </c>
      <c r="AC59" s="500">
        <v>0</v>
      </c>
      <c r="AE59" s="500">
        <v>0</v>
      </c>
      <c r="AG59" s="500">
        <v>0</v>
      </c>
      <c r="AI59" s="500">
        <v>0</v>
      </c>
      <c r="AK59" s="500">
        <v>0</v>
      </c>
      <c r="AM59" s="500">
        <v>0</v>
      </c>
      <c r="AO59" s="500">
        <v>0</v>
      </c>
      <c r="AQ59" s="500">
        <f t="shared" si="25"/>
        <v>3028702</v>
      </c>
      <c r="AX59" s="658">
        <f t="shared" si="26"/>
        <v>3028702</v>
      </c>
    </row>
    <row r="60" spans="1:50" ht="12.75">
      <c r="A60" s="278" t="s">
        <v>539</v>
      </c>
      <c r="E60" s="500">
        <f>50-50</f>
        <v>0</v>
      </c>
      <c r="G60" s="500">
        <v>0</v>
      </c>
      <c r="I60" s="500">
        <v>549497</v>
      </c>
      <c r="K60" s="500">
        <v>0</v>
      </c>
      <c r="M60" s="500">
        <v>0</v>
      </c>
      <c r="O60" s="500">
        <v>0</v>
      </c>
      <c r="Q60" s="500">
        <v>0</v>
      </c>
      <c r="S60" s="500">
        <v>36782</v>
      </c>
      <c r="U60" s="500">
        <v>0</v>
      </c>
      <c r="W60" s="500">
        <v>261295</v>
      </c>
      <c r="Y60" s="500">
        <v>500263</v>
      </c>
      <c r="AA60" s="500">
        <v>0</v>
      </c>
      <c r="AC60" s="500">
        <v>0</v>
      </c>
      <c r="AE60" s="500">
        <v>0</v>
      </c>
      <c r="AG60" s="500">
        <v>0</v>
      </c>
      <c r="AI60" s="500">
        <v>0</v>
      </c>
      <c r="AK60" s="500">
        <v>0</v>
      </c>
      <c r="AM60" s="500">
        <v>0</v>
      </c>
      <c r="AO60" s="500">
        <v>0</v>
      </c>
      <c r="AQ60" s="500">
        <f t="shared" si="25"/>
        <v>1347837</v>
      </c>
      <c r="AX60" s="658">
        <f t="shared" si="26"/>
        <v>1347837</v>
      </c>
    </row>
    <row r="61" spans="5:50" ht="13.5" thickBot="1">
      <c r="E61" s="664">
        <f>SUM(E53:E60)</f>
        <v>474607</v>
      </c>
      <c r="G61" s="664">
        <f>SUM(G53:G60)</f>
        <v>327709</v>
      </c>
      <c r="I61" s="664">
        <f>SUM(I53:I60)</f>
        <v>1422510</v>
      </c>
      <c r="K61" s="664">
        <f>SUM(K53:K60)</f>
        <v>266865</v>
      </c>
      <c r="M61" s="664">
        <f>SUM(M53:M60)</f>
        <v>577833</v>
      </c>
      <c r="O61" s="664">
        <f>SUM(O53:O60)</f>
        <v>10532</v>
      </c>
      <c r="Q61" s="664">
        <f>SUM(Q53:Q60)</f>
        <v>344866</v>
      </c>
      <c r="S61" s="664">
        <f>SUM(S53:S60)</f>
        <v>761919</v>
      </c>
      <c r="U61" s="664">
        <f>SUM(U53:U60)</f>
        <v>0</v>
      </c>
      <c r="W61" s="664">
        <f>SUM(W53:W60)</f>
        <v>51840742</v>
      </c>
      <c r="Y61" s="664">
        <f>SUM(Y53:Y60)</f>
        <v>13079006</v>
      </c>
      <c r="AA61" s="664">
        <f>SUM(AA53:AA60)</f>
        <v>0</v>
      </c>
      <c r="AC61" s="664">
        <f>SUM(AC53:AC60)</f>
        <v>0</v>
      </c>
      <c r="AE61" s="664">
        <f>SUM(AE53:AE60)</f>
        <v>0</v>
      </c>
      <c r="AG61" s="664">
        <f>SUM(AG53:AG60)</f>
        <v>0</v>
      </c>
      <c r="AI61" s="664">
        <f>SUM(AI53:AI60)</f>
        <v>0</v>
      </c>
      <c r="AK61" s="664">
        <f>SUM(AK53:AK60)</f>
        <v>0</v>
      </c>
      <c r="AM61" s="664">
        <f>SUM(AM53:AM60)</f>
        <v>0</v>
      </c>
      <c r="AO61" s="664">
        <f>SUM(AO53:AO60)</f>
        <v>0</v>
      </c>
      <c r="AQ61" s="664">
        <f>SUM(AQ53:AQ60)</f>
        <v>69106589</v>
      </c>
      <c r="AX61" s="661">
        <f>SUM(AX53:AX60)</f>
        <v>69106589</v>
      </c>
    </row>
    <row r="62" spans="1:50" ht="13.5" thickTop="1">
      <c r="A62" s="290" t="s">
        <v>684</v>
      </c>
      <c r="E62" s="662"/>
      <c r="G62" s="662"/>
      <c r="I62" s="662"/>
      <c r="K62" s="662"/>
      <c r="M62" s="662"/>
      <c r="O62" s="662"/>
      <c r="Q62" s="662"/>
      <c r="S62" s="662"/>
      <c r="U62" s="662"/>
      <c r="W62" s="662"/>
      <c r="Y62" s="662"/>
      <c r="AA62" s="662"/>
      <c r="AC62" s="662"/>
      <c r="AE62" s="662"/>
      <c r="AG62" s="662"/>
      <c r="AI62" s="662"/>
      <c r="AK62" s="662"/>
      <c r="AM62" s="662"/>
      <c r="AO62" s="662"/>
      <c r="AQ62" s="662"/>
      <c r="AX62" s="663"/>
    </row>
    <row r="63" spans="1:50" ht="12.75">
      <c r="A63" s="278" t="s">
        <v>552</v>
      </c>
      <c r="E63" s="662">
        <v>0</v>
      </c>
      <c r="G63" s="662">
        <v>0</v>
      </c>
      <c r="I63" s="662">
        <v>35989</v>
      </c>
      <c r="K63" s="662">
        <v>0</v>
      </c>
      <c r="M63" s="662">
        <v>0</v>
      </c>
      <c r="O63" s="662">
        <v>0</v>
      </c>
      <c r="Q63" s="662">
        <v>0</v>
      </c>
      <c r="S63" s="662">
        <v>0</v>
      </c>
      <c r="U63" s="662">
        <v>0</v>
      </c>
      <c r="W63" s="662">
        <v>0</v>
      </c>
      <c r="Y63" s="662">
        <v>0</v>
      </c>
      <c r="AA63" s="662">
        <v>0</v>
      </c>
      <c r="AC63" s="662">
        <v>0</v>
      </c>
      <c r="AE63" s="662">
        <v>0</v>
      </c>
      <c r="AG63" s="662">
        <v>0</v>
      </c>
      <c r="AI63" s="662">
        <v>0</v>
      </c>
      <c r="AK63" s="662">
        <v>0</v>
      </c>
      <c r="AM63" s="662">
        <v>0</v>
      </c>
      <c r="AO63" s="662">
        <v>0</v>
      </c>
      <c r="AQ63" s="500">
        <f aca="true" t="shared" si="27" ref="AQ63:AQ70">SUM(E63:AO63)</f>
        <v>35989</v>
      </c>
      <c r="AX63" s="658">
        <f>AQ63-AT63+AU63</f>
        <v>35989</v>
      </c>
    </row>
    <row r="64" spans="1:50" ht="12.75">
      <c r="A64" s="278" t="s">
        <v>329</v>
      </c>
      <c r="E64" s="662">
        <v>0</v>
      </c>
      <c r="G64" s="662">
        <v>0</v>
      </c>
      <c r="I64" s="662">
        <v>0</v>
      </c>
      <c r="K64" s="662">
        <v>0</v>
      </c>
      <c r="M64" s="662">
        <v>0</v>
      </c>
      <c r="O64" s="662">
        <v>0</v>
      </c>
      <c r="Q64" s="662">
        <v>0</v>
      </c>
      <c r="S64" s="662">
        <v>0</v>
      </c>
      <c r="U64" s="662">
        <v>0</v>
      </c>
      <c r="W64" s="662">
        <v>0</v>
      </c>
      <c r="Y64" s="662">
        <v>0</v>
      </c>
      <c r="AA64" s="662">
        <v>0</v>
      </c>
      <c r="AC64" s="662">
        <v>0</v>
      </c>
      <c r="AE64" s="662">
        <v>0</v>
      </c>
      <c r="AG64" s="662">
        <v>0</v>
      </c>
      <c r="AI64" s="662">
        <v>0</v>
      </c>
      <c r="AK64" s="662">
        <v>0</v>
      </c>
      <c r="AM64" s="662">
        <v>0</v>
      </c>
      <c r="AO64" s="662">
        <v>0</v>
      </c>
      <c r="AQ64" s="500">
        <f t="shared" si="27"/>
        <v>0</v>
      </c>
      <c r="AX64" s="658">
        <f aca="true" t="shared" si="28" ref="AX64:AX70">AQ64-AT64+AU64</f>
        <v>0</v>
      </c>
    </row>
    <row r="65" spans="1:50" ht="12.75">
      <c r="A65" s="278" t="s">
        <v>330</v>
      </c>
      <c r="E65" s="662">
        <v>28638</v>
      </c>
      <c r="G65" s="662">
        <v>10447</v>
      </c>
      <c r="I65" s="662">
        <v>27503</v>
      </c>
      <c r="K65" s="662">
        <v>0</v>
      </c>
      <c r="M65" s="662">
        <v>30926</v>
      </c>
      <c r="O65" s="662">
        <v>0</v>
      </c>
      <c r="Q65" s="662">
        <v>0</v>
      </c>
      <c r="S65" s="662">
        <v>0</v>
      </c>
      <c r="U65" s="662">
        <v>0</v>
      </c>
      <c r="W65" s="662">
        <f>55984-1</f>
        <v>55983</v>
      </c>
      <c r="Y65" s="662">
        <v>159414</v>
      </c>
      <c r="AA65" s="662">
        <v>0</v>
      </c>
      <c r="AC65" s="662">
        <v>0</v>
      </c>
      <c r="AE65" s="662">
        <v>0</v>
      </c>
      <c r="AG65" s="662">
        <v>0</v>
      </c>
      <c r="AI65" s="662">
        <v>0</v>
      </c>
      <c r="AK65" s="662">
        <v>0</v>
      </c>
      <c r="AM65" s="662">
        <v>0</v>
      </c>
      <c r="AO65" s="662">
        <v>0</v>
      </c>
      <c r="AQ65" s="500">
        <f t="shared" si="27"/>
        <v>312911</v>
      </c>
      <c r="AX65" s="658">
        <f t="shared" si="28"/>
        <v>312911</v>
      </c>
    </row>
    <row r="66" spans="1:50" ht="12.75">
      <c r="A66" s="278" t="s">
        <v>331</v>
      </c>
      <c r="E66" s="662">
        <v>0</v>
      </c>
      <c r="G66" s="662">
        <v>0</v>
      </c>
      <c r="I66" s="662">
        <v>0</v>
      </c>
      <c r="K66" s="662">
        <v>0</v>
      </c>
      <c r="M66" s="662">
        <v>0</v>
      </c>
      <c r="O66" s="662">
        <v>0</v>
      </c>
      <c r="Q66" s="662">
        <v>0</v>
      </c>
      <c r="S66" s="662">
        <f>3766+4750</f>
        <v>8516</v>
      </c>
      <c r="U66" s="662">
        <v>0</v>
      </c>
      <c r="W66" s="662">
        <v>10409668</v>
      </c>
      <c r="Y66" s="662">
        <v>1570279</v>
      </c>
      <c r="AA66" s="662">
        <v>0</v>
      </c>
      <c r="AC66" s="662">
        <v>0</v>
      </c>
      <c r="AE66" s="662">
        <v>0</v>
      </c>
      <c r="AG66" s="662">
        <v>0</v>
      </c>
      <c r="AI66" s="662">
        <v>0</v>
      </c>
      <c r="AK66" s="662">
        <v>0</v>
      </c>
      <c r="AM66" s="662">
        <v>0</v>
      </c>
      <c r="AO66" s="662">
        <v>0</v>
      </c>
      <c r="AQ66" s="500">
        <f t="shared" si="27"/>
        <v>11988463</v>
      </c>
      <c r="AX66" s="658">
        <f t="shared" si="28"/>
        <v>11988463</v>
      </c>
    </row>
    <row r="67" spans="1:50" ht="12.75">
      <c r="A67" s="278" t="s">
        <v>332</v>
      </c>
      <c r="E67" s="662">
        <v>4903</v>
      </c>
      <c r="G67" s="662">
        <v>0</v>
      </c>
      <c r="I67" s="662">
        <v>6969</v>
      </c>
      <c r="K67" s="662">
        <v>0</v>
      </c>
      <c r="M67" s="662">
        <v>496</v>
      </c>
      <c r="O67" s="662">
        <v>0</v>
      </c>
      <c r="Q67" s="662">
        <v>0</v>
      </c>
      <c r="S67" s="662">
        <v>736</v>
      </c>
      <c r="U67" s="662">
        <v>0</v>
      </c>
      <c r="W67" s="662">
        <v>169003</v>
      </c>
      <c r="Y67" s="662">
        <v>47980</v>
      </c>
      <c r="AA67" s="662">
        <v>0</v>
      </c>
      <c r="AC67" s="662">
        <v>0</v>
      </c>
      <c r="AE67" s="662">
        <v>0</v>
      </c>
      <c r="AG67" s="662">
        <v>0</v>
      </c>
      <c r="AI67" s="662">
        <v>0</v>
      </c>
      <c r="AK67" s="662">
        <v>0</v>
      </c>
      <c r="AM67" s="662">
        <v>0</v>
      </c>
      <c r="AO67" s="662">
        <v>0</v>
      </c>
      <c r="AQ67" s="500">
        <f t="shared" si="27"/>
        <v>230087</v>
      </c>
      <c r="AX67" s="658">
        <f t="shared" si="28"/>
        <v>230087</v>
      </c>
    </row>
    <row r="68" spans="1:50" ht="12.75">
      <c r="A68" s="278" t="s">
        <v>537</v>
      </c>
      <c r="E68" s="662">
        <v>11760</v>
      </c>
      <c r="G68" s="662">
        <v>0</v>
      </c>
      <c r="I68" s="662">
        <v>0</v>
      </c>
      <c r="K68" s="662">
        <v>0</v>
      </c>
      <c r="M68" s="662">
        <v>0</v>
      </c>
      <c r="O68" s="662">
        <v>0</v>
      </c>
      <c r="Q68" s="662">
        <v>0</v>
      </c>
      <c r="S68" s="662">
        <v>0</v>
      </c>
      <c r="U68" s="662">
        <v>0</v>
      </c>
      <c r="W68" s="662">
        <v>549193</v>
      </c>
      <c r="Y68" s="662">
        <v>75373</v>
      </c>
      <c r="AA68" s="662">
        <v>0</v>
      </c>
      <c r="AC68" s="662">
        <v>0</v>
      </c>
      <c r="AE68" s="662">
        <v>0</v>
      </c>
      <c r="AG68" s="662">
        <v>0</v>
      </c>
      <c r="AI68" s="662">
        <v>0</v>
      </c>
      <c r="AK68" s="662">
        <v>0</v>
      </c>
      <c r="AM68" s="662">
        <v>0</v>
      </c>
      <c r="AO68" s="662">
        <v>0</v>
      </c>
      <c r="AQ68" s="500">
        <f t="shared" si="27"/>
        <v>636326</v>
      </c>
      <c r="AX68" s="658">
        <f t="shared" si="28"/>
        <v>636326</v>
      </c>
    </row>
    <row r="69" spans="1:50" ht="12.75">
      <c r="A69" s="278" t="s">
        <v>538</v>
      </c>
      <c r="E69" s="500">
        <v>6489</v>
      </c>
      <c r="G69" s="500">
        <v>1263</v>
      </c>
      <c r="I69" s="500">
        <v>16212</v>
      </c>
      <c r="K69" s="500">
        <v>351</v>
      </c>
      <c r="M69" s="500">
        <v>0</v>
      </c>
      <c r="O69" s="500">
        <v>0</v>
      </c>
      <c r="Q69" s="500">
        <v>0</v>
      </c>
      <c r="S69" s="500">
        <v>0</v>
      </c>
      <c r="U69" s="500">
        <v>0</v>
      </c>
      <c r="W69" s="500">
        <v>411188</v>
      </c>
      <c r="Y69" s="500">
        <v>19629</v>
      </c>
      <c r="AA69" s="500">
        <v>0</v>
      </c>
      <c r="AC69" s="500">
        <v>0</v>
      </c>
      <c r="AE69" s="500">
        <v>0</v>
      </c>
      <c r="AG69" s="500">
        <v>0</v>
      </c>
      <c r="AI69" s="500">
        <v>0</v>
      </c>
      <c r="AK69" s="500">
        <v>0</v>
      </c>
      <c r="AM69" s="500">
        <v>0</v>
      </c>
      <c r="AO69" s="500">
        <v>0</v>
      </c>
      <c r="AQ69" s="500">
        <f t="shared" si="27"/>
        <v>455132</v>
      </c>
      <c r="AX69" s="658">
        <f t="shared" si="28"/>
        <v>455132</v>
      </c>
    </row>
    <row r="70" spans="1:50" ht="12.75">
      <c r="A70" s="278" t="s">
        <v>539</v>
      </c>
      <c r="E70" s="662">
        <v>50</v>
      </c>
      <c r="G70" s="662">
        <v>0</v>
      </c>
      <c r="I70" s="662">
        <v>106826</v>
      </c>
      <c r="K70" s="662">
        <v>0</v>
      </c>
      <c r="M70" s="662">
        <v>0</v>
      </c>
      <c r="O70" s="662">
        <v>0</v>
      </c>
      <c r="Q70" s="662">
        <v>0</v>
      </c>
      <c r="S70" s="662">
        <v>2690</v>
      </c>
      <c r="U70" s="662">
        <v>0</v>
      </c>
      <c r="W70" s="662">
        <v>247118</v>
      </c>
      <c r="Y70" s="662">
        <v>29922</v>
      </c>
      <c r="AA70" s="662">
        <v>0</v>
      </c>
      <c r="AC70" s="662">
        <v>0</v>
      </c>
      <c r="AE70" s="662">
        <v>0</v>
      </c>
      <c r="AG70" s="662">
        <v>0</v>
      </c>
      <c r="AI70" s="662">
        <v>0</v>
      </c>
      <c r="AK70" s="662">
        <v>0</v>
      </c>
      <c r="AM70" s="662">
        <v>0</v>
      </c>
      <c r="AO70" s="662">
        <v>0</v>
      </c>
      <c r="AQ70" s="500">
        <f t="shared" si="27"/>
        <v>386606</v>
      </c>
      <c r="AX70" s="658">
        <f t="shared" si="28"/>
        <v>386606</v>
      </c>
    </row>
    <row r="71" spans="5:50" ht="13.5" thickBot="1">
      <c r="E71" s="660">
        <f>SUM(E63:E70)</f>
        <v>51840</v>
      </c>
      <c r="G71" s="660">
        <f>SUM(G63:G70)</f>
        <v>11710</v>
      </c>
      <c r="I71" s="660">
        <f>SUM(I63:I70)</f>
        <v>193499</v>
      </c>
      <c r="K71" s="660">
        <f>SUM(K63:K70)</f>
        <v>351</v>
      </c>
      <c r="M71" s="660">
        <f>SUM(M63:M70)</f>
        <v>31422</v>
      </c>
      <c r="O71" s="660">
        <f>SUM(O63:O70)</f>
        <v>0</v>
      </c>
      <c r="Q71" s="660">
        <f>SUM(Q63:Q70)</f>
        <v>0</v>
      </c>
      <c r="S71" s="660">
        <f>SUM(S63:S70)</f>
        <v>11942</v>
      </c>
      <c r="U71" s="660">
        <f>SUM(U63:U70)</f>
        <v>0</v>
      </c>
      <c r="W71" s="660">
        <f>SUM(W63:W70)</f>
        <v>11842153</v>
      </c>
      <c r="Y71" s="660">
        <f>SUM(Y63:Y70)</f>
        <v>1902597</v>
      </c>
      <c r="AA71" s="660">
        <f>SUM(AA63:AA70)</f>
        <v>0</v>
      </c>
      <c r="AC71" s="660">
        <f>SUM(AC63:AC70)</f>
        <v>0</v>
      </c>
      <c r="AE71" s="660">
        <f>SUM(AE63:AE70)</f>
        <v>0</v>
      </c>
      <c r="AG71" s="660">
        <f>SUM(AG63:AG70)</f>
        <v>0</v>
      </c>
      <c r="AI71" s="660">
        <f>SUM(AI63:AI70)</f>
        <v>0</v>
      </c>
      <c r="AK71" s="660">
        <f>SUM(AK63:AK70)</f>
        <v>0</v>
      </c>
      <c r="AM71" s="660">
        <f>SUM(AM63:AM70)</f>
        <v>0</v>
      </c>
      <c r="AO71" s="660">
        <f>SUM(AO63:AO70)</f>
        <v>0</v>
      </c>
      <c r="AQ71" s="660">
        <f>SUM(AQ63:AQ70)</f>
        <v>14045514</v>
      </c>
      <c r="AX71" s="661">
        <f>SUM(AX63:AX70)</f>
        <v>14045514</v>
      </c>
    </row>
    <row r="72" spans="5:50" ht="8.25" customHeight="1">
      <c r="E72" s="662"/>
      <c r="G72" s="662"/>
      <c r="I72" s="662"/>
      <c r="K72" s="662"/>
      <c r="M72" s="662"/>
      <c r="O72" s="662"/>
      <c r="Q72" s="662"/>
      <c r="S72" s="662"/>
      <c r="U72" s="662"/>
      <c r="W72" s="662"/>
      <c r="Y72" s="662"/>
      <c r="AA72" s="662"/>
      <c r="AC72" s="662"/>
      <c r="AE72" s="662"/>
      <c r="AG72" s="662"/>
      <c r="AI72" s="662"/>
      <c r="AK72" s="662"/>
      <c r="AM72" s="662"/>
      <c r="AO72" s="662"/>
      <c r="AQ72" s="662"/>
      <c r="AX72" s="663"/>
    </row>
    <row r="73" spans="1:50" ht="12.75">
      <c r="A73" s="290" t="s">
        <v>685</v>
      </c>
      <c r="E73" s="662"/>
      <c r="G73" s="662"/>
      <c r="I73" s="662"/>
      <c r="K73" s="662"/>
      <c r="M73" s="662"/>
      <c r="O73" s="662"/>
      <c r="Q73" s="662"/>
      <c r="S73" s="662"/>
      <c r="U73" s="662"/>
      <c r="W73" s="662"/>
      <c r="Y73" s="662"/>
      <c r="AA73" s="662"/>
      <c r="AC73" s="662"/>
      <c r="AE73" s="662"/>
      <c r="AG73" s="662"/>
      <c r="AI73" s="662"/>
      <c r="AK73" s="662"/>
      <c r="AM73" s="662"/>
      <c r="AO73" s="662"/>
      <c r="AQ73" s="662"/>
      <c r="AX73" s="663"/>
    </row>
    <row r="74" spans="1:50" ht="12.75">
      <c r="A74" s="278" t="s">
        <v>552</v>
      </c>
      <c r="E74" s="662">
        <v>0</v>
      </c>
      <c r="G74" s="662">
        <v>0</v>
      </c>
      <c r="I74" s="662">
        <v>0</v>
      </c>
      <c r="K74" s="662">
        <v>0</v>
      </c>
      <c r="M74" s="662">
        <v>0</v>
      </c>
      <c r="O74" s="662">
        <v>0</v>
      </c>
      <c r="Q74" s="662">
        <v>0</v>
      </c>
      <c r="S74" s="662">
        <v>0</v>
      </c>
      <c r="U74" s="662">
        <v>0</v>
      </c>
      <c r="W74" s="662">
        <v>0</v>
      </c>
      <c r="Y74" s="662">
        <v>0</v>
      </c>
      <c r="AA74" s="662">
        <v>0</v>
      </c>
      <c r="AC74" s="662">
        <v>0</v>
      </c>
      <c r="AE74" s="662">
        <v>0</v>
      </c>
      <c r="AG74" s="662">
        <v>0</v>
      </c>
      <c r="AI74" s="662">
        <v>0</v>
      </c>
      <c r="AK74" s="662">
        <v>0</v>
      </c>
      <c r="AM74" s="662">
        <v>0</v>
      </c>
      <c r="AO74" s="662">
        <v>0</v>
      </c>
      <c r="AQ74" s="500">
        <f aca="true" t="shared" si="29" ref="AQ74:AQ81">SUM(E74:AO74)</f>
        <v>0</v>
      </c>
      <c r="AX74" s="663">
        <f aca="true" t="shared" si="30" ref="AX74:AX81">AQ74+AT74-AU74</f>
        <v>0</v>
      </c>
    </row>
    <row r="75" spans="1:50" ht="12.75">
      <c r="A75" s="278" t="s">
        <v>329</v>
      </c>
      <c r="E75" s="662">
        <v>0</v>
      </c>
      <c r="G75" s="662">
        <v>0</v>
      </c>
      <c r="I75" s="662">
        <v>0</v>
      </c>
      <c r="K75" s="662">
        <v>0</v>
      </c>
      <c r="M75" s="662">
        <v>0</v>
      </c>
      <c r="O75" s="662">
        <v>0</v>
      </c>
      <c r="Q75" s="662">
        <v>0</v>
      </c>
      <c r="S75" s="662">
        <v>0</v>
      </c>
      <c r="U75" s="662">
        <v>0</v>
      </c>
      <c r="W75" s="662">
        <v>0</v>
      </c>
      <c r="Y75" s="662">
        <v>0</v>
      </c>
      <c r="AA75" s="662">
        <v>0</v>
      </c>
      <c r="AC75" s="662">
        <v>0</v>
      </c>
      <c r="AE75" s="662">
        <v>0</v>
      </c>
      <c r="AG75" s="662">
        <v>0</v>
      </c>
      <c r="AI75" s="662">
        <v>0</v>
      </c>
      <c r="AK75" s="662">
        <v>0</v>
      </c>
      <c r="AM75" s="662">
        <v>0</v>
      </c>
      <c r="AO75" s="662">
        <v>0</v>
      </c>
      <c r="AQ75" s="500">
        <f t="shared" si="29"/>
        <v>0</v>
      </c>
      <c r="AX75" s="663">
        <f t="shared" si="30"/>
        <v>0</v>
      </c>
    </row>
    <row r="76" spans="1:50" ht="12.75">
      <c r="A76" s="278" t="s">
        <v>330</v>
      </c>
      <c r="E76" s="662">
        <v>0</v>
      </c>
      <c r="G76" s="662">
        <v>0</v>
      </c>
      <c r="I76" s="662">
        <v>0</v>
      </c>
      <c r="K76" s="662">
        <v>0</v>
      </c>
      <c r="M76" s="662">
        <v>0</v>
      </c>
      <c r="O76" s="662">
        <v>0</v>
      </c>
      <c r="Q76" s="662">
        <v>0</v>
      </c>
      <c r="S76" s="662">
        <v>0</v>
      </c>
      <c r="U76" s="662">
        <v>0</v>
      </c>
      <c r="W76" s="662">
        <v>0</v>
      </c>
      <c r="Y76" s="662">
        <v>0</v>
      </c>
      <c r="AA76" s="662">
        <v>0</v>
      </c>
      <c r="AC76" s="662">
        <v>0</v>
      </c>
      <c r="AE76" s="662">
        <v>0</v>
      </c>
      <c r="AG76" s="662">
        <v>0</v>
      </c>
      <c r="AI76" s="662">
        <v>0</v>
      </c>
      <c r="AK76" s="662">
        <v>0</v>
      </c>
      <c r="AM76" s="662">
        <v>0</v>
      </c>
      <c r="AO76" s="662">
        <v>0</v>
      </c>
      <c r="AQ76" s="500">
        <f t="shared" si="29"/>
        <v>0</v>
      </c>
      <c r="AX76" s="663">
        <f t="shared" si="30"/>
        <v>0</v>
      </c>
    </row>
    <row r="77" spans="1:50" ht="12.75">
      <c r="A77" s="278" t="s">
        <v>331</v>
      </c>
      <c r="E77" s="662">
        <v>0</v>
      </c>
      <c r="G77" s="662">
        <v>0</v>
      </c>
      <c r="I77" s="662">
        <v>0</v>
      </c>
      <c r="K77" s="662">
        <v>0</v>
      </c>
      <c r="M77" s="662">
        <v>0</v>
      </c>
      <c r="O77" s="662">
        <v>0</v>
      </c>
      <c r="Q77" s="662">
        <v>0</v>
      </c>
      <c r="S77" s="662">
        <f>622448+57235+3766+4750</f>
        <v>688199</v>
      </c>
      <c r="U77" s="662">
        <v>0</v>
      </c>
      <c r="W77" s="662">
        <v>6288</v>
      </c>
      <c r="Y77" s="662">
        <v>0</v>
      </c>
      <c r="AA77" s="662">
        <v>0</v>
      </c>
      <c r="AC77" s="662">
        <v>0</v>
      </c>
      <c r="AE77" s="662">
        <v>0</v>
      </c>
      <c r="AG77" s="662">
        <v>0</v>
      </c>
      <c r="AI77" s="662">
        <v>0</v>
      </c>
      <c r="AK77" s="662">
        <v>0</v>
      </c>
      <c r="AM77" s="662">
        <v>0</v>
      </c>
      <c r="AO77" s="662">
        <v>0</v>
      </c>
      <c r="AQ77" s="500">
        <f t="shared" si="29"/>
        <v>694487</v>
      </c>
      <c r="AX77" s="663">
        <f t="shared" si="30"/>
        <v>694487</v>
      </c>
    </row>
    <row r="78" spans="1:50" ht="12.75">
      <c r="A78" s="278" t="s">
        <v>332</v>
      </c>
      <c r="E78" s="662">
        <v>0</v>
      </c>
      <c r="G78" s="662">
        <v>0</v>
      </c>
      <c r="I78" s="662">
        <v>938</v>
      </c>
      <c r="K78" s="662">
        <v>0</v>
      </c>
      <c r="M78" s="662">
        <v>0</v>
      </c>
      <c r="O78" s="662">
        <v>0</v>
      </c>
      <c r="Q78" s="662">
        <v>0</v>
      </c>
      <c r="S78" s="662">
        <f>45454+736</f>
        <v>46190</v>
      </c>
      <c r="U78" s="662">
        <v>0</v>
      </c>
      <c r="W78" s="662">
        <v>0</v>
      </c>
      <c r="Y78" s="662">
        <v>0</v>
      </c>
      <c r="AA78" s="662">
        <v>0</v>
      </c>
      <c r="AC78" s="662">
        <v>0</v>
      </c>
      <c r="AE78" s="662">
        <v>0</v>
      </c>
      <c r="AG78" s="662">
        <v>0</v>
      </c>
      <c r="AI78" s="662">
        <v>0</v>
      </c>
      <c r="AK78" s="662">
        <v>0</v>
      </c>
      <c r="AM78" s="662">
        <v>0</v>
      </c>
      <c r="AO78" s="662">
        <v>0</v>
      </c>
      <c r="AQ78" s="500">
        <f t="shared" si="29"/>
        <v>47128</v>
      </c>
      <c r="AX78" s="663">
        <f t="shared" si="30"/>
        <v>47128</v>
      </c>
    </row>
    <row r="79" spans="1:50" ht="12.75">
      <c r="A79" s="278" t="s">
        <v>537</v>
      </c>
      <c r="E79" s="662">
        <v>0</v>
      </c>
      <c r="G79" s="662">
        <v>0</v>
      </c>
      <c r="I79" s="662">
        <v>0</v>
      </c>
      <c r="K79" s="662">
        <v>3784</v>
      </c>
      <c r="M79" s="662">
        <v>0</v>
      </c>
      <c r="O79" s="662">
        <v>0</v>
      </c>
      <c r="Q79" s="662">
        <v>231137</v>
      </c>
      <c r="S79" s="662">
        <v>0</v>
      </c>
      <c r="U79" s="662">
        <v>0</v>
      </c>
      <c r="W79" s="662">
        <v>0</v>
      </c>
      <c r="Y79" s="662">
        <v>0</v>
      </c>
      <c r="AA79" s="662">
        <v>0</v>
      </c>
      <c r="AC79" s="662">
        <v>0</v>
      </c>
      <c r="AE79" s="662">
        <v>0</v>
      </c>
      <c r="AG79" s="662">
        <v>0</v>
      </c>
      <c r="AI79" s="662">
        <v>0</v>
      </c>
      <c r="AK79" s="662">
        <v>0</v>
      </c>
      <c r="AM79" s="662">
        <v>0</v>
      </c>
      <c r="AO79" s="662">
        <v>0</v>
      </c>
      <c r="AQ79" s="500">
        <f t="shared" si="29"/>
        <v>234921</v>
      </c>
      <c r="AX79" s="663">
        <f t="shared" si="30"/>
        <v>234921</v>
      </c>
    </row>
    <row r="80" spans="1:50" ht="12.75">
      <c r="A80" s="278" t="s">
        <v>538</v>
      </c>
      <c r="E80" s="500">
        <v>0</v>
      </c>
      <c r="G80" s="500">
        <v>48132</v>
      </c>
      <c r="I80" s="500">
        <v>109790</v>
      </c>
      <c r="K80" s="500">
        <v>9664</v>
      </c>
      <c r="M80" s="500">
        <v>0</v>
      </c>
      <c r="O80" s="500">
        <v>0</v>
      </c>
      <c r="Q80" s="500">
        <v>0</v>
      </c>
      <c r="S80" s="500">
        <v>0</v>
      </c>
      <c r="U80" s="500">
        <v>0</v>
      </c>
      <c r="W80" s="500">
        <v>0</v>
      </c>
      <c r="Y80" s="500">
        <v>0</v>
      </c>
      <c r="AA80" s="500">
        <v>0</v>
      </c>
      <c r="AC80" s="500">
        <v>0</v>
      </c>
      <c r="AE80" s="500">
        <v>0</v>
      </c>
      <c r="AG80" s="500">
        <v>0</v>
      </c>
      <c r="AI80" s="500">
        <v>0</v>
      </c>
      <c r="AK80" s="500">
        <v>0</v>
      </c>
      <c r="AM80" s="500">
        <v>0</v>
      </c>
      <c r="AO80" s="500">
        <v>0</v>
      </c>
      <c r="AQ80" s="500">
        <f t="shared" si="29"/>
        <v>167586</v>
      </c>
      <c r="AX80" s="663">
        <f t="shared" si="30"/>
        <v>167586</v>
      </c>
    </row>
    <row r="81" spans="1:50" ht="12.75">
      <c r="A81" s="278" t="s">
        <v>539</v>
      </c>
      <c r="E81" s="662">
        <v>0</v>
      </c>
      <c r="G81" s="662">
        <v>0</v>
      </c>
      <c r="I81" s="662">
        <v>0</v>
      </c>
      <c r="K81" s="662">
        <v>0</v>
      </c>
      <c r="M81" s="662">
        <v>0</v>
      </c>
      <c r="O81" s="662">
        <v>0</v>
      </c>
      <c r="Q81" s="662">
        <v>0</v>
      </c>
      <c r="S81" s="662">
        <f>36782+2690</f>
        <v>39472</v>
      </c>
      <c r="U81" s="662">
        <v>0</v>
      </c>
      <c r="W81" s="662">
        <v>0</v>
      </c>
      <c r="Y81" s="662">
        <v>0</v>
      </c>
      <c r="AA81" s="662">
        <v>0</v>
      </c>
      <c r="AC81" s="662">
        <v>0</v>
      </c>
      <c r="AE81" s="662">
        <v>0</v>
      </c>
      <c r="AG81" s="662">
        <v>0</v>
      </c>
      <c r="AI81" s="662">
        <v>0</v>
      </c>
      <c r="AK81" s="662">
        <v>0</v>
      </c>
      <c r="AM81" s="662">
        <v>0</v>
      </c>
      <c r="AO81" s="662">
        <v>0</v>
      </c>
      <c r="AQ81" s="500">
        <f t="shared" si="29"/>
        <v>39472</v>
      </c>
      <c r="AX81" s="663">
        <f t="shared" si="30"/>
        <v>39472</v>
      </c>
    </row>
    <row r="82" spans="5:50" ht="13.5" thickBot="1">
      <c r="E82" s="660">
        <f>SUM(E74:E81)</f>
        <v>0</v>
      </c>
      <c r="G82" s="660">
        <f>SUM(G74:G81)</f>
        <v>48132</v>
      </c>
      <c r="I82" s="660">
        <f>SUM(I74:I81)</f>
        <v>110728</v>
      </c>
      <c r="K82" s="660">
        <f>SUM(K74:K81)</f>
        <v>13448</v>
      </c>
      <c r="M82" s="660">
        <f>SUM(M74:M81)</f>
        <v>0</v>
      </c>
      <c r="O82" s="660">
        <f>SUM(O74:O81)</f>
        <v>0</v>
      </c>
      <c r="Q82" s="660">
        <f>SUM(Q74:Q81)</f>
        <v>231137</v>
      </c>
      <c r="S82" s="660">
        <f>SUM(S74:S81)</f>
        <v>773861</v>
      </c>
      <c r="U82" s="660">
        <f>SUM(U74:U81)</f>
        <v>0</v>
      </c>
      <c r="W82" s="660">
        <f>SUM(W74:W81)</f>
        <v>6288</v>
      </c>
      <c r="Y82" s="660">
        <f>SUM(Y74:Y81)</f>
        <v>0</v>
      </c>
      <c r="AA82" s="660">
        <f>SUM(AA74:AA81)</f>
        <v>0</v>
      </c>
      <c r="AC82" s="660">
        <f>SUM(AC74:AC81)</f>
        <v>0</v>
      </c>
      <c r="AE82" s="660">
        <f>SUM(AE74:AE81)</f>
        <v>0</v>
      </c>
      <c r="AG82" s="660">
        <f>SUM(AG74:AG81)</f>
        <v>0</v>
      </c>
      <c r="AI82" s="660">
        <f>SUM(AI74:AI81)</f>
        <v>0</v>
      </c>
      <c r="AK82" s="660">
        <f>SUM(AK74:AK81)</f>
        <v>0</v>
      </c>
      <c r="AM82" s="660">
        <f>SUM(AM74:AM81)</f>
        <v>0</v>
      </c>
      <c r="AO82" s="660">
        <f>SUM(AO74:AO81)</f>
        <v>0</v>
      </c>
      <c r="AQ82" s="660">
        <f>SUM(AQ74:AQ81)</f>
        <v>1183594</v>
      </c>
      <c r="AX82" s="661">
        <f>SUM(AX74:AX81)</f>
        <v>1183594</v>
      </c>
    </row>
    <row r="83" spans="5:50" ht="12.75">
      <c r="E83" s="662"/>
      <c r="G83" s="662"/>
      <c r="I83" s="662"/>
      <c r="K83" s="662"/>
      <c r="M83" s="662"/>
      <c r="O83" s="662"/>
      <c r="Q83" s="662"/>
      <c r="S83" s="662"/>
      <c r="U83" s="662"/>
      <c r="W83" s="662"/>
      <c r="Y83" s="662"/>
      <c r="AA83" s="662"/>
      <c r="AC83" s="662"/>
      <c r="AE83" s="662"/>
      <c r="AG83" s="662"/>
      <c r="AI83" s="662"/>
      <c r="AK83" s="662"/>
      <c r="AM83" s="662"/>
      <c r="AO83" s="662"/>
      <c r="AQ83" s="662"/>
      <c r="AX83" s="663"/>
    </row>
    <row r="84" spans="1:50" ht="12.75">
      <c r="A84" s="290" t="s">
        <v>542</v>
      </c>
      <c r="E84" s="662"/>
      <c r="G84" s="662"/>
      <c r="I84" s="662"/>
      <c r="K84" s="662"/>
      <c r="M84" s="662"/>
      <c r="O84" s="662"/>
      <c r="Q84" s="662"/>
      <c r="S84" s="662"/>
      <c r="U84" s="662"/>
      <c r="W84" s="662"/>
      <c r="Y84" s="662"/>
      <c r="AA84" s="662"/>
      <c r="AC84" s="662"/>
      <c r="AE84" s="662"/>
      <c r="AG84" s="662"/>
      <c r="AI84" s="662"/>
      <c r="AK84" s="662"/>
      <c r="AM84" s="662"/>
      <c r="AO84" s="662"/>
      <c r="AQ84" s="662"/>
      <c r="AX84" s="663"/>
    </row>
    <row r="85" spans="1:50" ht="12.75">
      <c r="A85" s="278" t="s">
        <v>552</v>
      </c>
      <c r="E85" s="662">
        <v>0</v>
      </c>
      <c r="G85" s="662">
        <f aca="true" t="shared" si="31" ref="G85:G92">G53+G63-G74</f>
        <v>0</v>
      </c>
      <c r="I85" s="662">
        <f aca="true" t="shared" si="32" ref="I85:I92">I53+I63-I74</f>
        <v>236923</v>
      </c>
      <c r="K85" s="662">
        <f aca="true" t="shared" si="33" ref="K85:K92">K53+K63-K74</f>
        <v>0</v>
      </c>
      <c r="M85" s="662">
        <f aca="true" t="shared" si="34" ref="M85:M92">M53+M63-M74</f>
        <v>0</v>
      </c>
      <c r="O85" s="662">
        <f aca="true" t="shared" si="35" ref="O85:O92">O53+O63-O74</f>
        <v>0</v>
      </c>
      <c r="Q85" s="662">
        <f aca="true" t="shared" si="36" ref="Q85:Q92">Q53+Q63-Q74</f>
        <v>0</v>
      </c>
      <c r="S85" s="662">
        <f>S53+S63-S74</f>
        <v>0</v>
      </c>
      <c r="U85" s="662">
        <f>U53+U63-U74</f>
        <v>0</v>
      </c>
      <c r="W85" s="662">
        <v>0</v>
      </c>
      <c r="Y85" s="662">
        <v>0</v>
      </c>
      <c r="AA85" s="662">
        <f>AA53+AA63-AA74</f>
        <v>0</v>
      </c>
      <c r="AC85" s="662">
        <f aca="true" t="shared" si="37" ref="AC85:AC92">AC53+AC63-AC74</f>
        <v>0</v>
      </c>
      <c r="AE85" s="662">
        <f aca="true" t="shared" si="38" ref="AE85:AE92">AE53+AE63-AE74</f>
        <v>0</v>
      </c>
      <c r="AG85" s="662">
        <f aca="true" t="shared" si="39" ref="AG85:AG92">AG53+AG63-AG74</f>
        <v>0</v>
      </c>
      <c r="AI85" s="662">
        <f aca="true" t="shared" si="40" ref="AI85:AI92">AI53+AI63-AI74</f>
        <v>0</v>
      </c>
      <c r="AK85" s="662">
        <f aca="true" t="shared" si="41" ref="AK85:AK92">AK53+AK63-AK74</f>
        <v>0</v>
      </c>
      <c r="AM85" s="662">
        <f aca="true" t="shared" si="42" ref="AM85:AM92">AM53+AM63-AM74</f>
        <v>0</v>
      </c>
      <c r="AO85" s="662">
        <f>AO53+AO63-AO74</f>
        <v>0</v>
      </c>
      <c r="AQ85" s="500">
        <f aca="true" t="shared" si="43" ref="AQ85:AQ92">SUM(E85:AO85)</f>
        <v>236923</v>
      </c>
      <c r="AX85" s="663">
        <f aca="true" t="shared" si="44" ref="AX85:AX92">AQ85+AT85-AU85</f>
        <v>236923</v>
      </c>
    </row>
    <row r="86" spans="1:50" ht="12.75">
      <c r="A86" s="278" t="s">
        <v>329</v>
      </c>
      <c r="E86" s="662">
        <f aca="true" t="shared" si="45" ref="E86:E92">E54+E64-E75</f>
        <v>0</v>
      </c>
      <c r="G86" s="662">
        <f t="shared" si="31"/>
        <v>0</v>
      </c>
      <c r="I86" s="662">
        <f t="shared" si="32"/>
        <v>0</v>
      </c>
      <c r="K86" s="662">
        <f t="shared" si="33"/>
        <v>0</v>
      </c>
      <c r="M86" s="662">
        <f t="shared" si="34"/>
        <v>0</v>
      </c>
      <c r="O86" s="662">
        <f t="shared" si="35"/>
        <v>0</v>
      </c>
      <c r="Q86" s="662">
        <f t="shared" si="36"/>
        <v>0</v>
      </c>
      <c r="S86" s="662">
        <f aca="true" t="shared" si="46" ref="S86:S92">S54+S64-S75</f>
        <v>0</v>
      </c>
      <c r="U86" s="662">
        <f>U54+U64-U75</f>
        <v>0</v>
      </c>
      <c r="W86" s="662">
        <f aca="true" t="shared" si="47" ref="W86:W92">W54+W64-W75</f>
        <v>0</v>
      </c>
      <c r="Y86" s="662">
        <f aca="true" t="shared" si="48" ref="Y86:Y92">Y54+Y64-Y75</f>
        <v>0</v>
      </c>
      <c r="AA86" s="662">
        <f>AA54+AA64-AA75</f>
        <v>0</v>
      </c>
      <c r="AC86" s="662">
        <f t="shared" si="37"/>
        <v>0</v>
      </c>
      <c r="AE86" s="662">
        <f t="shared" si="38"/>
        <v>0</v>
      </c>
      <c r="AG86" s="662">
        <f t="shared" si="39"/>
        <v>0</v>
      </c>
      <c r="AI86" s="662">
        <f t="shared" si="40"/>
        <v>0</v>
      </c>
      <c r="AK86" s="662">
        <f t="shared" si="41"/>
        <v>0</v>
      </c>
      <c r="AM86" s="662">
        <f t="shared" si="42"/>
        <v>0</v>
      </c>
      <c r="AO86" s="662">
        <f>AO54+AO64-AO75</f>
        <v>0</v>
      </c>
      <c r="AQ86" s="500">
        <f t="shared" si="43"/>
        <v>0</v>
      </c>
      <c r="AX86" s="663">
        <f t="shared" si="44"/>
        <v>0</v>
      </c>
    </row>
    <row r="87" spans="1:50" ht="12.75">
      <c r="A87" s="278" t="s">
        <v>330</v>
      </c>
      <c r="E87" s="662">
        <f t="shared" si="45"/>
        <v>434611</v>
      </c>
      <c r="G87" s="662">
        <f t="shared" si="31"/>
        <v>82312</v>
      </c>
      <c r="I87" s="662">
        <f t="shared" si="32"/>
        <v>181066</v>
      </c>
      <c r="K87" s="662">
        <f t="shared" si="33"/>
        <v>0</v>
      </c>
      <c r="M87" s="662">
        <f t="shared" si="34"/>
        <v>339269</v>
      </c>
      <c r="O87" s="662">
        <f t="shared" si="35"/>
        <v>0</v>
      </c>
      <c r="Q87" s="662">
        <f t="shared" si="36"/>
        <v>0</v>
      </c>
      <c r="S87" s="662">
        <f t="shared" si="46"/>
        <v>0</v>
      </c>
      <c r="U87" s="662">
        <v>0</v>
      </c>
      <c r="W87" s="662">
        <f t="shared" si="47"/>
        <v>266940</v>
      </c>
      <c r="Y87" s="662">
        <f t="shared" si="48"/>
        <v>1653833</v>
      </c>
      <c r="AA87" s="662">
        <v>0</v>
      </c>
      <c r="AC87" s="662">
        <f t="shared" si="37"/>
        <v>0</v>
      </c>
      <c r="AE87" s="662">
        <f t="shared" si="38"/>
        <v>0</v>
      </c>
      <c r="AG87" s="662">
        <f t="shared" si="39"/>
        <v>0</v>
      </c>
      <c r="AI87" s="662">
        <f t="shared" si="40"/>
        <v>0</v>
      </c>
      <c r="AK87" s="662">
        <f t="shared" si="41"/>
        <v>0</v>
      </c>
      <c r="AM87" s="662">
        <f t="shared" si="42"/>
        <v>0</v>
      </c>
      <c r="AO87" s="662">
        <f aca="true" t="shared" si="49" ref="AO87:AO92">AO55+AO65-AO76</f>
        <v>0</v>
      </c>
      <c r="AQ87" s="500">
        <f t="shared" si="43"/>
        <v>2958031</v>
      </c>
      <c r="AX87" s="663">
        <f t="shared" si="44"/>
        <v>2958031</v>
      </c>
    </row>
    <row r="88" spans="1:50" ht="12.75">
      <c r="A88" s="278" t="s">
        <v>331</v>
      </c>
      <c r="E88" s="662">
        <f t="shared" si="45"/>
        <v>0</v>
      </c>
      <c r="G88" s="662">
        <f t="shared" si="31"/>
        <v>0</v>
      </c>
      <c r="I88" s="662">
        <f t="shared" si="32"/>
        <v>0</v>
      </c>
      <c r="K88" s="662">
        <f t="shared" si="33"/>
        <v>0</v>
      </c>
      <c r="M88" s="662">
        <f t="shared" si="34"/>
        <v>0</v>
      </c>
      <c r="O88" s="662">
        <f t="shared" si="35"/>
        <v>0</v>
      </c>
      <c r="Q88" s="662">
        <f t="shared" si="36"/>
        <v>0</v>
      </c>
      <c r="S88" s="662">
        <f>S56+S66-S77</f>
        <v>0</v>
      </c>
      <c r="U88" s="662">
        <v>0</v>
      </c>
      <c r="W88" s="662">
        <f t="shared" si="47"/>
        <v>57796263</v>
      </c>
      <c r="Y88" s="662">
        <f t="shared" si="48"/>
        <v>11003060</v>
      </c>
      <c r="AA88" s="662">
        <v>0</v>
      </c>
      <c r="AC88" s="662">
        <f t="shared" si="37"/>
        <v>0</v>
      </c>
      <c r="AE88" s="662">
        <f t="shared" si="38"/>
        <v>0</v>
      </c>
      <c r="AG88" s="662">
        <f t="shared" si="39"/>
        <v>0</v>
      </c>
      <c r="AI88" s="662">
        <f t="shared" si="40"/>
        <v>0</v>
      </c>
      <c r="AK88" s="662">
        <f t="shared" si="41"/>
        <v>0</v>
      </c>
      <c r="AM88" s="662">
        <f t="shared" si="42"/>
        <v>0</v>
      </c>
      <c r="AO88" s="662">
        <f t="shared" si="49"/>
        <v>0</v>
      </c>
      <c r="AQ88" s="500">
        <f t="shared" si="43"/>
        <v>68799323</v>
      </c>
      <c r="AX88" s="663">
        <f t="shared" si="44"/>
        <v>68799323</v>
      </c>
    </row>
    <row r="89" spans="1:50" ht="12.75">
      <c r="A89" s="278" t="s">
        <v>332</v>
      </c>
      <c r="E89" s="662">
        <f t="shared" si="45"/>
        <v>23788</v>
      </c>
      <c r="G89" s="662">
        <f t="shared" si="31"/>
        <v>0</v>
      </c>
      <c r="I89" s="662">
        <f t="shared" si="32"/>
        <v>117351</v>
      </c>
      <c r="K89" s="662">
        <f t="shared" si="33"/>
        <v>0</v>
      </c>
      <c r="M89" s="662">
        <f t="shared" si="34"/>
        <v>496</v>
      </c>
      <c r="O89" s="662">
        <f t="shared" si="35"/>
        <v>0</v>
      </c>
      <c r="Q89" s="662">
        <f t="shared" si="36"/>
        <v>0</v>
      </c>
      <c r="S89" s="662">
        <f t="shared" si="46"/>
        <v>0</v>
      </c>
      <c r="U89" s="662">
        <v>0</v>
      </c>
      <c r="W89" s="662">
        <f t="shared" si="47"/>
        <v>462463</v>
      </c>
      <c r="Y89" s="662">
        <f t="shared" si="48"/>
        <v>784306</v>
      </c>
      <c r="AA89" s="662">
        <v>0</v>
      </c>
      <c r="AC89" s="662">
        <f t="shared" si="37"/>
        <v>0</v>
      </c>
      <c r="AE89" s="662">
        <f t="shared" si="38"/>
        <v>0</v>
      </c>
      <c r="AG89" s="662">
        <f t="shared" si="39"/>
        <v>0</v>
      </c>
      <c r="AI89" s="662">
        <f t="shared" si="40"/>
        <v>0</v>
      </c>
      <c r="AK89" s="662">
        <f t="shared" si="41"/>
        <v>0</v>
      </c>
      <c r="AM89" s="662">
        <f t="shared" si="42"/>
        <v>0</v>
      </c>
      <c r="AO89" s="662">
        <f t="shared" si="49"/>
        <v>0</v>
      </c>
      <c r="AQ89" s="500">
        <f t="shared" si="43"/>
        <v>1388404</v>
      </c>
      <c r="AX89" s="663">
        <f t="shared" si="44"/>
        <v>1388404</v>
      </c>
    </row>
    <row r="90" spans="1:50" ht="12.75">
      <c r="A90" s="278" t="s">
        <v>537</v>
      </c>
      <c r="E90" s="662">
        <f t="shared" si="45"/>
        <v>13720</v>
      </c>
      <c r="G90" s="662">
        <f t="shared" si="31"/>
        <v>28285</v>
      </c>
      <c r="I90" s="662">
        <f t="shared" si="32"/>
        <v>4392</v>
      </c>
      <c r="K90" s="662">
        <f t="shared" si="33"/>
        <v>0</v>
      </c>
      <c r="M90" s="662">
        <f t="shared" si="34"/>
        <v>269490</v>
      </c>
      <c r="O90" s="662">
        <f t="shared" si="35"/>
        <v>0</v>
      </c>
      <c r="Q90" s="662">
        <f t="shared" si="36"/>
        <v>113729</v>
      </c>
      <c r="S90" s="662">
        <f t="shared" si="46"/>
        <v>0</v>
      </c>
      <c r="U90" s="662">
        <v>0</v>
      </c>
      <c r="W90" s="662">
        <f t="shared" si="47"/>
        <v>2541179</v>
      </c>
      <c r="Y90" s="662">
        <f t="shared" si="48"/>
        <v>603814</v>
      </c>
      <c r="AA90" s="662">
        <v>0</v>
      </c>
      <c r="AC90" s="662">
        <f t="shared" si="37"/>
        <v>0</v>
      </c>
      <c r="AE90" s="662">
        <f t="shared" si="38"/>
        <v>0</v>
      </c>
      <c r="AG90" s="662">
        <f t="shared" si="39"/>
        <v>0</v>
      </c>
      <c r="AI90" s="662">
        <f t="shared" si="40"/>
        <v>0</v>
      </c>
      <c r="AK90" s="662">
        <f t="shared" si="41"/>
        <v>0</v>
      </c>
      <c r="AM90" s="662">
        <f t="shared" si="42"/>
        <v>0</v>
      </c>
      <c r="AO90" s="662">
        <f t="shared" si="49"/>
        <v>0</v>
      </c>
      <c r="AQ90" s="500">
        <f t="shared" si="43"/>
        <v>3574609</v>
      </c>
      <c r="AX90" s="663">
        <f t="shared" si="44"/>
        <v>3574609</v>
      </c>
    </row>
    <row r="91" spans="1:50" ht="12.75">
      <c r="A91" s="278" t="s">
        <v>538</v>
      </c>
      <c r="E91" s="662">
        <f t="shared" si="45"/>
        <v>54278</v>
      </c>
      <c r="G91" s="662">
        <f t="shared" si="31"/>
        <v>180690</v>
      </c>
      <c r="I91" s="662">
        <f t="shared" si="32"/>
        <v>309226</v>
      </c>
      <c r="K91" s="662">
        <f t="shared" si="33"/>
        <v>253768</v>
      </c>
      <c r="M91" s="662">
        <f t="shared" si="34"/>
        <v>0</v>
      </c>
      <c r="O91" s="662">
        <f t="shared" si="35"/>
        <v>10532</v>
      </c>
      <c r="Q91" s="662">
        <f t="shared" si="36"/>
        <v>0</v>
      </c>
      <c r="S91" s="662">
        <f t="shared" si="46"/>
        <v>0</v>
      </c>
      <c r="U91" s="500">
        <v>0</v>
      </c>
      <c r="W91" s="662">
        <f t="shared" si="47"/>
        <v>2101349</v>
      </c>
      <c r="Y91" s="662">
        <f t="shared" si="48"/>
        <v>406405</v>
      </c>
      <c r="AA91" s="500">
        <v>0</v>
      </c>
      <c r="AC91" s="662">
        <f t="shared" si="37"/>
        <v>0</v>
      </c>
      <c r="AE91" s="662">
        <f t="shared" si="38"/>
        <v>0</v>
      </c>
      <c r="AG91" s="662">
        <f t="shared" si="39"/>
        <v>0</v>
      </c>
      <c r="AI91" s="662">
        <f t="shared" si="40"/>
        <v>0</v>
      </c>
      <c r="AK91" s="662">
        <f t="shared" si="41"/>
        <v>0</v>
      </c>
      <c r="AM91" s="662">
        <f t="shared" si="42"/>
        <v>0</v>
      </c>
      <c r="AO91" s="662">
        <f t="shared" si="49"/>
        <v>0</v>
      </c>
      <c r="AQ91" s="500">
        <f t="shared" si="43"/>
        <v>3316248</v>
      </c>
      <c r="AX91" s="663">
        <f t="shared" si="44"/>
        <v>3316248</v>
      </c>
    </row>
    <row r="92" spans="1:50" ht="12.75">
      <c r="A92" s="278" t="s">
        <v>539</v>
      </c>
      <c r="E92" s="662">
        <f t="shared" si="45"/>
        <v>50</v>
      </c>
      <c r="G92" s="662">
        <f t="shared" si="31"/>
        <v>0</v>
      </c>
      <c r="I92" s="662">
        <f t="shared" si="32"/>
        <v>656323</v>
      </c>
      <c r="K92" s="662">
        <f t="shared" si="33"/>
        <v>0</v>
      </c>
      <c r="M92" s="662">
        <f t="shared" si="34"/>
        <v>0</v>
      </c>
      <c r="O92" s="662">
        <f t="shared" si="35"/>
        <v>0</v>
      </c>
      <c r="Q92" s="662">
        <f t="shared" si="36"/>
        <v>0</v>
      </c>
      <c r="S92" s="662">
        <f t="shared" si="46"/>
        <v>0</v>
      </c>
      <c r="U92" s="662">
        <f>U60+U70-U81</f>
        <v>0</v>
      </c>
      <c r="W92" s="662">
        <f t="shared" si="47"/>
        <v>508413</v>
      </c>
      <c r="Y92" s="662">
        <f t="shared" si="48"/>
        <v>530185</v>
      </c>
      <c r="AA92" s="662">
        <f>AA60+AA70-AA81</f>
        <v>0</v>
      </c>
      <c r="AC92" s="662">
        <f t="shared" si="37"/>
        <v>0</v>
      </c>
      <c r="AE92" s="662">
        <f t="shared" si="38"/>
        <v>0</v>
      </c>
      <c r="AG92" s="662">
        <f t="shared" si="39"/>
        <v>0</v>
      </c>
      <c r="AI92" s="662">
        <f t="shared" si="40"/>
        <v>0</v>
      </c>
      <c r="AK92" s="662">
        <f t="shared" si="41"/>
        <v>0</v>
      </c>
      <c r="AM92" s="662">
        <f t="shared" si="42"/>
        <v>0</v>
      </c>
      <c r="AO92" s="662">
        <f t="shared" si="49"/>
        <v>0</v>
      </c>
      <c r="AQ92" s="500">
        <f t="shared" si="43"/>
        <v>1694971</v>
      </c>
      <c r="AX92" s="663">
        <f t="shared" si="44"/>
        <v>1694971</v>
      </c>
    </row>
    <row r="93" spans="5:50" ht="13.5" thickBot="1">
      <c r="E93" s="660">
        <f>SUM(E85:E92)</f>
        <v>526447</v>
      </c>
      <c r="G93" s="660">
        <f>SUM(G85:G92)</f>
        <v>291287</v>
      </c>
      <c r="I93" s="660">
        <f>SUM(I85:I92)</f>
        <v>1505281</v>
      </c>
      <c r="K93" s="660">
        <f>SUM(K85:K92)</f>
        <v>253768</v>
      </c>
      <c r="M93" s="660">
        <f>SUM(M85:M92)</f>
        <v>609255</v>
      </c>
      <c r="O93" s="660">
        <f>SUM(O85:O92)</f>
        <v>10532</v>
      </c>
      <c r="Q93" s="660">
        <f>SUM(Q85:Q92)</f>
        <v>113729</v>
      </c>
      <c r="S93" s="660">
        <f>SUM(S85:S92)</f>
        <v>0</v>
      </c>
      <c r="U93" s="660">
        <f>SUM(U85:U92)</f>
        <v>0</v>
      </c>
      <c r="W93" s="660">
        <f>SUM(W85:W92)</f>
        <v>63676607</v>
      </c>
      <c r="Y93" s="660">
        <f>SUM(Y85:Y92)</f>
        <v>14981603</v>
      </c>
      <c r="AA93" s="660">
        <f>SUM(AA85:AA92)</f>
        <v>0</v>
      </c>
      <c r="AC93" s="660">
        <f>SUM(AC85:AC92)</f>
        <v>0</v>
      </c>
      <c r="AE93" s="660">
        <f>SUM(AE85:AE92)</f>
        <v>0</v>
      </c>
      <c r="AG93" s="660">
        <f>SUM(AG85:AG92)</f>
        <v>0</v>
      </c>
      <c r="AI93" s="660">
        <f>SUM(AI85:AI92)</f>
        <v>0</v>
      </c>
      <c r="AK93" s="660">
        <f>SUM(AK85:AK92)</f>
        <v>0</v>
      </c>
      <c r="AM93" s="660">
        <f>SUM(AM85:AM92)</f>
        <v>0</v>
      </c>
      <c r="AO93" s="660">
        <f>SUM(AO85:AO92)</f>
        <v>0</v>
      </c>
      <c r="AQ93" s="660">
        <f>SUM(AQ85:AQ92)</f>
        <v>81968509</v>
      </c>
      <c r="AX93" s="661">
        <f>SUM(AX85:AX92)</f>
        <v>81968509</v>
      </c>
    </row>
    <row r="94" spans="5:50" ht="12.75">
      <c r="E94" s="500"/>
      <c r="G94" s="500"/>
      <c r="I94" s="500"/>
      <c r="K94" s="500"/>
      <c r="M94" s="500"/>
      <c r="O94" s="500"/>
      <c r="Q94" s="500"/>
      <c r="S94" s="500"/>
      <c r="U94" s="500"/>
      <c r="W94" s="500"/>
      <c r="Y94" s="500"/>
      <c r="AA94" s="500"/>
      <c r="AC94" s="500"/>
      <c r="AE94" s="500"/>
      <c r="AG94" s="500"/>
      <c r="AI94" s="500"/>
      <c r="AK94" s="500"/>
      <c r="AM94" s="500"/>
      <c r="AO94" s="500"/>
      <c r="AQ94" s="500"/>
      <c r="AX94" s="658"/>
    </row>
    <row r="95" spans="1:50" ht="12.75">
      <c r="A95" s="290" t="s">
        <v>543</v>
      </c>
      <c r="E95" s="500"/>
      <c r="G95" s="500"/>
      <c r="I95" s="500"/>
      <c r="K95" s="500"/>
      <c r="M95" s="500"/>
      <c r="O95" s="500"/>
      <c r="Q95" s="500"/>
      <c r="S95" s="500"/>
      <c r="U95" s="500"/>
      <c r="W95" s="500"/>
      <c r="Y95" s="500"/>
      <c r="AA95" s="500"/>
      <c r="AC95" s="500"/>
      <c r="AE95" s="500"/>
      <c r="AG95" s="500"/>
      <c r="AI95" s="500"/>
      <c r="AK95" s="500"/>
      <c r="AM95" s="500"/>
      <c r="AO95" s="500"/>
      <c r="AQ95" s="500"/>
      <c r="AX95" s="658"/>
    </row>
    <row r="96" spans="5:50" ht="11.25" customHeight="1">
      <c r="E96" s="500"/>
      <c r="G96" s="500"/>
      <c r="I96" s="500"/>
      <c r="K96" s="500"/>
      <c r="M96" s="500"/>
      <c r="O96" s="500"/>
      <c r="Q96" s="500"/>
      <c r="S96" s="500"/>
      <c r="U96" s="500"/>
      <c r="W96" s="500"/>
      <c r="Y96" s="500"/>
      <c r="AA96" s="500"/>
      <c r="AC96" s="500"/>
      <c r="AE96" s="500"/>
      <c r="AG96" s="500"/>
      <c r="AI96" s="500"/>
      <c r="AK96" s="500"/>
      <c r="AM96" s="500"/>
      <c r="AO96" s="500"/>
      <c r="AQ96" s="500"/>
      <c r="AX96" s="658"/>
    </row>
    <row r="97" spans="1:50" ht="11.25" customHeight="1">
      <c r="A97" s="278" t="s">
        <v>552</v>
      </c>
      <c r="E97" s="500">
        <f aca="true" t="shared" si="50" ref="E97:E104">E41-E85</f>
        <v>0</v>
      </c>
      <c r="G97" s="500">
        <f aca="true" t="shared" si="51" ref="G97:G104">G41-G85</f>
        <v>0</v>
      </c>
      <c r="I97" s="500">
        <f aca="true" t="shared" si="52" ref="I97:I104">I41-I85</f>
        <v>2813077</v>
      </c>
      <c r="K97" s="500">
        <f aca="true" t="shared" si="53" ref="K97:K104">K41-K85</f>
        <v>0</v>
      </c>
      <c r="M97" s="500">
        <f aca="true" t="shared" si="54" ref="M97:M104">M41-M85</f>
        <v>0</v>
      </c>
      <c r="O97" s="500">
        <f aca="true" t="shared" si="55" ref="O97:O104">O41-O85</f>
        <v>0</v>
      </c>
      <c r="Q97" s="500">
        <f aca="true" t="shared" si="56" ref="Q97:Q104">Q41-Q85</f>
        <v>0</v>
      </c>
      <c r="S97" s="500">
        <f aca="true" t="shared" si="57" ref="S97:S104">S41-S85</f>
        <v>0</v>
      </c>
      <c r="U97" s="500">
        <f>U41-U85</f>
        <v>0</v>
      </c>
      <c r="W97" s="500">
        <f aca="true" t="shared" si="58" ref="W97:W104">W41-W85</f>
        <v>0</v>
      </c>
      <c r="Y97" s="500">
        <f aca="true" t="shared" si="59" ref="Y97:Y104">Y41-Y85</f>
        <v>0</v>
      </c>
      <c r="AA97" s="500">
        <f>AA41-AA85</f>
        <v>0</v>
      </c>
      <c r="AC97" s="500">
        <f aca="true" t="shared" si="60" ref="AC97:AC104">AC41-AC85</f>
        <v>0</v>
      </c>
      <c r="AE97" s="500">
        <f aca="true" t="shared" si="61" ref="AE97:AE104">AE41-AE85</f>
        <v>0</v>
      </c>
      <c r="AG97" s="500">
        <f aca="true" t="shared" si="62" ref="AG97:AG104">AG41-AG85</f>
        <v>0</v>
      </c>
      <c r="AI97" s="500">
        <f aca="true" t="shared" si="63" ref="AI97:AI104">AI41-AI85</f>
        <v>0</v>
      </c>
      <c r="AK97" s="500">
        <f aca="true" t="shared" si="64" ref="AK97:AK104">AK41-AK85</f>
        <v>0</v>
      </c>
      <c r="AM97" s="500">
        <f aca="true" t="shared" si="65" ref="AM97:AM104">AM41-AM85</f>
        <v>0</v>
      </c>
      <c r="AO97" s="500">
        <f aca="true" t="shared" si="66" ref="AO97:AO104">AO41-AO85</f>
        <v>0</v>
      </c>
      <c r="AQ97" s="500">
        <f aca="true" t="shared" si="67" ref="AQ97:AQ104">SUM(E97:AO97)</f>
        <v>2813077</v>
      </c>
      <c r="AX97" s="663">
        <f aca="true" t="shared" si="68" ref="AX97:AX104">AQ97+AT97-AU97</f>
        <v>2813077</v>
      </c>
    </row>
    <row r="98" spans="1:50" ht="12.75">
      <c r="A98" s="278" t="s">
        <v>329</v>
      </c>
      <c r="E98" s="500">
        <f t="shared" si="50"/>
        <v>765621</v>
      </c>
      <c r="G98" s="500">
        <f t="shared" si="51"/>
        <v>250000</v>
      </c>
      <c r="I98" s="500">
        <f t="shared" si="52"/>
        <v>0</v>
      </c>
      <c r="K98" s="500">
        <f t="shared" si="53"/>
        <v>0</v>
      </c>
      <c r="M98" s="500">
        <f t="shared" si="54"/>
        <v>738907</v>
      </c>
      <c r="O98" s="500">
        <f t="shared" si="55"/>
        <v>0</v>
      </c>
      <c r="Q98" s="500">
        <f t="shared" si="56"/>
        <v>0</v>
      </c>
      <c r="S98" s="500">
        <f t="shared" si="57"/>
        <v>0</v>
      </c>
      <c r="U98" s="500">
        <f>U42-U86</f>
        <v>0</v>
      </c>
      <c r="W98" s="500">
        <f t="shared" si="58"/>
        <v>1860000</v>
      </c>
      <c r="Y98" s="500">
        <f t="shared" si="59"/>
        <v>2820000</v>
      </c>
      <c r="AA98" s="500">
        <f>AA42-AA86</f>
        <v>0</v>
      </c>
      <c r="AC98" s="500">
        <f t="shared" si="60"/>
        <v>0</v>
      </c>
      <c r="AE98" s="500">
        <f t="shared" si="61"/>
        <v>0</v>
      </c>
      <c r="AG98" s="500">
        <f t="shared" si="62"/>
        <v>0</v>
      </c>
      <c r="AI98" s="500">
        <f t="shared" si="63"/>
        <v>0</v>
      </c>
      <c r="AK98" s="500">
        <f t="shared" si="64"/>
        <v>0</v>
      </c>
      <c r="AM98" s="500">
        <f t="shared" si="65"/>
        <v>0</v>
      </c>
      <c r="AO98" s="500">
        <f t="shared" si="66"/>
        <v>0</v>
      </c>
      <c r="AQ98" s="500">
        <f t="shared" si="67"/>
        <v>6434528</v>
      </c>
      <c r="AU98" s="286">
        <v>1200000</v>
      </c>
      <c r="AV98" s="642" t="s">
        <v>236</v>
      </c>
      <c r="AX98" s="663">
        <f t="shared" si="68"/>
        <v>5234528</v>
      </c>
    </row>
    <row r="99" spans="1:50" ht="12.75">
      <c r="A99" s="278" t="s">
        <v>330</v>
      </c>
      <c r="E99" s="500">
        <f t="shared" si="50"/>
        <v>997269</v>
      </c>
      <c r="G99" s="500">
        <f t="shared" si="51"/>
        <v>110033</v>
      </c>
      <c r="I99" s="500">
        <f t="shared" si="52"/>
        <v>1194119</v>
      </c>
      <c r="K99" s="500">
        <f t="shared" si="53"/>
        <v>0</v>
      </c>
      <c r="M99" s="500">
        <f t="shared" si="54"/>
        <v>1097038</v>
      </c>
      <c r="O99" s="500">
        <f t="shared" si="55"/>
        <v>0</v>
      </c>
      <c r="Q99" s="500">
        <f t="shared" si="56"/>
        <v>0</v>
      </c>
      <c r="S99" s="500">
        <f t="shared" si="57"/>
        <v>0</v>
      </c>
      <c r="U99" s="500">
        <v>0</v>
      </c>
      <c r="W99" s="500">
        <f t="shared" si="58"/>
        <v>2604284</v>
      </c>
      <c r="Y99" s="500">
        <f t="shared" si="59"/>
        <v>6318367</v>
      </c>
      <c r="AA99" s="500">
        <v>0</v>
      </c>
      <c r="AC99" s="500">
        <f t="shared" si="60"/>
        <v>0</v>
      </c>
      <c r="AE99" s="500">
        <f t="shared" si="61"/>
        <v>0</v>
      </c>
      <c r="AG99" s="500">
        <f t="shared" si="62"/>
        <v>0</v>
      </c>
      <c r="AI99" s="500">
        <f t="shared" si="63"/>
        <v>0</v>
      </c>
      <c r="AK99" s="500">
        <f t="shared" si="64"/>
        <v>0</v>
      </c>
      <c r="AM99" s="500">
        <f t="shared" si="65"/>
        <v>0</v>
      </c>
      <c r="AO99" s="500">
        <f t="shared" si="66"/>
        <v>0</v>
      </c>
      <c r="AQ99" s="500">
        <f t="shared" si="67"/>
        <v>12321110</v>
      </c>
      <c r="AU99" s="286">
        <v>1844518</v>
      </c>
      <c r="AV99" s="642" t="s">
        <v>236</v>
      </c>
      <c r="AX99" s="663">
        <f t="shared" si="68"/>
        <v>10476592</v>
      </c>
    </row>
    <row r="100" spans="1:50" ht="12.75">
      <c r="A100" s="278" t="s">
        <v>331</v>
      </c>
      <c r="E100" s="500">
        <f t="shared" si="50"/>
        <v>0</v>
      </c>
      <c r="G100" s="500">
        <f t="shared" si="51"/>
        <v>0</v>
      </c>
      <c r="I100" s="500">
        <f t="shared" si="52"/>
        <v>0</v>
      </c>
      <c r="K100" s="500">
        <f t="shared" si="53"/>
        <v>0</v>
      </c>
      <c r="M100" s="500">
        <f t="shared" si="54"/>
        <v>0</v>
      </c>
      <c r="O100" s="500">
        <f t="shared" si="55"/>
        <v>0</v>
      </c>
      <c r="Q100" s="500">
        <f t="shared" si="56"/>
        <v>0</v>
      </c>
      <c r="S100" s="500">
        <f t="shared" si="57"/>
        <v>0</v>
      </c>
      <c r="U100" s="500">
        <v>0</v>
      </c>
      <c r="W100" s="500">
        <f t="shared" si="58"/>
        <v>18049285</v>
      </c>
      <c r="Y100" s="500">
        <f t="shared" si="59"/>
        <v>4723873</v>
      </c>
      <c r="AA100" s="500">
        <v>0</v>
      </c>
      <c r="AC100" s="500">
        <f t="shared" si="60"/>
        <v>0</v>
      </c>
      <c r="AE100" s="500">
        <f t="shared" si="61"/>
        <v>0</v>
      </c>
      <c r="AG100" s="500">
        <f t="shared" si="62"/>
        <v>0</v>
      </c>
      <c r="AI100" s="500">
        <f t="shared" si="63"/>
        <v>0</v>
      </c>
      <c r="AK100" s="500">
        <f t="shared" si="64"/>
        <v>0</v>
      </c>
      <c r="AM100" s="500">
        <f t="shared" si="65"/>
        <v>0</v>
      </c>
      <c r="AO100" s="500">
        <f t="shared" si="66"/>
        <v>0</v>
      </c>
      <c r="AQ100" s="500">
        <f t="shared" si="67"/>
        <v>22773158</v>
      </c>
      <c r="AX100" s="663">
        <f t="shared" si="68"/>
        <v>22773158</v>
      </c>
    </row>
    <row r="101" spans="1:50" ht="12.75">
      <c r="A101" s="278" t="s">
        <v>332</v>
      </c>
      <c r="E101" s="500">
        <f t="shared" si="50"/>
        <v>34824</v>
      </c>
      <c r="G101" s="500">
        <f t="shared" si="51"/>
        <v>0</v>
      </c>
      <c r="I101" s="500">
        <f t="shared" si="52"/>
        <v>27351</v>
      </c>
      <c r="K101" s="500">
        <f t="shared" si="53"/>
        <v>0</v>
      </c>
      <c r="M101" s="500">
        <f t="shared" si="54"/>
        <v>2477</v>
      </c>
      <c r="O101" s="500">
        <f t="shared" si="55"/>
        <v>0</v>
      </c>
      <c r="Q101" s="500">
        <f t="shared" si="56"/>
        <v>0</v>
      </c>
      <c r="S101" s="500">
        <f t="shared" si="57"/>
        <v>0</v>
      </c>
      <c r="U101" s="500">
        <v>0</v>
      </c>
      <c r="W101" s="500">
        <f t="shared" si="58"/>
        <v>1352359</v>
      </c>
      <c r="Y101" s="500">
        <f t="shared" si="59"/>
        <v>254282</v>
      </c>
      <c r="AA101" s="500">
        <v>0</v>
      </c>
      <c r="AC101" s="500">
        <f t="shared" si="60"/>
        <v>0</v>
      </c>
      <c r="AE101" s="500">
        <f t="shared" si="61"/>
        <v>0</v>
      </c>
      <c r="AG101" s="500">
        <f t="shared" si="62"/>
        <v>0</v>
      </c>
      <c r="AI101" s="500">
        <f t="shared" si="63"/>
        <v>0</v>
      </c>
      <c r="AK101" s="500">
        <f t="shared" si="64"/>
        <v>0</v>
      </c>
      <c r="AM101" s="500">
        <f t="shared" si="65"/>
        <v>0</v>
      </c>
      <c r="AO101" s="500">
        <f t="shared" si="66"/>
        <v>0</v>
      </c>
      <c r="AQ101" s="500">
        <f t="shared" si="67"/>
        <v>1671293</v>
      </c>
      <c r="AX101" s="663">
        <f t="shared" si="68"/>
        <v>1671293</v>
      </c>
    </row>
    <row r="102" spans="1:50" ht="12.75">
      <c r="A102" s="278" t="s">
        <v>537</v>
      </c>
      <c r="E102" s="500">
        <f t="shared" si="50"/>
        <v>45080</v>
      </c>
      <c r="G102" s="500">
        <f t="shared" si="51"/>
        <v>1</v>
      </c>
      <c r="I102" s="500">
        <f t="shared" si="52"/>
        <v>1</v>
      </c>
      <c r="K102" s="500">
        <f t="shared" si="53"/>
        <v>0</v>
      </c>
      <c r="M102" s="500">
        <f t="shared" si="54"/>
        <v>0</v>
      </c>
      <c r="O102" s="500">
        <f t="shared" si="55"/>
        <v>0</v>
      </c>
      <c r="Q102" s="500">
        <f t="shared" si="56"/>
        <v>1</v>
      </c>
      <c r="S102" s="500">
        <f t="shared" si="57"/>
        <v>0</v>
      </c>
      <c r="U102" s="500">
        <v>0</v>
      </c>
      <c r="W102" s="500">
        <f t="shared" si="58"/>
        <v>1019244</v>
      </c>
      <c r="Y102" s="500">
        <f t="shared" si="59"/>
        <v>179045</v>
      </c>
      <c r="AA102" s="500">
        <v>0</v>
      </c>
      <c r="AC102" s="500">
        <f t="shared" si="60"/>
        <v>0</v>
      </c>
      <c r="AE102" s="500">
        <f t="shared" si="61"/>
        <v>0</v>
      </c>
      <c r="AG102" s="500">
        <f t="shared" si="62"/>
        <v>0</v>
      </c>
      <c r="AI102" s="500">
        <f t="shared" si="63"/>
        <v>0</v>
      </c>
      <c r="AK102" s="500">
        <f t="shared" si="64"/>
        <v>0</v>
      </c>
      <c r="AM102" s="500">
        <f t="shared" si="65"/>
        <v>0</v>
      </c>
      <c r="AO102" s="500">
        <f t="shared" si="66"/>
        <v>0</v>
      </c>
      <c r="AQ102" s="500">
        <f t="shared" si="67"/>
        <v>1243372</v>
      </c>
      <c r="AX102" s="663">
        <f t="shared" si="68"/>
        <v>1243372</v>
      </c>
    </row>
    <row r="103" spans="1:50" ht="12.75">
      <c r="A103" s="278" t="s">
        <v>538</v>
      </c>
      <c r="E103" s="500">
        <f t="shared" si="50"/>
        <v>29433</v>
      </c>
      <c r="G103" s="500">
        <f t="shared" si="51"/>
        <v>1380</v>
      </c>
      <c r="I103" s="500">
        <f t="shared" si="52"/>
        <v>22159</v>
      </c>
      <c r="K103" s="500">
        <f t="shared" si="53"/>
        <v>24</v>
      </c>
      <c r="M103" s="500">
        <f t="shared" si="54"/>
        <v>0</v>
      </c>
      <c r="O103" s="500">
        <f t="shared" si="55"/>
        <v>1</v>
      </c>
      <c r="Q103" s="500">
        <f t="shared" si="56"/>
        <v>0</v>
      </c>
      <c r="S103" s="500">
        <f t="shared" si="57"/>
        <v>0</v>
      </c>
      <c r="U103" s="500">
        <v>0</v>
      </c>
      <c r="W103" s="500">
        <f t="shared" si="58"/>
        <v>1208733</v>
      </c>
      <c r="Y103" s="500">
        <f t="shared" si="59"/>
        <v>46346</v>
      </c>
      <c r="AA103" s="500">
        <v>0</v>
      </c>
      <c r="AC103" s="500">
        <f t="shared" si="60"/>
        <v>0</v>
      </c>
      <c r="AE103" s="500">
        <f t="shared" si="61"/>
        <v>0</v>
      </c>
      <c r="AG103" s="500">
        <f t="shared" si="62"/>
        <v>0</v>
      </c>
      <c r="AI103" s="500">
        <f t="shared" si="63"/>
        <v>0</v>
      </c>
      <c r="AK103" s="500">
        <f t="shared" si="64"/>
        <v>0</v>
      </c>
      <c r="AM103" s="500">
        <f t="shared" si="65"/>
        <v>0</v>
      </c>
      <c r="AO103" s="500">
        <f t="shared" si="66"/>
        <v>0</v>
      </c>
      <c r="AQ103" s="500">
        <f t="shared" si="67"/>
        <v>1308076</v>
      </c>
      <c r="AX103" s="663">
        <f t="shared" si="68"/>
        <v>1308076</v>
      </c>
    </row>
    <row r="104" spans="1:50" ht="12.75">
      <c r="A104" s="278" t="s">
        <v>539</v>
      </c>
      <c r="E104" s="500">
        <f t="shared" si="50"/>
        <v>1450</v>
      </c>
      <c r="G104" s="500">
        <f t="shared" si="51"/>
        <v>0</v>
      </c>
      <c r="I104" s="500">
        <f t="shared" si="52"/>
        <v>411932</v>
      </c>
      <c r="K104" s="500">
        <f t="shared" si="53"/>
        <v>0</v>
      </c>
      <c r="M104" s="500">
        <f t="shared" si="54"/>
        <v>0</v>
      </c>
      <c r="O104" s="500">
        <f t="shared" si="55"/>
        <v>0</v>
      </c>
      <c r="Q104" s="500">
        <f t="shared" si="56"/>
        <v>0</v>
      </c>
      <c r="S104" s="500">
        <f t="shared" si="57"/>
        <v>0</v>
      </c>
      <c r="U104" s="500">
        <v>0</v>
      </c>
      <c r="W104" s="500">
        <f t="shared" si="58"/>
        <v>1314122</v>
      </c>
      <c r="Y104" s="500">
        <f t="shared" si="59"/>
        <v>159380</v>
      </c>
      <c r="AA104" s="500">
        <v>0</v>
      </c>
      <c r="AC104" s="500">
        <f t="shared" si="60"/>
        <v>0</v>
      </c>
      <c r="AE104" s="500">
        <f t="shared" si="61"/>
        <v>0</v>
      </c>
      <c r="AG104" s="500">
        <f t="shared" si="62"/>
        <v>0</v>
      </c>
      <c r="AI104" s="500">
        <f t="shared" si="63"/>
        <v>0</v>
      </c>
      <c r="AK104" s="500">
        <f t="shared" si="64"/>
        <v>0</v>
      </c>
      <c r="AM104" s="500">
        <f t="shared" si="65"/>
        <v>0</v>
      </c>
      <c r="AO104" s="500">
        <f t="shared" si="66"/>
        <v>0</v>
      </c>
      <c r="AQ104" s="500">
        <f t="shared" si="67"/>
        <v>1886884</v>
      </c>
      <c r="AX104" s="663">
        <f t="shared" si="68"/>
        <v>1886884</v>
      </c>
    </row>
    <row r="105" spans="5:50" ht="13.5" thickBot="1">
      <c r="E105" s="660">
        <f>SUM(E97:E104)</f>
        <v>1873677</v>
      </c>
      <c r="G105" s="660">
        <f>SUM(G97:G104)</f>
        <v>361414</v>
      </c>
      <c r="I105" s="660">
        <f>SUM(I97:I104)</f>
        <v>4468639</v>
      </c>
      <c r="K105" s="660">
        <f>SUM(K97:K104)</f>
        <v>24</v>
      </c>
      <c r="M105" s="660">
        <f>SUM(M97:M104)</f>
        <v>1838422</v>
      </c>
      <c r="O105" s="660">
        <f>SUM(O97:O104)</f>
        <v>1</v>
      </c>
      <c r="Q105" s="660">
        <f>SUM(Q97:Q104)</f>
        <v>1</v>
      </c>
      <c r="S105" s="660">
        <f>SUM(S97:S104)</f>
        <v>0</v>
      </c>
      <c r="U105" s="660">
        <f>SUM(U97:U104)</f>
        <v>0</v>
      </c>
      <c r="W105" s="660">
        <f>SUM(W97:W104)</f>
        <v>27408027</v>
      </c>
      <c r="Y105" s="660">
        <f>SUM(Y97:Y104)</f>
        <v>14501293</v>
      </c>
      <c r="AA105" s="660">
        <f>SUM(AA97:AA104)</f>
        <v>0</v>
      </c>
      <c r="AC105" s="660">
        <f>SUM(AC97:AC104)</f>
        <v>0</v>
      </c>
      <c r="AE105" s="660">
        <f>SUM(AE97:AE104)</f>
        <v>0</v>
      </c>
      <c r="AG105" s="660">
        <f>SUM(AG97:AG104)</f>
        <v>0</v>
      </c>
      <c r="AI105" s="660">
        <f>SUM(AI97:AI104)</f>
        <v>0</v>
      </c>
      <c r="AK105" s="660">
        <f>SUM(AK97:AK104)</f>
        <v>0</v>
      </c>
      <c r="AM105" s="660">
        <f>SUM(AM97:AM104)</f>
        <v>0</v>
      </c>
      <c r="AO105" s="660">
        <f>SUM(AO97:AO104)</f>
        <v>0</v>
      </c>
      <c r="AQ105" s="660">
        <f>SUM(AQ97:AQ104)</f>
        <v>50451498</v>
      </c>
      <c r="AX105" s="661">
        <f>SUM(AX97:AX104)</f>
        <v>47406980</v>
      </c>
    </row>
    <row r="106" spans="5:50" ht="11.25" customHeight="1">
      <c r="E106" s="500"/>
      <c r="G106" s="500"/>
      <c r="I106" s="500"/>
      <c r="K106" s="500"/>
      <c r="M106" s="500"/>
      <c r="O106" s="500"/>
      <c r="Q106" s="500"/>
      <c r="S106" s="500"/>
      <c r="U106" s="500"/>
      <c r="W106" s="500"/>
      <c r="Y106" s="500"/>
      <c r="AA106" s="500"/>
      <c r="AC106" s="500"/>
      <c r="AE106" s="500"/>
      <c r="AG106" s="500"/>
      <c r="AI106" s="500"/>
      <c r="AK106" s="500"/>
      <c r="AM106" s="500"/>
      <c r="AO106" s="500"/>
      <c r="AQ106" s="500"/>
      <c r="AX106" s="658"/>
    </row>
    <row r="107" spans="1:50" ht="12.75">
      <c r="A107" s="290" t="s">
        <v>544</v>
      </c>
      <c r="E107" s="500"/>
      <c r="G107" s="500"/>
      <c r="I107" s="500"/>
      <c r="K107" s="500"/>
      <c r="M107" s="500"/>
      <c r="O107" s="500"/>
      <c r="Q107" s="500"/>
      <c r="S107" s="500"/>
      <c r="U107" s="500"/>
      <c r="W107" s="500"/>
      <c r="Y107" s="500"/>
      <c r="AA107" s="500"/>
      <c r="AC107" s="500"/>
      <c r="AE107" s="500"/>
      <c r="AG107" s="500"/>
      <c r="AI107" s="500"/>
      <c r="AK107" s="500"/>
      <c r="AM107" s="500"/>
      <c r="AO107" s="500"/>
      <c r="AQ107" s="500"/>
      <c r="AX107" s="658"/>
    </row>
    <row r="108" spans="5:50" ht="12.75" customHeight="1">
      <c r="E108" s="500"/>
      <c r="G108" s="500"/>
      <c r="I108" s="500"/>
      <c r="K108" s="500"/>
      <c r="M108" s="500"/>
      <c r="O108" s="500"/>
      <c r="Q108" s="500"/>
      <c r="S108" s="500"/>
      <c r="U108" s="500"/>
      <c r="W108" s="500"/>
      <c r="Y108" s="500"/>
      <c r="AA108" s="500"/>
      <c r="AC108" s="500"/>
      <c r="AE108" s="500"/>
      <c r="AG108" s="500"/>
      <c r="AI108" s="500"/>
      <c r="AK108" s="500"/>
      <c r="AM108" s="500"/>
      <c r="AO108" s="500"/>
      <c r="AQ108" s="500"/>
      <c r="AX108" s="658"/>
    </row>
    <row r="109" spans="1:50" ht="12.75" customHeight="1">
      <c r="A109" s="278" t="s">
        <v>552</v>
      </c>
      <c r="E109" s="500">
        <f aca="true" t="shared" si="69" ref="E109:E116">E9-E53</f>
        <v>0</v>
      </c>
      <c r="G109" s="500">
        <f aca="true" t="shared" si="70" ref="G109:G116">G9-G53</f>
        <v>0</v>
      </c>
      <c r="I109" s="500">
        <f aca="true" t="shared" si="71" ref="I109:I116">I9-I53</f>
        <v>2849066</v>
      </c>
      <c r="K109" s="500">
        <f aca="true" t="shared" si="72" ref="K109:K116">K9-K53</f>
        <v>0</v>
      </c>
      <c r="M109" s="500">
        <f aca="true" t="shared" si="73" ref="M109:M116">M9-M53</f>
        <v>0</v>
      </c>
      <c r="O109" s="500">
        <f>O9-O53</f>
        <v>0</v>
      </c>
      <c r="Q109" s="500">
        <f aca="true" t="shared" si="74" ref="Q109:Q116">Q9-Q53</f>
        <v>0</v>
      </c>
      <c r="S109" s="500">
        <f aca="true" t="shared" si="75" ref="S109:S116">S9-S53</f>
        <v>0</v>
      </c>
      <c r="U109" s="500">
        <f aca="true" t="shared" si="76" ref="U109:U116">U9-U53</f>
        <v>0</v>
      </c>
      <c r="W109" s="500">
        <f aca="true" t="shared" si="77" ref="W109:W116">W9-W53</f>
        <v>0</v>
      </c>
      <c r="Y109" s="500">
        <f aca="true" t="shared" si="78" ref="Y109:Y116">Y9-Y53</f>
        <v>0</v>
      </c>
      <c r="AA109" s="500">
        <f aca="true" t="shared" si="79" ref="AA109:AA116">AA9-AA53</f>
        <v>0</v>
      </c>
      <c r="AC109" s="500">
        <f aca="true" t="shared" si="80" ref="AC109:AC116">AC9-AC53</f>
        <v>0</v>
      </c>
      <c r="AE109" s="500">
        <f aca="true" t="shared" si="81" ref="AE109:AE116">AE9-AE53</f>
        <v>0</v>
      </c>
      <c r="AG109" s="500">
        <f aca="true" t="shared" si="82" ref="AG109:AG116">AG9-AG53</f>
        <v>0</v>
      </c>
      <c r="AI109" s="500">
        <f aca="true" t="shared" si="83" ref="AI109:AI116">AI9-AI53</f>
        <v>0</v>
      </c>
      <c r="AK109" s="500">
        <f aca="true" t="shared" si="84" ref="AK109:AK116">AK9-AK53</f>
        <v>0</v>
      </c>
      <c r="AM109" s="500">
        <f aca="true" t="shared" si="85" ref="AM109:AM116">AM9-AM53</f>
        <v>0</v>
      </c>
      <c r="AO109" s="500">
        <f aca="true" t="shared" si="86" ref="AO109:AO116">AO9-AO53</f>
        <v>0</v>
      </c>
      <c r="AQ109" s="500">
        <f aca="true" t="shared" si="87" ref="AQ109:AQ116">SUM(E109:AO109)</f>
        <v>2849066</v>
      </c>
      <c r="AX109" s="663">
        <f aca="true" t="shared" si="88" ref="AX109:AX116">AQ109+AT109-AU109</f>
        <v>2849066</v>
      </c>
    </row>
    <row r="110" spans="1:50" ht="12.75">
      <c r="A110" s="278" t="s">
        <v>329</v>
      </c>
      <c r="E110" s="500">
        <f t="shared" si="69"/>
        <v>765621</v>
      </c>
      <c r="G110" s="500">
        <f t="shared" si="70"/>
        <v>250000</v>
      </c>
      <c r="I110" s="500">
        <f t="shared" si="71"/>
        <v>0</v>
      </c>
      <c r="K110" s="500">
        <f t="shared" si="72"/>
        <v>0</v>
      </c>
      <c r="M110" s="500">
        <f t="shared" si="73"/>
        <v>738907</v>
      </c>
      <c r="O110" s="500">
        <f aca="true" t="shared" si="89" ref="O110:O116">O10-O54</f>
        <v>0</v>
      </c>
      <c r="Q110" s="500">
        <f t="shared" si="74"/>
        <v>0</v>
      </c>
      <c r="S110" s="500">
        <f t="shared" si="75"/>
        <v>0</v>
      </c>
      <c r="U110" s="500">
        <f t="shared" si="76"/>
        <v>0</v>
      </c>
      <c r="W110" s="500">
        <f t="shared" si="77"/>
        <v>1860000</v>
      </c>
      <c r="Y110" s="500">
        <f t="shared" si="78"/>
        <v>2820000</v>
      </c>
      <c r="AA110" s="500">
        <f t="shared" si="79"/>
        <v>0</v>
      </c>
      <c r="AC110" s="500">
        <f t="shared" si="80"/>
        <v>0</v>
      </c>
      <c r="AE110" s="500">
        <f t="shared" si="81"/>
        <v>0</v>
      </c>
      <c r="AG110" s="500">
        <f t="shared" si="82"/>
        <v>0</v>
      </c>
      <c r="AI110" s="500">
        <f t="shared" si="83"/>
        <v>0</v>
      </c>
      <c r="AK110" s="500">
        <f t="shared" si="84"/>
        <v>0</v>
      </c>
      <c r="AM110" s="500">
        <f t="shared" si="85"/>
        <v>0</v>
      </c>
      <c r="AO110" s="500">
        <f t="shared" si="86"/>
        <v>0</v>
      </c>
      <c r="AQ110" s="500">
        <f t="shared" si="87"/>
        <v>6434528</v>
      </c>
      <c r="AU110" s="286">
        <v>1200000</v>
      </c>
      <c r="AV110" s="710" t="s">
        <v>1</v>
      </c>
      <c r="AX110" s="663">
        <f t="shared" si="88"/>
        <v>5234528</v>
      </c>
    </row>
    <row r="111" spans="1:50" ht="12.75">
      <c r="A111" s="278" t="s">
        <v>330</v>
      </c>
      <c r="E111" s="500">
        <f t="shared" si="69"/>
        <v>1025907</v>
      </c>
      <c r="G111" s="500">
        <f t="shared" si="70"/>
        <v>102491</v>
      </c>
      <c r="I111" s="500">
        <f t="shared" si="71"/>
        <v>1221622</v>
      </c>
      <c r="K111" s="500">
        <f t="shared" si="72"/>
        <v>0</v>
      </c>
      <c r="M111" s="500">
        <f t="shared" si="73"/>
        <v>1164964</v>
      </c>
      <c r="O111" s="500">
        <f t="shared" si="89"/>
        <v>0</v>
      </c>
      <c r="Q111" s="500">
        <f t="shared" si="74"/>
        <v>0</v>
      </c>
      <c r="S111" s="500">
        <f t="shared" si="75"/>
        <v>0</v>
      </c>
      <c r="U111" s="500">
        <f t="shared" si="76"/>
        <v>0</v>
      </c>
      <c r="W111" s="500">
        <f t="shared" si="77"/>
        <v>2372193</v>
      </c>
      <c r="Y111" s="500">
        <f t="shared" si="78"/>
        <v>6477781</v>
      </c>
      <c r="AA111" s="500">
        <f t="shared" si="79"/>
        <v>0</v>
      </c>
      <c r="AC111" s="500">
        <f t="shared" si="80"/>
        <v>0</v>
      </c>
      <c r="AE111" s="500">
        <f t="shared" si="81"/>
        <v>0</v>
      </c>
      <c r="AG111" s="500">
        <f t="shared" si="82"/>
        <v>0</v>
      </c>
      <c r="AI111" s="500">
        <f t="shared" si="83"/>
        <v>0</v>
      </c>
      <c r="AK111" s="500">
        <f t="shared" si="84"/>
        <v>0</v>
      </c>
      <c r="AM111" s="500">
        <f t="shared" si="85"/>
        <v>0</v>
      </c>
      <c r="AO111" s="500">
        <f t="shared" si="86"/>
        <v>0</v>
      </c>
      <c r="AQ111" s="500">
        <f t="shared" si="87"/>
        <v>12364958</v>
      </c>
      <c r="AU111" s="286">
        <v>1844518</v>
      </c>
      <c r="AV111" s="710"/>
      <c r="AX111" s="663">
        <f t="shared" si="88"/>
        <v>10520440</v>
      </c>
    </row>
    <row r="112" spans="1:50" ht="12.75">
      <c r="A112" s="278" t="s">
        <v>331</v>
      </c>
      <c r="E112" s="500">
        <f t="shared" si="69"/>
        <v>0</v>
      </c>
      <c r="G112" s="500">
        <f t="shared" si="70"/>
        <v>0</v>
      </c>
      <c r="I112" s="500">
        <f t="shared" si="71"/>
        <v>0</v>
      </c>
      <c r="K112" s="500">
        <f t="shared" si="72"/>
        <v>0</v>
      </c>
      <c r="M112" s="500">
        <f t="shared" si="73"/>
        <v>0</v>
      </c>
      <c r="O112" s="500">
        <f t="shared" si="89"/>
        <v>0</v>
      </c>
      <c r="Q112" s="500">
        <f t="shared" si="74"/>
        <v>0</v>
      </c>
      <c r="S112" s="500">
        <f t="shared" si="75"/>
        <v>82787</v>
      </c>
      <c r="U112" s="500">
        <f t="shared" si="76"/>
        <v>0</v>
      </c>
      <c r="W112" s="500">
        <f t="shared" si="77"/>
        <v>23170768</v>
      </c>
      <c r="Y112" s="500">
        <f t="shared" si="78"/>
        <v>5575321</v>
      </c>
      <c r="AA112" s="500">
        <f t="shared" si="79"/>
        <v>0</v>
      </c>
      <c r="AC112" s="500">
        <f t="shared" si="80"/>
        <v>0</v>
      </c>
      <c r="AE112" s="500">
        <f t="shared" si="81"/>
        <v>0</v>
      </c>
      <c r="AG112" s="500">
        <f t="shared" si="82"/>
        <v>0</v>
      </c>
      <c r="AI112" s="500">
        <f t="shared" si="83"/>
        <v>0</v>
      </c>
      <c r="AK112" s="500">
        <f t="shared" si="84"/>
        <v>0</v>
      </c>
      <c r="AM112" s="500">
        <f t="shared" si="85"/>
        <v>0</v>
      </c>
      <c r="AO112" s="500">
        <f t="shared" si="86"/>
        <v>0</v>
      </c>
      <c r="AQ112" s="500">
        <f t="shared" si="87"/>
        <v>28828876</v>
      </c>
      <c r="AX112" s="663">
        <f t="shared" si="88"/>
        <v>28828876</v>
      </c>
    </row>
    <row r="113" spans="1:50" ht="12.75">
      <c r="A113" s="278" t="s">
        <v>332</v>
      </c>
      <c r="E113" s="500">
        <f t="shared" si="69"/>
        <v>22827</v>
      </c>
      <c r="G113" s="500">
        <f t="shared" si="70"/>
        <v>0</v>
      </c>
      <c r="I113" s="500">
        <f t="shared" si="71"/>
        <v>34323</v>
      </c>
      <c r="K113" s="500">
        <f t="shared" si="72"/>
        <v>0</v>
      </c>
      <c r="M113" s="500">
        <f t="shared" si="73"/>
        <v>0</v>
      </c>
      <c r="O113" s="500">
        <f t="shared" si="89"/>
        <v>0</v>
      </c>
      <c r="Q113" s="500">
        <f t="shared" si="74"/>
        <v>0</v>
      </c>
      <c r="S113" s="500">
        <f t="shared" si="75"/>
        <v>7652</v>
      </c>
      <c r="U113" s="500">
        <f t="shared" si="76"/>
        <v>0</v>
      </c>
      <c r="W113" s="500">
        <f t="shared" si="77"/>
        <v>1328595</v>
      </c>
      <c r="Y113" s="500">
        <f t="shared" si="78"/>
        <v>295487</v>
      </c>
      <c r="AA113" s="500">
        <f t="shared" si="79"/>
        <v>0</v>
      </c>
      <c r="AC113" s="500">
        <f t="shared" si="80"/>
        <v>0</v>
      </c>
      <c r="AE113" s="500">
        <f t="shared" si="81"/>
        <v>0</v>
      </c>
      <c r="AG113" s="500">
        <f t="shared" si="82"/>
        <v>0</v>
      </c>
      <c r="AI113" s="500">
        <f t="shared" si="83"/>
        <v>0</v>
      </c>
      <c r="AK113" s="500">
        <f t="shared" si="84"/>
        <v>0</v>
      </c>
      <c r="AM113" s="500">
        <f t="shared" si="85"/>
        <v>0</v>
      </c>
      <c r="AO113" s="500">
        <f t="shared" si="86"/>
        <v>0</v>
      </c>
      <c r="AQ113" s="500">
        <f t="shared" si="87"/>
        <v>1688884</v>
      </c>
      <c r="AX113" s="663">
        <f t="shared" si="88"/>
        <v>1688884</v>
      </c>
    </row>
    <row r="114" spans="1:50" ht="12.75">
      <c r="A114" s="278" t="s">
        <v>537</v>
      </c>
      <c r="E114" s="500">
        <f t="shared" si="69"/>
        <v>56840</v>
      </c>
      <c r="G114" s="500">
        <f t="shared" si="70"/>
        <v>1</v>
      </c>
      <c r="I114" s="500">
        <f t="shared" si="71"/>
        <v>1</v>
      </c>
      <c r="K114" s="500">
        <f t="shared" si="72"/>
        <v>1</v>
      </c>
      <c r="M114" s="500">
        <f t="shared" si="73"/>
        <v>0</v>
      </c>
      <c r="O114" s="500">
        <f t="shared" si="89"/>
        <v>0</v>
      </c>
      <c r="Q114" s="500">
        <f t="shared" si="74"/>
        <v>2</v>
      </c>
      <c r="S114" s="500">
        <f t="shared" si="75"/>
        <v>0</v>
      </c>
      <c r="U114" s="500">
        <f t="shared" si="76"/>
        <v>0</v>
      </c>
      <c r="W114" s="500">
        <f t="shared" si="77"/>
        <v>1568437</v>
      </c>
      <c r="Y114" s="500">
        <f t="shared" si="78"/>
        <v>254418</v>
      </c>
      <c r="AA114" s="500">
        <f t="shared" si="79"/>
        <v>0</v>
      </c>
      <c r="AC114" s="500">
        <f t="shared" si="80"/>
        <v>0</v>
      </c>
      <c r="AE114" s="500">
        <f t="shared" si="81"/>
        <v>0</v>
      </c>
      <c r="AG114" s="500">
        <f t="shared" si="82"/>
        <v>0</v>
      </c>
      <c r="AI114" s="500">
        <f t="shared" si="83"/>
        <v>0</v>
      </c>
      <c r="AK114" s="500">
        <f t="shared" si="84"/>
        <v>0</v>
      </c>
      <c r="AM114" s="500">
        <f t="shared" si="85"/>
        <v>0</v>
      </c>
      <c r="AO114" s="500">
        <f t="shared" si="86"/>
        <v>0</v>
      </c>
      <c r="AQ114" s="500">
        <f>SUM(E114:AO114)</f>
        <v>1879700</v>
      </c>
      <c r="AX114" s="663">
        <f t="shared" si="88"/>
        <v>1879700</v>
      </c>
    </row>
    <row r="115" spans="1:50" ht="12.75">
      <c r="A115" s="278" t="s">
        <v>538</v>
      </c>
      <c r="E115" s="500">
        <f t="shared" si="69"/>
        <v>21198</v>
      </c>
      <c r="G115" s="500">
        <f t="shared" si="70"/>
        <v>2658</v>
      </c>
      <c r="I115" s="500">
        <f t="shared" si="71"/>
        <v>41371</v>
      </c>
      <c r="K115" s="500">
        <f t="shared" si="72"/>
        <v>659</v>
      </c>
      <c r="M115" s="500">
        <f t="shared" si="73"/>
        <v>0</v>
      </c>
      <c r="O115" s="500">
        <f t="shared" si="89"/>
        <v>1</v>
      </c>
      <c r="Q115" s="500">
        <f t="shared" si="74"/>
        <v>0</v>
      </c>
      <c r="S115" s="500">
        <f t="shared" si="75"/>
        <v>0</v>
      </c>
      <c r="U115" s="500">
        <f t="shared" si="76"/>
        <v>0</v>
      </c>
      <c r="W115" s="500">
        <f t="shared" si="77"/>
        <v>1254506</v>
      </c>
      <c r="Y115" s="500">
        <f t="shared" si="78"/>
        <v>54669</v>
      </c>
      <c r="AA115" s="500">
        <f t="shared" si="79"/>
        <v>0</v>
      </c>
      <c r="AC115" s="500">
        <f t="shared" si="80"/>
        <v>0</v>
      </c>
      <c r="AE115" s="500">
        <f t="shared" si="81"/>
        <v>0</v>
      </c>
      <c r="AG115" s="500">
        <f t="shared" si="82"/>
        <v>0</v>
      </c>
      <c r="AI115" s="500">
        <f t="shared" si="83"/>
        <v>0</v>
      </c>
      <c r="AK115" s="500">
        <f t="shared" si="84"/>
        <v>0</v>
      </c>
      <c r="AM115" s="500">
        <f t="shared" si="85"/>
        <v>0</v>
      </c>
      <c r="AO115" s="500">
        <f t="shared" si="86"/>
        <v>0</v>
      </c>
      <c r="AQ115" s="500">
        <f t="shared" si="87"/>
        <v>1375062</v>
      </c>
      <c r="AX115" s="663">
        <f t="shared" si="88"/>
        <v>1375062</v>
      </c>
    </row>
    <row r="116" spans="1:50" ht="12.75">
      <c r="A116" s="278" t="s">
        <v>539</v>
      </c>
      <c r="E116" s="500">
        <f t="shared" si="69"/>
        <v>0</v>
      </c>
      <c r="G116" s="500">
        <f t="shared" si="70"/>
        <v>0</v>
      </c>
      <c r="I116" s="500">
        <f t="shared" si="71"/>
        <v>518758</v>
      </c>
      <c r="K116" s="500">
        <f t="shared" si="72"/>
        <v>0</v>
      </c>
      <c r="M116" s="500">
        <f t="shared" si="73"/>
        <v>0</v>
      </c>
      <c r="O116" s="500">
        <f t="shared" si="89"/>
        <v>0</v>
      </c>
      <c r="Q116" s="500">
        <f t="shared" si="74"/>
        <v>0</v>
      </c>
      <c r="S116" s="500">
        <f t="shared" si="75"/>
        <v>9338</v>
      </c>
      <c r="U116" s="500">
        <f t="shared" si="76"/>
        <v>0</v>
      </c>
      <c r="W116" s="500">
        <f t="shared" si="77"/>
        <v>670202</v>
      </c>
      <c r="Y116" s="500">
        <f t="shared" si="78"/>
        <v>185322</v>
      </c>
      <c r="AA116" s="500">
        <f t="shared" si="79"/>
        <v>0</v>
      </c>
      <c r="AC116" s="500">
        <f t="shared" si="80"/>
        <v>0</v>
      </c>
      <c r="AE116" s="500">
        <f t="shared" si="81"/>
        <v>0</v>
      </c>
      <c r="AG116" s="500">
        <f t="shared" si="82"/>
        <v>0</v>
      </c>
      <c r="AI116" s="500">
        <f t="shared" si="83"/>
        <v>0</v>
      </c>
      <c r="AK116" s="500">
        <f t="shared" si="84"/>
        <v>0</v>
      </c>
      <c r="AM116" s="500">
        <f t="shared" si="85"/>
        <v>0</v>
      </c>
      <c r="AO116" s="500">
        <f t="shared" si="86"/>
        <v>0</v>
      </c>
      <c r="AQ116" s="500">
        <f t="shared" si="87"/>
        <v>1383620</v>
      </c>
      <c r="AX116" s="663">
        <f t="shared" si="88"/>
        <v>1383620</v>
      </c>
    </row>
    <row r="117" spans="5:50" ht="13.5" thickBot="1">
      <c r="E117" s="660">
        <f>SUM(E109:E116)</f>
        <v>1892393</v>
      </c>
      <c r="G117" s="660">
        <f>SUM(G109:G116)</f>
        <v>355150</v>
      </c>
      <c r="I117" s="660">
        <f>SUM(I109:I116)</f>
        <v>4665141</v>
      </c>
      <c r="K117" s="660">
        <f>SUM(K109:K116)</f>
        <v>660</v>
      </c>
      <c r="M117" s="660">
        <f>SUM(M109:M116)</f>
        <v>1903871</v>
      </c>
      <c r="O117" s="660">
        <f>SUM(O109:O116)</f>
        <v>1</v>
      </c>
      <c r="Q117" s="660">
        <f>SUM(Q109:Q116)</f>
        <v>2</v>
      </c>
      <c r="S117" s="660">
        <f>SUM(S109:S116)</f>
        <v>99777</v>
      </c>
      <c r="U117" s="660">
        <f>SUM(U109:U116)</f>
        <v>0</v>
      </c>
      <c r="W117" s="660">
        <f>SUM(W109:W116)</f>
        <v>32224701</v>
      </c>
      <c r="Y117" s="660">
        <f>SUM(Y109:Y116)</f>
        <v>15662998</v>
      </c>
      <c r="AA117" s="660">
        <f>SUM(AA109:AA116)</f>
        <v>0</v>
      </c>
      <c r="AC117" s="660">
        <f>SUM(AC109:AC116)</f>
        <v>0</v>
      </c>
      <c r="AE117" s="660">
        <f>SUM(AE109:AE116)</f>
        <v>0</v>
      </c>
      <c r="AG117" s="660">
        <f>SUM(AG109:AG116)</f>
        <v>0</v>
      </c>
      <c r="AI117" s="660">
        <f>SUM(AI109:AI116)</f>
        <v>0</v>
      </c>
      <c r="AK117" s="660">
        <f>SUM(AK109:AK116)</f>
        <v>0</v>
      </c>
      <c r="AM117" s="660">
        <f>SUM(AM109:AM116)</f>
        <v>0</v>
      </c>
      <c r="AO117" s="660">
        <f>SUM(AO109:AO116)</f>
        <v>0</v>
      </c>
      <c r="AQ117" s="660">
        <f>SUM(AQ109:AQ116)</f>
        <v>56804694</v>
      </c>
      <c r="AX117" s="661">
        <f>SUM(AX109:AX116)</f>
        <v>53760176</v>
      </c>
    </row>
    <row r="119" ht="9.75" customHeight="1"/>
    <row r="120" ht="12.75">
      <c r="A120" s="290" t="s">
        <v>545</v>
      </c>
    </row>
    <row r="121" ht="7.5" customHeight="1">
      <c r="A121" s="290"/>
    </row>
    <row r="122" ht="12.75">
      <c r="A122" s="290" t="s">
        <v>546</v>
      </c>
    </row>
    <row r="123" ht="6" customHeight="1"/>
    <row r="124" ht="12.75">
      <c r="A124" s="290" t="s">
        <v>547</v>
      </c>
    </row>
    <row r="125" spans="1:50" ht="12.75">
      <c r="A125" s="278" t="s">
        <v>329</v>
      </c>
      <c r="E125" s="500">
        <v>0</v>
      </c>
      <c r="G125" s="500">
        <v>0</v>
      </c>
      <c r="I125" s="500">
        <v>0</v>
      </c>
      <c r="K125" s="500">
        <v>0</v>
      </c>
      <c r="M125" s="500">
        <v>358869</v>
      </c>
      <c r="O125" s="500">
        <v>0</v>
      </c>
      <c r="Q125" s="500">
        <v>0</v>
      </c>
      <c r="S125" s="500">
        <v>0</v>
      </c>
      <c r="U125" s="500">
        <v>0</v>
      </c>
      <c r="W125" s="500">
        <v>0</v>
      </c>
      <c r="Y125" s="500">
        <f>Y147</f>
        <v>293091</v>
      </c>
      <c r="AA125" s="500">
        <v>0</v>
      </c>
      <c r="AC125" s="500">
        <v>0</v>
      </c>
      <c r="AE125" s="500">
        <v>0</v>
      </c>
      <c r="AG125" s="500">
        <v>0</v>
      </c>
      <c r="AI125" s="500">
        <v>0</v>
      </c>
      <c r="AK125" s="500">
        <v>0</v>
      </c>
      <c r="AM125" s="500">
        <v>0</v>
      </c>
      <c r="AO125" s="500">
        <v>0</v>
      </c>
      <c r="AQ125" s="500">
        <f>SUM(E125:AO125)</f>
        <v>651960</v>
      </c>
      <c r="AX125" s="658">
        <f>AQ125+AT125-AU125</f>
        <v>651960</v>
      </c>
    </row>
    <row r="126" spans="1:50" ht="12.75">
      <c r="A126" s="278" t="s">
        <v>330</v>
      </c>
      <c r="E126" s="500">
        <v>0</v>
      </c>
      <c r="G126" s="500">
        <v>0</v>
      </c>
      <c r="I126" s="500">
        <v>0</v>
      </c>
      <c r="K126" s="500">
        <v>0</v>
      </c>
      <c r="M126" s="500">
        <v>1200270</v>
      </c>
      <c r="O126" s="500">
        <v>0</v>
      </c>
      <c r="Q126" s="500">
        <v>0</v>
      </c>
      <c r="S126" s="500">
        <v>0</v>
      </c>
      <c r="U126" s="500">
        <v>0</v>
      </c>
      <c r="W126" s="500">
        <v>0</v>
      </c>
      <c r="Y126" s="500">
        <v>1852824</v>
      </c>
      <c r="AA126" s="500">
        <v>0</v>
      </c>
      <c r="AC126" s="500">
        <v>0</v>
      </c>
      <c r="AE126" s="500">
        <v>0</v>
      </c>
      <c r="AG126" s="500">
        <v>0</v>
      </c>
      <c r="AI126" s="500">
        <v>0</v>
      </c>
      <c r="AK126" s="500">
        <v>0</v>
      </c>
      <c r="AM126" s="500">
        <v>0</v>
      </c>
      <c r="AO126" s="500">
        <v>0</v>
      </c>
      <c r="AQ126" s="500">
        <f>SUM(E126:AO126)</f>
        <v>3053094</v>
      </c>
      <c r="AX126" s="658">
        <f>AQ126+AT126-AU126</f>
        <v>3053094</v>
      </c>
    </row>
    <row r="127" spans="5:50" ht="12.75">
      <c r="E127" s="500"/>
      <c r="G127" s="500"/>
      <c r="I127" s="500"/>
      <c r="K127" s="500"/>
      <c r="M127" s="500"/>
      <c r="O127" s="500"/>
      <c r="Q127" s="500"/>
      <c r="S127" s="500"/>
      <c r="U127" s="500"/>
      <c r="W127" s="500"/>
      <c r="Y127" s="500"/>
      <c r="AA127" s="500"/>
      <c r="AC127" s="500"/>
      <c r="AE127" s="500"/>
      <c r="AG127" s="500"/>
      <c r="AI127" s="500"/>
      <c r="AK127" s="500"/>
      <c r="AM127" s="500"/>
      <c r="AO127" s="500"/>
      <c r="AQ127" s="500"/>
      <c r="AX127" s="658"/>
    </row>
    <row r="128" spans="1:50" ht="12.75">
      <c r="A128" s="290" t="s">
        <v>548</v>
      </c>
      <c r="E128" s="500"/>
      <c r="G128" s="500"/>
      <c r="I128" s="500"/>
      <c r="K128" s="500"/>
      <c r="M128" s="500"/>
      <c r="O128" s="500"/>
      <c r="Q128" s="500"/>
      <c r="S128" s="500"/>
      <c r="U128" s="500"/>
      <c r="W128" s="500"/>
      <c r="Y128" s="500"/>
      <c r="AA128" s="500"/>
      <c r="AC128" s="500"/>
      <c r="AE128" s="500"/>
      <c r="AG128" s="500"/>
      <c r="AI128" s="500"/>
      <c r="AK128" s="500"/>
      <c r="AM128" s="500"/>
      <c r="AO128" s="500"/>
      <c r="AQ128" s="500"/>
      <c r="AX128" s="658"/>
    </row>
    <row r="129" spans="5:50" ht="6" customHeight="1">
      <c r="E129" s="500"/>
      <c r="G129" s="500"/>
      <c r="I129" s="500"/>
      <c r="K129" s="500"/>
      <c r="M129" s="500"/>
      <c r="O129" s="500"/>
      <c r="Q129" s="500"/>
      <c r="S129" s="500"/>
      <c r="U129" s="500"/>
      <c r="W129" s="500"/>
      <c r="Y129" s="500"/>
      <c r="AA129" s="500"/>
      <c r="AC129" s="500"/>
      <c r="AE129" s="500"/>
      <c r="AG129" s="500"/>
      <c r="AI129" s="500"/>
      <c r="AK129" s="500"/>
      <c r="AM129" s="500"/>
      <c r="AO129" s="500"/>
      <c r="AQ129" s="500"/>
      <c r="AX129" s="658"/>
    </row>
    <row r="130" spans="1:50" ht="12.75">
      <c r="A130" s="290" t="s">
        <v>547</v>
      </c>
      <c r="E130" s="500"/>
      <c r="G130" s="500"/>
      <c r="I130" s="500"/>
      <c r="K130" s="500"/>
      <c r="M130" s="500"/>
      <c r="O130" s="500"/>
      <c r="Q130" s="500"/>
      <c r="S130" s="500"/>
      <c r="U130" s="500"/>
      <c r="W130" s="500"/>
      <c r="Y130" s="500"/>
      <c r="AA130" s="500"/>
      <c r="AC130" s="500"/>
      <c r="AE130" s="500"/>
      <c r="AG130" s="500"/>
      <c r="AI130" s="500"/>
      <c r="AK130" s="500"/>
      <c r="AM130" s="500"/>
      <c r="AO130" s="500"/>
      <c r="AQ130" s="500"/>
      <c r="AX130" s="658"/>
    </row>
    <row r="131" spans="1:50" ht="12.75">
      <c r="A131" s="278" t="s">
        <v>329</v>
      </c>
      <c r="E131" s="500">
        <v>0</v>
      </c>
      <c r="G131" s="500">
        <v>0</v>
      </c>
      <c r="I131" s="500">
        <v>0</v>
      </c>
      <c r="K131" s="500">
        <v>0</v>
      </c>
      <c r="M131" s="500">
        <v>358869</v>
      </c>
      <c r="O131" s="500">
        <v>0</v>
      </c>
      <c r="Q131" s="500">
        <v>0</v>
      </c>
      <c r="S131" s="500">
        <v>0</v>
      </c>
      <c r="U131" s="500">
        <v>0</v>
      </c>
      <c r="W131" s="500">
        <v>0</v>
      </c>
      <c r="Y131" s="500">
        <v>293091</v>
      </c>
      <c r="AA131" s="500">
        <v>0</v>
      </c>
      <c r="AC131" s="500">
        <v>0</v>
      </c>
      <c r="AE131" s="500">
        <v>0</v>
      </c>
      <c r="AG131" s="500">
        <v>0</v>
      </c>
      <c r="AI131" s="500">
        <v>0</v>
      </c>
      <c r="AK131" s="500">
        <v>0</v>
      </c>
      <c r="AM131" s="500">
        <v>0</v>
      </c>
      <c r="AO131" s="500">
        <v>0</v>
      </c>
      <c r="AQ131" s="500">
        <f>SUM(E131:AO131)</f>
        <v>651960</v>
      </c>
      <c r="AX131" s="658">
        <f>AQ131+AT131-AU131</f>
        <v>651960</v>
      </c>
    </row>
    <row r="132" spans="1:50" ht="12.75">
      <c r="A132" s="278" t="s">
        <v>330</v>
      </c>
      <c r="E132" s="500">
        <v>0</v>
      </c>
      <c r="G132" s="500">
        <v>0</v>
      </c>
      <c r="I132" s="500">
        <v>0</v>
      </c>
      <c r="K132" s="500">
        <v>0</v>
      </c>
      <c r="M132" s="500">
        <v>1227692</v>
      </c>
      <c r="O132" s="500">
        <v>0</v>
      </c>
      <c r="Q132" s="500">
        <v>0</v>
      </c>
      <c r="S132" s="500">
        <v>0</v>
      </c>
      <c r="U132" s="500">
        <v>0</v>
      </c>
      <c r="W132" s="500">
        <v>0</v>
      </c>
      <c r="Y132" s="500">
        <v>1907053</v>
      </c>
      <c r="AA132" s="500">
        <v>0</v>
      </c>
      <c r="AC132" s="500">
        <v>0</v>
      </c>
      <c r="AE132" s="500">
        <v>0</v>
      </c>
      <c r="AG132" s="500">
        <v>0</v>
      </c>
      <c r="AI132" s="500">
        <v>0</v>
      </c>
      <c r="AK132" s="500">
        <v>0</v>
      </c>
      <c r="AM132" s="500">
        <v>0</v>
      </c>
      <c r="AO132" s="500">
        <v>0</v>
      </c>
      <c r="AQ132" s="500">
        <f>SUM(E132:AO132)</f>
        <v>3134745</v>
      </c>
      <c r="AX132" s="658">
        <f>AQ132+AT132-AU132</f>
        <v>3134745</v>
      </c>
    </row>
    <row r="133" spans="5:50" ht="12.75">
      <c r="E133" s="500"/>
      <c r="G133" s="500"/>
      <c r="I133" s="500"/>
      <c r="K133" s="500"/>
      <c r="M133" s="500"/>
      <c r="O133" s="500"/>
      <c r="Q133" s="500"/>
      <c r="S133" s="500"/>
      <c r="U133" s="500"/>
      <c r="W133" s="500"/>
      <c r="Y133" s="500"/>
      <c r="AA133" s="500"/>
      <c r="AC133" s="500"/>
      <c r="AE133" s="500"/>
      <c r="AG133" s="500"/>
      <c r="AI133" s="500"/>
      <c r="AK133" s="500"/>
      <c r="AM133" s="500"/>
      <c r="AO133" s="500"/>
      <c r="AQ133" s="500"/>
      <c r="AX133" s="658"/>
    </row>
    <row r="134" spans="1:50" ht="12.75">
      <c r="A134" s="290" t="s">
        <v>549</v>
      </c>
      <c r="E134" s="500"/>
      <c r="G134" s="500"/>
      <c r="I134" s="500"/>
      <c r="K134" s="500"/>
      <c r="M134" s="500"/>
      <c r="O134" s="500"/>
      <c r="Q134" s="500"/>
      <c r="S134" s="500"/>
      <c r="U134" s="500"/>
      <c r="W134" s="500"/>
      <c r="Y134" s="500"/>
      <c r="AA134" s="500"/>
      <c r="AC134" s="500"/>
      <c r="AE134" s="500"/>
      <c r="AG134" s="500"/>
      <c r="AI134" s="500"/>
      <c r="AK134" s="500"/>
      <c r="AM134" s="500"/>
      <c r="AO134" s="500"/>
      <c r="AQ134" s="500"/>
      <c r="AX134" s="658"/>
    </row>
    <row r="135" spans="1:50" ht="12.75">
      <c r="A135" s="278" t="s">
        <v>329</v>
      </c>
      <c r="E135" s="500">
        <f aca="true" t="shared" si="90" ref="E135:E141">E42-E86</f>
        <v>765621</v>
      </c>
      <c r="G135" s="500">
        <f aca="true" t="shared" si="91" ref="G135:G141">G42-G86</f>
        <v>250000</v>
      </c>
      <c r="I135" s="500">
        <f aca="true" t="shared" si="92" ref="I135:I141">I42-I86</f>
        <v>0</v>
      </c>
      <c r="K135" s="500">
        <f aca="true" t="shared" si="93" ref="K135:K141">K42-K86</f>
        <v>0</v>
      </c>
      <c r="M135" s="500">
        <f aca="true" t="shared" si="94" ref="M135:M141">M42-M86</f>
        <v>738907</v>
      </c>
      <c r="O135" s="500">
        <f aca="true" t="shared" si="95" ref="O135:O141">O42-O86</f>
        <v>0</v>
      </c>
      <c r="Q135" s="500">
        <f aca="true" t="shared" si="96" ref="Q135:Q141">Q42-Q86</f>
        <v>0</v>
      </c>
      <c r="S135" s="500">
        <f aca="true" t="shared" si="97" ref="S135:S141">S42-S86</f>
        <v>0</v>
      </c>
      <c r="U135" s="500">
        <v>0</v>
      </c>
      <c r="W135" s="500">
        <f aca="true" t="shared" si="98" ref="W135:W141">W42-W86</f>
        <v>1860000</v>
      </c>
      <c r="Y135" s="500">
        <v>1660000</v>
      </c>
      <c r="AA135" s="500">
        <v>0</v>
      </c>
      <c r="AC135" s="500">
        <f aca="true" t="shared" si="99" ref="AC135:AC141">AC42-AC86</f>
        <v>0</v>
      </c>
      <c r="AE135" s="500">
        <f aca="true" t="shared" si="100" ref="AE135:AE141">AE42-AE86</f>
        <v>0</v>
      </c>
      <c r="AG135" s="500">
        <f aca="true" t="shared" si="101" ref="AG135:AI141">AG42-AG86</f>
        <v>0</v>
      </c>
      <c r="AI135" s="500">
        <f t="shared" si="101"/>
        <v>0</v>
      </c>
      <c r="AK135" s="500">
        <f aca="true" t="shared" si="102" ref="AK135:AK141">AK42-AK86</f>
        <v>0</v>
      </c>
      <c r="AM135" s="500">
        <f aca="true" t="shared" si="103" ref="AM135:AM141">AM42-AM86</f>
        <v>0</v>
      </c>
      <c r="AO135" s="500">
        <f aca="true" t="shared" si="104" ref="AO135:AO141">AO42-AO86</f>
        <v>0</v>
      </c>
      <c r="AQ135" s="500">
        <f aca="true" t="shared" si="105" ref="AQ135:AQ141">SUM(E135:AO135)</f>
        <v>5274528</v>
      </c>
      <c r="AX135" s="658">
        <f aca="true" t="shared" si="106" ref="AX135:AX141">AQ135+AT135-AU135</f>
        <v>5274528</v>
      </c>
    </row>
    <row r="136" spans="1:50" ht="12.75">
      <c r="A136" s="278" t="s">
        <v>330</v>
      </c>
      <c r="E136" s="500">
        <f t="shared" si="90"/>
        <v>997269</v>
      </c>
      <c r="G136" s="500">
        <f t="shared" si="91"/>
        <v>110033</v>
      </c>
      <c r="I136" s="500">
        <f t="shared" si="92"/>
        <v>1194119</v>
      </c>
      <c r="K136" s="500">
        <f t="shared" si="93"/>
        <v>0</v>
      </c>
      <c r="M136" s="500">
        <f t="shared" si="94"/>
        <v>1097038</v>
      </c>
      <c r="O136" s="500">
        <f t="shared" si="95"/>
        <v>0</v>
      </c>
      <c r="Q136" s="500">
        <f t="shared" si="96"/>
        <v>0</v>
      </c>
      <c r="S136" s="500">
        <f t="shared" si="97"/>
        <v>0</v>
      </c>
      <c r="U136" s="500">
        <v>0</v>
      </c>
      <c r="W136" s="500">
        <f t="shared" si="98"/>
        <v>2604284</v>
      </c>
      <c r="Y136" s="500"/>
      <c r="AA136" s="500">
        <v>0</v>
      </c>
      <c r="AC136" s="500">
        <f t="shared" si="99"/>
        <v>0</v>
      </c>
      <c r="AE136" s="500">
        <f t="shared" si="100"/>
        <v>0</v>
      </c>
      <c r="AG136" s="500">
        <f t="shared" si="101"/>
        <v>0</v>
      </c>
      <c r="AI136" s="500">
        <f t="shared" si="101"/>
        <v>0</v>
      </c>
      <c r="AK136" s="500">
        <f t="shared" si="102"/>
        <v>0</v>
      </c>
      <c r="AM136" s="500">
        <f t="shared" si="103"/>
        <v>0</v>
      </c>
      <c r="AO136" s="500">
        <f t="shared" si="104"/>
        <v>0</v>
      </c>
      <c r="AQ136" s="500">
        <f t="shared" si="105"/>
        <v>6002743</v>
      </c>
      <c r="AX136" s="658">
        <f t="shared" si="106"/>
        <v>6002743</v>
      </c>
    </row>
    <row r="137" spans="1:50" ht="12.75">
      <c r="A137" s="278" t="s">
        <v>331</v>
      </c>
      <c r="E137" s="500">
        <f t="shared" si="90"/>
        <v>0</v>
      </c>
      <c r="G137" s="500">
        <f t="shared" si="91"/>
        <v>0</v>
      </c>
      <c r="I137" s="500">
        <f t="shared" si="92"/>
        <v>0</v>
      </c>
      <c r="K137" s="500">
        <f t="shared" si="93"/>
        <v>0</v>
      </c>
      <c r="M137" s="500">
        <f t="shared" si="94"/>
        <v>0</v>
      </c>
      <c r="O137" s="500">
        <f t="shared" si="95"/>
        <v>0</v>
      </c>
      <c r="Q137" s="500">
        <f t="shared" si="96"/>
        <v>0</v>
      </c>
      <c r="S137" s="500">
        <f t="shared" si="97"/>
        <v>0</v>
      </c>
      <c r="U137" s="500">
        <v>0</v>
      </c>
      <c r="W137" s="500">
        <f t="shared" si="98"/>
        <v>18049285</v>
      </c>
      <c r="Y137" s="500">
        <f>Y44-Y88</f>
        <v>4723873</v>
      </c>
      <c r="AA137" s="500">
        <v>0</v>
      </c>
      <c r="AC137" s="500">
        <f t="shared" si="99"/>
        <v>0</v>
      </c>
      <c r="AE137" s="500">
        <f t="shared" si="100"/>
        <v>0</v>
      </c>
      <c r="AG137" s="500">
        <f t="shared" si="101"/>
        <v>0</v>
      </c>
      <c r="AI137" s="500">
        <f t="shared" si="101"/>
        <v>0</v>
      </c>
      <c r="AK137" s="500">
        <f t="shared" si="102"/>
        <v>0</v>
      </c>
      <c r="AM137" s="500">
        <f t="shared" si="103"/>
        <v>0</v>
      </c>
      <c r="AO137" s="500">
        <f t="shared" si="104"/>
        <v>0</v>
      </c>
      <c r="AQ137" s="500">
        <f t="shared" si="105"/>
        <v>22773158</v>
      </c>
      <c r="AX137" s="658">
        <f t="shared" si="106"/>
        <v>22773158</v>
      </c>
    </row>
    <row r="138" spans="1:50" ht="12.75">
      <c r="A138" s="278" t="s">
        <v>332</v>
      </c>
      <c r="E138" s="500">
        <f t="shared" si="90"/>
        <v>34824</v>
      </c>
      <c r="G138" s="500">
        <f t="shared" si="91"/>
        <v>0</v>
      </c>
      <c r="I138" s="500">
        <f t="shared" si="92"/>
        <v>27351</v>
      </c>
      <c r="K138" s="500">
        <f t="shared" si="93"/>
        <v>0</v>
      </c>
      <c r="M138" s="500">
        <f t="shared" si="94"/>
        <v>2477</v>
      </c>
      <c r="O138" s="500">
        <f t="shared" si="95"/>
        <v>0</v>
      </c>
      <c r="Q138" s="500">
        <f t="shared" si="96"/>
        <v>0</v>
      </c>
      <c r="S138" s="500">
        <f t="shared" si="97"/>
        <v>0</v>
      </c>
      <c r="U138" s="500">
        <v>0</v>
      </c>
      <c r="W138" s="500">
        <f t="shared" si="98"/>
        <v>1352359</v>
      </c>
      <c r="Y138" s="500">
        <f>Y45-Y89</f>
        <v>254282</v>
      </c>
      <c r="AA138" s="500">
        <v>0</v>
      </c>
      <c r="AC138" s="500">
        <f t="shared" si="99"/>
        <v>0</v>
      </c>
      <c r="AE138" s="500">
        <f t="shared" si="100"/>
        <v>0</v>
      </c>
      <c r="AG138" s="500">
        <f t="shared" si="101"/>
        <v>0</v>
      </c>
      <c r="AI138" s="500">
        <f t="shared" si="101"/>
        <v>0</v>
      </c>
      <c r="AK138" s="500">
        <f t="shared" si="102"/>
        <v>0</v>
      </c>
      <c r="AM138" s="500">
        <f t="shared" si="103"/>
        <v>0</v>
      </c>
      <c r="AO138" s="500">
        <f t="shared" si="104"/>
        <v>0</v>
      </c>
      <c r="AQ138" s="500">
        <f t="shared" si="105"/>
        <v>1671293</v>
      </c>
      <c r="AX138" s="658">
        <f t="shared" si="106"/>
        <v>1671293</v>
      </c>
    </row>
    <row r="139" spans="1:50" ht="12.75">
      <c r="A139" s="278" t="s">
        <v>537</v>
      </c>
      <c r="E139" s="500">
        <f t="shared" si="90"/>
        <v>45080</v>
      </c>
      <c r="G139" s="500">
        <f t="shared" si="91"/>
        <v>1</v>
      </c>
      <c r="I139" s="500">
        <f t="shared" si="92"/>
        <v>1</v>
      </c>
      <c r="K139" s="500">
        <f t="shared" si="93"/>
        <v>0</v>
      </c>
      <c r="M139" s="500">
        <f t="shared" si="94"/>
        <v>0</v>
      </c>
      <c r="O139" s="500">
        <f t="shared" si="95"/>
        <v>0</v>
      </c>
      <c r="Q139" s="500">
        <f t="shared" si="96"/>
        <v>1</v>
      </c>
      <c r="S139" s="500">
        <f t="shared" si="97"/>
        <v>0</v>
      </c>
      <c r="U139" s="500">
        <v>0</v>
      </c>
      <c r="W139" s="500">
        <f t="shared" si="98"/>
        <v>1019244</v>
      </c>
      <c r="Y139" s="500">
        <f>Y46-Y90</f>
        <v>179045</v>
      </c>
      <c r="AA139" s="500">
        <v>0</v>
      </c>
      <c r="AC139" s="500">
        <f t="shared" si="99"/>
        <v>0</v>
      </c>
      <c r="AE139" s="500">
        <f t="shared" si="100"/>
        <v>0</v>
      </c>
      <c r="AG139" s="500">
        <f t="shared" si="101"/>
        <v>0</v>
      </c>
      <c r="AI139" s="500">
        <f t="shared" si="101"/>
        <v>0</v>
      </c>
      <c r="AK139" s="500">
        <f t="shared" si="102"/>
        <v>0</v>
      </c>
      <c r="AM139" s="500">
        <f t="shared" si="103"/>
        <v>0</v>
      </c>
      <c r="AO139" s="500">
        <f t="shared" si="104"/>
        <v>0</v>
      </c>
      <c r="AQ139" s="500">
        <f t="shared" si="105"/>
        <v>1243372</v>
      </c>
      <c r="AX139" s="658">
        <f t="shared" si="106"/>
        <v>1243372</v>
      </c>
    </row>
    <row r="140" spans="1:50" ht="12.75">
      <c r="A140" s="278" t="s">
        <v>538</v>
      </c>
      <c r="E140" s="500">
        <f t="shared" si="90"/>
        <v>29433</v>
      </c>
      <c r="G140" s="500">
        <f t="shared" si="91"/>
        <v>1380</v>
      </c>
      <c r="I140" s="500">
        <f t="shared" si="92"/>
        <v>22159</v>
      </c>
      <c r="K140" s="500">
        <f t="shared" si="93"/>
        <v>24</v>
      </c>
      <c r="M140" s="500">
        <f t="shared" si="94"/>
        <v>0</v>
      </c>
      <c r="O140" s="500">
        <f t="shared" si="95"/>
        <v>1</v>
      </c>
      <c r="Q140" s="500">
        <f t="shared" si="96"/>
        <v>0</v>
      </c>
      <c r="S140" s="500">
        <f t="shared" si="97"/>
        <v>0</v>
      </c>
      <c r="U140" s="500">
        <v>0</v>
      </c>
      <c r="W140" s="500">
        <f t="shared" si="98"/>
        <v>1208733</v>
      </c>
      <c r="Y140" s="500">
        <f>Y47-Y91</f>
        <v>46346</v>
      </c>
      <c r="AA140" s="500">
        <v>0</v>
      </c>
      <c r="AC140" s="500">
        <f t="shared" si="99"/>
        <v>0</v>
      </c>
      <c r="AE140" s="500">
        <f t="shared" si="100"/>
        <v>0</v>
      </c>
      <c r="AG140" s="500">
        <f t="shared" si="101"/>
        <v>0</v>
      </c>
      <c r="AI140" s="500">
        <f t="shared" si="101"/>
        <v>0</v>
      </c>
      <c r="AK140" s="500">
        <f t="shared" si="102"/>
        <v>0</v>
      </c>
      <c r="AM140" s="500">
        <f t="shared" si="103"/>
        <v>0</v>
      </c>
      <c r="AO140" s="500">
        <f t="shared" si="104"/>
        <v>0</v>
      </c>
      <c r="AQ140" s="500">
        <f t="shared" si="105"/>
        <v>1308076</v>
      </c>
      <c r="AX140" s="658">
        <f t="shared" si="106"/>
        <v>1308076</v>
      </c>
    </row>
    <row r="141" spans="1:50" ht="12.75">
      <c r="A141" s="278" t="s">
        <v>539</v>
      </c>
      <c r="E141" s="500">
        <f t="shared" si="90"/>
        <v>1450</v>
      </c>
      <c r="G141" s="500">
        <f t="shared" si="91"/>
        <v>0</v>
      </c>
      <c r="I141" s="500">
        <f t="shared" si="92"/>
        <v>411932</v>
      </c>
      <c r="K141" s="500">
        <f t="shared" si="93"/>
        <v>0</v>
      </c>
      <c r="M141" s="500">
        <f t="shared" si="94"/>
        <v>0</v>
      </c>
      <c r="O141" s="500">
        <f t="shared" si="95"/>
        <v>0</v>
      </c>
      <c r="Q141" s="500">
        <f t="shared" si="96"/>
        <v>0</v>
      </c>
      <c r="S141" s="500">
        <f t="shared" si="97"/>
        <v>0</v>
      </c>
      <c r="U141" s="500">
        <v>0</v>
      </c>
      <c r="W141" s="500">
        <f t="shared" si="98"/>
        <v>1314122</v>
      </c>
      <c r="Y141" s="500">
        <f>Y48-Y92</f>
        <v>159380</v>
      </c>
      <c r="AA141" s="500">
        <v>0</v>
      </c>
      <c r="AC141" s="500">
        <f t="shared" si="99"/>
        <v>0</v>
      </c>
      <c r="AE141" s="500">
        <f t="shared" si="100"/>
        <v>0</v>
      </c>
      <c r="AG141" s="500">
        <f t="shared" si="101"/>
        <v>0</v>
      </c>
      <c r="AI141" s="500">
        <f t="shared" si="101"/>
        <v>0</v>
      </c>
      <c r="AK141" s="500">
        <f t="shared" si="102"/>
        <v>0</v>
      </c>
      <c r="AM141" s="500">
        <f t="shared" si="103"/>
        <v>0</v>
      </c>
      <c r="AO141" s="500">
        <f t="shared" si="104"/>
        <v>0</v>
      </c>
      <c r="AQ141" s="500">
        <f t="shared" si="105"/>
        <v>1886884</v>
      </c>
      <c r="AX141" s="658">
        <f t="shared" si="106"/>
        <v>1886884</v>
      </c>
    </row>
    <row r="142" spans="5:50" ht="13.5" thickBot="1">
      <c r="E142" s="660">
        <f>SUM(E125:E141)</f>
        <v>1873677</v>
      </c>
      <c r="G142" s="660">
        <f>SUM(G125:G141)</f>
        <v>361414</v>
      </c>
      <c r="I142" s="660">
        <f>SUM(I125:I141)</f>
        <v>1655562</v>
      </c>
      <c r="K142" s="660">
        <f>SUM(K125:K141)</f>
        <v>24</v>
      </c>
      <c r="M142" s="660">
        <f>SUM(M125:M141)</f>
        <v>4984122</v>
      </c>
      <c r="O142" s="660">
        <f>SUM(O125:O141)</f>
        <v>1</v>
      </c>
      <c r="Q142" s="660">
        <f>SUM(Q125:Q141)</f>
        <v>1</v>
      </c>
      <c r="S142" s="660">
        <f>SUM(S125:S141)</f>
        <v>0</v>
      </c>
      <c r="U142" s="660">
        <f>SUM(U125:U141)</f>
        <v>0</v>
      </c>
      <c r="W142" s="660">
        <f>SUM(W125:W141)</f>
        <v>27408027</v>
      </c>
      <c r="Y142" s="660">
        <f>SUM(Y125:Y141)</f>
        <v>11368985</v>
      </c>
      <c r="AA142" s="660">
        <f>SUM(AA125:AA141)</f>
        <v>0</v>
      </c>
      <c r="AC142" s="660">
        <f>SUM(AC125:AC141)</f>
        <v>0</v>
      </c>
      <c r="AE142" s="660">
        <f>SUM(AE125:AE141)</f>
        <v>0</v>
      </c>
      <c r="AG142" s="660">
        <f>SUM(AG125:AG141)</f>
        <v>0</v>
      </c>
      <c r="AI142" s="660">
        <f>SUM(AI125:AI141)</f>
        <v>0</v>
      </c>
      <c r="AK142" s="660">
        <f>SUM(AK125:AK141)</f>
        <v>0</v>
      </c>
      <c r="AM142" s="660">
        <f>SUM(AM125:AM141)</f>
        <v>0</v>
      </c>
      <c r="AO142" s="660">
        <f>SUM(AO125:AO141)</f>
        <v>0</v>
      </c>
      <c r="AQ142" s="660">
        <f>SUM(AQ125:AQ141)</f>
        <v>47651813</v>
      </c>
      <c r="AX142" s="661">
        <f>SUM(AX125:AX141)</f>
        <v>47651813</v>
      </c>
    </row>
    <row r="143" spans="5:50" ht="12.75">
      <c r="E143" s="500"/>
      <c r="G143" s="500"/>
      <c r="I143" s="500"/>
      <c r="K143" s="500"/>
      <c r="M143" s="500"/>
      <c r="O143" s="500"/>
      <c r="Q143" s="500"/>
      <c r="S143" s="500"/>
      <c r="U143" s="500"/>
      <c r="W143" s="500"/>
      <c r="Y143" s="500"/>
      <c r="AA143" s="500"/>
      <c r="AC143" s="500"/>
      <c r="AE143" s="500"/>
      <c r="AG143" s="500"/>
      <c r="AI143" s="500"/>
      <c r="AK143" s="500"/>
      <c r="AM143" s="500"/>
      <c r="AO143" s="500"/>
      <c r="AQ143" s="500"/>
      <c r="AX143" s="658"/>
    </row>
    <row r="144" spans="1:50" ht="12.75">
      <c r="A144" s="290" t="s">
        <v>550</v>
      </c>
      <c r="E144" s="500"/>
      <c r="G144" s="500"/>
      <c r="I144" s="500"/>
      <c r="K144" s="500"/>
      <c r="M144" s="500"/>
      <c r="O144" s="500"/>
      <c r="Q144" s="500"/>
      <c r="S144" s="500"/>
      <c r="U144" s="500"/>
      <c r="W144" s="500"/>
      <c r="Y144" s="500"/>
      <c r="AA144" s="500"/>
      <c r="AC144" s="500"/>
      <c r="AE144" s="500"/>
      <c r="AG144" s="500"/>
      <c r="AI144" s="500"/>
      <c r="AK144" s="500"/>
      <c r="AM144" s="500"/>
      <c r="AO144" s="500"/>
      <c r="AQ144" s="500"/>
      <c r="AX144" s="658"/>
    </row>
    <row r="145" spans="5:50" ht="6" customHeight="1">
      <c r="E145" s="500"/>
      <c r="G145" s="500"/>
      <c r="I145" s="500"/>
      <c r="K145" s="500"/>
      <c r="M145" s="500"/>
      <c r="O145" s="500"/>
      <c r="Q145" s="500"/>
      <c r="S145" s="500"/>
      <c r="U145" s="500"/>
      <c r="W145" s="500"/>
      <c r="Y145" s="500"/>
      <c r="AA145" s="500"/>
      <c r="AC145" s="500"/>
      <c r="AE145" s="500"/>
      <c r="AG145" s="500"/>
      <c r="AI145" s="500"/>
      <c r="AK145" s="500"/>
      <c r="AM145" s="500"/>
      <c r="AO145" s="500"/>
      <c r="AQ145" s="500"/>
      <c r="AX145" s="658"/>
    </row>
    <row r="146" spans="1:50" ht="12.75">
      <c r="A146" s="290" t="s">
        <v>547</v>
      </c>
      <c r="E146" s="500"/>
      <c r="G146" s="500"/>
      <c r="I146" s="500"/>
      <c r="K146" s="500"/>
      <c r="M146" s="500"/>
      <c r="O146" s="500"/>
      <c r="Q146" s="500"/>
      <c r="S146" s="500"/>
      <c r="U146" s="500"/>
      <c r="W146" s="500"/>
      <c r="Y146" s="500"/>
      <c r="AA146" s="500"/>
      <c r="AC146" s="500"/>
      <c r="AE146" s="500"/>
      <c r="AG146" s="500"/>
      <c r="AI146" s="500"/>
      <c r="AK146" s="500"/>
      <c r="AM146" s="500"/>
      <c r="AO146" s="500"/>
      <c r="AQ146" s="500"/>
      <c r="AX146" s="658"/>
    </row>
    <row r="147" spans="1:50" ht="12.75">
      <c r="A147" s="278" t="s">
        <v>329</v>
      </c>
      <c r="E147" s="500">
        <v>0</v>
      </c>
      <c r="G147" s="500">
        <v>0</v>
      </c>
      <c r="I147" s="500">
        <v>0</v>
      </c>
      <c r="K147" s="500">
        <v>0</v>
      </c>
      <c r="M147" s="500">
        <v>0</v>
      </c>
      <c r="O147" s="500">
        <v>0</v>
      </c>
      <c r="Q147" s="500">
        <v>0</v>
      </c>
      <c r="S147" s="500">
        <v>0</v>
      </c>
      <c r="U147" s="500">
        <v>0</v>
      </c>
      <c r="W147" s="500">
        <v>0</v>
      </c>
      <c r="Y147" s="500">
        <v>293091</v>
      </c>
      <c r="AA147" s="500">
        <v>0</v>
      </c>
      <c r="AC147" s="500">
        <v>0</v>
      </c>
      <c r="AE147" s="500">
        <v>0</v>
      </c>
      <c r="AG147" s="500">
        <v>0</v>
      </c>
      <c r="AI147" s="500">
        <v>0</v>
      </c>
      <c r="AK147" s="500">
        <v>0</v>
      </c>
      <c r="AM147" s="500">
        <v>0</v>
      </c>
      <c r="AO147" s="500">
        <v>0</v>
      </c>
      <c r="AQ147" s="500">
        <f>SUM(E147:AO147)</f>
        <v>293091</v>
      </c>
      <c r="AX147" s="658">
        <f>AQ147+AT147-AU147</f>
        <v>293091</v>
      </c>
    </row>
    <row r="148" spans="1:50" ht="12.75">
      <c r="A148" s="278" t="s">
        <v>330</v>
      </c>
      <c r="E148" s="500">
        <v>0</v>
      </c>
      <c r="G148" s="500">
        <v>0</v>
      </c>
      <c r="I148" s="500">
        <v>0</v>
      </c>
      <c r="K148" s="500">
        <v>0</v>
      </c>
      <c r="M148" s="500">
        <v>0</v>
      </c>
      <c r="O148" s="500">
        <v>0</v>
      </c>
      <c r="Q148" s="500">
        <v>0</v>
      </c>
      <c r="S148" s="500">
        <v>0</v>
      </c>
      <c r="U148" s="500">
        <v>0</v>
      </c>
      <c r="W148" s="500">
        <v>0</v>
      </c>
      <c r="Y148" s="500">
        <v>1961282</v>
      </c>
      <c r="AA148" s="500">
        <v>0</v>
      </c>
      <c r="AC148" s="500">
        <v>0</v>
      </c>
      <c r="AE148" s="500">
        <v>0</v>
      </c>
      <c r="AG148" s="500">
        <v>0</v>
      </c>
      <c r="AI148" s="500">
        <v>0</v>
      </c>
      <c r="AK148" s="500">
        <v>0</v>
      </c>
      <c r="AM148" s="500">
        <v>0</v>
      </c>
      <c r="AO148" s="500">
        <v>0</v>
      </c>
      <c r="AQ148" s="500">
        <f>SUM(E148:AO148)</f>
        <v>1961282</v>
      </c>
      <c r="AX148" s="658">
        <f>AQ148+AT148-AU148</f>
        <v>1961282</v>
      </c>
    </row>
    <row r="149" spans="5:50" ht="12.75">
      <c r="E149" s="500"/>
      <c r="G149" s="500"/>
      <c r="I149" s="500"/>
      <c r="K149" s="500"/>
      <c r="M149" s="500"/>
      <c r="O149" s="500"/>
      <c r="Q149" s="500"/>
      <c r="S149" s="500"/>
      <c r="U149" s="500"/>
      <c r="W149" s="500"/>
      <c r="Y149" s="500"/>
      <c r="AA149" s="500"/>
      <c r="AC149" s="500"/>
      <c r="AE149" s="500"/>
      <c r="AG149" s="500"/>
      <c r="AI149" s="500"/>
      <c r="AK149" s="500"/>
      <c r="AM149" s="500"/>
      <c r="AO149" s="500"/>
      <c r="AQ149" s="500"/>
      <c r="AX149" s="658"/>
    </row>
    <row r="150" spans="1:50" ht="12.75">
      <c r="A150" s="290" t="s">
        <v>549</v>
      </c>
      <c r="E150" s="500"/>
      <c r="G150" s="500"/>
      <c r="I150" s="500"/>
      <c r="K150" s="500"/>
      <c r="M150" s="500"/>
      <c r="O150" s="500"/>
      <c r="Q150" s="500"/>
      <c r="S150" s="500"/>
      <c r="U150" s="500"/>
      <c r="W150" s="500"/>
      <c r="Y150" s="500"/>
      <c r="AA150" s="500"/>
      <c r="AC150" s="500"/>
      <c r="AE150" s="500"/>
      <c r="AG150" s="500"/>
      <c r="AI150" s="500"/>
      <c r="AK150" s="500"/>
      <c r="AM150" s="500"/>
      <c r="AO150" s="500"/>
      <c r="AQ150" s="500"/>
      <c r="AX150" s="658"/>
    </row>
    <row r="151" spans="1:50" ht="12.75">
      <c r="A151" s="278" t="s">
        <v>329</v>
      </c>
      <c r="E151" s="500"/>
      <c r="G151" s="500">
        <v>0</v>
      </c>
      <c r="I151" s="500"/>
      <c r="K151" s="500"/>
      <c r="M151" s="500"/>
      <c r="O151" s="500"/>
      <c r="Q151" s="500"/>
      <c r="S151" s="500">
        <v>0</v>
      </c>
      <c r="U151" s="500">
        <v>0</v>
      </c>
      <c r="W151" s="500">
        <v>1860000</v>
      </c>
      <c r="Y151" s="500">
        <v>1660000</v>
      </c>
      <c r="AA151" s="500">
        <v>0</v>
      </c>
      <c r="AC151" s="500">
        <v>0</v>
      </c>
      <c r="AE151" s="500">
        <v>0</v>
      </c>
      <c r="AG151" s="500">
        <v>0</v>
      </c>
      <c r="AI151" s="500">
        <v>0</v>
      </c>
      <c r="AK151" s="500">
        <v>0</v>
      </c>
      <c r="AM151" s="500">
        <v>0</v>
      </c>
      <c r="AO151" s="500">
        <v>0</v>
      </c>
      <c r="AQ151" s="500">
        <f aca="true" t="shared" si="107" ref="AQ151:AQ157">SUM(E151:AO151)</f>
        <v>3520000</v>
      </c>
      <c r="AX151" s="658">
        <f aca="true" t="shared" si="108" ref="AX151:AX157">AQ151+AT151-AU151</f>
        <v>3520000</v>
      </c>
    </row>
    <row r="152" spans="1:50" ht="12.75">
      <c r="A152" s="278" t="s">
        <v>330</v>
      </c>
      <c r="E152" s="500"/>
      <c r="G152" s="500">
        <v>0</v>
      </c>
      <c r="I152" s="500"/>
      <c r="K152" s="500"/>
      <c r="M152" s="500"/>
      <c r="O152" s="500"/>
      <c r="Q152" s="500"/>
      <c r="S152" s="500">
        <v>0</v>
      </c>
      <c r="U152" s="500">
        <v>0</v>
      </c>
      <c r="W152" s="500">
        <v>2423856</v>
      </c>
      <c r="Y152" s="500"/>
      <c r="AA152" s="500">
        <v>0</v>
      </c>
      <c r="AC152" s="500">
        <v>0</v>
      </c>
      <c r="AE152" s="500">
        <v>0</v>
      </c>
      <c r="AG152" s="500">
        <v>0</v>
      </c>
      <c r="AI152" s="500">
        <v>0</v>
      </c>
      <c r="AK152" s="500">
        <v>0</v>
      </c>
      <c r="AM152" s="500">
        <v>0</v>
      </c>
      <c r="AO152" s="500">
        <v>0</v>
      </c>
      <c r="AQ152" s="500">
        <f t="shared" si="107"/>
        <v>2423856</v>
      </c>
      <c r="AX152" s="658">
        <f t="shared" si="108"/>
        <v>2423856</v>
      </c>
    </row>
    <row r="153" spans="1:50" ht="12.75">
      <c r="A153" s="278" t="s">
        <v>331</v>
      </c>
      <c r="E153" s="500"/>
      <c r="G153" s="500">
        <v>0</v>
      </c>
      <c r="I153" s="500"/>
      <c r="K153" s="500"/>
      <c r="M153" s="500"/>
      <c r="O153" s="500"/>
      <c r="Q153" s="500"/>
      <c r="S153" s="500">
        <v>0</v>
      </c>
      <c r="U153" s="500">
        <v>0</v>
      </c>
      <c r="W153" s="500">
        <v>18620674</v>
      </c>
      <c r="Y153" s="500">
        <v>5648958</v>
      </c>
      <c r="AA153" s="500">
        <v>0</v>
      </c>
      <c r="AC153" s="500">
        <v>0</v>
      </c>
      <c r="AE153" s="500">
        <v>0</v>
      </c>
      <c r="AG153" s="500">
        <v>0</v>
      </c>
      <c r="AI153" s="500">
        <v>0</v>
      </c>
      <c r="AK153" s="500">
        <v>0</v>
      </c>
      <c r="AM153" s="500">
        <v>0</v>
      </c>
      <c r="AO153" s="500">
        <v>0</v>
      </c>
      <c r="AQ153" s="500">
        <f t="shared" si="107"/>
        <v>24269632</v>
      </c>
      <c r="AX153" s="658">
        <f t="shared" si="108"/>
        <v>24269632</v>
      </c>
    </row>
    <row r="154" spans="1:50" ht="12.75">
      <c r="A154" s="278" t="s">
        <v>332</v>
      </c>
      <c r="E154" s="500"/>
      <c r="G154" s="500">
        <v>0</v>
      </c>
      <c r="I154" s="500"/>
      <c r="K154" s="500"/>
      <c r="M154" s="500"/>
      <c r="O154" s="500"/>
      <c r="Q154" s="500"/>
      <c r="S154" s="500">
        <v>0</v>
      </c>
      <c r="U154" s="500">
        <v>0</v>
      </c>
      <c r="W154" s="500">
        <v>704320</v>
      </c>
      <c r="Y154" s="500">
        <v>304666</v>
      </c>
      <c r="AA154" s="500">
        <v>0</v>
      </c>
      <c r="AC154" s="500">
        <v>0</v>
      </c>
      <c r="AE154" s="500">
        <v>0</v>
      </c>
      <c r="AG154" s="500">
        <v>0</v>
      </c>
      <c r="AI154" s="500">
        <v>0</v>
      </c>
      <c r="AK154" s="500">
        <v>0</v>
      </c>
      <c r="AM154" s="500">
        <v>0</v>
      </c>
      <c r="AO154" s="500">
        <v>0</v>
      </c>
      <c r="AQ154" s="500">
        <f t="shared" si="107"/>
        <v>1008986</v>
      </c>
      <c r="AX154" s="658">
        <f t="shared" si="108"/>
        <v>1008986</v>
      </c>
    </row>
    <row r="155" spans="1:50" ht="12.75">
      <c r="A155" s="278" t="s">
        <v>537</v>
      </c>
      <c r="E155" s="500"/>
      <c r="G155" s="500">
        <v>0</v>
      </c>
      <c r="I155" s="500"/>
      <c r="K155" s="500"/>
      <c r="M155" s="500"/>
      <c r="O155" s="500"/>
      <c r="Q155" s="500"/>
      <c r="S155" s="500">
        <v>0</v>
      </c>
      <c r="U155" s="500">
        <v>0</v>
      </c>
      <c r="W155" s="500">
        <v>1701373</v>
      </c>
      <c r="Y155" s="500">
        <v>155186</v>
      </c>
      <c r="AA155" s="500">
        <v>0</v>
      </c>
      <c r="AC155" s="500">
        <v>0</v>
      </c>
      <c r="AE155" s="500">
        <v>0</v>
      </c>
      <c r="AG155" s="500">
        <v>0</v>
      </c>
      <c r="AI155" s="500">
        <v>0</v>
      </c>
      <c r="AK155" s="500">
        <v>0</v>
      </c>
      <c r="AM155" s="500">
        <v>0</v>
      </c>
      <c r="AO155" s="500">
        <v>0</v>
      </c>
      <c r="AQ155" s="500">
        <f t="shared" si="107"/>
        <v>1856559</v>
      </c>
      <c r="AX155" s="658">
        <f t="shared" si="108"/>
        <v>1856559</v>
      </c>
    </row>
    <row r="156" spans="1:50" ht="12.75">
      <c r="A156" s="278" t="s">
        <v>538</v>
      </c>
      <c r="E156" s="500"/>
      <c r="G156" s="500">
        <v>0</v>
      </c>
      <c r="I156" s="500"/>
      <c r="K156" s="500"/>
      <c r="M156" s="500"/>
      <c r="O156" s="500"/>
      <c r="Q156" s="500"/>
      <c r="S156" s="500">
        <v>0</v>
      </c>
      <c r="U156" s="500">
        <v>0</v>
      </c>
      <c r="W156" s="500">
        <v>901418</v>
      </c>
      <c r="Y156" s="500">
        <v>53436</v>
      </c>
      <c r="AA156" s="500">
        <v>0</v>
      </c>
      <c r="AC156" s="500">
        <v>0</v>
      </c>
      <c r="AE156" s="500">
        <v>0</v>
      </c>
      <c r="AG156" s="500">
        <v>0</v>
      </c>
      <c r="AI156" s="500">
        <v>0</v>
      </c>
      <c r="AK156" s="500">
        <v>0</v>
      </c>
      <c r="AM156" s="500">
        <v>0</v>
      </c>
      <c r="AO156" s="500">
        <v>0</v>
      </c>
      <c r="AQ156" s="500">
        <f t="shared" si="107"/>
        <v>954854</v>
      </c>
      <c r="AX156" s="658">
        <f t="shared" si="108"/>
        <v>954854</v>
      </c>
    </row>
    <row r="157" spans="1:50" ht="12.75">
      <c r="A157" s="278" t="s">
        <v>539</v>
      </c>
      <c r="E157" s="500"/>
      <c r="G157" s="500">
        <v>0</v>
      </c>
      <c r="I157" s="500"/>
      <c r="K157" s="500"/>
      <c r="M157" s="500"/>
      <c r="O157" s="500"/>
      <c r="Q157" s="500"/>
      <c r="S157" s="500">
        <v>0</v>
      </c>
      <c r="U157" s="500">
        <v>0</v>
      </c>
      <c r="W157" s="500">
        <v>401958</v>
      </c>
      <c r="Y157" s="500">
        <v>180014</v>
      </c>
      <c r="AA157" s="500">
        <v>0</v>
      </c>
      <c r="AC157" s="500">
        <v>0</v>
      </c>
      <c r="AE157" s="500">
        <v>0</v>
      </c>
      <c r="AG157" s="500">
        <v>0</v>
      </c>
      <c r="AI157" s="500">
        <v>0</v>
      </c>
      <c r="AK157" s="500">
        <v>0</v>
      </c>
      <c r="AM157" s="500">
        <v>0</v>
      </c>
      <c r="AO157" s="500">
        <v>0</v>
      </c>
      <c r="AQ157" s="500">
        <f t="shared" si="107"/>
        <v>581972</v>
      </c>
      <c r="AX157" s="658">
        <f t="shared" si="108"/>
        <v>581972</v>
      </c>
    </row>
    <row r="158" spans="5:50" ht="13.5" thickBot="1">
      <c r="E158" s="660">
        <f>SUM(E147:E157)</f>
        <v>0</v>
      </c>
      <c r="G158" s="660">
        <f>SUM(G147:G157)</f>
        <v>0</v>
      </c>
      <c r="I158" s="660">
        <f>SUM(I147:I157)</f>
        <v>0</v>
      </c>
      <c r="K158" s="660">
        <f>SUM(K147:K157)</f>
        <v>0</v>
      </c>
      <c r="M158" s="660">
        <f>SUM(M147:M157)</f>
        <v>0</v>
      </c>
      <c r="O158" s="660">
        <f>SUM(O147:O157)</f>
        <v>0</v>
      </c>
      <c r="Q158" s="660">
        <f>SUM(Q147:Q157)</f>
        <v>0</v>
      </c>
      <c r="S158" s="660">
        <f>SUM(S147:S157)</f>
        <v>0</v>
      </c>
      <c r="U158" s="660">
        <f>SUM(U147:U157)</f>
        <v>0</v>
      </c>
      <c r="W158" s="660">
        <f>SUM(W147:W157)</f>
        <v>26613599</v>
      </c>
      <c r="Y158" s="660">
        <f>SUM(Y147:Y157)</f>
        <v>10256633</v>
      </c>
      <c r="AA158" s="660">
        <f>SUM(AA147:AA157)</f>
        <v>0</v>
      </c>
      <c r="AC158" s="660">
        <f>SUM(AC147:AC157)</f>
        <v>0</v>
      </c>
      <c r="AE158" s="660">
        <f>SUM(AE147:AE157)</f>
        <v>0</v>
      </c>
      <c r="AG158" s="660">
        <f>SUM(AG147:AG157)</f>
        <v>0</v>
      </c>
      <c r="AI158" s="660">
        <f>SUM(AI147:AI157)</f>
        <v>0</v>
      </c>
      <c r="AK158" s="660">
        <f>SUM(AK147:AK157)</f>
        <v>0</v>
      </c>
      <c r="AM158" s="660">
        <f>SUM(AM147:AM157)</f>
        <v>0</v>
      </c>
      <c r="AO158" s="660">
        <f>SUM(AO147:AO157)</f>
        <v>0</v>
      </c>
      <c r="AQ158" s="660">
        <f>SUM(AQ147:AQ157)</f>
        <v>36870232</v>
      </c>
      <c r="AX158" s="661">
        <f>SUM(AX147:AX157)</f>
        <v>36870232</v>
      </c>
    </row>
  </sheetData>
  <mergeCells count="2">
    <mergeCell ref="AT4:AU4"/>
    <mergeCell ref="AV110:AV111"/>
  </mergeCells>
  <printOptions/>
  <pageMargins left="0.25" right="0.25" top="0.5" bottom="0.5" header="0.5" footer="0.5"/>
  <pageSetup horizontalDpi="600" verticalDpi="600" orientation="landscape" paperSize="9" scale="3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4" sqref="A4"/>
    </sheetView>
  </sheetViews>
  <sheetFormatPr defaultColWidth="9.140625" defaultRowHeight="12.75"/>
  <cols>
    <col min="1" max="1" width="17.28125" style="2" customWidth="1"/>
    <col min="2" max="2" width="13.7109375" style="2" bestFit="1" customWidth="1"/>
    <col min="3" max="3" width="12.57421875" style="2" bestFit="1" customWidth="1"/>
    <col min="4" max="4" width="5.8515625" style="2" customWidth="1"/>
    <col min="5" max="5" width="12.421875" style="2" bestFit="1" customWidth="1"/>
    <col min="6" max="16384" width="8.8515625" style="2" customWidth="1"/>
  </cols>
  <sheetData>
    <row r="1" ht="15.75">
      <c r="A1" s="85" t="s">
        <v>799</v>
      </c>
    </row>
    <row r="2" ht="12.75">
      <c r="A2" s="59" t="s">
        <v>436</v>
      </c>
    </row>
    <row r="4" spans="2:5" ht="12.75">
      <c r="B4" s="158" t="s">
        <v>800</v>
      </c>
      <c r="C4" s="158" t="s">
        <v>801</v>
      </c>
      <c r="E4" s="64" t="s">
        <v>801</v>
      </c>
    </row>
    <row r="5" spans="1:3" ht="12.75">
      <c r="A5" s="2" t="s">
        <v>338</v>
      </c>
      <c r="B5" s="240"/>
      <c r="C5" s="240"/>
    </row>
    <row r="6" spans="1:3" ht="12.75">
      <c r="A6" s="2" t="s">
        <v>781</v>
      </c>
      <c r="B6" s="240"/>
      <c r="C6" s="251"/>
    </row>
    <row r="7" spans="1:10" ht="12.75">
      <c r="A7" s="304" t="s">
        <v>791</v>
      </c>
      <c r="B7" s="240"/>
      <c r="C7" s="240">
        <f>20.5</f>
        <v>20.5</v>
      </c>
      <c r="E7" s="252"/>
      <c r="F7" s="2" t="s">
        <v>79</v>
      </c>
      <c r="J7" s="2">
        <v>20149</v>
      </c>
    </row>
    <row r="8" spans="1:10" ht="12.75">
      <c r="A8" s="304" t="s">
        <v>783</v>
      </c>
      <c r="B8" s="240"/>
      <c r="C8" s="2">
        <f>1474661/1000</f>
        <v>1474.661</v>
      </c>
      <c r="F8" s="2" t="s">
        <v>80</v>
      </c>
      <c r="J8" s="2">
        <v>583974</v>
      </c>
    </row>
    <row r="9" spans="1:3" ht="12.75">
      <c r="A9" s="2" t="s">
        <v>782</v>
      </c>
      <c r="B9" s="240"/>
      <c r="C9" s="251"/>
    </row>
    <row r="10" spans="1:3" ht="12.75">
      <c r="A10" s="2" t="s">
        <v>169</v>
      </c>
      <c r="B10" s="240"/>
      <c r="C10" s="240"/>
    </row>
    <row r="11" spans="1:3" ht="12.75">
      <c r="A11" s="2" t="s">
        <v>792</v>
      </c>
      <c r="B11" s="240"/>
      <c r="C11" s="240"/>
    </row>
    <row r="12" spans="1:3" ht="12.75">
      <c r="A12" s="2" t="s">
        <v>785</v>
      </c>
      <c r="B12" s="240"/>
      <c r="C12" s="240"/>
    </row>
    <row r="13" spans="1:3" ht="12.75">
      <c r="A13" s="2" t="s">
        <v>794</v>
      </c>
      <c r="B13" s="240"/>
      <c r="C13" s="240"/>
    </row>
    <row r="14" spans="1:10" ht="12.75">
      <c r="A14" s="303" t="s">
        <v>57</v>
      </c>
      <c r="B14" s="240"/>
      <c r="C14" s="251">
        <f>70500/1000</f>
        <v>70.5</v>
      </c>
      <c r="J14" s="2">
        <v>28371</v>
      </c>
    </row>
    <row r="15" spans="1:10" ht="12.75">
      <c r="A15" s="303" t="s">
        <v>349</v>
      </c>
      <c r="B15" s="240"/>
      <c r="C15" s="240">
        <f>7000/1000</f>
        <v>7</v>
      </c>
      <c r="J15" s="2">
        <v>7000</v>
      </c>
    </row>
    <row r="16" spans="2:3" ht="12.75">
      <c r="B16" s="63">
        <f>SUM(B5:B15)</f>
        <v>0</v>
      </c>
      <c r="C16" s="63">
        <f>SUM(C5:C15)</f>
        <v>1572.661</v>
      </c>
    </row>
    <row r="19" spans="2:5" ht="12.75">
      <c r="B19" s="61" t="s">
        <v>790</v>
      </c>
      <c r="C19" s="59" t="s">
        <v>711</v>
      </c>
      <c r="E19" s="61" t="s">
        <v>121</v>
      </c>
    </row>
    <row r="20" spans="1:3" ht="12.75">
      <c r="A20" s="59"/>
      <c r="C20" s="61" t="s">
        <v>85</v>
      </c>
    </row>
    <row r="21" spans="1:5" ht="12.75">
      <c r="A21" s="2" t="s">
        <v>201</v>
      </c>
      <c r="B21" s="259">
        <f aca="true" t="shared" si="0" ref="B21:B26">SUM(C21:E21)</f>
        <v>0</v>
      </c>
      <c r="C21" s="255"/>
      <c r="E21" s="1"/>
    </row>
    <row r="22" spans="1:6" ht="12.75">
      <c r="A22" s="2" t="s">
        <v>684</v>
      </c>
      <c r="B22" s="259">
        <f t="shared" si="0"/>
        <v>0</v>
      </c>
      <c r="C22" s="1"/>
      <c r="E22" s="66">
        <f>+B16</f>
        <v>0</v>
      </c>
      <c r="F22" s="2" t="s">
        <v>689</v>
      </c>
    </row>
    <row r="23" spans="1:5" ht="12.75">
      <c r="A23" s="2" t="s">
        <v>35</v>
      </c>
      <c r="B23" s="259" t="e">
        <f t="shared" si="0"/>
        <v>#REF!</v>
      </c>
      <c r="C23" s="1"/>
      <c r="E23" s="66" t="e">
        <f>-#REF!</f>
        <v>#REF!</v>
      </c>
    </row>
    <row r="24" spans="1:5" ht="12.75">
      <c r="A24" s="2" t="s">
        <v>687</v>
      </c>
      <c r="B24" s="259" t="e">
        <f t="shared" si="0"/>
        <v>#REF!</v>
      </c>
      <c r="C24" s="1"/>
      <c r="E24" s="66" t="e">
        <f>+#REF!</f>
        <v>#REF!</v>
      </c>
    </row>
    <row r="25" spans="1:5" ht="12.75">
      <c r="A25" s="2" t="s">
        <v>358</v>
      </c>
      <c r="B25" s="259">
        <f t="shared" si="0"/>
        <v>0</v>
      </c>
      <c r="C25" s="1"/>
      <c r="E25" s="66"/>
    </row>
    <row r="26" spans="1:6" ht="12.75">
      <c r="A26" s="2" t="s">
        <v>685</v>
      </c>
      <c r="B26" s="259" t="e">
        <f t="shared" si="0"/>
        <v>#REF!</v>
      </c>
      <c r="C26" s="1"/>
      <c r="E26" s="148" t="e">
        <f>+E29+E31</f>
        <v>#REF!</v>
      </c>
      <c r="F26" s="2" t="s">
        <v>688</v>
      </c>
    </row>
    <row r="27" spans="1:5" ht="13.5" thickBot="1">
      <c r="A27" s="2" t="s">
        <v>204</v>
      </c>
      <c r="B27" s="257" t="e">
        <f>SUM(B21:B26)</f>
        <v>#REF!</v>
      </c>
      <c r="C27" s="256">
        <f>SUM(C21:C26)</f>
        <v>0</v>
      </c>
      <c r="E27" s="256" t="e">
        <f>SUM(E21:E26)</f>
        <v>#REF!</v>
      </c>
    </row>
    <row r="28" ht="13.5" thickTop="1"/>
    <row r="29" spans="1:5" ht="12.75">
      <c r="A29" s="2" t="s">
        <v>686</v>
      </c>
      <c r="B29" s="66">
        <f>SUM(C29:E29)</f>
        <v>-1572.661</v>
      </c>
      <c r="C29" s="1"/>
      <c r="E29" s="66">
        <f>-C16-E7</f>
        <v>-1572.661</v>
      </c>
    </row>
    <row r="31" spans="1:5" ht="12.75">
      <c r="A31" s="2" t="s">
        <v>683</v>
      </c>
      <c r="B31" s="66" t="e">
        <f>SUM(C31:E31)</f>
        <v>#REF!</v>
      </c>
      <c r="C31" s="66">
        <f>-C29+C26</f>
        <v>0</v>
      </c>
      <c r="E31" s="1" t="e">
        <f>#REF!</f>
        <v>#REF!</v>
      </c>
    </row>
    <row r="32" ht="12.75">
      <c r="C32" s="66"/>
    </row>
    <row r="33" spans="1:5" s="1" customFormat="1" ht="12.75">
      <c r="A33" s="1" t="s">
        <v>204</v>
      </c>
      <c r="C33" s="1" t="e">
        <f>+'Cond BS'!D14</f>
        <v>#REF!</v>
      </c>
      <c r="E33" s="1" t="e">
        <f>+'Cond BS'!D12</f>
        <v>#REF!</v>
      </c>
    </row>
    <row r="35" spans="3:5" ht="12.75">
      <c r="C35" s="66" t="e">
        <f>+C27-C33</f>
        <v>#REF!</v>
      </c>
      <c r="E35" s="66" t="e">
        <f>+E27-E33</f>
        <v>#REF!</v>
      </c>
    </row>
  </sheetData>
  <printOptions/>
  <pageMargins left="0.75" right="0.75" top="1" bottom="1" header="0.5" footer="0.5"/>
  <pageSetup fitToHeight="1" fitToWidth="1" horizontalDpi="300" verticalDpi="300" orientation="portrait" paperSize="9" scale="99" r:id="rId1"/>
</worksheet>
</file>

<file path=xl/worksheets/sheet23.xml><?xml version="1.0" encoding="utf-8"?>
<worksheet xmlns="http://schemas.openxmlformats.org/spreadsheetml/2006/main" xmlns:r="http://schemas.openxmlformats.org/officeDocument/2006/relationships">
  <dimension ref="A1:F38"/>
  <sheetViews>
    <sheetView workbookViewId="0" topLeftCell="A14">
      <selection activeCell="A26" sqref="A26"/>
    </sheetView>
  </sheetViews>
  <sheetFormatPr defaultColWidth="9.140625" defaultRowHeight="12.75"/>
  <cols>
    <col min="1" max="1" width="3.8515625" style="2" customWidth="1"/>
    <col min="2" max="2" width="34.00390625" style="2" bestFit="1" customWidth="1"/>
    <col min="3" max="3" width="12.00390625" style="2" customWidth="1"/>
    <col min="4" max="4" width="12.7109375" style="2" bestFit="1" customWidth="1"/>
    <col min="5" max="5" width="10.7109375" style="2" bestFit="1" customWidth="1"/>
    <col min="6" max="6" width="12.7109375" style="2" bestFit="1" customWidth="1"/>
    <col min="7" max="16384" width="8.8515625" style="2" customWidth="1"/>
  </cols>
  <sheetData>
    <row r="1" spans="1:6" ht="15.75">
      <c r="A1" s="713" t="s">
        <v>729</v>
      </c>
      <c r="B1" s="714"/>
      <c r="C1" s="714"/>
      <c r="D1" s="714"/>
      <c r="E1" s="714"/>
      <c r="F1" s="715"/>
    </row>
    <row r="2" spans="1:6" ht="15.75">
      <c r="A2" s="226"/>
      <c r="B2" s="226"/>
      <c r="C2" s="226"/>
      <c r="D2" s="226"/>
      <c r="E2" s="226"/>
      <c r="F2" s="226"/>
    </row>
    <row r="3" spans="1:6" ht="15">
      <c r="A3" s="716" t="s">
        <v>730</v>
      </c>
      <c r="B3" s="716"/>
      <c r="C3" s="716"/>
      <c r="D3" s="716"/>
      <c r="E3" s="716"/>
      <c r="F3" s="716"/>
    </row>
    <row r="4" spans="1:6" ht="15">
      <c r="A4" s="716" t="s">
        <v>192</v>
      </c>
      <c r="B4" s="716"/>
      <c r="C4" s="716"/>
      <c r="D4" s="716"/>
      <c r="E4" s="716"/>
      <c r="F4" s="716"/>
    </row>
    <row r="5" spans="1:6" ht="15">
      <c r="A5" s="717">
        <v>39021</v>
      </c>
      <c r="B5" s="717"/>
      <c r="C5" s="717"/>
      <c r="D5" s="717"/>
      <c r="E5" s="717"/>
      <c r="F5" s="717"/>
    </row>
    <row r="7" spans="1:6" ht="12.75">
      <c r="A7" s="23"/>
      <c r="B7" s="224"/>
      <c r="C7" s="711" t="s">
        <v>618</v>
      </c>
      <c r="D7" s="712"/>
      <c r="E7" s="711" t="s">
        <v>619</v>
      </c>
      <c r="F7" s="712"/>
    </row>
    <row r="8" spans="1:6" ht="12.75">
      <c r="A8" s="74" t="s">
        <v>217</v>
      </c>
      <c r="B8" s="75"/>
      <c r="C8" s="38" t="s">
        <v>431</v>
      </c>
      <c r="D8" s="38" t="s">
        <v>193</v>
      </c>
      <c r="E8" s="38" t="s">
        <v>180</v>
      </c>
      <c r="F8" s="38" t="s">
        <v>193</v>
      </c>
    </row>
    <row r="9" spans="1:6" ht="12.75">
      <c r="A9" s="74"/>
      <c r="B9" s="75"/>
      <c r="C9" s="223" t="s">
        <v>23</v>
      </c>
      <c r="D9" s="223" t="s">
        <v>178</v>
      </c>
      <c r="E9" s="223" t="s">
        <v>181</v>
      </c>
      <c r="F9" s="223" t="s">
        <v>178</v>
      </c>
    </row>
    <row r="10" spans="1:6" ht="12.75">
      <c r="A10" s="74"/>
      <c r="B10" s="75"/>
      <c r="C10" s="223"/>
      <c r="D10" s="223" t="s">
        <v>23</v>
      </c>
      <c r="E10" s="223"/>
      <c r="F10" s="223" t="s">
        <v>179</v>
      </c>
    </row>
    <row r="11" spans="1:6" ht="12.75">
      <c r="A11" s="74"/>
      <c r="B11" s="75"/>
      <c r="C11" s="248">
        <v>39021</v>
      </c>
      <c r="D11" s="248">
        <v>38656</v>
      </c>
      <c r="E11" s="248">
        <f>+C11</f>
        <v>39021</v>
      </c>
      <c r="F11" s="248">
        <f>+D11</f>
        <v>38656</v>
      </c>
    </row>
    <row r="12" spans="1:6" ht="12.75">
      <c r="A12" s="25"/>
      <c r="B12" s="225"/>
      <c r="C12" s="172" t="s">
        <v>87</v>
      </c>
      <c r="D12" s="172" t="s">
        <v>87</v>
      </c>
      <c r="E12" s="172" t="s">
        <v>87</v>
      </c>
      <c r="F12" s="172" t="s">
        <v>87</v>
      </c>
    </row>
    <row r="13" spans="1:6" ht="12.75">
      <c r="A13" s="29">
        <v>1</v>
      </c>
      <c r="B13" s="2" t="s">
        <v>215</v>
      </c>
      <c r="C13" s="30">
        <f>+'FRS PL'!C13</f>
        <v>65934.153</v>
      </c>
      <c r="D13" s="30">
        <f>+'FRS PL'!E13</f>
        <v>54479</v>
      </c>
      <c r="E13" s="30">
        <f>+'FRS PL'!G13</f>
        <v>208152.471</v>
      </c>
      <c r="F13" s="30">
        <f>+'FRS PL'!I13</f>
        <v>162194</v>
      </c>
    </row>
    <row r="14" spans="1:6" ht="12.75">
      <c r="A14" s="29">
        <v>2</v>
      </c>
      <c r="B14" s="27" t="s">
        <v>182</v>
      </c>
      <c r="C14" s="30">
        <f>+'FRS PL'!C27</f>
        <v>13072.95500000001</v>
      </c>
      <c r="D14" s="30">
        <f>+'FRS PL'!E27</f>
        <v>13874</v>
      </c>
      <c r="E14" s="30">
        <f>+'FRS PL'!G27</f>
        <v>43100.333000000006</v>
      </c>
      <c r="F14" s="30">
        <f>+'FRS PL'!I27</f>
        <v>30329</v>
      </c>
    </row>
    <row r="15" spans="1:6" ht="12.75">
      <c r="A15" s="29">
        <v>3</v>
      </c>
      <c r="B15" s="27" t="s">
        <v>183</v>
      </c>
      <c r="C15" s="30">
        <f>+'FRS PL'!C31</f>
        <v>10291.29400000001</v>
      </c>
      <c r="D15" s="30">
        <f>+'FRS PL'!E31</f>
        <v>10768</v>
      </c>
      <c r="E15" s="30">
        <f>+'FRS PL'!G31</f>
        <v>33334.57000000001</v>
      </c>
      <c r="F15" s="30">
        <f>+'FRS PL'!I31</f>
        <v>22656</v>
      </c>
    </row>
    <row r="16" spans="1:6" ht="12.75">
      <c r="A16" s="29">
        <v>4</v>
      </c>
      <c r="B16" s="27" t="s">
        <v>137</v>
      </c>
      <c r="C16" s="30">
        <f>+'FRS PL'!C31</f>
        <v>10291.29400000001</v>
      </c>
      <c r="D16" s="30">
        <f>+'FRS PL'!E31</f>
        <v>10768</v>
      </c>
      <c r="E16" s="30">
        <f>+'FRS PL'!G31</f>
        <v>33334.57000000001</v>
      </c>
      <c r="F16" s="30">
        <f>+'FRS PL'!I31</f>
        <v>22656</v>
      </c>
    </row>
    <row r="17" spans="1:6" ht="12.75">
      <c r="A17" s="29">
        <v>5</v>
      </c>
      <c r="B17" s="27" t="s">
        <v>427</v>
      </c>
      <c r="C17" s="149">
        <f>+'FRS PL'!C42</f>
        <v>11.78722</v>
      </c>
      <c r="D17" s="149">
        <f>+'FRS PL'!E42</f>
        <v>12.77</v>
      </c>
      <c r="E17" s="149">
        <f>+'FRS PL'!G42</f>
        <v>39.363459999999996</v>
      </c>
      <c r="F17" s="149">
        <f>+'FRS PL'!I42</f>
        <v>26.43</v>
      </c>
    </row>
    <row r="18" spans="1:6" ht="12.75">
      <c r="A18" s="29">
        <v>6</v>
      </c>
      <c r="B18" s="27" t="s">
        <v>428</v>
      </c>
      <c r="C18" s="30">
        <v>0</v>
      </c>
      <c r="D18" s="30">
        <v>0</v>
      </c>
      <c r="E18" s="30">
        <v>0</v>
      </c>
      <c r="F18" s="30">
        <v>0</v>
      </c>
    </row>
    <row r="19" spans="1:6" ht="12.75">
      <c r="A19" s="29">
        <v>7</v>
      </c>
      <c r="B19" s="27" t="s">
        <v>429</v>
      </c>
      <c r="C19" s="30">
        <v>0</v>
      </c>
      <c r="D19" s="30">
        <v>0</v>
      </c>
      <c r="E19" s="149">
        <f>+'FRS BS'!D58</f>
        <v>2.275210835317464</v>
      </c>
      <c r="F19" s="149">
        <f>+'FRS BS'!F58</f>
        <v>1.9232968438475717</v>
      </c>
    </row>
    <row r="20" spans="1:6" ht="18.75" customHeight="1">
      <c r="A20" s="23" t="s">
        <v>430</v>
      </c>
      <c r="B20" s="24"/>
      <c r="C20" s="24"/>
      <c r="D20" s="24"/>
      <c r="E20" s="24"/>
      <c r="F20" s="224"/>
    </row>
    <row r="21" spans="1:6" ht="12.75">
      <c r="A21" s="74"/>
      <c r="B21" s="60"/>
      <c r="C21" s="60"/>
      <c r="D21" s="60"/>
      <c r="E21" s="60"/>
      <c r="F21" s="75"/>
    </row>
    <row r="22" spans="1:6" ht="12.75">
      <c r="A22" s="74"/>
      <c r="B22" s="60"/>
      <c r="C22" s="60"/>
      <c r="D22" s="60"/>
      <c r="E22" s="60"/>
      <c r="F22" s="75"/>
    </row>
    <row r="23" spans="1:6" ht="12.75">
      <c r="A23" s="25"/>
      <c r="B23" s="26"/>
      <c r="C23" s="26"/>
      <c r="D23" s="26"/>
      <c r="E23" s="26"/>
      <c r="F23" s="225"/>
    </row>
    <row r="28" spans="1:6" ht="15.75">
      <c r="A28" s="713" t="s">
        <v>432</v>
      </c>
      <c r="B28" s="714"/>
      <c r="C28" s="714"/>
      <c r="D28" s="714"/>
      <c r="E28" s="714"/>
      <c r="F28" s="715"/>
    </row>
    <row r="31" spans="1:6" ht="12.75">
      <c r="A31" s="23"/>
      <c r="B31" s="224"/>
      <c r="C31" s="711" t="s">
        <v>618</v>
      </c>
      <c r="D31" s="712"/>
      <c r="E31" s="711" t="s">
        <v>619</v>
      </c>
      <c r="F31" s="712"/>
    </row>
    <row r="32" spans="1:6" ht="12.75">
      <c r="A32" s="74"/>
      <c r="B32" s="75"/>
      <c r="C32" s="38" t="s">
        <v>431</v>
      </c>
      <c r="D32" s="38" t="s">
        <v>193</v>
      </c>
      <c r="E32" s="38" t="s">
        <v>180</v>
      </c>
      <c r="F32" s="38" t="s">
        <v>193</v>
      </c>
    </row>
    <row r="33" spans="1:6" ht="12.75">
      <c r="A33" s="74"/>
      <c r="B33" s="75"/>
      <c r="C33" s="223" t="s">
        <v>23</v>
      </c>
      <c r="D33" s="223" t="s">
        <v>178</v>
      </c>
      <c r="E33" s="223" t="s">
        <v>181</v>
      </c>
      <c r="F33" s="223" t="s">
        <v>178</v>
      </c>
    </row>
    <row r="34" spans="1:6" ht="12.75">
      <c r="A34" s="74"/>
      <c r="B34" s="75"/>
      <c r="C34" s="223"/>
      <c r="D34" s="223" t="s">
        <v>23</v>
      </c>
      <c r="E34" s="223"/>
      <c r="F34" s="223" t="s">
        <v>179</v>
      </c>
    </row>
    <row r="35" spans="1:6" ht="12.75">
      <c r="A35" s="74"/>
      <c r="B35" s="75"/>
      <c r="C35" s="248">
        <f>+C11</f>
        <v>39021</v>
      </c>
      <c r="D35" s="248">
        <f>+D11</f>
        <v>38656</v>
      </c>
      <c r="E35" s="248">
        <f>+E11</f>
        <v>39021</v>
      </c>
      <c r="F35" s="248">
        <f>+F11</f>
        <v>38656</v>
      </c>
    </row>
    <row r="36" spans="1:6" ht="12.75">
      <c r="A36" s="25"/>
      <c r="B36" s="225"/>
      <c r="C36" s="172" t="s">
        <v>87</v>
      </c>
      <c r="D36" s="172" t="s">
        <v>87</v>
      </c>
      <c r="E36" s="172" t="s">
        <v>87</v>
      </c>
      <c r="F36" s="172" t="s">
        <v>87</v>
      </c>
    </row>
    <row r="37" spans="1:6" ht="12.75">
      <c r="A37" s="29">
        <v>1</v>
      </c>
      <c r="B37" s="27" t="s">
        <v>433</v>
      </c>
      <c r="C37" s="244" t="e">
        <f>ROUND(#REF!+#REF!,0)-1</f>
        <v>#REF!</v>
      </c>
      <c r="D37" s="244">
        <v>54</v>
      </c>
      <c r="E37" s="227" t="e">
        <f>ROUND(+#REF!+#REF!,0)-1</f>
        <v>#REF!</v>
      </c>
      <c r="F37" s="244">
        <v>208</v>
      </c>
    </row>
    <row r="38" spans="1:6" ht="12.75">
      <c r="A38" s="29">
        <v>2</v>
      </c>
      <c r="B38" s="27" t="s">
        <v>434</v>
      </c>
      <c r="C38" s="227" t="e">
        <f>-ROUND('Cond PL'!B19,0)</f>
        <v>#REF!</v>
      </c>
      <c r="D38" s="227">
        <f>-ROUND('Cond PL'!D19,0)</f>
        <v>277</v>
      </c>
      <c r="E38" s="227" t="e">
        <f>-ROUND('Cond PL'!F19,0)</f>
        <v>#REF!</v>
      </c>
      <c r="F38" s="227">
        <f>-ROUND('Cond PL'!H19,0)</f>
        <v>277</v>
      </c>
    </row>
  </sheetData>
  <mergeCells count="9">
    <mergeCell ref="C31:D31"/>
    <mergeCell ref="E31:F31"/>
    <mergeCell ref="A1:F1"/>
    <mergeCell ref="A28:F28"/>
    <mergeCell ref="C7:D7"/>
    <mergeCell ref="E7:F7"/>
    <mergeCell ref="A3:F3"/>
    <mergeCell ref="A4:F4"/>
    <mergeCell ref="A5:F5"/>
  </mergeCells>
  <printOptions/>
  <pageMargins left="0.75" right="0.75" top="1" bottom="1" header="0.5" footer="0.5"/>
  <pageSetup horizontalDpi="300" verticalDpi="300" orientation="portrait" paperSize="9"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A2:N119"/>
  <sheetViews>
    <sheetView workbookViewId="0" topLeftCell="A88">
      <selection activeCell="B96" sqref="B96"/>
    </sheetView>
  </sheetViews>
  <sheetFormatPr defaultColWidth="9.140625" defaultRowHeight="12.75"/>
  <cols>
    <col min="1" max="1" width="4.7109375" style="2" customWidth="1"/>
    <col min="2" max="2" width="33.7109375" style="2" customWidth="1"/>
    <col min="3" max="3" width="17.8515625" style="2" customWidth="1"/>
    <col min="4" max="4" width="2.7109375" style="2" customWidth="1"/>
    <col min="5" max="5" width="17.7109375" style="2" customWidth="1"/>
    <col min="6" max="6" width="2.7109375" style="2" customWidth="1"/>
    <col min="7" max="7" width="13.140625" style="2" customWidth="1"/>
    <col min="8" max="10" width="8.8515625" style="2" customWidth="1"/>
    <col min="11" max="11" width="3.7109375" style="2" customWidth="1"/>
    <col min="12" max="12" width="6.00390625" style="2" bestFit="1" customWidth="1"/>
    <col min="13" max="13" width="6.7109375" style="2" customWidth="1"/>
    <col min="14" max="16384" width="8.8515625" style="2" customWidth="1"/>
  </cols>
  <sheetData>
    <row r="2" ht="12.75">
      <c r="B2" s="19" t="s">
        <v>491</v>
      </c>
    </row>
    <row r="4" spans="1:2" ht="12.75">
      <c r="A4" s="2">
        <v>1</v>
      </c>
      <c r="B4" s="19" t="s">
        <v>492</v>
      </c>
    </row>
    <row r="5" spans="1:2" ht="12.75">
      <c r="A5" s="14"/>
      <c r="B5" s="20" t="s">
        <v>675</v>
      </c>
    </row>
    <row r="6" spans="1:2" ht="12.75">
      <c r="A6" s="14"/>
      <c r="B6" s="20" t="s">
        <v>496</v>
      </c>
    </row>
    <row r="7" spans="1:2" ht="12.75">
      <c r="A7" s="14"/>
      <c r="B7" s="21"/>
    </row>
    <row r="8" spans="1:2" ht="12.75">
      <c r="A8" s="2">
        <v>2</v>
      </c>
      <c r="B8" s="19" t="s">
        <v>47</v>
      </c>
    </row>
    <row r="9" ht="12.75">
      <c r="B9" s="2" t="s">
        <v>397</v>
      </c>
    </row>
    <row r="11" spans="1:2" ht="12.75">
      <c r="A11" s="2">
        <v>3</v>
      </c>
      <c r="B11" s="19" t="s">
        <v>398</v>
      </c>
    </row>
    <row r="12" ht="12.75">
      <c r="B12" s="2" t="s">
        <v>397</v>
      </c>
    </row>
    <row r="14" spans="1:2" ht="12.75">
      <c r="A14" s="2">
        <v>4</v>
      </c>
      <c r="B14" s="19" t="s">
        <v>399</v>
      </c>
    </row>
    <row r="15" ht="12.75">
      <c r="B15" s="2" t="s">
        <v>400</v>
      </c>
    </row>
    <row r="16" ht="12.75">
      <c r="B16" s="2" t="s">
        <v>498</v>
      </c>
    </row>
    <row r="17" ht="12.75">
      <c r="C17" s="68" t="s">
        <v>87</v>
      </c>
    </row>
    <row r="18" spans="2:3" ht="12.75">
      <c r="B18" s="2" t="s">
        <v>399</v>
      </c>
      <c r="C18" s="16" t="e">
        <f>-#REF!-#REF!</f>
        <v>#REF!</v>
      </c>
    </row>
    <row r="19" spans="2:3" ht="12.75">
      <c r="B19" s="2" t="s">
        <v>348</v>
      </c>
      <c r="C19" s="16" t="e">
        <f>-#REF!</f>
        <v>#REF!</v>
      </c>
    </row>
    <row r="20" ht="12.75">
      <c r="C20" s="152" t="e">
        <f>SUM(C18:C19)</f>
        <v>#REF!</v>
      </c>
    </row>
    <row r="21" ht="12.75" hidden="1">
      <c r="C21" s="142" t="e">
        <f>+#REF!</f>
        <v>#REF!</v>
      </c>
    </row>
    <row r="22" ht="12.75">
      <c r="B22" s="2" t="s">
        <v>401</v>
      </c>
    </row>
    <row r="23" spans="1:2" ht="12.75">
      <c r="A23" s="2">
        <v>5</v>
      </c>
      <c r="B23" s="19" t="s">
        <v>402</v>
      </c>
    </row>
    <row r="24" ht="12.75">
      <c r="B24" s="2" t="s">
        <v>403</v>
      </c>
    </row>
    <row r="26" spans="1:2" ht="12.75">
      <c r="A26" s="2">
        <v>6</v>
      </c>
      <c r="B26" s="19" t="s">
        <v>404</v>
      </c>
    </row>
    <row r="27" ht="12.75">
      <c r="B27" s="2" t="s">
        <v>438</v>
      </c>
    </row>
    <row r="29" ht="12.75">
      <c r="B29" s="2" t="s">
        <v>439</v>
      </c>
    </row>
    <row r="31" ht="12.75">
      <c r="B31" s="2" t="s">
        <v>499</v>
      </c>
    </row>
    <row r="33" spans="2:13" ht="12.75">
      <c r="B33" s="23" t="s">
        <v>440</v>
      </c>
      <c r="C33" s="24"/>
      <c r="D33" s="24"/>
      <c r="E33" s="29" t="s">
        <v>87</v>
      </c>
      <c r="L33" s="9" t="s">
        <v>12</v>
      </c>
      <c r="M33" s="9" t="s">
        <v>13</v>
      </c>
    </row>
    <row r="34" spans="2:13" ht="12.75">
      <c r="B34" s="27" t="s">
        <v>441</v>
      </c>
      <c r="C34" s="28"/>
      <c r="D34" s="28"/>
      <c r="E34" s="145">
        <f>2498.41+2070</f>
        <v>4568.41</v>
      </c>
      <c r="J34" s="2" t="s">
        <v>14</v>
      </c>
      <c r="L34" s="2">
        <v>5000</v>
      </c>
      <c r="M34" s="2">
        <v>564</v>
      </c>
    </row>
    <row r="35" spans="2:13" ht="12.75">
      <c r="B35" s="25" t="s">
        <v>442</v>
      </c>
      <c r="C35" s="26"/>
      <c r="D35" s="26"/>
      <c r="E35" s="146">
        <f>E34</f>
        <v>4568.41</v>
      </c>
      <c r="J35" s="2" t="s">
        <v>15</v>
      </c>
      <c r="L35" s="153">
        <v>1.16</v>
      </c>
      <c r="M35" s="153">
        <v>0.67</v>
      </c>
    </row>
    <row r="36" spans="2:13" ht="12.75">
      <c r="B36" s="25" t="s">
        <v>500</v>
      </c>
      <c r="C36" s="26"/>
      <c r="D36" s="26"/>
      <c r="E36" s="145">
        <f>+L36+M36</f>
        <v>6177.88</v>
      </c>
      <c r="J36" s="2" t="s">
        <v>16</v>
      </c>
      <c r="L36" s="2">
        <f>+L34*L35</f>
        <v>5800</v>
      </c>
      <c r="M36" s="2">
        <f>+M34*M35</f>
        <v>377.88</v>
      </c>
    </row>
    <row r="38" spans="1:2" ht="12.75">
      <c r="A38" s="2">
        <v>7</v>
      </c>
      <c r="B38" s="19" t="s">
        <v>448</v>
      </c>
    </row>
    <row r="39" ht="12.75">
      <c r="B39" s="2" t="s">
        <v>397</v>
      </c>
    </row>
    <row r="41" spans="1:2" ht="12.75">
      <c r="A41" s="2">
        <v>8</v>
      </c>
      <c r="B41" s="19" t="s">
        <v>449</v>
      </c>
    </row>
    <row r="42" ht="12.75">
      <c r="B42" s="15" t="s">
        <v>450</v>
      </c>
    </row>
    <row r="44" spans="1:2" ht="12.75">
      <c r="A44" s="2">
        <v>9</v>
      </c>
      <c r="B44" s="19" t="s">
        <v>565</v>
      </c>
    </row>
    <row r="45" ht="12.75">
      <c r="B45" s="2" t="s">
        <v>403</v>
      </c>
    </row>
    <row r="47" spans="1:2" ht="12.75">
      <c r="A47" s="2">
        <v>10</v>
      </c>
      <c r="B47" s="19" t="s">
        <v>501</v>
      </c>
    </row>
    <row r="49" spans="2:5" ht="12.75">
      <c r="B49" s="32"/>
      <c r="C49" s="29" t="s">
        <v>566</v>
      </c>
      <c r="D49" s="9"/>
      <c r="E49" s="38" t="s">
        <v>567</v>
      </c>
    </row>
    <row r="50" spans="2:5" ht="12.75">
      <c r="B50" s="33"/>
      <c r="C50" s="41" t="s">
        <v>87</v>
      </c>
      <c r="D50" s="9"/>
      <c r="E50" s="38" t="s">
        <v>87</v>
      </c>
    </row>
    <row r="51" spans="2:5" ht="12.75">
      <c r="B51" s="33" t="s">
        <v>568</v>
      </c>
      <c r="C51" s="36" t="e">
        <f>ROUND(#REF!+#REF!,0)</f>
        <v>#REF!</v>
      </c>
      <c r="E51" s="39">
        <v>0</v>
      </c>
    </row>
    <row r="52" spans="2:5" ht="12.75">
      <c r="B52" s="33"/>
      <c r="C52" s="36"/>
      <c r="E52" s="39"/>
    </row>
    <row r="53" spans="2:5" ht="12.75" hidden="1">
      <c r="B53" s="33" t="s">
        <v>748</v>
      </c>
      <c r="C53" s="36"/>
      <c r="E53" s="39">
        <v>0</v>
      </c>
    </row>
    <row r="54" spans="2:5" ht="12.75" hidden="1">
      <c r="B54" s="33"/>
      <c r="C54" s="36"/>
      <c r="E54" s="39"/>
    </row>
    <row r="55" spans="2:5" ht="12.75">
      <c r="B55" s="33" t="s">
        <v>497</v>
      </c>
      <c r="C55" s="36" t="e">
        <f>ROUND(+#REF!,0)</f>
        <v>#REF!</v>
      </c>
      <c r="E55" s="35">
        <v>0</v>
      </c>
    </row>
    <row r="56" spans="2:5" ht="12.75">
      <c r="B56" s="33"/>
      <c r="C56" s="37"/>
      <c r="E56" s="39"/>
    </row>
    <row r="57" spans="2:5" ht="12.75">
      <c r="B57" s="34" t="s">
        <v>790</v>
      </c>
      <c r="C57" s="7" t="e">
        <f>SUM(C51:C55)</f>
        <v>#REF!</v>
      </c>
      <c r="E57" s="35">
        <v>0</v>
      </c>
    </row>
    <row r="59" spans="1:2" ht="12.75">
      <c r="A59" s="2">
        <v>11</v>
      </c>
      <c r="B59" s="19" t="s">
        <v>569</v>
      </c>
    </row>
    <row r="60" ht="12.75">
      <c r="E60" s="68" t="s">
        <v>677</v>
      </c>
    </row>
    <row r="61" ht="12.75">
      <c r="E61" s="68" t="s">
        <v>87</v>
      </c>
    </row>
    <row r="62" spans="2:5" ht="12.75">
      <c r="B62" s="2" t="s">
        <v>676</v>
      </c>
      <c r="E62" s="16">
        <v>39451</v>
      </c>
    </row>
    <row r="63" ht="12.75">
      <c r="B63" s="2" t="s">
        <v>678</v>
      </c>
    </row>
    <row r="65" spans="1:2" ht="12.75">
      <c r="A65" s="2">
        <v>12</v>
      </c>
      <c r="B65" s="19" t="s">
        <v>570</v>
      </c>
    </row>
    <row r="66" ht="12.75">
      <c r="B66" s="2" t="s">
        <v>403</v>
      </c>
    </row>
    <row r="68" spans="1:2" ht="12.75">
      <c r="A68" s="2">
        <v>13</v>
      </c>
      <c r="B68" s="19" t="s">
        <v>571</v>
      </c>
    </row>
    <row r="69" ht="12.75">
      <c r="B69" s="15" t="s">
        <v>572</v>
      </c>
    </row>
    <row r="71" spans="1:2" ht="12.75">
      <c r="A71" s="2">
        <v>14</v>
      </c>
      <c r="B71" s="19" t="s">
        <v>573</v>
      </c>
    </row>
    <row r="72" spans="5:14" ht="12.75">
      <c r="E72" s="9" t="s">
        <v>575</v>
      </c>
      <c r="J72" s="60"/>
      <c r="K72" s="60"/>
      <c r="L72" s="147"/>
      <c r="M72" s="60"/>
      <c r="N72" s="60"/>
    </row>
    <row r="73" spans="2:14" ht="12.75">
      <c r="B73" s="2" t="s">
        <v>576</v>
      </c>
      <c r="C73" s="718" t="s">
        <v>502</v>
      </c>
      <c r="D73" s="718"/>
      <c r="E73" s="718"/>
      <c r="F73" s="718"/>
      <c r="G73" s="718"/>
      <c r="J73" s="690"/>
      <c r="K73" s="690"/>
      <c r="L73" s="690"/>
      <c r="M73" s="690"/>
      <c r="N73" s="690"/>
    </row>
    <row r="74" spans="2:14" ht="12.75">
      <c r="B74" s="2" t="s">
        <v>529</v>
      </c>
      <c r="C74" s="9" t="s">
        <v>45</v>
      </c>
      <c r="E74" s="9" t="s">
        <v>530</v>
      </c>
      <c r="G74" s="9" t="s">
        <v>531</v>
      </c>
      <c r="J74" s="147"/>
      <c r="K74" s="60"/>
      <c r="L74" s="147"/>
      <c r="M74" s="60"/>
      <c r="N74" s="147"/>
    </row>
    <row r="75" spans="3:14" ht="12.75">
      <c r="C75" s="9" t="s">
        <v>87</v>
      </c>
      <c r="E75" s="9" t="s">
        <v>87</v>
      </c>
      <c r="G75" s="9" t="s">
        <v>87</v>
      </c>
      <c r="J75" s="147"/>
      <c r="K75" s="60"/>
      <c r="L75" s="147"/>
      <c r="M75" s="60"/>
      <c r="N75" s="147"/>
    </row>
    <row r="76" spans="3:14" ht="12.75">
      <c r="C76" s="9"/>
      <c r="E76" s="9"/>
      <c r="G76" s="9"/>
      <c r="J76" s="147"/>
      <c r="K76" s="60"/>
      <c r="L76" s="147"/>
      <c r="M76" s="60"/>
      <c r="N76" s="147"/>
    </row>
    <row r="77" spans="2:14" ht="12.75">
      <c r="B77" s="2" t="s">
        <v>266</v>
      </c>
      <c r="C77" s="3" t="e">
        <f>+'seg Apr'!E24</f>
        <v>#REF!</v>
      </c>
      <c r="E77" s="3" t="e">
        <f>+'seg Apr'!J24</f>
        <v>#REF!</v>
      </c>
      <c r="F77" s="3"/>
      <c r="G77" s="3" t="e">
        <f>+'seg Apr'!O24</f>
        <v>#REF!</v>
      </c>
      <c r="J77" s="45"/>
      <c r="K77" s="60"/>
      <c r="L77" s="45"/>
      <c r="M77" s="45"/>
      <c r="N77" s="45"/>
    </row>
    <row r="78" spans="2:14" ht="12.75">
      <c r="B78" s="2" t="s">
        <v>22</v>
      </c>
      <c r="C78" s="3" t="e">
        <f>+'seg Apr'!E36</f>
        <v>#REF!</v>
      </c>
      <c r="E78" s="3" t="e">
        <f>+'seg Apr'!J36</f>
        <v>#REF!</v>
      </c>
      <c r="F78" s="3"/>
      <c r="G78" s="3" t="e">
        <f>+'seg Apr'!O36</f>
        <v>#REF!</v>
      </c>
      <c r="J78" s="45"/>
      <c r="K78" s="60"/>
      <c r="L78" s="45"/>
      <c r="M78" s="45"/>
      <c r="N78" s="45"/>
    </row>
    <row r="79" spans="2:14" ht="12.75">
      <c r="B79" s="2" t="s">
        <v>532</v>
      </c>
      <c r="C79" s="3">
        <f>+'seg Apr'!E50</f>
        <v>0</v>
      </c>
      <c r="E79" s="4">
        <f>+'seg Apr'!J50</f>
        <v>0</v>
      </c>
      <c r="F79" s="3"/>
      <c r="G79" s="4">
        <f>+'seg Apr'!O50</f>
        <v>0</v>
      </c>
      <c r="J79" s="45"/>
      <c r="K79" s="60"/>
      <c r="L79" s="45"/>
      <c r="M79" s="45"/>
      <c r="N79" s="45"/>
    </row>
    <row r="80" spans="3:14" ht="12.75">
      <c r="C80" s="86" t="e">
        <f>Announcement!$C$14</f>
        <v>#REF!</v>
      </c>
      <c r="E80" s="3" t="e">
        <f>SUM(E77:E79)</f>
        <v>#REF!</v>
      </c>
      <c r="G80" s="22" t="e">
        <f>SUM(G77:G79)</f>
        <v>#REF!</v>
      </c>
      <c r="J80" s="45"/>
      <c r="K80" s="60"/>
      <c r="L80" s="45"/>
      <c r="M80" s="60"/>
      <c r="N80" s="45"/>
    </row>
    <row r="81" spans="2:14" ht="12.75" customHeight="1" hidden="1">
      <c r="B81" s="22"/>
      <c r="C81" s="143" t="e">
        <f>SUM(C77:C79)</f>
        <v>#REF!</v>
      </c>
      <c r="E81" s="3"/>
      <c r="G81" s="22"/>
      <c r="J81" s="143"/>
      <c r="K81" s="60"/>
      <c r="L81" s="45"/>
      <c r="M81" s="60"/>
      <c r="N81" s="154"/>
    </row>
    <row r="82" spans="3:14" ht="12.75">
      <c r="C82" s="142"/>
      <c r="J82" s="155"/>
      <c r="K82" s="60"/>
      <c r="L82" s="60"/>
      <c r="M82" s="60"/>
      <c r="N82" s="60"/>
    </row>
    <row r="83" spans="2:14" ht="12.75">
      <c r="B83" s="2" t="s">
        <v>533</v>
      </c>
      <c r="C83" s="4" t="e">
        <f>+'seg Apr'!E54</f>
        <v>#REF!</v>
      </c>
      <c r="E83" s="4" t="e">
        <f>+'seg Apr'!J54</f>
        <v>#REF!</v>
      </c>
      <c r="G83" s="4" t="e">
        <f>+'seg Apr'!O54</f>
        <v>#REF!</v>
      </c>
      <c r="J83" s="62"/>
      <c r="K83" s="60"/>
      <c r="L83" s="45"/>
      <c r="M83" s="60"/>
      <c r="N83" s="45"/>
    </row>
    <row r="84" spans="3:14" ht="13.5" thickBot="1">
      <c r="C84" s="40" t="e">
        <f>+C80+C83</f>
        <v>#REF!</v>
      </c>
      <c r="E84" s="40" t="e">
        <f>+E80+E83</f>
        <v>#REF!</v>
      </c>
      <c r="G84" s="40" t="e">
        <f>+G80+G83</f>
        <v>#REF!</v>
      </c>
      <c r="J84" s="154"/>
      <c r="K84" s="60"/>
      <c r="L84" s="154"/>
      <c r="M84" s="60"/>
      <c r="N84" s="154"/>
    </row>
    <row r="85" ht="13.5" thickTop="1"/>
    <row r="86" ht="12.75">
      <c r="E86" s="9" t="s">
        <v>534</v>
      </c>
    </row>
    <row r="87" spans="2:7" ht="12.75">
      <c r="B87" s="2" t="s">
        <v>576</v>
      </c>
      <c r="C87" s="718" t="s">
        <v>503</v>
      </c>
      <c r="D87" s="718"/>
      <c r="E87" s="718"/>
      <c r="F87" s="718"/>
      <c r="G87" s="718"/>
    </row>
    <row r="88" spans="2:7" ht="12.75">
      <c r="B88" s="2" t="s">
        <v>529</v>
      </c>
      <c r="C88" s="9" t="s">
        <v>45</v>
      </c>
      <c r="E88" s="9" t="s">
        <v>530</v>
      </c>
      <c r="G88" s="9" t="s">
        <v>531</v>
      </c>
    </row>
    <row r="89" spans="3:7" ht="12.75">
      <c r="C89" s="9" t="s">
        <v>87</v>
      </c>
      <c r="E89" s="9" t="s">
        <v>87</v>
      </c>
      <c r="G89" s="9" t="s">
        <v>87</v>
      </c>
    </row>
    <row r="90" spans="3:7" ht="12.75">
      <c r="C90" s="9"/>
      <c r="E90" s="9"/>
      <c r="G90" s="9"/>
    </row>
    <row r="91" spans="2:7" ht="12.75">
      <c r="B91" s="2" t="s">
        <v>266</v>
      </c>
      <c r="C91" s="3" t="e">
        <f>+#REF!</f>
        <v>#REF!</v>
      </c>
      <c r="E91" s="3" t="e">
        <f>+#REF!</f>
        <v>#REF!</v>
      </c>
      <c r="G91" s="3" t="e">
        <f>+#REF!</f>
        <v>#REF!</v>
      </c>
    </row>
    <row r="92" spans="2:7" ht="12.75">
      <c r="B92" s="2" t="s">
        <v>22</v>
      </c>
      <c r="C92" s="22" t="e">
        <f>+#REF!</f>
        <v>#REF!</v>
      </c>
      <c r="E92" s="3" t="e">
        <f>+#REF!</f>
        <v>#REF!</v>
      </c>
      <c r="G92" s="22" t="e">
        <f>+#REF!</f>
        <v>#REF!</v>
      </c>
    </row>
    <row r="93" spans="2:7" ht="12.75">
      <c r="B93" s="2" t="s">
        <v>532</v>
      </c>
      <c r="C93" s="141" t="e">
        <f>+#REF!</f>
        <v>#REF!</v>
      </c>
      <c r="E93" s="4" t="e">
        <f>+#REF!</f>
        <v>#REF!</v>
      </c>
      <c r="G93" s="4" t="e">
        <f>+#REF!</f>
        <v>#REF!</v>
      </c>
    </row>
    <row r="94" spans="3:7" ht="12.75">
      <c r="C94" s="3" t="e">
        <f>SUM(C91:C93)</f>
        <v>#REF!</v>
      </c>
      <c r="E94" s="3" t="e">
        <f>SUM(E91:E93)</f>
        <v>#REF!</v>
      </c>
      <c r="G94" s="22" t="e">
        <f>SUM(G91:G93)</f>
        <v>#REF!</v>
      </c>
    </row>
    <row r="95" ht="12.75">
      <c r="C95" s="18"/>
    </row>
    <row r="96" spans="2:9" ht="12.75">
      <c r="B96" s="2" t="s">
        <v>533</v>
      </c>
      <c r="C96" s="31">
        <v>0</v>
      </c>
      <c r="E96" s="4" t="e">
        <f>+#REF!</f>
        <v>#REF!</v>
      </c>
      <c r="G96" s="4" t="e">
        <f>+#REF!</f>
        <v>#REF!</v>
      </c>
      <c r="I96" s="22"/>
    </row>
    <row r="97" spans="3:7" ht="13.5" thickBot="1">
      <c r="C97" s="40" t="e">
        <f>+C94+C96</f>
        <v>#REF!</v>
      </c>
      <c r="E97" s="40" t="e">
        <f>+E94+E96</f>
        <v>#REF!</v>
      </c>
      <c r="G97" s="40" t="e">
        <f>+G94+G96</f>
        <v>#REF!</v>
      </c>
    </row>
    <row r="98" ht="13.5" thickTop="1"/>
    <row r="100" spans="1:2" ht="12.75">
      <c r="A100" s="2">
        <v>15</v>
      </c>
      <c r="B100" s="19" t="s">
        <v>344</v>
      </c>
    </row>
    <row r="101" ht="12.75">
      <c r="B101" s="2" t="s">
        <v>189</v>
      </c>
    </row>
    <row r="103" spans="1:2" ht="12.75">
      <c r="A103" s="2">
        <v>16</v>
      </c>
      <c r="B103" s="19" t="s">
        <v>190</v>
      </c>
    </row>
    <row r="104" ht="12.75">
      <c r="B104" s="15" t="s">
        <v>191</v>
      </c>
    </row>
    <row r="106" spans="1:2" ht="12.75">
      <c r="A106" s="2">
        <v>17</v>
      </c>
      <c r="B106" s="19" t="s">
        <v>506</v>
      </c>
    </row>
    <row r="107" ht="12.75">
      <c r="B107" s="2" t="s">
        <v>507</v>
      </c>
    </row>
    <row r="109" spans="1:2" ht="12.75">
      <c r="A109" s="2">
        <v>18</v>
      </c>
      <c r="B109" s="19" t="s">
        <v>451</v>
      </c>
    </row>
    <row r="110" ht="12.75">
      <c r="B110" s="2" t="s">
        <v>564</v>
      </c>
    </row>
    <row r="112" spans="1:2" ht="12.75">
      <c r="A112" s="2">
        <v>19</v>
      </c>
      <c r="B112" s="19" t="s">
        <v>345</v>
      </c>
    </row>
    <row r="113" ht="12.75">
      <c r="B113" s="15" t="s">
        <v>191</v>
      </c>
    </row>
    <row r="115" spans="1:2" ht="12.75">
      <c r="A115" s="2">
        <v>20</v>
      </c>
      <c r="B115" s="19" t="s">
        <v>346</v>
      </c>
    </row>
    <row r="116" ht="12.75">
      <c r="B116" s="2" t="s">
        <v>189</v>
      </c>
    </row>
    <row r="118" spans="1:2" ht="12.75">
      <c r="A118" s="2">
        <v>21</v>
      </c>
      <c r="B118" s="19" t="s">
        <v>347</v>
      </c>
    </row>
    <row r="119" ht="12.75">
      <c r="B119" s="2" t="s">
        <v>694</v>
      </c>
    </row>
  </sheetData>
  <mergeCells count="3">
    <mergeCell ref="C73:G73"/>
    <mergeCell ref="C87:G87"/>
    <mergeCell ref="J73:N73"/>
  </mergeCells>
  <printOptions/>
  <pageMargins left="0.36" right="0.26" top="0.2" bottom="0.19" header="0.2" footer="0.19"/>
  <pageSetup horizontalDpi="300" verticalDpi="30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R61"/>
  <sheetViews>
    <sheetView view="pageBreakPreview" zoomScale="60" workbookViewId="0" topLeftCell="A36">
      <selection activeCell="G82" sqref="G82"/>
    </sheetView>
  </sheetViews>
  <sheetFormatPr defaultColWidth="9.140625" defaultRowHeight="12.75"/>
  <cols>
    <col min="1" max="1" width="1.57421875" style="304" customWidth="1"/>
    <col min="2" max="2" width="36.8515625" style="304" customWidth="1"/>
    <col min="3" max="11" width="12.00390625" style="304" customWidth="1"/>
    <col min="12" max="12" width="1.7109375" style="304" customWidth="1"/>
    <col min="13" max="13" width="12.57421875" style="304" bestFit="1" customWidth="1"/>
    <col min="14" max="14" width="11.00390625" style="304" customWidth="1"/>
    <col min="15" max="16384" width="8.8515625" style="304" customWidth="1"/>
  </cols>
  <sheetData>
    <row r="1" spans="2:5" ht="18.75">
      <c r="B1" s="175" t="s">
        <v>159</v>
      </c>
      <c r="C1" s="175"/>
      <c r="D1" s="175"/>
      <c r="E1" s="2"/>
    </row>
    <row r="2" ht="18.75">
      <c r="B2" s="363"/>
    </row>
    <row r="3" spans="2:11" ht="12.75">
      <c r="B3" s="364" t="s">
        <v>739</v>
      </c>
      <c r="K3" s="365"/>
    </row>
    <row r="4" spans="2:11" ht="12.75">
      <c r="B4" s="364" t="s">
        <v>833</v>
      </c>
      <c r="K4" s="365"/>
    </row>
    <row r="5" ht="12.75">
      <c r="K5" s="365"/>
    </row>
    <row r="6" ht="12.75">
      <c r="K6" s="365"/>
    </row>
    <row r="7" spans="3:11" ht="12.75">
      <c r="C7" s="380"/>
      <c r="E7" s="697" t="s">
        <v>153</v>
      </c>
      <c r="F7" s="697"/>
      <c r="G7" s="697"/>
      <c r="I7" s="379"/>
      <c r="K7" s="365"/>
    </row>
    <row r="8" ht="12.75">
      <c r="K8" s="365"/>
    </row>
    <row r="9" spans="4:11" ht="12.75">
      <c r="D9" s="380"/>
      <c r="E9" s="697" t="s">
        <v>154</v>
      </c>
      <c r="F9" s="697"/>
      <c r="G9" s="379"/>
      <c r="H9" s="377" t="s">
        <v>760</v>
      </c>
      <c r="K9" s="365"/>
    </row>
    <row r="10" spans="3:11" ht="24.75" customHeight="1">
      <c r="C10" s="366" t="s">
        <v>336</v>
      </c>
      <c r="D10" s="366" t="s">
        <v>265</v>
      </c>
      <c r="E10" s="366" t="s">
        <v>235</v>
      </c>
      <c r="F10" s="366" t="s">
        <v>313</v>
      </c>
      <c r="G10" s="366" t="s">
        <v>695</v>
      </c>
      <c r="H10" s="366" t="s">
        <v>759</v>
      </c>
      <c r="I10" s="367" t="s">
        <v>790</v>
      </c>
      <c r="J10" s="378" t="s">
        <v>758</v>
      </c>
      <c r="K10" s="366" t="s">
        <v>406</v>
      </c>
    </row>
    <row r="11" spans="3:11" ht="12.75">
      <c r="C11" s="367" t="s">
        <v>716</v>
      </c>
      <c r="D11" s="367" t="s">
        <v>716</v>
      </c>
      <c r="E11" s="367" t="s">
        <v>716</v>
      </c>
      <c r="F11" s="367" t="s">
        <v>716</v>
      </c>
      <c r="G11" s="367" t="s">
        <v>716</v>
      </c>
      <c r="H11" s="367" t="s">
        <v>716</v>
      </c>
      <c r="I11" s="367" t="s">
        <v>716</v>
      </c>
      <c r="J11" s="367" t="s">
        <v>716</v>
      </c>
      <c r="K11" s="367" t="s">
        <v>716</v>
      </c>
    </row>
    <row r="12" spans="3:11" ht="12.75">
      <c r="C12" s="368"/>
      <c r="D12" s="368"/>
      <c r="E12" s="368"/>
      <c r="F12" s="368"/>
      <c r="G12" s="368"/>
      <c r="H12" s="368"/>
      <c r="I12" s="368"/>
      <c r="J12" s="368"/>
      <c r="K12" s="368"/>
    </row>
    <row r="13" spans="3:11" ht="12.75">
      <c r="C13" s="365"/>
      <c r="D13" s="365"/>
      <c r="E13" s="365"/>
      <c r="F13" s="365"/>
      <c r="G13" s="365"/>
      <c r="H13" s="365"/>
      <c r="I13" s="365"/>
      <c r="K13" s="365"/>
    </row>
    <row r="14" spans="2:11" ht="12.75">
      <c r="B14" s="536" t="s">
        <v>834</v>
      </c>
      <c r="C14" s="537"/>
      <c r="D14" s="537"/>
      <c r="E14" s="537"/>
      <c r="F14" s="537"/>
      <c r="G14" s="537"/>
      <c r="H14" s="537"/>
      <c r="I14" s="537"/>
      <c r="J14" s="468"/>
      <c r="K14" s="537"/>
    </row>
    <row r="15" spans="2:11" ht="12.75">
      <c r="B15" s="468"/>
      <c r="C15" s="537"/>
      <c r="D15" s="537"/>
      <c r="E15" s="537"/>
      <c r="F15" s="537"/>
      <c r="G15" s="537"/>
      <c r="H15" s="537"/>
      <c r="I15" s="537"/>
      <c r="J15" s="468"/>
      <c r="K15" s="537"/>
    </row>
    <row r="16" spans="2:11" ht="12.75">
      <c r="B16" s="538" t="s">
        <v>425</v>
      </c>
      <c r="C16" s="527">
        <v>53106</v>
      </c>
      <c r="D16" s="527">
        <v>3715</v>
      </c>
      <c r="E16" s="527">
        <v>377</v>
      </c>
      <c r="F16" s="527">
        <v>1020</v>
      </c>
      <c r="G16" s="527">
        <v>422</v>
      </c>
      <c r="H16" s="527">
        <v>23834</v>
      </c>
      <c r="I16" s="539">
        <f>SUM(C16:H16)-1</f>
        <v>82473</v>
      </c>
      <c r="J16" s="523">
        <v>61553</v>
      </c>
      <c r="K16" s="539">
        <f>SUM(I16:J16)</f>
        <v>144026</v>
      </c>
    </row>
    <row r="17" spans="2:11" ht="12.75">
      <c r="B17" s="468"/>
      <c r="C17" s="527"/>
      <c r="D17" s="527"/>
      <c r="E17" s="527"/>
      <c r="F17" s="527"/>
      <c r="G17" s="527"/>
      <c r="H17" s="527"/>
      <c r="I17" s="539"/>
      <c r="J17" s="468"/>
      <c r="K17" s="539"/>
    </row>
    <row r="18" spans="2:11" ht="12.75">
      <c r="B18" s="468" t="s">
        <v>648</v>
      </c>
      <c r="C18" s="527">
        <v>60</v>
      </c>
      <c r="D18" s="527">
        <v>0</v>
      </c>
      <c r="E18" s="527">
        <v>0</v>
      </c>
      <c r="F18" s="527">
        <v>0</v>
      </c>
      <c r="G18" s="527">
        <v>0</v>
      </c>
      <c r="H18" s="527">
        <v>0</v>
      </c>
      <c r="I18" s="539">
        <f>SUM(C18:H18)</f>
        <v>60</v>
      </c>
      <c r="J18" s="677">
        <v>0</v>
      </c>
      <c r="K18" s="539">
        <f>SUM(I18:J18)</f>
        <v>60</v>
      </c>
    </row>
    <row r="19" spans="2:13" ht="12.75" customHeight="1" hidden="1">
      <c r="B19" s="468" t="s">
        <v>160</v>
      </c>
      <c r="C19" s="527">
        <v>0</v>
      </c>
      <c r="D19" s="527">
        <v>0</v>
      </c>
      <c r="E19" s="527">
        <v>0</v>
      </c>
      <c r="F19" s="527">
        <v>0</v>
      </c>
      <c r="G19" s="527">
        <v>0</v>
      </c>
      <c r="H19" s="527">
        <v>0</v>
      </c>
      <c r="I19" s="539">
        <f>SUM(C19:H19)</f>
        <v>0</v>
      </c>
      <c r="J19" s="677">
        <v>0</v>
      </c>
      <c r="K19" s="539">
        <f>SUM(I19:J19)</f>
        <v>0</v>
      </c>
      <c r="L19" s="399"/>
      <c r="M19" s="399"/>
    </row>
    <row r="20" spans="2:11" ht="12.75">
      <c r="B20" s="468"/>
      <c r="C20" s="527"/>
      <c r="D20" s="527"/>
      <c r="E20" s="527"/>
      <c r="F20" s="527"/>
      <c r="G20" s="527"/>
      <c r="H20" s="527"/>
      <c r="I20" s="539"/>
      <c r="J20" s="468"/>
      <c r="K20" s="539"/>
    </row>
    <row r="21" spans="2:14" ht="12.75" customHeight="1" hidden="1">
      <c r="B21" s="564" t="s">
        <v>659</v>
      </c>
      <c r="C21" s="555">
        <v>0</v>
      </c>
      <c r="D21" s="555">
        <v>0</v>
      </c>
      <c r="E21" s="555">
        <v>0</v>
      </c>
      <c r="F21" s="555">
        <v>0</v>
      </c>
      <c r="G21" s="555">
        <v>0</v>
      </c>
      <c r="H21" s="555">
        <v>0</v>
      </c>
      <c r="I21" s="556">
        <f>SUM(C21:H21)</f>
        <v>0</v>
      </c>
      <c r="J21" s="556">
        <v>0</v>
      </c>
      <c r="K21" s="558">
        <f>SUM(I21:J21)</f>
        <v>0</v>
      </c>
      <c r="L21" s="399"/>
      <c r="M21" s="399"/>
      <c r="N21" s="399"/>
    </row>
    <row r="22" spans="2:14" ht="12.75">
      <c r="B22" s="564" t="s">
        <v>32</v>
      </c>
      <c r="C22" s="555"/>
      <c r="D22" s="555"/>
      <c r="E22" s="555"/>
      <c r="F22" s="555">
        <v>351</v>
      </c>
      <c r="G22" s="555"/>
      <c r="H22" s="555">
        <v>-351</v>
      </c>
      <c r="I22" s="556">
        <f>SUM(C22:H22)</f>
        <v>0</v>
      </c>
      <c r="J22" s="556"/>
      <c r="K22" s="558">
        <f>SUM(I22:J22)</f>
        <v>0</v>
      </c>
      <c r="L22" s="399"/>
      <c r="M22" s="399"/>
      <c r="N22" s="399"/>
    </row>
    <row r="23" spans="2:11" ht="12.75">
      <c r="B23" s="566" t="s">
        <v>161</v>
      </c>
      <c r="C23" s="686">
        <v>0</v>
      </c>
      <c r="D23" s="686">
        <v>0</v>
      </c>
      <c r="E23" s="686">
        <v>0</v>
      </c>
      <c r="F23" s="686">
        <v>0</v>
      </c>
      <c r="G23" s="686">
        <v>-459</v>
      </c>
      <c r="H23" s="686">
        <v>0</v>
      </c>
      <c r="I23" s="679">
        <f>SUM(C23:H23)</f>
        <v>-459</v>
      </c>
      <c r="J23" s="687">
        <v>-719</v>
      </c>
      <c r="K23" s="688">
        <f>SUM(I23:J23)</f>
        <v>-1178</v>
      </c>
    </row>
    <row r="24" spans="2:11" ht="12.75">
      <c r="B24" s="564" t="s">
        <v>162</v>
      </c>
      <c r="C24" s="555">
        <f>SUM(C21:C23)</f>
        <v>0</v>
      </c>
      <c r="D24" s="555">
        <f aca="true" t="shared" si="0" ref="D24:K24">SUM(D21:D23)</f>
        <v>0</v>
      </c>
      <c r="E24" s="555">
        <f t="shared" si="0"/>
        <v>0</v>
      </c>
      <c r="F24" s="555">
        <f t="shared" si="0"/>
        <v>351</v>
      </c>
      <c r="G24" s="557">
        <f t="shared" si="0"/>
        <v>-459</v>
      </c>
      <c r="H24" s="555">
        <f t="shared" si="0"/>
        <v>-351</v>
      </c>
      <c r="I24" s="557">
        <f t="shared" si="0"/>
        <v>-459</v>
      </c>
      <c r="J24" s="557">
        <f t="shared" si="0"/>
        <v>-719</v>
      </c>
      <c r="K24" s="560">
        <f t="shared" si="0"/>
        <v>-1178</v>
      </c>
    </row>
    <row r="25" spans="2:11" ht="12.75">
      <c r="B25" s="565"/>
      <c r="C25" s="527"/>
      <c r="D25" s="527"/>
      <c r="E25" s="527"/>
      <c r="F25" s="527"/>
      <c r="G25" s="527"/>
      <c r="H25" s="527"/>
      <c r="I25" s="539"/>
      <c r="J25" s="537"/>
      <c r="K25" s="559"/>
    </row>
    <row r="26" spans="2:13" ht="12.75" customHeight="1" hidden="1">
      <c r="B26" s="565" t="s">
        <v>163</v>
      </c>
      <c r="C26" s="527">
        <v>0</v>
      </c>
      <c r="D26" s="527">
        <v>0</v>
      </c>
      <c r="E26" s="527">
        <v>0</v>
      </c>
      <c r="F26" s="527">
        <v>0</v>
      </c>
      <c r="G26" s="527">
        <v>0</v>
      </c>
      <c r="H26" s="527">
        <v>0</v>
      </c>
      <c r="I26" s="539">
        <f>SUM(C26:H26)</f>
        <v>0</v>
      </c>
      <c r="J26" s="539">
        <v>0</v>
      </c>
      <c r="K26" s="559">
        <f>SUM(I26:J26)</f>
        <v>0</v>
      </c>
      <c r="L26" s="399"/>
      <c r="M26" s="399"/>
    </row>
    <row r="27" spans="2:13" ht="12.75" customHeight="1" hidden="1">
      <c r="B27" s="565" t="s">
        <v>164</v>
      </c>
      <c r="C27" s="678">
        <v>0</v>
      </c>
      <c r="D27" s="539">
        <v>0</v>
      </c>
      <c r="E27" s="539">
        <v>0</v>
      </c>
      <c r="F27" s="539">
        <v>0</v>
      </c>
      <c r="G27" s="539">
        <v>0</v>
      </c>
      <c r="H27" s="539">
        <v>0</v>
      </c>
      <c r="I27" s="527">
        <v>0</v>
      </c>
      <c r="J27" s="539">
        <v>0</v>
      </c>
      <c r="K27" s="559">
        <f>SUM(I27:J27)</f>
        <v>0</v>
      </c>
      <c r="L27" s="399"/>
      <c r="M27" s="399"/>
    </row>
    <row r="28" spans="2:13" ht="12.75" customHeight="1" hidden="1">
      <c r="B28" s="565" t="s">
        <v>165</v>
      </c>
      <c r="C28" s="678">
        <v>0</v>
      </c>
      <c r="D28" s="539">
        <v>0</v>
      </c>
      <c r="E28" s="539">
        <v>0</v>
      </c>
      <c r="F28" s="539">
        <v>0</v>
      </c>
      <c r="G28" s="539">
        <v>0</v>
      </c>
      <c r="H28" s="539">
        <v>0</v>
      </c>
      <c r="I28" s="527">
        <v>0</v>
      </c>
      <c r="J28" s="539">
        <v>0</v>
      </c>
      <c r="K28" s="559">
        <f>SUM(I28:J28)</f>
        <v>0</v>
      </c>
      <c r="L28" s="399"/>
      <c r="M28" s="399"/>
    </row>
    <row r="29" spans="2:18" ht="12.75" customHeight="1" hidden="1">
      <c r="B29" s="565" t="s">
        <v>166</v>
      </c>
      <c r="C29" s="539">
        <f>+'[2]equity'!C15</f>
        <v>0</v>
      </c>
      <c r="D29" s="539">
        <f>+'[2]equity'!D15</f>
        <v>0</v>
      </c>
      <c r="E29" s="539">
        <f>+'[2]equity'!E15</f>
        <v>0</v>
      </c>
      <c r="F29" s="539">
        <v>0</v>
      </c>
      <c r="G29" s="539">
        <f>+'[2]equity'!G15</f>
        <v>0</v>
      </c>
      <c r="H29" s="539">
        <v>0</v>
      </c>
      <c r="I29" s="527">
        <f>SUM(C29:H29)</f>
        <v>0</v>
      </c>
      <c r="J29" s="539">
        <v>0</v>
      </c>
      <c r="K29" s="559">
        <f>SUM(I29:J29)</f>
        <v>0</v>
      </c>
      <c r="L29" s="399"/>
      <c r="M29" s="399"/>
      <c r="N29" s="401"/>
      <c r="O29" s="401"/>
      <c r="P29" s="401"/>
      <c r="Q29" s="401"/>
      <c r="R29" s="401"/>
    </row>
    <row r="30" spans="2:11" ht="12.75" customHeight="1" hidden="1">
      <c r="B30" s="565" t="s">
        <v>601</v>
      </c>
      <c r="C30" s="554"/>
      <c r="D30" s="554"/>
      <c r="E30" s="554"/>
      <c r="F30" s="554"/>
      <c r="G30" s="554"/>
      <c r="H30" s="554"/>
      <c r="I30" s="553">
        <f>SUM(C30:H30)</f>
        <v>0</v>
      </c>
      <c r="J30" s="554"/>
      <c r="K30" s="561"/>
    </row>
    <row r="31" spans="2:11" ht="12.75">
      <c r="B31" s="566" t="s">
        <v>254</v>
      </c>
      <c r="C31" s="679">
        <v>0</v>
      </c>
      <c r="D31" s="679">
        <f>+'[2]equity'!D17</f>
        <v>0</v>
      </c>
      <c r="E31" s="679">
        <f>+'[2]equity'!E17</f>
        <v>0</v>
      </c>
      <c r="F31" s="679">
        <f>+'[2]equity'!F17</f>
        <v>0</v>
      </c>
      <c r="G31" s="679">
        <f>+'[2]equity'!G17</f>
        <v>0</v>
      </c>
      <c r="H31" s="562">
        <v>14047</v>
      </c>
      <c r="I31" s="562">
        <f>SUM(C31:H31)</f>
        <v>14047</v>
      </c>
      <c r="J31" s="562">
        <v>8609</v>
      </c>
      <c r="K31" s="563">
        <f>SUM(I31:J31)</f>
        <v>22656</v>
      </c>
    </row>
    <row r="32" spans="2:11" ht="12.75" customHeight="1" hidden="1">
      <c r="B32" s="468"/>
      <c r="C32" s="537"/>
      <c r="D32" s="537"/>
      <c r="E32" s="537"/>
      <c r="F32" s="537"/>
      <c r="G32" s="537"/>
      <c r="H32" s="537"/>
      <c r="I32" s="537"/>
      <c r="J32" s="540"/>
      <c r="K32" s="539"/>
    </row>
    <row r="33" spans="2:11" ht="12.75">
      <c r="B33" s="468" t="s">
        <v>731</v>
      </c>
      <c r="C33" s="537"/>
      <c r="D33" s="537"/>
      <c r="E33" s="537"/>
      <c r="F33" s="537"/>
      <c r="G33" s="537"/>
      <c r="H33" s="537"/>
      <c r="I33" s="537"/>
      <c r="J33" s="540"/>
      <c r="K33" s="539"/>
    </row>
    <row r="34" spans="2:11" ht="12.75">
      <c r="B34" s="468" t="s">
        <v>732</v>
      </c>
      <c r="C34" s="539">
        <f>SUM(C24:C31)</f>
        <v>0</v>
      </c>
      <c r="D34" s="539">
        <f aca="true" t="shared" si="1" ref="D34:K34">SUM(D24:D31)</f>
        <v>0</v>
      </c>
      <c r="E34" s="539">
        <f t="shared" si="1"/>
        <v>0</v>
      </c>
      <c r="F34" s="539">
        <f t="shared" si="1"/>
        <v>351</v>
      </c>
      <c r="G34" s="554">
        <f>SUM(G24:G31)</f>
        <v>-459</v>
      </c>
      <c r="H34" s="554">
        <f>SUM(H24:H31)</f>
        <v>13696</v>
      </c>
      <c r="I34" s="554">
        <f t="shared" si="1"/>
        <v>13588</v>
      </c>
      <c r="J34" s="554">
        <f t="shared" si="1"/>
        <v>7890</v>
      </c>
      <c r="K34" s="554">
        <f t="shared" si="1"/>
        <v>21478</v>
      </c>
    </row>
    <row r="35" spans="2:11" ht="12.75">
      <c r="B35" s="468"/>
      <c r="C35" s="537"/>
      <c r="D35" s="537"/>
      <c r="E35" s="537"/>
      <c r="F35" s="537"/>
      <c r="G35" s="537"/>
      <c r="H35" s="537"/>
      <c r="I35" s="537"/>
      <c r="J35" s="540"/>
      <c r="K35" s="539"/>
    </row>
    <row r="36" spans="2:14" ht="14.25" thickBot="1">
      <c r="B36" s="538" t="s">
        <v>835</v>
      </c>
      <c r="C36" s="541">
        <f>+C16+C18+C19+C34</f>
        <v>53166</v>
      </c>
      <c r="D36" s="541">
        <f aca="true" t="shared" si="2" ref="D36:K36">+D16+D18+D19+D34</f>
        <v>3715</v>
      </c>
      <c r="E36" s="541">
        <f t="shared" si="2"/>
        <v>377</v>
      </c>
      <c r="F36" s="541">
        <f t="shared" si="2"/>
        <v>1371</v>
      </c>
      <c r="G36" s="541">
        <f>+G16+G18+G19+G34</f>
        <v>-37</v>
      </c>
      <c r="H36" s="541">
        <f t="shared" si="2"/>
        <v>37530</v>
      </c>
      <c r="I36" s="541">
        <f t="shared" si="2"/>
        <v>96121</v>
      </c>
      <c r="J36" s="541">
        <f t="shared" si="2"/>
        <v>69443</v>
      </c>
      <c r="K36" s="541">
        <f t="shared" si="2"/>
        <v>165564</v>
      </c>
      <c r="M36" s="381"/>
      <c r="N36" s="384"/>
    </row>
    <row r="37" spans="3:13" ht="13.5" thickTop="1">
      <c r="C37" s="365"/>
      <c r="D37" s="365"/>
      <c r="E37" s="365"/>
      <c r="F37" s="365"/>
      <c r="G37" s="365"/>
      <c r="H37" s="365"/>
      <c r="I37" s="365"/>
      <c r="K37" s="365"/>
      <c r="M37" s="399"/>
    </row>
    <row r="38" spans="2:11" ht="12.75">
      <c r="B38" s="536" t="s">
        <v>836</v>
      </c>
      <c r="C38" s="681" t="s">
        <v>337</v>
      </c>
      <c r="D38" s="681" t="s">
        <v>337</v>
      </c>
      <c r="E38" s="681" t="s">
        <v>337</v>
      </c>
      <c r="F38" s="681" t="s">
        <v>337</v>
      </c>
      <c r="G38" s="681" t="s">
        <v>337</v>
      </c>
      <c r="H38" s="681" t="s">
        <v>337</v>
      </c>
      <c r="I38" s="681" t="s">
        <v>337</v>
      </c>
      <c r="J38" s="681" t="s">
        <v>337</v>
      </c>
      <c r="K38" s="681" t="s">
        <v>337</v>
      </c>
    </row>
    <row r="39" spans="2:11" ht="12.75">
      <c r="B39" s="468"/>
      <c r="C39" s="367" t="s">
        <v>716</v>
      </c>
      <c r="D39" s="367" t="s">
        <v>716</v>
      </c>
      <c r="E39" s="367" t="s">
        <v>716</v>
      </c>
      <c r="F39" s="367" t="s">
        <v>716</v>
      </c>
      <c r="G39" s="367" t="s">
        <v>716</v>
      </c>
      <c r="H39" s="367" t="s">
        <v>716</v>
      </c>
      <c r="I39" s="367" t="s">
        <v>716</v>
      </c>
      <c r="J39" s="367" t="s">
        <v>716</v>
      </c>
      <c r="K39" s="367" t="s">
        <v>716</v>
      </c>
    </row>
    <row r="40" spans="2:11" ht="12.75">
      <c r="B40" s="538" t="s">
        <v>738</v>
      </c>
      <c r="C40" s="539">
        <v>53166</v>
      </c>
      <c r="D40" s="539">
        <v>3715</v>
      </c>
      <c r="E40" s="539">
        <v>377</v>
      </c>
      <c r="F40" s="539">
        <v>1335</v>
      </c>
      <c r="G40" s="539">
        <v>414</v>
      </c>
      <c r="H40" s="539">
        <v>43247</v>
      </c>
      <c r="I40" s="539">
        <f>SUM(C40:H40)</f>
        <v>102254</v>
      </c>
      <c r="J40" s="682">
        <v>73435</v>
      </c>
      <c r="K40" s="539">
        <f>SUM(I40:J40)</f>
        <v>175689</v>
      </c>
    </row>
    <row r="41" spans="2:11" ht="12.75">
      <c r="B41" s="468"/>
      <c r="C41" s="539"/>
      <c r="D41" s="539"/>
      <c r="E41" s="539"/>
      <c r="F41" s="539"/>
      <c r="G41" s="539"/>
      <c r="H41" s="539"/>
      <c r="I41" s="539"/>
      <c r="J41" s="540"/>
      <c r="K41" s="539"/>
    </row>
    <row r="42" spans="2:11" ht="12.75">
      <c r="B42" s="468" t="s">
        <v>837</v>
      </c>
      <c r="C42" s="539">
        <f>+'[2]Cash flows working'!Y54</f>
        <v>299.90000000000146</v>
      </c>
      <c r="D42" s="539">
        <v>0</v>
      </c>
      <c r="E42" s="539">
        <v>0</v>
      </c>
      <c r="F42" s="539"/>
      <c r="G42" s="539"/>
      <c r="H42" s="539"/>
      <c r="I42" s="539">
        <f>SUM(C42:H42)</f>
        <v>299.90000000000146</v>
      </c>
      <c r="J42" s="539">
        <v>0</v>
      </c>
      <c r="K42" s="539">
        <f>SUM(I42:J42)</f>
        <v>299.90000000000146</v>
      </c>
    </row>
    <row r="43" spans="2:11" ht="12.75">
      <c r="B43" s="468" t="s">
        <v>31</v>
      </c>
      <c r="C43" s="539">
        <v>0</v>
      </c>
      <c r="D43" s="539">
        <v>0</v>
      </c>
      <c r="E43" s="539">
        <f>+E57-E40</f>
        <v>-94.30799999999999</v>
      </c>
      <c r="F43" s="539">
        <v>0</v>
      </c>
      <c r="G43" s="539">
        <v>0</v>
      </c>
      <c r="H43" s="539">
        <v>0</v>
      </c>
      <c r="I43" s="539">
        <f>SUM(C43:H43)</f>
        <v>-94.30799999999999</v>
      </c>
      <c r="J43" s="539">
        <v>0</v>
      </c>
      <c r="K43" s="539">
        <f>SUM(I43:J43)</f>
        <v>-94.30799999999999</v>
      </c>
    </row>
    <row r="44" spans="2:11" ht="12.75">
      <c r="B44" s="468" t="s">
        <v>160</v>
      </c>
      <c r="C44" s="539">
        <f>'[2]equity'!C25</f>
        <v>0</v>
      </c>
      <c r="D44" s="539">
        <f>'[2]equity'!D25</f>
        <v>0</v>
      </c>
      <c r="E44" s="539"/>
      <c r="F44" s="539">
        <f>+F57-F40</f>
        <v>412.1869999999999</v>
      </c>
      <c r="G44" s="539"/>
      <c r="H44" s="539">
        <f>-+F44</f>
        <v>-412.1869999999999</v>
      </c>
      <c r="I44" s="527">
        <f>SUM(C44:H44)</f>
        <v>0</v>
      </c>
      <c r="J44" s="527">
        <v>0</v>
      </c>
      <c r="K44" s="527">
        <f>SUM(I44:J44)</f>
        <v>0</v>
      </c>
    </row>
    <row r="45" spans="2:11" ht="12.75">
      <c r="B45" s="468"/>
      <c r="C45" s="539"/>
      <c r="D45" s="539"/>
      <c r="E45" s="539"/>
      <c r="F45" s="539"/>
      <c r="G45" s="539"/>
      <c r="H45" s="539"/>
      <c r="I45" s="527"/>
      <c r="J45" s="527"/>
      <c r="K45" s="527"/>
    </row>
    <row r="46" spans="2:11" ht="12.75">
      <c r="B46" s="468"/>
      <c r="C46" s="539"/>
      <c r="D46" s="539"/>
      <c r="E46" s="539"/>
      <c r="F46" s="539"/>
      <c r="G46" s="539"/>
      <c r="H46" s="539"/>
      <c r="I46" s="527"/>
      <c r="J46" s="527"/>
      <c r="K46" s="527"/>
    </row>
    <row r="47" spans="2:11" ht="12.75">
      <c r="B47" s="564" t="str">
        <f>'[2]det equity'!A18</f>
        <v>Currency translation differences</v>
      </c>
      <c r="C47" s="556">
        <f>'[2]equity'!C28</f>
        <v>0</v>
      </c>
      <c r="D47" s="556">
        <f>'[2]equity'!D28</f>
        <v>0</v>
      </c>
      <c r="E47" s="556">
        <f>'[2]equity'!E28</f>
        <v>0</v>
      </c>
      <c r="F47" s="556">
        <f>'[2]equity'!F28</f>
        <v>0</v>
      </c>
      <c r="G47" s="556">
        <f>+G57-G40</f>
        <v>898.605</v>
      </c>
      <c r="H47" s="556"/>
      <c r="I47" s="556">
        <f>SUM(C47:H47)</f>
        <v>898.605</v>
      </c>
      <c r="J47" s="556">
        <f>+J57-J40-J48-J54</f>
        <v>599.4754000000175</v>
      </c>
      <c r="K47" s="558">
        <f>SUM(I47:J47)</f>
        <v>1498.0804000000176</v>
      </c>
    </row>
    <row r="48" spans="2:11" ht="12.75" customHeight="1">
      <c r="B48" s="566" t="s">
        <v>254</v>
      </c>
      <c r="C48" s="679">
        <f>'[2]equity'!C29</f>
        <v>0</v>
      </c>
      <c r="D48" s="679">
        <f>'[2]equity'!D29</f>
        <v>0</v>
      </c>
      <c r="E48" s="679">
        <f>'[2]equity'!E29</f>
        <v>0</v>
      </c>
      <c r="F48" s="679">
        <f>'[2]equity'!F29</f>
        <v>0</v>
      </c>
      <c r="G48" s="679">
        <f>'[2]equity'!G29</f>
        <v>0</v>
      </c>
      <c r="H48" s="679">
        <f>+'[2]P&amp;L'!AA92/1000</f>
        <v>20944.337600000003</v>
      </c>
      <c r="I48" s="679">
        <f>SUM(C48:H48)</f>
        <v>20944.337600000003</v>
      </c>
      <c r="J48" s="562">
        <f>-+'[2]P&amp;L'!AA86/1000</f>
        <v>12390.2324</v>
      </c>
      <c r="K48" s="688">
        <f>SUM(I48:J48)</f>
        <v>33334.57000000001</v>
      </c>
    </row>
    <row r="49" spans="2:11" ht="12.75">
      <c r="B49" s="468" t="s">
        <v>740</v>
      </c>
      <c r="C49" s="539"/>
      <c r="D49" s="539"/>
      <c r="E49" s="539">
        <f>+'[2]det equity'!F33</f>
        <v>0</v>
      </c>
      <c r="F49" s="539"/>
      <c r="G49" s="539"/>
      <c r="H49" s="539"/>
      <c r="I49" s="539">
        <f>SUM(C49:H49)</f>
        <v>0</v>
      </c>
      <c r="J49" s="540"/>
      <c r="K49" s="539">
        <f>SUM(I49:J49)</f>
        <v>0</v>
      </c>
    </row>
    <row r="50" spans="2:14" ht="12.75">
      <c r="B50" s="468" t="s">
        <v>731</v>
      </c>
      <c r="C50" s="539"/>
      <c r="D50" s="539"/>
      <c r="E50" s="539"/>
      <c r="F50" s="539"/>
      <c r="G50" s="539"/>
      <c r="H50" s="539"/>
      <c r="I50" s="539"/>
      <c r="J50" s="540"/>
      <c r="K50" s="539"/>
      <c r="L50" s="371"/>
      <c r="M50" s="371"/>
      <c r="N50" s="371"/>
    </row>
    <row r="51" spans="2:14" ht="12.75">
      <c r="B51" s="468" t="s">
        <v>732</v>
      </c>
      <c r="C51" s="539">
        <f aca="true" t="shared" si="3" ref="C51:H51">SUM(C47:C48)</f>
        <v>0</v>
      </c>
      <c r="D51" s="539">
        <f t="shared" si="3"/>
        <v>0</v>
      </c>
      <c r="E51" s="539">
        <f t="shared" si="3"/>
        <v>0</v>
      </c>
      <c r="F51" s="539">
        <f t="shared" si="3"/>
        <v>0</v>
      </c>
      <c r="G51" s="539">
        <f t="shared" si="3"/>
        <v>898.605</v>
      </c>
      <c r="H51" s="539">
        <f t="shared" si="3"/>
        <v>20944.337600000003</v>
      </c>
      <c r="I51" s="539">
        <f>SUM(I47:I48)</f>
        <v>21842.942600000002</v>
      </c>
      <c r="J51" s="539">
        <f>SUM(J47:J48)</f>
        <v>12989.707800000018</v>
      </c>
      <c r="K51" s="539">
        <f>SUM(K47:K48)+1</f>
        <v>34833.65040000003</v>
      </c>
      <c r="L51" s="371"/>
      <c r="M51" s="371"/>
      <c r="N51" s="371"/>
    </row>
    <row r="52" spans="2:14" ht="12.75">
      <c r="B52" s="468"/>
      <c r="C52" s="539"/>
      <c r="D52" s="539"/>
      <c r="E52" s="539"/>
      <c r="F52" s="539"/>
      <c r="G52" s="539"/>
      <c r="H52" s="539"/>
      <c r="I52" s="539"/>
      <c r="J52" s="539"/>
      <c r="K52" s="539"/>
      <c r="L52" s="371"/>
      <c r="M52" s="371"/>
      <c r="N52" s="371"/>
    </row>
    <row r="53" spans="2:11" ht="12.75">
      <c r="B53" s="468" t="s">
        <v>843</v>
      </c>
      <c r="C53" s="539">
        <v>0</v>
      </c>
      <c r="D53" s="539">
        <v>0</v>
      </c>
      <c r="E53" s="539">
        <v>0</v>
      </c>
      <c r="F53" s="539">
        <v>0</v>
      </c>
      <c r="G53" s="539">
        <v>0</v>
      </c>
      <c r="H53" s="539">
        <f>+'[2]Cash flows working'!Y60</f>
        <v>-2658.295</v>
      </c>
      <c r="I53" s="539">
        <f>SUM(C53:H53)</f>
        <v>-2658.295</v>
      </c>
      <c r="J53" s="539">
        <v>0</v>
      </c>
      <c r="K53" s="539">
        <f>SUM(I53:J53)</f>
        <v>-2658.295</v>
      </c>
    </row>
    <row r="54" spans="2:14" ht="13.5">
      <c r="B54" s="468" t="s">
        <v>379</v>
      </c>
      <c r="C54" s="539">
        <v>0</v>
      </c>
      <c r="D54" s="539">
        <v>0</v>
      </c>
      <c r="E54" s="539">
        <v>0</v>
      </c>
      <c r="F54" s="539">
        <v>0</v>
      </c>
      <c r="G54" s="539">
        <v>0</v>
      </c>
      <c r="H54" s="539"/>
      <c r="I54" s="539">
        <f>SUM(C54:H54)</f>
        <v>0</v>
      </c>
      <c r="J54" s="539">
        <f>-(2000)</f>
        <v>-2000</v>
      </c>
      <c r="K54" s="539">
        <f>SUM(I54:J54)</f>
        <v>-2000</v>
      </c>
      <c r="M54" s="381"/>
      <c r="N54" s="384"/>
    </row>
    <row r="55" spans="2:13" ht="12.75">
      <c r="B55" s="468"/>
      <c r="C55" s="539"/>
      <c r="D55" s="539"/>
      <c r="E55" s="539"/>
      <c r="F55" s="539"/>
      <c r="G55" s="539"/>
      <c r="H55" s="539"/>
      <c r="I55" s="539"/>
      <c r="J55" s="539"/>
      <c r="K55" s="539">
        <f>SUM(I55:J55)</f>
        <v>0</v>
      </c>
      <c r="M55" s="399"/>
    </row>
    <row r="56" spans="2:13" ht="12.75">
      <c r="B56" s="468"/>
      <c r="C56" s="539"/>
      <c r="D56" s="539"/>
      <c r="E56" s="539"/>
      <c r="F56" s="539"/>
      <c r="G56" s="539"/>
      <c r="H56" s="539"/>
      <c r="I56" s="539"/>
      <c r="J56" s="540"/>
      <c r="K56" s="539"/>
      <c r="M56" s="399"/>
    </row>
    <row r="57" spans="2:11" ht="13.5" thickBot="1">
      <c r="B57" s="538" t="s">
        <v>839</v>
      </c>
      <c r="C57" s="683">
        <f>ROUND(+'[2]B. Sheet'!Z74,0)/1000</f>
        <v>53465.9</v>
      </c>
      <c r="D57" s="683">
        <f>ROUND('[2]B. Sheet'!Z80,0)/1000</f>
        <v>3715.075</v>
      </c>
      <c r="E57" s="683">
        <f>ROUND('[2]B. Sheet'!Z82,0)/1000</f>
        <v>282.692</v>
      </c>
      <c r="F57" s="683">
        <f>ROUND('[2]B. Sheet'!Z83,0)/1000</f>
        <v>1747.187</v>
      </c>
      <c r="G57" s="683">
        <f>ROUND('[2]B. Sheet'!Z84,0)/1000</f>
        <v>1312.605</v>
      </c>
      <c r="H57" s="683">
        <f>ROUND('[2]B. Sheet'!Z76+'[2]B. Sheet'!Z77+'[2]B. Sheet'!Z78+'[2]B. Sheet'!Z79,0)/1000</f>
        <v>61122.736</v>
      </c>
      <c r="I57" s="683">
        <f>SUM(C57:H57)</f>
        <v>121646.195</v>
      </c>
      <c r="J57" s="684">
        <f>+'[2]B. Sheet'!Z90/1000</f>
        <v>84424.70780000002</v>
      </c>
      <c r="K57" s="683">
        <f>+K40+K42+K43+K44+K51+K54+K53+K55+1</f>
        <v>206070.94740000003</v>
      </c>
    </row>
    <row r="58" spans="2:11" ht="13.5" thickTop="1">
      <c r="B58" s="538"/>
      <c r="C58" s="685"/>
      <c r="D58" s="685"/>
      <c r="E58" s="685"/>
      <c r="F58" s="685"/>
      <c r="G58" s="685"/>
      <c r="H58" s="685"/>
      <c r="I58" s="685"/>
      <c r="J58" s="540"/>
      <c r="K58" s="537"/>
    </row>
    <row r="59" spans="3:11" ht="12.75">
      <c r="C59" s="365"/>
      <c r="D59" s="365"/>
      <c r="E59" s="365"/>
      <c r="F59" s="365"/>
      <c r="G59" s="365"/>
      <c r="H59" s="371"/>
      <c r="I59" s="365"/>
      <c r="J59" s="401"/>
      <c r="K59" s="365"/>
    </row>
    <row r="60" ht="12.75">
      <c r="K60" s="365"/>
    </row>
    <row r="61" ht="12.75">
      <c r="K61" s="365"/>
    </row>
  </sheetData>
  <mergeCells count="2">
    <mergeCell ref="E7:G7"/>
    <mergeCell ref="E9:F9"/>
  </mergeCells>
  <printOptions horizontalCentered="1" verticalCentered="1"/>
  <pageMargins left="0.25" right="0.25" top="0.39" bottom="0.8" header="0.36" footer="0.5"/>
  <pageSetup fitToHeight="1" fitToWidth="1" horizontalDpi="600" verticalDpi="600" orientation="landscape" scale="7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82"/>
  <sheetViews>
    <sheetView view="pageBreakPreview" zoomScale="60" workbookViewId="0" topLeftCell="A1">
      <selection activeCell="J10" sqref="J10"/>
    </sheetView>
  </sheetViews>
  <sheetFormatPr defaultColWidth="9.140625" defaultRowHeight="12.75"/>
  <cols>
    <col min="1" max="1" width="3.00390625" style="2" customWidth="1"/>
    <col min="2" max="2" width="51.57421875" style="2" customWidth="1"/>
    <col min="3" max="3" width="13.00390625" style="314" customWidth="1"/>
    <col min="4" max="4" width="3.7109375" style="2" customWidth="1"/>
    <col min="5" max="5" width="13.140625" style="314" customWidth="1"/>
    <col min="6" max="6" width="5.57421875" style="2" customWidth="1"/>
    <col min="7" max="16384" width="8.8515625" style="2" customWidth="1"/>
  </cols>
  <sheetData>
    <row r="1" spans="1:3" ht="18.75">
      <c r="A1" s="175" t="s">
        <v>159</v>
      </c>
      <c r="B1" s="175"/>
      <c r="C1" s="175"/>
    </row>
    <row r="2" spans="1:3" ht="18.75">
      <c r="A2" s="175"/>
      <c r="B2" s="175"/>
      <c r="C2" s="516"/>
    </row>
    <row r="3" spans="1:2" ht="15.75">
      <c r="A3" s="174" t="s">
        <v>341</v>
      </c>
      <c r="B3" s="59"/>
    </row>
    <row r="4" spans="1:2" ht="15.75">
      <c r="A4" s="174" t="s">
        <v>840</v>
      </c>
      <c r="B4" s="59"/>
    </row>
    <row r="5" ht="12.75"/>
    <row r="6" spans="3:6" ht="12.75">
      <c r="C6" s="542" t="s">
        <v>717</v>
      </c>
      <c r="D6" s="61"/>
      <c r="E6" s="542" t="s">
        <v>717</v>
      </c>
      <c r="F6" s="61"/>
    </row>
    <row r="7" spans="3:6" ht="12.75">
      <c r="C7" s="542" t="s">
        <v>228</v>
      </c>
      <c r="D7" s="61"/>
      <c r="E7" s="542" t="s">
        <v>228</v>
      </c>
      <c r="F7" s="61"/>
    </row>
    <row r="8" spans="3:6" ht="12.75">
      <c r="C8" s="552" t="s">
        <v>815</v>
      </c>
      <c r="D8" s="315"/>
      <c r="E8" s="552" t="s">
        <v>841</v>
      </c>
      <c r="F8" s="315"/>
    </row>
    <row r="9" spans="3:5" ht="12.75">
      <c r="C9" s="542" t="s">
        <v>87</v>
      </c>
      <c r="E9" s="542" t="s">
        <v>87</v>
      </c>
    </row>
    <row r="10" spans="3:5" ht="12.75">
      <c r="C10" s="542"/>
      <c r="E10" s="543"/>
    </row>
    <row r="11" spans="1:7" ht="12.75">
      <c r="A11" s="2" t="s">
        <v>194</v>
      </c>
      <c r="C11" s="544">
        <f>+'[2]Cash flows working'!U62</f>
        <v>43099.91179990001</v>
      </c>
      <c r="D11" s="316"/>
      <c r="E11" s="544">
        <v>30329</v>
      </c>
      <c r="F11" s="317"/>
      <c r="G11" s="314"/>
    </row>
    <row r="12" spans="3:7" ht="12.75">
      <c r="C12" s="544"/>
      <c r="D12" s="316"/>
      <c r="E12" s="544"/>
      <c r="F12" s="317"/>
      <c r="G12" s="314"/>
    </row>
    <row r="13" spans="1:7" ht="12.75">
      <c r="A13" s="2" t="s">
        <v>308</v>
      </c>
      <c r="C13" s="544"/>
      <c r="D13" s="316"/>
      <c r="E13" s="544"/>
      <c r="F13" s="317"/>
      <c r="G13" s="314"/>
    </row>
    <row r="14" spans="2:7" ht="12.75" hidden="1">
      <c r="B14" s="2" t="s">
        <v>733</v>
      </c>
      <c r="C14" s="544">
        <f>+'[2]Cash flows working'!O100</f>
        <v>0</v>
      </c>
      <c r="D14" s="316"/>
      <c r="E14" s="544">
        <v>0</v>
      </c>
      <c r="F14" s="317"/>
      <c r="G14" s="314"/>
    </row>
    <row r="15" spans="2:7" ht="12.75" hidden="1">
      <c r="B15" s="2" t="s">
        <v>734</v>
      </c>
      <c r="C15" s="544">
        <v>0</v>
      </c>
      <c r="D15" s="316"/>
      <c r="E15" s="544">
        <v>0</v>
      </c>
      <c r="F15" s="317"/>
      <c r="G15" s="314"/>
    </row>
    <row r="16" spans="2:7" ht="12.75">
      <c r="B16" s="2" t="s">
        <v>73</v>
      </c>
      <c r="C16" s="544">
        <f>+'[2]Cash flows working'!P18+'[2]Cash flows working'!U89</f>
        <v>9000.424</v>
      </c>
      <c r="D16" s="318"/>
      <c r="E16" s="544">
        <v>10748</v>
      </c>
      <c r="F16" s="317"/>
      <c r="G16" s="314"/>
    </row>
    <row r="17" spans="2:7" ht="12.75">
      <c r="B17" s="2" t="s">
        <v>339</v>
      </c>
      <c r="C17" s="544">
        <f>+'[2]Cash flows working'!O101</f>
        <v>676.267</v>
      </c>
      <c r="D17" s="318"/>
      <c r="E17" s="544">
        <v>719</v>
      </c>
      <c r="F17" s="317"/>
      <c r="G17" s="314"/>
    </row>
    <row r="18" spans="2:7" ht="12.75" hidden="1">
      <c r="B18" s="12" t="s">
        <v>735</v>
      </c>
      <c r="C18" s="544">
        <f>+'[2]Cash flows working'!O90</f>
        <v>0</v>
      </c>
      <c r="D18" s="318"/>
      <c r="E18" s="544">
        <v>0</v>
      </c>
      <c r="F18" s="317"/>
      <c r="G18" s="314"/>
    </row>
    <row r="19" spans="2:7" ht="12.75">
      <c r="B19" s="2" t="s">
        <v>258</v>
      </c>
      <c r="C19" s="544">
        <f>-+'[2]Cash flows working'!P95</f>
        <v>-134.93</v>
      </c>
      <c r="D19" s="318"/>
      <c r="E19" s="544">
        <v>0</v>
      </c>
      <c r="F19" s="317"/>
      <c r="G19" s="314"/>
    </row>
    <row r="20" spans="2:7" ht="12.75" hidden="1">
      <c r="B20" s="2" t="s">
        <v>218</v>
      </c>
      <c r="C20" s="544">
        <f>+'[2]Cash flows working'!U106</f>
        <v>0</v>
      </c>
      <c r="D20" s="318"/>
      <c r="E20" s="544">
        <v>0</v>
      </c>
      <c r="F20" s="317"/>
      <c r="G20" s="314"/>
    </row>
    <row r="21" spans="2:7" ht="12.75" hidden="1">
      <c r="B21" s="2" t="s">
        <v>652</v>
      </c>
      <c r="C21" s="544">
        <f>+'[2]Cash flows working'!U105</f>
        <v>0</v>
      </c>
      <c r="D21" s="318"/>
      <c r="E21" s="544">
        <v>0</v>
      </c>
      <c r="F21" s="317"/>
      <c r="G21" s="314"/>
    </row>
    <row r="22" spans="2:7" ht="12.75" hidden="1">
      <c r="B22" s="2" t="s">
        <v>8</v>
      </c>
      <c r="C22" s="544">
        <v>0</v>
      </c>
      <c r="D22" s="318"/>
      <c r="E22" s="546">
        <v>0</v>
      </c>
      <c r="F22" s="317"/>
      <c r="G22" s="314"/>
    </row>
    <row r="23" spans="2:7" ht="12.75">
      <c r="B23" s="2" t="s">
        <v>5</v>
      </c>
      <c r="C23" s="544">
        <f>-+'[2]Cash flows working'!P91</f>
        <v>-84.512</v>
      </c>
      <c r="D23" s="318"/>
      <c r="E23" s="544">
        <v>-35</v>
      </c>
      <c r="F23" s="317"/>
      <c r="G23" s="314"/>
    </row>
    <row r="24" spans="2:7" ht="12.75">
      <c r="B24" s="2" t="s">
        <v>146</v>
      </c>
      <c r="C24" s="544">
        <f>-+'[2]Cash flows working'!P92</f>
        <v>-1135.25</v>
      </c>
      <c r="D24" s="318"/>
      <c r="E24" s="546">
        <v>-76</v>
      </c>
      <c r="F24" s="317"/>
      <c r="G24" s="314"/>
    </row>
    <row r="25" spans="2:8" s="304" customFormat="1" ht="12.75">
      <c r="B25" s="304" t="s">
        <v>777</v>
      </c>
      <c r="C25" s="544">
        <f>+'[2]Cash flows working'!U108</f>
        <v>-2142.313</v>
      </c>
      <c r="D25" s="318"/>
      <c r="E25" s="544">
        <v>-1224</v>
      </c>
      <c r="F25" s="400"/>
      <c r="G25" s="502"/>
      <c r="H25" s="479"/>
    </row>
    <row r="26" spans="2:7" ht="12.75">
      <c r="B26" s="2" t="s">
        <v>139</v>
      </c>
      <c r="C26" s="544">
        <f>+'[2]Cash flows working'!U103</f>
        <v>-1837.8</v>
      </c>
      <c r="D26" s="318"/>
      <c r="E26" s="544">
        <v>-1124</v>
      </c>
      <c r="F26" s="319"/>
      <c r="G26" s="314"/>
    </row>
    <row r="27" spans="2:7" ht="12.75" hidden="1">
      <c r="B27" s="2" t="s">
        <v>259</v>
      </c>
      <c r="C27" s="544">
        <f>+'[2]Cash flows working'!U99</f>
        <v>0.6</v>
      </c>
      <c r="D27" s="318"/>
      <c r="E27" s="544">
        <v>0</v>
      </c>
      <c r="F27" s="319"/>
      <c r="G27" s="314"/>
    </row>
    <row r="28" spans="2:7" ht="12.75" hidden="1">
      <c r="B28" s="2" t="s">
        <v>260</v>
      </c>
      <c r="C28" s="544">
        <v>0</v>
      </c>
      <c r="D28" s="318"/>
      <c r="E28" s="544">
        <v>0</v>
      </c>
      <c r="F28" s="319"/>
      <c r="G28" s="314"/>
    </row>
    <row r="29" spans="1:7" ht="12.75">
      <c r="A29" s="2" t="s">
        <v>343</v>
      </c>
      <c r="C29" s="547">
        <f>SUM(C11:C28)</f>
        <v>47442.3977999</v>
      </c>
      <c r="D29" s="321"/>
      <c r="E29" s="547">
        <f>SUM(E11:E28)</f>
        <v>39337</v>
      </c>
      <c r="F29" s="317"/>
      <c r="G29" s="314"/>
    </row>
    <row r="30" spans="1:7" ht="12.75">
      <c r="A30" s="2" t="s">
        <v>381</v>
      </c>
      <c r="C30" s="544"/>
      <c r="D30" s="316"/>
      <c r="E30" s="544"/>
      <c r="F30" s="317"/>
      <c r="G30" s="314"/>
    </row>
    <row r="31" spans="2:7" ht="12.75" customHeight="1">
      <c r="B31" s="2" t="s">
        <v>741</v>
      </c>
      <c r="C31" s="544">
        <f>+'[2]Cash flows working'!U28+'[2]Cash flows working'!U29+'[2]Cash flows working'!U30</f>
        <v>-7778.603999999992</v>
      </c>
      <c r="D31" s="318"/>
      <c r="E31" s="544">
        <v>-16584</v>
      </c>
      <c r="F31" s="317"/>
      <c r="G31" s="314"/>
    </row>
    <row r="32" spans="2:7" ht="12.75">
      <c r="B32" s="2" t="s">
        <v>743</v>
      </c>
      <c r="C32" s="544">
        <f>+'[2]Cash flows working'!U38+'[2]Cash flows working'!U39+1</f>
        <v>11533.123000000001</v>
      </c>
      <c r="D32" s="318"/>
      <c r="E32" s="548">
        <v>4021</v>
      </c>
      <c r="F32" s="319"/>
      <c r="G32" s="314"/>
    </row>
    <row r="33" spans="1:7" ht="12.75">
      <c r="A33" s="2" t="s">
        <v>195</v>
      </c>
      <c r="C33" s="547">
        <f>SUM(C29:C32)</f>
        <v>51196.916799900006</v>
      </c>
      <c r="D33" s="321"/>
      <c r="E33" s="545">
        <f>SUM(E29:E32)</f>
        <v>26774</v>
      </c>
      <c r="F33" s="320"/>
      <c r="G33" s="314"/>
    </row>
    <row r="34" spans="3:7" ht="12.75">
      <c r="C34" s="544"/>
      <c r="D34" s="316"/>
      <c r="E34" s="544"/>
      <c r="F34" s="317"/>
      <c r="G34" s="314"/>
    </row>
    <row r="35" spans="2:7" ht="12.75">
      <c r="B35" s="2" t="s">
        <v>200</v>
      </c>
      <c r="C35" s="544">
        <f>-+'[2]Cash flows working'!P102</f>
        <v>-676.267</v>
      </c>
      <c r="D35" s="316"/>
      <c r="E35" s="544">
        <v>-719</v>
      </c>
      <c r="F35" s="317"/>
      <c r="G35" s="314"/>
    </row>
    <row r="36" spans="2:7" ht="12.75">
      <c r="B36" s="2" t="s">
        <v>487</v>
      </c>
      <c r="C36" s="544">
        <f>+'[2]Cash flows working'!U45</f>
        <v>-6875.9439999999995</v>
      </c>
      <c r="D36" s="318"/>
      <c r="E36" s="548">
        <v>-1655</v>
      </c>
      <c r="F36" s="319"/>
      <c r="G36" s="314"/>
    </row>
    <row r="37" spans="1:7" ht="12.75">
      <c r="A37" s="2" t="s">
        <v>488</v>
      </c>
      <c r="C37" s="547">
        <f>SUM(C33:C36)</f>
        <v>43644.70579990001</v>
      </c>
      <c r="D37" s="338"/>
      <c r="E37" s="545">
        <f>SUM(E33:E36)</f>
        <v>24400</v>
      </c>
      <c r="F37" s="320"/>
      <c r="G37" s="314"/>
    </row>
    <row r="38" spans="3:7" ht="12.75">
      <c r="C38" s="544"/>
      <c r="D38" s="318"/>
      <c r="E38" s="544"/>
      <c r="F38" s="317"/>
      <c r="G38" s="314"/>
    </row>
    <row r="39" spans="1:7" ht="12.75">
      <c r="A39" s="2" t="s">
        <v>744</v>
      </c>
      <c r="C39" s="544"/>
      <c r="D39" s="316"/>
      <c r="E39" s="544"/>
      <c r="F39" s="317"/>
      <c r="G39" s="314"/>
    </row>
    <row r="40" spans="2:7" ht="12.75" hidden="1">
      <c r="B40" s="2" t="s">
        <v>261</v>
      </c>
      <c r="C40" s="544"/>
      <c r="D40" s="316"/>
      <c r="E40" s="544"/>
      <c r="F40" s="317"/>
      <c r="G40" s="314"/>
    </row>
    <row r="41" spans="2:7" ht="12.75" hidden="1">
      <c r="B41" s="12" t="s">
        <v>775</v>
      </c>
      <c r="C41" s="544">
        <f>+'[2]Cash flows working'!W107</f>
        <v>1186</v>
      </c>
      <c r="D41" s="316"/>
      <c r="E41" s="544">
        <v>0</v>
      </c>
      <c r="F41" s="317"/>
      <c r="G41" s="314"/>
    </row>
    <row r="42" spans="2:7" ht="12.75" hidden="1">
      <c r="B42" s="12" t="s">
        <v>262</v>
      </c>
      <c r="C42" s="544">
        <f>-+C20</f>
        <v>0</v>
      </c>
      <c r="D42" s="316"/>
      <c r="E42" s="544">
        <v>0</v>
      </c>
      <c r="F42" s="317"/>
      <c r="G42" s="314"/>
    </row>
    <row r="43" spans="2:7" ht="12.75">
      <c r="B43" s="2" t="s">
        <v>671</v>
      </c>
      <c r="C43" s="544">
        <f>+'[2]Cash flows working'!W18</f>
        <v>-5656.06906</v>
      </c>
      <c r="D43" s="318"/>
      <c r="E43" s="544">
        <v>-5968</v>
      </c>
      <c r="F43" s="319"/>
      <c r="G43" s="314"/>
    </row>
    <row r="44" spans="2:7" ht="12.75">
      <c r="B44" s="2" t="s">
        <v>196</v>
      </c>
      <c r="C44" s="544">
        <f>+'[2]Cash flows working'!W93</f>
        <v>90.94306</v>
      </c>
      <c r="D44" s="318"/>
      <c r="E44" s="544">
        <v>26</v>
      </c>
      <c r="F44" s="319"/>
      <c r="G44" s="314"/>
    </row>
    <row r="45" spans="2:7" ht="12.75">
      <c r="B45" s="2" t="s">
        <v>147</v>
      </c>
      <c r="C45" s="544">
        <f>+'[2]Cash flows working'!W94</f>
        <v>3405.75</v>
      </c>
      <c r="D45" s="318"/>
      <c r="E45" s="549">
        <v>256</v>
      </c>
      <c r="F45" s="317"/>
      <c r="G45" s="314"/>
    </row>
    <row r="46" spans="2:7" ht="12.75">
      <c r="B46" s="2" t="s">
        <v>141</v>
      </c>
      <c r="C46" s="544">
        <f>-+C26</f>
        <v>1837.8</v>
      </c>
      <c r="D46" s="318"/>
      <c r="E46" s="544">
        <v>1124</v>
      </c>
      <c r="F46" s="317"/>
      <c r="G46" s="314"/>
    </row>
    <row r="47" spans="2:7" ht="12.75" hidden="1">
      <c r="B47" s="2" t="s">
        <v>263</v>
      </c>
      <c r="C47" s="544">
        <v>0</v>
      </c>
      <c r="D47" s="318"/>
      <c r="E47" s="544">
        <v>0</v>
      </c>
      <c r="F47" s="317"/>
      <c r="G47" s="314"/>
    </row>
    <row r="48" spans="2:7" ht="12.75">
      <c r="B48" s="2" t="s">
        <v>842</v>
      </c>
      <c r="C48" s="550">
        <f>SUM(C41:C47)</f>
        <v>864.4239999999998</v>
      </c>
      <c r="D48" s="323"/>
      <c r="E48" s="550">
        <f>SUM(E41:E47)</f>
        <v>-4562</v>
      </c>
      <c r="F48" s="317"/>
      <c r="G48" s="314"/>
    </row>
    <row r="49" spans="3:7" ht="12.75">
      <c r="C49" s="545"/>
      <c r="D49" s="339"/>
      <c r="E49" s="545"/>
      <c r="F49" s="317"/>
      <c r="G49" s="314"/>
    </row>
    <row r="50" spans="1:7" ht="12.75">
      <c r="A50" s="2" t="s">
        <v>140</v>
      </c>
      <c r="C50" s="543"/>
      <c r="D50" s="314"/>
      <c r="E50" s="543"/>
      <c r="F50" s="101"/>
      <c r="G50" s="314"/>
    </row>
    <row r="51" spans="2:7" ht="12.75">
      <c r="B51" s="2" t="s">
        <v>596</v>
      </c>
      <c r="C51" s="523">
        <f>+'[2]Cash flows working'!Y54</f>
        <v>299.90000000000146</v>
      </c>
      <c r="D51" s="318"/>
      <c r="E51" s="544">
        <v>60</v>
      </c>
      <c r="F51" s="319"/>
      <c r="G51" s="314"/>
    </row>
    <row r="52" spans="2:7" ht="12.75" hidden="1">
      <c r="B52" s="2" t="s">
        <v>264</v>
      </c>
      <c r="C52" s="544">
        <v>0</v>
      </c>
      <c r="D52" s="318"/>
      <c r="E52" s="544">
        <v>0</v>
      </c>
      <c r="F52" s="319"/>
      <c r="G52" s="314"/>
    </row>
    <row r="53" spans="2:7" ht="12.75" hidden="1">
      <c r="B53" s="2" t="s">
        <v>776</v>
      </c>
      <c r="C53" s="544">
        <f>+'[2]Cash flows working'!Y78</f>
        <v>0</v>
      </c>
      <c r="D53" s="318"/>
      <c r="E53" s="544">
        <v>0</v>
      </c>
      <c r="F53" s="319"/>
      <c r="G53" s="314"/>
    </row>
    <row r="54" spans="2:7" ht="12.75">
      <c r="B54" s="2" t="s">
        <v>663</v>
      </c>
      <c r="C54" s="544">
        <f>+'[2]Cash flows working'!Y82-1+'[2]Cash flows working'!Y41</f>
        <v>-2854.652</v>
      </c>
      <c r="D54" s="318"/>
      <c r="E54" s="544">
        <v>-855</v>
      </c>
      <c r="F54" s="319"/>
      <c r="G54" s="314"/>
    </row>
    <row r="55" spans="2:7" ht="12.75" hidden="1">
      <c r="B55" s="2" t="s">
        <v>797</v>
      </c>
      <c r="C55" s="544">
        <v>0</v>
      </c>
      <c r="D55" s="318"/>
      <c r="E55" s="544">
        <v>0</v>
      </c>
      <c r="F55" s="319"/>
      <c r="G55" s="314"/>
    </row>
    <row r="56" spans="2:7" ht="12.75">
      <c r="B56" s="2" t="s">
        <v>379</v>
      </c>
      <c r="C56" s="544">
        <f>+'[2]Cash flows working'!Y59</f>
        <v>-2000</v>
      </c>
      <c r="D56" s="318"/>
      <c r="E56" s="544">
        <v>0</v>
      </c>
      <c r="F56" s="319"/>
      <c r="G56" s="314"/>
    </row>
    <row r="57" spans="2:7" ht="12.75">
      <c r="B57" s="2" t="s">
        <v>838</v>
      </c>
      <c r="C57" s="544">
        <f>+'[2]Cash flows working'!Y60</f>
        <v>-2658.295</v>
      </c>
      <c r="D57" s="318"/>
      <c r="E57" s="544">
        <v>0</v>
      </c>
      <c r="F57" s="322"/>
      <c r="G57" s="314"/>
    </row>
    <row r="58" spans="2:7" ht="12.75">
      <c r="B58" s="2" t="s">
        <v>673</v>
      </c>
      <c r="C58" s="550">
        <f>SUM(C51:C57)</f>
        <v>-7213.046999999999</v>
      </c>
      <c r="D58" s="323"/>
      <c r="E58" s="550">
        <f>SUM(E51:E57)</f>
        <v>-795</v>
      </c>
      <c r="F58" s="101"/>
      <c r="G58" s="314"/>
    </row>
    <row r="59" spans="3:7" ht="12.75">
      <c r="C59" s="543"/>
      <c r="D59" s="314"/>
      <c r="E59" s="543"/>
      <c r="F59" s="101"/>
      <c r="G59" s="314"/>
    </row>
    <row r="60" spans="1:7" ht="12.75">
      <c r="A60" s="2" t="s">
        <v>674</v>
      </c>
      <c r="C60" s="543">
        <f>+C37+C48+C58</f>
        <v>37296.08279990001</v>
      </c>
      <c r="D60" s="314"/>
      <c r="E60" s="543">
        <f>+E37+E48+E58</f>
        <v>19043</v>
      </c>
      <c r="F60" s="101"/>
      <c r="G60" s="314"/>
    </row>
    <row r="61" spans="3:7" ht="12.75">
      <c r="C61" s="543"/>
      <c r="D61" s="314"/>
      <c r="E61" s="543"/>
      <c r="F61" s="317"/>
      <c r="G61" s="314"/>
    </row>
    <row r="62" spans="1:7" ht="12.75">
      <c r="A62" s="2" t="s">
        <v>366</v>
      </c>
      <c r="C62" s="544">
        <f>+'[2]Cash flows working'!J32+'[2]Cash flows working'!J33</f>
        <v>72721</v>
      </c>
      <c r="D62" s="316"/>
      <c r="E62" s="544">
        <v>46050</v>
      </c>
      <c r="F62" s="101"/>
      <c r="G62" s="314"/>
    </row>
    <row r="63" spans="3:7" ht="12.75">
      <c r="C63" s="543"/>
      <c r="D63" s="314"/>
      <c r="E63" s="543"/>
      <c r="F63" s="111"/>
      <c r="G63" s="314"/>
    </row>
    <row r="64" spans="1:6" ht="12.75">
      <c r="A64" s="2" t="s">
        <v>367</v>
      </c>
      <c r="C64" s="551">
        <f>SUM(C60:C62)</f>
        <v>110017.0827999</v>
      </c>
      <c r="D64" s="324"/>
      <c r="E64" s="551">
        <f>SUM(E60:E62)</f>
        <v>65093</v>
      </c>
      <c r="F64" s="22"/>
    </row>
    <row r="65" spans="3:6" ht="12.75">
      <c r="C65" s="340"/>
      <c r="D65" s="22"/>
      <c r="F65" s="22"/>
    </row>
    <row r="66" spans="4:6" ht="12.75">
      <c r="D66" s="22"/>
      <c r="F66" s="22"/>
    </row>
    <row r="67" spans="4:6" ht="12.75">
      <c r="D67" s="22"/>
      <c r="F67" s="22"/>
    </row>
    <row r="68" spans="4:6" ht="12.75">
      <c r="D68" s="22"/>
      <c r="F68" s="22"/>
    </row>
    <row r="69" spans="4:6" ht="12.75">
      <c r="D69" s="22"/>
      <c r="F69" s="22"/>
    </row>
    <row r="70" spans="2:6" ht="12.75">
      <c r="B70" s="325"/>
      <c r="C70" s="326"/>
      <c r="D70" s="327"/>
      <c r="E70" s="340"/>
      <c r="F70" s="327"/>
    </row>
    <row r="71" spans="2:6" ht="12.75">
      <c r="B71" s="42"/>
      <c r="C71" s="328"/>
      <c r="D71" s="42"/>
      <c r="E71" s="328"/>
      <c r="F71" s="42"/>
    </row>
    <row r="72" spans="2:6" ht="12.75">
      <c r="B72" s="42"/>
      <c r="C72" s="393"/>
      <c r="D72" s="329"/>
      <c r="E72" s="341"/>
      <c r="F72" s="329"/>
    </row>
    <row r="73" spans="2:6" ht="12.75">
      <c r="B73" s="42"/>
      <c r="C73" s="330"/>
      <c r="D73" s="329"/>
      <c r="E73" s="342"/>
      <c r="F73" s="329"/>
    </row>
    <row r="74" spans="1:8" ht="12.75">
      <c r="A74" s="672"/>
      <c r="B74" s="673"/>
      <c r="C74" s="674"/>
      <c r="D74" s="60"/>
      <c r="E74" s="674"/>
      <c r="F74" s="60"/>
      <c r="G74" s="60"/>
      <c r="H74" s="60"/>
    </row>
    <row r="75" spans="1:8" ht="12.75">
      <c r="A75" s="60"/>
      <c r="B75" s="60"/>
      <c r="C75" s="674"/>
      <c r="D75" s="60"/>
      <c r="E75" s="674"/>
      <c r="F75" s="60"/>
      <c r="G75" s="60"/>
      <c r="H75" s="60"/>
    </row>
    <row r="76" spans="1:8" ht="12.75">
      <c r="A76" s="675"/>
      <c r="B76" s="675"/>
      <c r="C76" s="676"/>
      <c r="D76" s="675"/>
      <c r="E76" s="676"/>
      <c r="F76" s="60"/>
      <c r="G76" s="60"/>
      <c r="H76" s="60"/>
    </row>
    <row r="77" spans="1:8" ht="12.75">
      <c r="A77" s="60"/>
      <c r="B77" s="60"/>
      <c r="C77" s="674"/>
      <c r="D77" s="60"/>
      <c r="E77" s="674"/>
      <c r="F77" s="60"/>
      <c r="G77" s="60"/>
      <c r="H77" s="60"/>
    </row>
    <row r="78" spans="1:8" ht="12.75">
      <c r="A78" s="60"/>
      <c r="B78" s="60"/>
      <c r="C78" s="674"/>
      <c r="D78" s="60"/>
      <c r="E78" s="674"/>
      <c r="F78" s="60"/>
      <c r="G78" s="60"/>
      <c r="H78" s="60"/>
    </row>
    <row r="79" spans="1:8" ht="12.75">
      <c r="A79" s="60"/>
      <c r="B79" s="60"/>
      <c r="C79" s="674"/>
      <c r="D79" s="60"/>
      <c r="E79" s="674"/>
      <c r="F79" s="60"/>
      <c r="G79" s="60"/>
      <c r="H79" s="60"/>
    </row>
    <row r="80" spans="1:8" ht="12.75">
      <c r="A80" s="60"/>
      <c r="B80" s="60"/>
      <c r="C80" s="674"/>
      <c r="D80" s="60"/>
      <c r="E80" s="674"/>
      <c r="F80" s="60"/>
      <c r="G80" s="60"/>
      <c r="H80" s="60"/>
    </row>
    <row r="81" spans="1:8" ht="12.75">
      <c r="A81" s="60"/>
      <c r="B81" s="60"/>
      <c r="C81" s="674"/>
      <c r="D81" s="60"/>
      <c r="E81" s="674"/>
      <c r="F81" s="60"/>
      <c r="G81" s="60"/>
      <c r="H81" s="60"/>
    </row>
    <row r="82" spans="1:8" ht="12.75">
      <c r="A82" s="60"/>
      <c r="B82" s="60"/>
      <c r="C82" s="674"/>
      <c r="D82" s="60"/>
      <c r="E82" s="674"/>
      <c r="F82" s="60"/>
      <c r="G82" s="60"/>
      <c r="H82" s="60"/>
    </row>
  </sheetData>
  <printOptions horizontalCentered="1" verticalCentered="1"/>
  <pageMargins left="0.1" right="0.1" top="0.1" bottom="0.1" header="0.1" footer="0.1"/>
  <pageSetup fitToHeight="1"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5" sqref="A5"/>
    </sheetView>
  </sheetViews>
  <sheetFormatPr defaultColWidth="9.140625" defaultRowHeight="12.75"/>
  <cols>
    <col min="1" max="1" width="30.57421875" style="2" customWidth="1"/>
    <col min="2" max="2" width="10.8515625" style="2" bestFit="1" customWidth="1"/>
    <col min="3" max="3" width="2.7109375" style="2" customWidth="1"/>
    <col min="4" max="4" width="10.8515625" style="2" bestFit="1" customWidth="1"/>
    <col min="5" max="5" width="3.140625" style="2" customWidth="1"/>
    <col min="6" max="6" width="10.8515625" style="2" bestFit="1" customWidth="1"/>
    <col min="7" max="7" width="2.7109375" style="2" customWidth="1"/>
    <col min="8" max="8" width="10.140625" style="2" customWidth="1"/>
    <col min="9" max="16384" width="8.8515625" style="2" customWidth="1"/>
  </cols>
  <sheetData>
    <row r="1" ht="18.75">
      <c r="A1" s="175" t="s">
        <v>756</v>
      </c>
    </row>
    <row r="2" ht="12.75"/>
    <row r="3" ht="15.75">
      <c r="A3" s="174" t="s">
        <v>0</v>
      </c>
    </row>
    <row r="4" ht="15.75">
      <c r="A4" s="174" t="s">
        <v>227</v>
      </c>
    </row>
    <row r="5" ht="12.75"/>
    <row r="6" ht="12.75"/>
    <row r="7" spans="2:8" ht="12.75">
      <c r="B7" s="698" t="s">
        <v>306</v>
      </c>
      <c r="C7" s="699"/>
      <c r="D7" s="700"/>
      <c r="F7" s="698" t="s">
        <v>424</v>
      </c>
      <c r="G7" s="699"/>
      <c r="H7" s="700"/>
    </row>
    <row r="8" spans="2:8" ht="12.75">
      <c r="B8" s="165">
        <v>2007</v>
      </c>
      <c r="C8" s="9"/>
      <c r="D8" s="165">
        <v>2006</v>
      </c>
      <c r="F8" s="165">
        <v>2007</v>
      </c>
      <c r="G8" s="9"/>
      <c r="H8" s="165">
        <v>2006</v>
      </c>
    </row>
    <row r="9" spans="2:8" ht="12.75">
      <c r="B9" s="166" t="s">
        <v>87</v>
      </c>
      <c r="D9" s="166" t="s">
        <v>87</v>
      </c>
      <c r="F9" s="167" t="s">
        <v>87</v>
      </c>
      <c r="H9" s="167" t="s">
        <v>87</v>
      </c>
    </row>
    <row r="10" ht="12.75"/>
    <row r="11" spans="1:8" ht="12.75">
      <c r="A11" s="59" t="s">
        <v>215</v>
      </c>
      <c r="B11" s="37" t="e">
        <f>ROUND(#REF!,0)</f>
        <v>#REF!</v>
      </c>
      <c r="C11" s="3"/>
      <c r="D11" s="37">
        <v>57962</v>
      </c>
      <c r="E11" s="3"/>
      <c r="F11" s="37" t="e">
        <f>ROUND(#REF!,0)</f>
        <v>#REF!</v>
      </c>
      <c r="G11" s="3"/>
      <c r="H11" s="241">
        <v>57962</v>
      </c>
    </row>
    <row r="12" spans="2:8" ht="12.75">
      <c r="B12" s="8"/>
      <c r="C12" s="3"/>
      <c r="D12" s="8"/>
      <c r="E12" s="3"/>
      <c r="F12" s="8"/>
      <c r="G12" s="3"/>
      <c r="H12" s="242"/>
    </row>
    <row r="13" spans="1:8" ht="12.75">
      <c r="A13" s="2" t="s">
        <v>216</v>
      </c>
      <c r="B13" s="8" t="e">
        <f>ROUND(#REF!+#REF!+1+#REF!+#REF!+#REF!-#REF!-#REF!-#REF!-#REF!-#REF!+#REF!+#REF!-2,0)</f>
        <v>#REF!</v>
      </c>
      <c r="C13" s="3"/>
      <c r="D13" s="8">
        <v>-49586</v>
      </c>
      <c r="E13" s="3"/>
      <c r="F13" s="8" t="e">
        <f>ROUND(#REF!+#REF!+1+#REF!+#REF!+#REF!-#REF!-#REF!-#REF!-#REF!-#REF!+#REF!+#REF!+1,0)</f>
        <v>#REF!</v>
      </c>
      <c r="G13" s="3"/>
      <c r="H13" s="242">
        <v>-49586</v>
      </c>
    </row>
    <row r="14" spans="2:8" ht="12.75">
      <c r="B14" s="8"/>
      <c r="C14" s="3"/>
      <c r="D14" s="8"/>
      <c r="E14" s="3"/>
      <c r="F14" s="8"/>
      <c r="G14" s="3"/>
      <c r="H14" s="242"/>
    </row>
    <row r="15" spans="1:8" ht="12.75">
      <c r="A15" s="2" t="s">
        <v>714</v>
      </c>
      <c r="B15" s="8" t="e">
        <f>ROUND(#REF!-#REF!,0)</f>
        <v>#REF!</v>
      </c>
      <c r="C15" s="3"/>
      <c r="D15" s="8">
        <v>531</v>
      </c>
      <c r="E15" s="3"/>
      <c r="F15" s="8" t="e">
        <f>ROUND(#REF!-#REF!,0)</f>
        <v>#REF!</v>
      </c>
      <c r="G15" s="3"/>
      <c r="H15" s="242">
        <v>531</v>
      </c>
    </row>
    <row r="16" spans="2:8" ht="12.75">
      <c r="B16" s="8"/>
      <c r="C16" s="3"/>
      <c r="D16" s="8"/>
      <c r="E16" s="3"/>
      <c r="F16" s="7"/>
      <c r="G16" s="3"/>
      <c r="H16" s="7"/>
    </row>
    <row r="17" spans="1:8" ht="12.75">
      <c r="A17" s="59" t="s">
        <v>435</v>
      </c>
      <c r="B17" s="30" t="e">
        <f>SUM(B11:B15)</f>
        <v>#REF!</v>
      </c>
      <c r="C17" s="3"/>
      <c r="D17" s="30">
        <f>SUM(D11:D15)</f>
        <v>8907</v>
      </c>
      <c r="E17" s="3"/>
      <c r="F17" s="30" t="e">
        <f>SUM(F11:F15)</f>
        <v>#REF!</v>
      </c>
      <c r="G17" s="3"/>
      <c r="H17" s="30">
        <f>SUM(H11:H15)</f>
        <v>8907</v>
      </c>
    </row>
    <row r="18" spans="2:8" ht="12.75">
      <c r="B18" s="37"/>
      <c r="C18" s="3"/>
      <c r="D18" s="37"/>
      <c r="E18" s="3"/>
      <c r="F18" s="37"/>
      <c r="G18" s="3"/>
      <c r="H18" s="37"/>
    </row>
    <row r="19" spans="1:8" ht="12.75">
      <c r="A19" s="2" t="s">
        <v>715</v>
      </c>
      <c r="B19" s="8" t="e">
        <f>ROUND(-#REF!-#REF!-#REF!,0)</f>
        <v>#REF!</v>
      </c>
      <c r="C19" s="3"/>
      <c r="D19" s="8">
        <v>-277</v>
      </c>
      <c r="E19" s="3"/>
      <c r="F19" s="8" t="e">
        <f>ROUND(-#REF!-#REF!-#REF!,0)</f>
        <v>#REF!</v>
      </c>
      <c r="G19" s="3"/>
      <c r="H19" s="242">
        <v>-277</v>
      </c>
    </row>
    <row r="20" spans="2:8" ht="12.75">
      <c r="B20" s="8"/>
      <c r="C20" s="3"/>
      <c r="D20" s="8"/>
      <c r="E20" s="3"/>
      <c r="F20" s="8"/>
      <c r="G20" s="3"/>
      <c r="H20" s="242"/>
    </row>
    <row r="21" spans="1:8" ht="12.75">
      <c r="A21" s="2" t="s">
        <v>777</v>
      </c>
      <c r="B21" s="8" t="e">
        <f>ROUND(#REF!,0)</f>
        <v>#REF!</v>
      </c>
      <c r="C21" s="3"/>
      <c r="D21" s="8">
        <v>133</v>
      </c>
      <c r="E21" s="3"/>
      <c r="F21" s="8" t="e">
        <f>ROUND(#REF!,0)</f>
        <v>#REF!</v>
      </c>
      <c r="G21" s="3"/>
      <c r="H21" s="242">
        <v>133</v>
      </c>
    </row>
    <row r="22" spans="2:8" ht="12.75">
      <c r="B22" s="8"/>
      <c r="C22" s="3"/>
      <c r="D22" s="8"/>
      <c r="E22" s="3"/>
      <c r="F22" s="8"/>
      <c r="G22" s="3"/>
      <c r="H22" s="8"/>
    </row>
    <row r="23" spans="1:8" ht="12.75">
      <c r="A23" s="59" t="s">
        <v>182</v>
      </c>
      <c r="B23" s="30" t="e">
        <f>SUM(B17:B21)</f>
        <v>#REF!</v>
      </c>
      <c r="C23" s="3"/>
      <c r="D23" s="30">
        <f>SUM(D17:D21)</f>
        <v>8763</v>
      </c>
      <c r="E23" s="3"/>
      <c r="F23" s="30" t="e">
        <f>SUM(F17:F21)</f>
        <v>#REF!</v>
      </c>
      <c r="G23" s="3"/>
      <c r="H23" s="30">
        <f>SUM(H17:H21)</f>
        <v>8763</v>
      </c>
    </row>
    <row r="24" spans="1:8" ht="12.75">
      <c r="A24" s="59"/>
      <c r="B24" s="8"/>
      <c r="C24" s="3"/>
      <c r="D24" s="8"/>
      <c r="E24" s="3"/>
      <c r="F24" s="8"/>
      <c r="G24" s="3"/>
      <c r="H24" s="8"/>
    </row>
    <row r="25" spans="1:8" ht="12.75">
      <c r="A25" s="2" t="s">
        <v>399</v>
      </c>
      <c r="B25" s="8" t="e">
        <f>ROUND(#REF!,0)</f>
        <v>#REF!</v>
      </c>
      <c r="C25" s="3"/>
      <c r="D25" s="8">
        <v>-1896</v>
      </c>
      <c r="E25" s="3"/>
      <c r="F25" s="8" t="e">
        <f>ROUND(+#REF!,0)</f>
        <v>#REF!</v>
      </c>
      <c r="G25" s="3"/>
      <c r="H25" s="242">
        <v>-1896</v>
      </c>
    </row>
    <row r="26" spans="2:8" ht="12.75">
      <c r="B26" s="8"/>
      <c r="C26" s="3"/>
      <c r="D26" s="8"/>
      <c r="E26" s="3"/>
      <c r="F26" s="8"/>
      <c r="G26" s="3"/>
      <c r="H26" s="8"/>
    </row>
    <row r="27" spans="1:8" ht="12.75">
      <c r="A27" s="59" t="s">
        <v>437</v>
      </c>
      <c r="B27" s="30" t="e">
        <f>SUM(B23:B25)</f>
        <v>#REF!</v>
      </c>
      <c r="C27" s="3"/>
      <c r="D27" s="30">
        <f>SUM(D23:D25)</f>
        <v>6867</v>
      </c>
      <c r="E27" s="3"/>
      <c r="F27" s="30" t="e">
        <f>SUM(F23:F25)</f>
        <v>#REF!</v>
      </c>
      <c r="G27" s="3"/>
      <c r="H27" s="30">
        <f>SUM(H23:H25)</f>
        <v>6867</v>
      </c>
    </row>
    <row r="28" spans="1:8" ht="12.75">
      <c r="A28" s="59"/>
      <c r="B28" s="8"/>
      <c r="C28" s="3"/>
      <c r="D28" s="8"/>
      <c r="E28" s="3"/>
      <c r="F28" s="8"/>
      <c r="G28" s="3"/>
      <c r="H28" s="8"/>
    </row>
    <row r="29" spans="1:8" ht="12.75">
      <c r="A29" s="2" t="s">
        <v>149</v>
      </c>
      <c r="B29" s="8" t="e">
        <f>ROUND(#REF!,0)</f>
        <v>#REF!</v>
      </c>
      <c r="C29" s="3"/>
      <c r="D29" s="8">
        <v>-2797</v>
      </c>
      <c r="E29" s="3"/>
      <c r="F29" s="8" t="e">
        <f>ROUND(#REF!,0)</f>
        <v>#REF!</v>
      </c>
      <c r="G29" s="3"/>
      <c r="H29" s="242">
        <v>-2797</v>
      </c>
    </row>
    <row r="30" spans="2:8" ht="12.75">
      <c r="B30" s="8"/>
      <c r="C30" s="3"/>
      <c r="D30" s="8"/>
      <c r="E30" s="3"/>
      <c r="F30" s="8"/>
      <c r="G30" s="3"/>
      <c r="H30" s="8"/>
    </row>
    <row r="31" spans="1:8" ht="13.5" thickBot="1">
      <c r="A31" s="59" t="s">
        <v>137</v>
      </c>
      <c r="B31" s="178" t="e">
        <f>SUM(B27:B29)</f>
        <v>#REF!</v>
      </c>
      <c r="C31" s="3"/>
      <c r="D31" s="178">
        <f>SUM(D27:D29)</f>
        <v>4070</v>
      </c>
      <c r="E31" s="3"/>
      <c r="F31" s="178" t="e">
        <f>SUM(F27:F29)</f>
        <v>#REF!</v>
      </c>
      <c r="G31" s="3"/>
      <c r="H31" s="178">
        <f>SUM(H27:H29)</f>
        <v>4070</v>
      </c>
    </row>
    <row r="32" spans="2:8" ht="13.5" thickTop="1">
      <c r="B32" s="18"/>
      <c r="C32" s="18"/>
      <c r="D32" s="18"/>
      <c r="E32" s="18"/>
      <c r="F32" s="18"/>
      <c r="G32" s="18"/>
      <c r="H32" s="18"/>
    </row>
    <row r="33" spans="1:8" ht="12.75">
      <c r="A33" s="2" t="s">
        <v>33</v>
      </c>
      <c r="B33" s="149" t="e">
        <f>+#REF!</f>
        <v>#REF!</v>
      </c>
      <c r="C33" s="18"/>
      <c r="D33" s="239">
        <v>7.67</v>
      </c>
      <c r="E33" s="18"/>
      <c r="F33" s="149" t="e">
        <f>+#REF!</f>
        <v>#REF!</v>
      </c>
      <c r="G33" s="18"/>
      <c r="H33" s="239">
        <v>7.67</v>
      </c>
    </row>
    <row r="34" spans="2:8" ht="12.75">
      <c r="B34" s="62"/>
      <c r="C34" s="18"/>
      <c r="D34" s="155"/>
      <c r="E34" s="18"/>
      <c r="F34" s="62"/>
      <c r="G34" s="18"/>
      <c r="H34" s="155"/>
    </row>
    <row r="35" spans="1:8" ht="12.75">
      <c r="A35" s="2" t="s">
        <v>148</v>
      </c>
      <c r="B35" s="149" t="e">
        <f>#REF!</f>
        <v>#REF!</v>
      </c>
      <c r="C35" s="18"/>
      <c r="D35" s="388">
        <v>7.64</v>
      </c>
      <c r="E35" s="18"/>
      <c r="F35" s="149" t="e">
        <f>#REF!</f>
        <v>#REF!</v>
      </c>
      <c r="G35" s="18"/>
      <c r="H35" s="388">
        <v>7.67</v>
      </c>
    </row>
    <row r="43" spans="1:8" ht="12.75" hidden="1">
      <c r="A43" s="153" t="s">
        <v>142</v>
      </c>
      <c r="B43" s="142" t="e">
        <f>+ROUND(#REF!,0)</f>
        <v>#REF!</v>
      </c>
      <c r="C43" s="153"/>
      <c r="D43" s="153"/>
      <c r="E43" s="153"/>
      <c r="F43" s="142" t="e">
        <f>+ROUND(#REF!,0)</f>
        <v>#REF!</v>
      </c>
      <c r="G43" s="153"/>
      <c r="H43" s="153"/>
    </row>
    <row r="44" spans="1:8" ht="12.75" hidden="1">
      <c r="A44" s="153"/>
      <c r="B44" s="169" t="e">
        <f>+B31-B43</f>
        <v>#REF!</v>
      </c>
      <c r="C44" s="153"/>
      <c r="D44" s="153"/>
      <c r="E44" s="153"/>
      <c r="F44" s="169" t="e">
        <f>+F31-F43</f>
        <v>#REF!</v>
      </c>
      <c r="G44" s="153"/>
      <c r="H44" s="153"/>
    </row>
  </sheetData>
  <mergeCells count="2">
    <mergeCell ref="B7:D7"/>
    <mergeCell ref="F7:H7"/>
  </mergeCells>
  <printOptions horizontalCentered="1"/>
  <pageMargins left="0.6" right="0.74" top="0.84" bottom="1" header="0.5" footer="0.5"/>
  <pageSetup fitToHeight="1" fitToWidth="1" horizontalDpi="300" verticalDpi="300" orientation="portrait" paperSize="9" r:id="rId4"/>
  <headerFooter alignWithMargins="0">
    <oddHeader>&amp;R&amp;D &amp;T</oddHeader>
  </headerFooter>
  <drawing r:id="rId3"/>
  <legacyDrawing r:id="rId2"/>
</worksheet>
</file>

<file path=xl/worksheets/sheet6.xml><?xml version="1.0" encoding="utf-8"?>
<worksheet xmlns="http://schemas.openxmlformats.org/spreadsheetml/2006/main" xmlns:r="http://schemas.openxmlformats.org/officeDocument/2006/relationships">
  <dimension ref="A1:L119"/>
  <sheetViews>
    <sheetView workbookViewId="0" topLeftCell="A1">
      <selection activeCell="D10" sqref="D10"/>
    </sheetView>
  </sheetViews>
  <sheetFormatPr defaultColWidth="9.140625" defaultRowHeight="12.75"/>
  <cols>
    <col min="1" max="1" width="36.28125" style="2" customWidth="1"/>
    <col min="2" max="2" width="9.8515625" style="2" customWidth="1"/>
    <col min="3" max="3" width="3.8515625" style="2" customWidth="1"/>
    <col min="4" max="4" width="15.421875" style="2" customWidth="1"/>
    <col min="5" max="5" width="3.28125" style="2" customWidth="1"/>
    <col min="6" max="6" width="13.00390625" style="2" customWidth="1"/>
    <col min="7" max="16384" width="8.8515625" style="2" customWidth="1"/>
  </cols>
  <sheetData>
    <row r="1" ht="18.75">
      <c r="A1" s="175" t="s">
        <v>756</v>
      </c>
    </row>
    <row r="3" spans="1:3" ht="15.75">
      <c r="A3" s="174" t="s">
        <v>340</v>
      </c>
      <c r="B3" s="59"/>
      <c r="C3" s="59"/>
    </row>
    <row r="4" spans="1:3" ht="15.75">
      <c r="A4" s="174" t="s">
        <v>295</v>
      </c>
      <c r="B4" s="59"/>
      <c r="C4" s="59"/>
    </row>
    <row r="6" spans="4:6" ht="12.75">
      <c r="D6" s="168" t="s">
        <v>717</v>
      </c>
      <c r="E6" s="61"/>
      <c r="F6" s="168" t="s">
        <v>719</v>
      </c>
    </row>
    <row r="7" spans="4:6" ht="12.75">
      <c r="D7" s="48" t="s">
        <v>718</v>
      </c>
      <c r="E7" s="61"/>
      <c r="F7" s="48" t="s">
        <v>721</v>
      </c>
    </row>
    <row r="8" spans="4:6" ht="12.75">
      <c r="D8" s="48" t="s">
        <v>23</v>
      </c>
      <c r="E8" s="61"/>
      <c r="F8" s="48" t="s">
        <v>720</v>
      </c>
    </row>
    <row r="9" spans="4:6" ht="12.75">
      <c r="D9" s="438" t="s">
        <v>226</v>
      </c>
      <c r="E9" s="163"/>
      <c r="F9" s="247">
        <v>39113</v>
      </c>
    </row>
    <row r="10" spans="2:6" ht="12.75">
      <c r="B10" s="150"/>
      <c r="D10" s="166" t="s">
        <v>87</v>
      </c>
      <c r="E10" s="61"/>
      <c r="F10" s="166" t="s">
        <v>87</v>
      </c>
    </row>
    <row r="12" spans="1:8" ht="12.75">
      <c r="A12" s="59" t="s">
        <v>745</v>
      </c>
      <c r="B12" s="164"/>
      <c r="C12" s="59"/>
      <c r="D12" s="37" t="e">
        <f>ROUND(#REF!,0)</f>
        <v>#REF!</v>
      </c>
      <c r="E12" s="3"/>
      <c r="F12" s="241">
        <v>53760</v>
      </c>
      <c r="G12" s="22"/>
      <c r="H12" s="22"/>
    </row>
    <row r="13" spans="4:6" ht="12.75">
      <c r="D13" s="8"/>
      <c r="E13" s="3"/>
      <c r="F13" s="242"/>
    </row>
    <row r="14" spans="1:7" ht="12.75">
      <c r="A14" s="59" t="s">
        <v>779</v>
      </c>
      <c r="D14" s="8" t="e">
        <f>ROUND(#REF!,0)</f>
        <v>#REF!</v>
      </c>
      <c r="E14" s="3"/>
      <c r="F14" s="242">
        <v>2845</v>
      </c>
      <c r="G14" s="22"/>
    </row>
    <row r="15" spans="4:6" ht="12.75">
      <c r="D15" s="8"/>
      <c r="E15" s="3"/>
      <c r="F15" s="242"/>
    </row>
    <row r="16" spans="1:7" ht="12.75">
      <c r="A16" s="59" t="s">
        <v>199</v>
      </c>
      <c r="D16" s="8" t="e">
        <f>ROUND(#REF!,0)</f>
        <v>#REF!</v>
      </c>
      <c r="E16" s="3"/>
      <c r="F16" s="242">
        <v>8812</v>
      </c>
      <c r="G16" s="22"/>
    </row>
    <row r="17" spans="4:6" ht="12.75">
      <c r="D17" s="8"/>
      <c r="E17" s="3"/>
      <c r="F17" s="242"/>
    </row>
    <row r="18" spans="1:7" ht="12.75">
      <c r="A18" s="59" t="s">
        <v>110</v>
      </c>
      <c r="D18" s="8" t="e">
        <f>ROUND(#REF!,0)</f>
        <v>#REF!</v>
      </c>
      <c r="E18" s="3"/>
      <c r="F18" s="242">
        <v>0</v>
      </c>
      <c r="G18" s="22"/>
    </row>
    <row r="19" spans="1:6" ht="12.75">
      <c r="A19" s="59"/>
      <c r="D19" s="8"/>
      <c r="E19" s="3"/>
      <c r="F19" s="242"/>
    </row>
    <row r="20" spans="1:6" ht="12.75">
      <c r="A20" s="59" t="s">
        <v>128</v>
      </c>
      <c r="D20" s="8" t="e">
        <f>ROUND(#REF!,0)</f>
        <v>#REF!</v>
      </c>
      <c r="E20" s="3"/>
      <c r="F20" s="242">
        <v>0</v>
      </c>
    </row>
    <row r="21" spans="4:6" ht="12.75">
      <c r="D21" s="30" t="e">
        <f>SUM(D12:D20)</f>
        <v>#REF!</v>
      </c>
      <c r="E21" s="3"/>
      <c r="F21" s="30">
        <f>SUM(F12:F20)</f>
        <v>65417</v>
      </c>
    </row>
    <row r="22" spans="4:6" ht="12.75">
      <c r="D22" s="3"/>
      <c r="E22" s="3"/>
      <c r="F22" s="3"/>
    </row>
    <row r="23" spans="1:6" ht="12.75">
      <c r="A23" s="59" t="s">
        <v>268</v>
      </c>
      <c r="D23" s="3"/>
      <c r="E23" s="3"/>
      <c r="F23" s="3"/>
    </row>
    <row r="24" spans="1:7" ht="12.75">
      <c r="A24" s="15" t="s">
        <v>238</v>
      </c>
      <c r="B24" s="15"/>
      <c r="C24" s="15"/>
      <c r="D24" s="301" t="e">
        <f>ROUND(#REF!,0)</f>
        <v>#REF!</v>
      </c>
      <c r="E24" s="3"/>
      <c r="F24" s="241">
        <v>28749</v>
      </c>
      <c r="G24" s="22"/>
    </row>
    <row r="25" spans="1:7" ht="12.75">
      <c r="A25" s="15" t="s">
        <v>722</v>
      </c>
      <c r="B25" s="15"/>
      <c r="C25" s="15"/>
      <c r="D25" s="268" t="e">
        <f>ROUND(#REF!+#REF!+1+#REF!+#REF!,0)+#REF!-2</f>
        <v>#REF!</v>
      </c>
      <c r="E25" s="3"/>
      <c r="F25" s="242">
        <v>35489</v>
      </c>
      <c r="G25" s="22"/>
    </row>
    <row r="26" spans="1:7" ht="12.75">
      <c r="A26" s="15" t="s">
        <v>514</v>
      </c>
      <c r="B26" s="15"/>
      <c r="C26" s="15"/>
      <c r="D26" s="8" t="e">
        <f>ROUND(#REF!,0)</f>
        <v>#REF!</v>
      </c>
      <c r="E26" s="3"/>
      <c r="F26" s="242">
        <v>1426</v>
      </c>
      <c r="G26" s="22"/>
    </row>
    <row r="27" spans="1:7" ht="12.75">
      <c r="A27" s="15" t="s">
        <v>723</v>
      </c>
      <c r="B27" s="15"/>
      <c r="C27" s="15"/>
      <c r="D27" s="8" t="e">
        <f>ROUND(#REF!+#REF!,0)</f>
        <v>#REF!</v>
      </c>
      <c r="E27" s="3"/>
      <c r="F27" s="242">
        <v>46050</v>
      </c>
      <c r="G27" s="22"/>
    </row>
    <row r="28" spans="1:6" ht="12.75">
      <c r="A28" s="15"/>
      <c r="B28" s="15"/>
      <c r="C28" s="15"/>
      <c r="D28" s="30" t="e">
        <f>SUM(D24:D27)</f>
        <v>#REF!</v>
      </c>
      <c r="E28" s="3"/>
      <c r="F28" s="30">
        <f>SUM(F24:F27)</f>
        <v>111714</v>
      </c>
    </row>
    <row r="29" spans="4:12" ht="12.75">
      <c r="D29" s="3"/>
      <c r="E29" s="3"/>
      <c r="F29" s="3"/>
      <c r="J29" s="22"/>
      <c r="K29" s="22"/>
      <c r="L29" s="22"/>
    </row>
    <row r="30" spans="1:6" ht="12.75">
      <c r="A30" s="59" t="s">
        <v>229</v>
      </c>
      <c r="D30" s="3"/>
      <c r="E30" s="3"/>
      <c r="F30" s="3"/>
    </row>
    <row r="31" spans="1:7" ht="12.75">
      <c r="A31" s="15" t="s">
        <v>725</v>
      </c>
      <c r="D31" s="301" t="e">
        <f>ROUND(#REF!+#REF!+#REF!+#REF!,0)</f>
        <v>#REF!</v>
      </c>
      <c r="E31" s="3"/>
      <c r="F31" s="332">
        <v>21183</v>
      </c>
      <c r="G31" s="22"/>
    </row>
    <row r="32" spans="1:7" ht="12.75">
      <c r="A32" s="15" t="s">
        <v>724</v>
      </c>
      <c r="B32" s="164"/>
      <c r="C32" s="15"/>
      <c r="D32" s="268" t="e">
        <f>ROUND(#REF!+#REF!,0)</f>
        <v>#REF!</v>
      </c>
      <c r="E32" s="3"/>
      <c r="F32" s="333">
        <v>3140</v>
      </c>
      <c r="G32" s="22"/>
    </row>
    <row r="33" spans="1:6" ht="12.75" hidden="1">
      <c r="A33" s="15" t="s">
        <v>197</v>
      </c>
      <c r="B33" s="164"/>
      <c r="C33" s="15"/>
      <c r="D33" s="268">
        <v>0</v>
      </c>
      <c r="E33" s="3"/>
      <c r="F33" s="333">
        <v>0</v>
      </c>
    </row>
    <row r="34" spans="1:7" ht="12.75">
      <c r="A34" s="15" t="s">
        <v>399</v>
      </c>
      <c r="B34" s="15"/>
      <c r="C34" s="15"/>
      <c r="D34" s="331" t="e">
        <f>ROUND(#REF!,0)</f>
        <v>#REF!</v>
      </c>
      <c r="E34" s="3"/>
      <c r="F34" s="334">
        <v>57</v>
      </c>
      <c r="G34" s="22"/>
    </row>
    <row r="35" spans="1:7" ht="12.75">
      <c r="A35" s="15"/>
      <c r="B35" s="15"/>
      <c r="C35" s="15"/>
      <c r="D35" s="30" t="e">
        <f>SUM(D31:D34)</f>
        <v>#REF!</v>
      </c>
      <c r="E35" s="3"/>
      <c r="F35" s="30">
        <f>SUM(F31:F34)</f>
        <v>24380</v>
      </c>
      <c r="G35" s="22"/>
    </row>
    <row r="36" spans="1:6" ht="12.75">
      <c r="A36" s="15"/>
      <c r="B36" s="15"/>
      <c r="C36" s="15"/>
      <c r="D36" s="45"/>
      <c r="E36" s="3"/>
      <c r="F36" s="45"/>
    </row>
    <row r="37" spans="1:6" ht="12.75">
      <c r="A37" s="59" t="s">
        <v>768</v>
      </c>
      <c r="D37" s="3" t="e">
        <f>D28-D35</f>
        <v>#REF!</v>
      </c>
      <c r="E37" s="3"/>
      <c r="F37" s="3">
        <f>F28-F35</f>
        <v>87334</v>
      </c>
    </row>
    <row r="38" spans="1:6" ht="12.75">
      <c r="A38" s="59"/>
      <c r="D38" s="3"/>
      <c r="E38" s="3"/>
      <c r="F38" s="3"/>
    </row>
    <row r="39" spans="1:6" ht="13.5" thickBot="1">
      <c r="A39" s="22"/>
      <c r="B39" s="22"/>
      <c r="C39" s="22"/>
      <c r="D39" s="176" t="e">
        <f>+D21+D37</f>
        <v>#REF!</v>
      </c>
      <c r="E39" s="177"/>
      <c r="F39" s="176">
        <f>F37+F21</f>
        <v>152751</v>
      </c>
    </row>
    <row r="40" spans="4:6" ht="13.5" thickTop="1">
      <c r="D40" s="3"/>
      <c r="E40" s="3"/>
      <c r="F40" s="3"/>
    </row>
    <row r="41" spans="4:6" ht="12.75">
      <c r="D41" s="3"/>
      <c r="E41" s="3"/>
      <c r="F41" s="3"/>
    </row>
    <row r="42" spans="1:6" ht="12.75">
      <c r="A42" s="59" t="s">
        <v>336</v>
      </c>
      <c r="D42" s="45" t="e">
        <f>ROUND(#REF!,0)</f>
        <v>#REF!</v>
      </c>
      <c r="E42" s="45"/>
      <c r="F42" s="143">
        <v>53106</v>
      </c>
    </row>
    <row r="43" spans="1:6" ht="12.75">
      <c r="A43" s="59" t="s">
        <v>795</v>
      </c>
      <c r="D43" s="4" t="e">
        <f>ROUND(#REF!+#REF!+#REF!+#REF!+#REF!+#REF!+#REF!+#REF!,0)</f>
        <v>#REF!</v>
      </c>
      <c r="E43" s="45"/>
      <c r="F43" s="243">
        <v>29367</v>
      </c>
    </row>
    <row r="44" spans="1:6" ht="12.75">
      <c r="A44" s="59" t="s">
        <v>17</v>
      </c>
      <c r="B44" s="15"/>
      <c r="C44" s="15"/>
      <c r="D44" s="3" t="e">
        <f>SUM(D42:D43)</f>
        <v>#REF!</v>
      </c>
      <c r="E44" s="3"/>
      <c r="F44" s="3">
        <f>SUM(F42:F43)</f>
        <v>82473</v>
      </c>
    </row>
    <row r="45" spans="1:6" ht="12.75">
      <c r="A45" s="59" t="s">
        <v>767</v>
      </c>
      <c r="D45" s="3" t="e">
        <f>ROUND(#REF!,0)</f>
        <v>#REF!</v>
      </c>
      <c r="E45" s="3"/>
      <c r="F45" s="170">
        <v>61553</v>
      </c>
    </row>
    <row r="46" spans="1:6" ht="12.75">
      <c r="A46" s="59" t="s">
        <v>769</v>
      </c>
      <c r="D46" s="3"/>
      <c r="E46" s="3"/>
      <c r="F46" s="3"/>
    </row>
    <row r="47" spans="1:7" ht="12.75">
      <c r="A47" s="15" t="s">
        <v>724</v>
      </c>
      <c r="B47" s="164"/>
      <c r="D47" s="3" t="e">
        <f>ROUND(#REF!,0)</f>
        <v>#REF!</v>
      </c>
      <c r="E47" s="3"/>
      <c r="F47" s="170">
        <v>7342</v>
      </c>
      <c r="G47" s="22"/>
    </row>
    <row r="48" spans="1:7" ht="12.75">
      <c r="A48" s="15" t="s">
        <v>239</v>
      </c>
      <c r="D48" s="3" t="e">
        <f>ROUND(#REF!,0)</f>
        <v>#REF!</v>
      </c>
      <c r="E48" s="3"/>
      <c r="F48" s="170">
        <v>1383</v>
      </c>
      <c r="G48" s="22"/>
    </row>
    <row r="49" spans="4:6" ht="13.5" thickBot="1">
      <c r="D49" s="176" t="e">
        <f>SUM(D44:D48)</f>
        <v>#REF!</v>
      </c>
      <c r="E49" s="177"/>
      <c r="F49" s="176">
        <f>SUM(F44:F48)</f>
        <v>152751</v>
      </c>
    </row>
    <row r="50" spans="4:6" ht="13.5" thickTop="1">
      <c r="D50" s="18"/>
      <c r="E50" s="18"/>
      <c r="F50" s="3"/>
    </row>
    <row r="51" spans="4:6" ht="12.75">
      <c r="D51" s="18"/>
      <c r="E51" s="18"/>
      <c r="F51" s="3"/>
    </row>
    <row r="52" spans="4:6" ht="12.75">
      <c r="D52" s="18"/>
      <c r="E52" s="18"/>
      <c r="F52" s="3"/>
    </row>
    <row r="53" spans="4:6" ht="12.75">
      <c r="D53" s="18"/>
      <c r="E53" s="18"/>
      <c r="F53" s="3"/>
    </row>
    <row r="54" spans="4:6" ht="12.75">
      <c r="D54" s="18"/>
      <c r="E54" s="18"/>
      <c r="F54" s="3"/>
    </row>
    <row r="55" spans="4:6" ht="12.75">
      <c r="D55" s="18"/>
      <c r="E55" s="18"/>
      <c r="F55" s="3"/>
    </row>
    <row r="56" spans="4:6" ht="12.75">
      <c r="D56" s="18"/>
      <c r="E56" s="18"/>
      <c r="F56" s="3"/>
    </row>
    <row r="57" spans="1:6" ht="12.75">
      <c r="A57" s="2" t="s">
        <v>240</v>
      </c>
      <c r="D57" s="157" t="e">
        <f>(D39-D45-D47-D48)/D42</f>
        <v>#REF!</v>
      </c>
      <c r="E57" s="18"/>
      <c r="F57" s="157">
        <f>(F39-F45-F47-F48)/F42</f>
        <v>1.5529883628968477</v>
      </c>
    </row>
    <row r="58" spans="4:6" ht="12.75">
      <c r="D58" s="18"/>
      <c r="E58" s="18"/>
      <c r="F58" s="3"/>
    </row>
    <row r="59" spans="1:6" ht="12.75">
      <c r="A59" s="153" t="s">
        <v>142</v>
      </c>
      <c r="D59" s="269" t="e">
        <f>+D39-D49</f>
        <v>#REF!</v>
      </c>
      <c r="E59" s="153"/>
      <c r="F59" s="170">
        <f>+F39-F49</f>
        <v>0</v>
      </c>
    </row>
    <row r="60" spans="4:6" ht="12.75">
      <c r="D60" s="15"/>
      <c r="E60" s="15"/>
      <c r="F60" s="15"/>
    </row>
    <row r="61" spans="1:6" ht="12.75">
      <c r="A61" s="15" t="s">
        <v>599</v>
      </c>
      <c r="D61" s="220" t="e">
        <f>+ROUND(#REF!,0)</f>
        <v>#REF!</v>
      </c>
      <c r="E61" s="220"/>
      <c r="F61" s="220">
        <v>15780</v>
      </c>
    </row>
    <row r="62" spans="1:6" ht="12.75">
      <c r="A62" s="15" t="s">
        <v>598</v>
      </c>
      <c r="D62" s="220" t="e">
        <f>ROUND(#REF!,0)</f>
        <v>#REF!</v>
      </c>
      <c r="E62" s="220"/>
      <c r="F62" s="220">
        <v>3400</v>
      </c>
    </row>
    <row r="63" spans="1:6" ht="12.75">
      <c r="A63" s="15"/>
      <c r="D63" s="221" t="e">
        <f>SUM(D61:D62)</f>
        <v>#REF!</v>
      </c>
      <c r="E63" s="15"/>
      <c r="F63" s="221">
        <f>SUM(F61:F62)</f>
        <v>19180</v>
      </c>
    </row>
    <row r="64" spans="1:6" ht="12.75">
      <c r="A64" s="15" t="s">
        <v>597</v>
      </c>
      <c r="D64" s="250">
        <v>0</v>
      </c>
      <c r="E64" s="15"/>
      <c r="F64" s="250"/>
    </row>
    <row r="65" spans="1:6" ht="13.5" thickBot="1">
      <c r="A65" s="15" t="s">
        <v>723</v>
      </c>
      <c r="D65" s="222" t="e">
        <f>SUM(D63:D64)</f>
        <v>#REF!</v>
      </c>
      <c r="E65" s="15"/>
      <c r="F65" s="222">
        <f>SUM(F63:F64)</f>
        <v>19180</v>
      </c>
    </row>
    <row r="66" spans="4:6" ht="13.5" thickTop="1">
      <c r="D66" s="15"/>
      <c r="E66" s="15"/>
      <c r="F66" s="15"/>
    </row>
    <row r="67" spans="4:6" ht="12.75">
      <c r="D67" s="15"/>
      <c r="E67" s="15"/>
      <c r="F67" s="15"/>
    </row>
    <row r="68" spans="4:6" ht="12.75">
      <c r="D68" s="15"/>
      <c r="E68" s="15"/>
      <c r="F68" s="15"/>
    </row>
    <row r="69" spans="1:4" s="60" customFormat="1" ht="12.75">
      <c r="A69" s="245"/>
      <c r="D69" s="246"/>
    </row>
    <row r="70" spans="1:4" s="60" customFormat="1" ht="13.5">
      <c r="A70" s="180" t="s">
        <v>399</v>
      </c>
      <c r="B70" s="2"/>
      <c r="C70" s="2"/>
      <c r="D70" s="2"/>
    </row>
    <row r="71" spans="1:4" s="60" customFormat="1" ht="12.75">
      <c r="A71" s="15" t="s">
        <v>201</v>
      </c>
      <c r="B71" s="15"/>
      <c r="C71" s="15"/>
      <c r="D71" s="179">
        <f>ROUND(F34-F26,0)</f>
        <v>-1369</v>
      </c>
    </row>
    <row r="72" spans="1:6" s="60" customFormat="1" ht="12.75">
      <c r="A72" s="15" t="s">
        <v>202</v>
      </c>
      <c r="C72" s="15"/>
      <c r="D72" s="220" t="e">
        <f>+ROUND(-#REF!-#REF!-#REF!,0)</f>
        <v>#REF!</v>
      </c>
      <c r="F72" s="45"/>
    </row>
    <row r="73" spans="2:6" s="60" customFormat="1" ht="12.75">
      <c r="B73" s="15"/>
      <c r="C73" s="15"/>
      <c r="D73" s="221" t="e">
        <f>SUM(D71:D72)</f>
        <v>#REF!</v>
      </c>
      <c r="F73" s="45"/>
    </row>
    <row r="74" spans="1:6" s="60" customFormat="1" ht="12.75">
      <c r="A74" s="15" t="s">
        <v>203</v>
      </c>
      <c r="B74" s="15"/>
      <c r="C74" s="15"/>
      <c r="D74" s="179" t="e">
        <f>+D75-D73</f>
        <v>#REF!</v>
      </c>
      <c r="F74" s="45"/>
    </row>
    <row r="75" spans="1:6" s="60" customFormat="1" ht="13.5" thickBot="1">
      <c r="A75" s="15" t="s">
        <v>204</v>
      </c>
      <c r="C75" s="15"/>
      <c r="D75" s="222" t="e">
        <f>ROUND(D34-D26,0)</f>
        <v>#REF!</v>
      </c>
      <c r="F75" s="45"/>
    </row>
    <row r="76" s="60" customFormat="1" ht="13.5" thickTop="1"/>
    <row r="77" spans="1:2" s="60" customFormat="1" ht="12.75">
      <c r="A77" s="2"/>
      <c r="B77" s="2"/>
    </row>
    <row r="78" spans="1:4" ht="12.75">
      <c r="A78" s="253" t="s">
        <v>81</v>
      </c>
      <c r="B78" s="153"/>
      <c r="C78" s="153"/>
      <c r="D78" s="153"/>
    </row>
    <row r="79" spans="1:4" ht="12.75">
      <c r="A79" s="153"/>
      <c r="B79" s="153"/>
      <c r="C79" s="153"/>
      <c r="D79" s="153"/>
    </row>
    <row r="80" spans="1:4" ht="12.75">
      <c r="A80" s="253" t="s">
        <v>57</v>
      </c>
      <c r="B80" s="253"/>
      <c r="C80" s="253"/>
      <c r="D80" s="254"/>
    </row>
    <row r="81" spans="1:4" ht="12.75">
      <c r="A81" s="253" t="s">
        <v>349</v>
      </c>
      <c r="B81" s="253"/>
      <c r="C81" s="253"/>
      <c r="D81" s="254"/>
    </row>
    <row r="82" spans="1:4" ht="12.75">
      <c r="A82" s="253" t="s">
        <v>82</v>
      </c>
      <c r="C82" s="253"/>
      <c r="D82" s="254"/>
    </row>
    <row r="83" spans="1:4" ht="12.75">
      <c r="A83" s="253" t="s">
        <v>26</v>
      </c>
      <c r="C83" s="253"/>
      <c r="D83" s="254"/>
    </row>
    <row r="84" spans="1:4" ht="12.75">
      <c r="A84" s="253" t="s">
        <v>27</v>
      </c>
      <c r="C84" s="253"/>
      <c r="D84" s="254"/>
    </row>
    <row r="85" spans="1:4" ht="12.75">
      <c r="A85" s="253" t="s">
        <v>794</v>
      </c>
      <c r="B85" s="253"/>
      <c r="C85" s="253"/>
      <c r="D85" s="254"/>
    </row>
    <row r="86" spans="1:6" ht="13.5" thickBot="1">
      <c r="A86" s="253"/>
      <c r="B86" s="253"/>
      <c r="C86" s="253"/>
      <c r="D86" s="258">
        <f>SUM(D80:D85)</f>
        <v>0</v>
      </c>
      <c r="F86" s="22"/>
    </row>
    <row r="87" ht="13.5" thickTop="1">
      <c r="D87" s="1"/>
    </row>
    <row r="88" ht="12.75">
      <c r="D88" s="1"/>
    </row>
    <row r="89" spans="1:6" ht="15">
      <c r="A89" s="253" t="s">
        <v>682</v>
      </c>
      <c r="D89" s="263" t="s">
        <v>710</v>
      </c>
      <c r="E89" s="264"/>
      <c r="F89" s="263" t="s">
        <v>647</v>
      </c>
    </row>
    <row r="90" spans="1:6" ht="12.75">
      <c r="A90" s="253" t="s">
        <v>349</v>
      </c>
      <c r="D90" s="254">
        <f>277-31.031</f>
        <v>245.969</v>
      </c>
      <c r="F90" s="254">
        <v>155</v>
      </c>
    </row>
    <row r="91" spans="1:6" ht="12.75">
      <c r="A91" s="253" t="s">
        <v>57</v>
      </c>
      <c r="D91" s="254">
        <f>3721+51.369</f>
        <v>3772.369</v>
      </c>
      <c r="F91" s="254">
        <v>1158.934</v>
      </c>
    </row>
    <row r="92" spans="1:6" ht="12.75">
      <c r="A92" s="253" t="s">
        <v>786</v>
      </c>
      <c r="D92" s="254">
        <v>-0.938</v>
      </c>
      <c r="F92" s="254">
        <v>1.59</v>
      </c>
    </row>
    <row r="93" spans="1:6" ht="12.75">
      <c r="A93" s="253" t="s">
        <v>709</v>
      </c>
      <c r="D93" s="254"/>
      <c r="F93" s="254">
        <v>107.801</v>
      </c>
    </row>
    <row r="94" spans="1:6" ht="12.75">
      <c r="A94" s="253" t="s">
        <v>791</v>
      </c>
      <c r="D94" s="254"/>
      <c r="F94" s="254">
        <v>-63</v>
      </c>
    </row>
    <row r="95" spans="1:6" ht="12.75">
      <c r="A95" s="253" t="s">
        <v>782</v>
      </c>
      <c r="D95" s="254"/>
      <c r="F95" s="254">
        <v>2.833</v>
      </c>
    </row>
    <row r="96" spans="1:6" ht="12.75">
      <c r="A96" s="253" t="s">
        <v>792</v>
      </c>
      <c r="D96" s="254"/>
      <c r="F96" s="254">
        <v>59.323</v>
      </c>
    </row>
    <row r="97" spans="1:6" ht="12.75">
      <c r="A97" s="253" t="s">
        <v>794</v>
      </c>
      <c r="D97" s="254">
        <v>1.926</v>
      </c>
      <c r="F97" s="254">
        <v>0.439</v>
      </c>
    </row>
    <row r="98" spans="1:6" ht="13.5" thickBot="1">
      <c r="A98" s="253"/>
      <c r="B98" s="148"/>
      <c r="D98" s="258">
        <f>SUM(D90:D97)</f>
        <v>4019.326</v>
      </c>
      <c r="F98" s="258">
        <f>SUM(F90:F97)</f>
        <v>1422.92</v>
      </c>
    </row>
    <row r="99" spans="1:4" ht="13.5" thickTop="1">
      <c r="A99" s="253"/>
      <c r="D99" s="254"/>
    </row>
    <row r="100" ht="12.75">
      <c r="A100" s="253"/>
    </row>
    <row r="101" ht="12.75">
      <c r="A101" s="15" t="s">
        <v>707</v>
      </c>
    </row>
    <row r="102" spans="1:4" s="15" customFormat="1" ht="12.75">
      <c r="A102" s="15" t="s">
        <v>791</v>
      </c>
      <c r="D102" s="260"/>
    </row>
    <row r="103" spans="1:4" s="15" customFormat="1" ht="12.75">
      <c r="A103" s="15" t="s">
        <v>782</v>
      </c>
      <c r="D103" s="260"/>
    </row>
    <row r="104" spans="1:4" s="15" customFormat="1" ht="12.75">
      <c r="A104" s="15" t="s">
        <v>781</v>
      </c>
      <c r="D104" s="260"/>
    </row>
    <row r="105" spans="1:4" s="15" customFormat="1" ht="12.75">
      <c r="A105" s="15" t="s">
        <v>783</v>
      </c>
      <c r="D105" s="260"/>
    </row>
    <row r="106" spans="1:4" s="15" customFormat="1" ht="12.75">
      <c r="A106" s="15" t="s">
        <v>785</v>
      </c>
      <c r="D106" s="260"/>
    </row>
    <row r="107" s="15" customFormat="1" ht="13.5" thickBot="1">
      <c r="D107" s="261">
        <f>SUM(D102:D106)</f>
        <v>0</v>
      </c>
    </row>
    <row r="108" s="15" customFormat="1" ht="13.5" thickTop="1"/>
    <row r="109" s="15" customFormat="1" ht="12.75">
      <c r="A109" s="15" t="s">
        <v>708</v>
      </c>
    </row>
    <row r="110" spans="1:4" s="15" customFormat="1" ht="12.75">
      <c r="A110" s="15" t="s">
        <v>705</v>
      </c>
      <c r="D110" s="260" t="e">
        <f>+#REF!/1000-#REF!/1000</f>
        <v>#REF!</v>
      </c>
    </row>
    <row r="111" spans="1:4" s="15" customFormat="1" ht="12.75">
      <c r="A111" s="15" t="s">
        <v>782</v>
      </c>
      <c r="D111" s="260" t="e">
        <f>+#REF!/1000-#REF!/1000</f>
        <v>#REF!</v>
      </c>
    </row>
    <row r="112" spans="1:4" s="15" customFormat="1" ht="12.75">
      <c r="A112" s="15" t="s">
        <v>338</v>
      </c>
      <c r="D112" s="260" t="e">
        <f>-#REF!/1000</f>
        <v>#REF!</v>
      </c>
    </row>
    <row r="113" s="15" customFormat="1" ht="13.5" thickBot="1">
      <c r="D113" s="261" t="e">
        <f>SUM(D110:D112)</f>
        <v>#REF!</v>
      </c>
    </row>
    <row r="114" spans="2:4" ht="13.5" thickTop="1">
      <c r="B114" s="148"/>
      <c r="D114" s="148"/>
    </row>
    <row r="115" spans="1:4" ht="12.75">
      <c r="A115" s="15" t="s">
        <v>706</v>
      </c>
      <c r="D115" s="260" t="e">
        <f>+D107+D113</f>
        <v>#REF!</v>
      </c>
    </row>
    <row r="117" spans="2:4" ht="12.75">
      <c r="B117" s="253" t="s">
        <v>142</v>
      </c>
      <c r="D117" s="262" t="e">
        <f>+F32+F47-D32-D47+D115</f>
        <v>#REF!</v>
      </c>
    </row>
    <row r="119" ht="12.75">
      <c r="D119" s="148"/>
    </row>
  </sheetData>
  <printOptions horizontalCentered="1"/>
  <pageMargins left="0.23" right="0.38" top="0.84" bottom="1" header="0.5" footer="0.5"/>
  <pageSetup horizontalDpi="300" verticalDpi="300" orientation="portrait" paperSize="9" r:id="rId2"/>
  <headerFooter alignWithMargins="0">
    <oddHeader>&amp;R&amp;D  &amp;T</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K49"/>
  <sheetViews>
    <sheetView workbookViewId="0" topLeftCell="A1">
      <selection activeCell="G28" sqref="G28"/>
    </sheetView>
  </sheetViews>
  <sheetFormatPr defaultColWidth="9.140625" defaultRowHeight="12.75"/>
  <cols>
    <col min="1" max="1" width="2.00390625" style="304" customWidth="1"/>
    <col min="2" max="2" width="41.7109375" style="304" customWidth="1"/>
    <col min="3" max="3" width="11.57421875" style="304" customWidth="1"/>
    <col min="4" max="4" width="12.28125" style="304" bestFit="1" customWidth="1"/>
    <col min="5" max="8" width="11.8515625" style="304" customWidth="1"/>
    <col min="9" max="9" width="10.28125" style="304" bestFit="1" customWidth="1"/>
    <col min="10" max="16384" width="8.8515625" style="304" customWidth="1"/>
  </cols>
  <sheetData>
    <row r="1" ht="18.75">
      <c r="B1" s="363" t="s">
        <v>756</v>
      </c>
    </row>
    <row r="3" spans="2:11" ht="12.75">
      <c r="B3" s="364" t="s">
        <v>739</v>
      </c>
      <c r="K3" s="365"/>
    </row>
    <row r="4" spans="2:11" ht="12.75">
      <c r="B4" s="364" t="s">
        <v>391</v>
      </c>
      <c r="K4" s="365"/>
    </row>
    <row r="5" ht="12.75">
      <c r="K5" s="365"/>
    </row>
    <row r="6" spans="3:11" ht="25.5">
      <c r="C6" s="366" t="s">
        <v>336</v>
      </c>
      <c r="D6" s="366" t="s">
        <v>265</v>
      </c>
      <c r="E6" s="366" t="s">
        <v>235</v>
      </c>
      <c r="F6" s="366" t="s">
        <v>313</v>
      </c>
      <c r="G6" s="366" t="s">
        <v>695</v>
      </c>
      <c r="H6" s="366" t="s">
        <v>690</v>
      </c>
      <c r="I6" s="367" t="s">
        <v>790</v>
      </c>
      <c r="K6" s="365"/>
    </row>
    <row r="7" spans="3:11" ht="12.75">
      <c r="C7" s="367" t="s">
        <v>716</v>
      </c>
      <c r="D7" s="367" t="s">
        <v>716</v>
      </c>
      <c r="E7" s="367" t="s">
        <v>716</v>
      </c>
      <c r="F7" s="367" t="s">
        <v>716</v>
      </c>
      <c r="G7" s="367" t="s">
        <v>716</v>
      </c>
      <c r="H7" s="367" t="s">
        <v>716</v>
      </c>
      <c r="I7" s="367" t="s">
        <v>716</v>
      </c>
      <c r="K7" s="365"/>
    </row>
    <row r="8" spans="3:11" ht="12.75">
      <c r="C8" s="368"/>
      <c r="D8" s="368"/>
      <c r="E8" s="368"/>
      <c r="F8" s="368"/>
      <c r="G8" s="368"/>
      <c r="H8" s="368"/>
      <c r="I8" s="368"/>
      <c r="K8" s="365"/>
    </row>
    <row r="9" spans="3:11" ht="12.75">
      <c r="C9" s="365"/>
      <c r="D9" s="365"/>
      <c r="E9" s="365"/>
      <c r="F9" s="365"/>
      <c r="G9" s="365"/>
      <c r="H9" s="365"/>
      <c r="I9" s="365"/>
      <c r="K9" s="365"/>
    </row>
    <row r="10" spans="2:11" ht="12.75">
      <c r="B10" s="369" t="s">
        <v>392</v>
      </c>
      <c r="C10" s="365"/>
      <c r="D10" s="365"/>
      <c r="E10" s="365"/>
      <c r="F10" s="365"/>
      <c r="G10" s="365"/>
      <c r="H10" s="365"/>
      <c r="I10" s="365"/>
      <c r="K10" s="365"/>
    </row>
    <row r="11" spans="3:11" ht="12.75">
      <c r="C11" s="365"/>
      <c r="D11" s="365"/>
      <c r="E11" s="365"/>
      <c r="F11" s="365"/>
      <c r="G11" s="365"/>
      <c r="H11" s="365"/>
      <c r="I11" s="365"/>
      <c r="K11" s="365"/>
    </row>
    <row r="12" spans="2:11" ht="12.75">
      <c r="B12" s="304" t="s">
        <v>727</v>
      </c>
      <c r="C12" s="45">
        <f>'[1]det equity'!D23</f>
        <v>53020</v>
      </c>
      <c r="D12" s="45">
        <f>+'[1]det equity'!E23</f>
        <v>3704</v>
      </c>
      <c r="E12" s="45">
        <f>+'[1]det equity'!F23</f>
        <v>377</v>
      </c>
      <c r="F12" s="45">
        <f>+'[1]det equity'!G23</f>
        <v>464</v>
      </c>
      <c r="G12" s="45">
        <f>+'[1]det equity'!H23</f>
        <v>515</v>
      </c>
      <c r="H12" s="45">
        <f>+'[1]det equity'!I23</f>
        <v>-996.9</v>
      </c>
      <c r="I12" s="154">
        <f>SUM(C12:H12)</f>
        <v>57083.1</v>
      </c>
      <c r="K12" s="365"/>
    </row>
    <row r="13" spans="3:11" ht="12.75">
      <c r="C13" s="45"/>
      <c r="D13" s="45"/>
      <c r="E13" s="45"/>
      <c r="F13" s="45"/>
      <c r="G13" s="45"/>
      <c r="H13" s="45"/>
      <c r="I13" s="154"/>
      <c r="K13" s="365"/>
    </row>
    <row r="14" spans="2:11" ht="12.75">
      <c r="B14" s="304" t="s">
        <v>648</v>
      </c>
      <c r="C14" s="154">
        <v>55.9</v>
      </c>
      <c r="D14" s="154">
        <v>11</v>
      </c>
      <c r="E14" s="154"/>
      <c r="F14" s="154"/>
      <c r="G14" s="154"/>
      <c r="H14" s="154"/>
      <c r="I14" s="45">
        <f>SUM(C14:H14)</f>
        <v>66.9</v>
      </c>
      <c r="K14" s="365"/>
    </row>
    <row r="15" spans="2:11" ht="12.75">
      <c r="B15" s="304" t="str">
        <f>'det equity'!A28</f>
        <v>Transfer from retained profit to capital reverse</v>
      </c>
      <c r="C15" s="154"/>
      <c r="D15" s="154"/>
      <c r="E15" s="154"/>
      <c r="F15" s="154">
        <f>+'det equity'!G16</f>
        <v>119</v>
      </c>
      <c r="G15" s="154"/>
      <c r="H15" s="154">
        <f>+'det equity'!I16</f>
        <v>-119</v>
      </c>
      <c r="I15" s="45">
        <f>SUM(C15:H15)</f>
        <v>0</v>
      </c>
      <c r="K15" s="365"/>
    </row>
    <row r="16" spans="2:11" ht="12.75">
      <c r="B16" s="304" t="s">
        <v>172</v>
      </c>
      <c r="C16" s="154"/>
      <c r="D16" s="154"/>
      <c r="E16" s="154">
        <v>0</v>
      </c>
      <c r="F16" s="154"/>
      <c r="G16" s="154">
        <f>+'det equity'!H18</f>
        <v>108</v>
      </c>
      <c r="H16" s="154"/>
      <c r="I16" s="45">
        <f>SUM(C16:H16)</f>
        <v>108</v>
      </c>
      <c r="K16" s="365"/>
    </row>
    <row r="17" spans="2:11" ht="12.75">
      <c r="B17" s="304" t="s">
        <v>254</v>
      </c>
      <c r="C17" s="154"/>
      <c r="D17" s="154"/>
      <c r="E17" s="154"/>
      <c r="F17" s="154"/>
      <c r="G17" s="154"/>
      <c r="H17" s="45">
        <f>+'det equity'!I20</f>
        <v>12176</v>
      </c>
      <c r="I17" s="45">
        <f>SUM(C17:H17)</f>
        <v>12176</v>
      </c>
      <c r="K17" s="365"/>
    </row>
    <row r="18" spans="3:11" ht="12.75">
      <c r="C18" s="60"/>
      <c r="D18" s="60"/>
      <c r="E18" s="60"/>
      <c r="F18" s="60"/>
      <c r="G18" s="60"/>
      <c r="H18" s="60"/>
      <c r="I18" s="60"/>
      <c r="K18" s="365"/>
    </row>
    <row r="19" spans="2:10" ht="13.5" thickBot="1">
      <c r="B19" s="304" t="s">
        <v>445</v>
      </c>
      <c r="C19" s="387">
        <f aca="true" t="shared" si="0" ref="C19:I19">SUM(C12:C18)</f>
        <v>53075.9</v>
      </c>
      <c r="D19" s="387">
        <f t="shared" si="0"/>
        <v>3715</v>
      </c>
      <c r="E19" s="387">
        <f t="shared" si="0"/>
        <v>377</v>
      </c>
      <c r="F19" s="387">
        <f t="shared" si="0"/>
        <v>583</v>
      </c>
      <c r="G19" s="387">
        <f t="shared" si="0"/>
        <v>623</v>
      </c>
      <c r="H19" s="387">
        <f t="shared" si="0"/>
        <v>11060.1</v>
      </c>
      <c r="I19" s="387">
        <f t="shared" si="0"/>
        <v>69434</v>
      </c>
      <c r="J19" s="370"/>
    </row>
    <row r="20" spans="3:11" ht="13.5" thickTop="1">
      <c r="C20" s="365"/>
      <c r="D20" s="365"/>
      <c r="E20" s="365"/>
      <c r="F20" s="365"/>
      <c r="G20" s="365"/>
      <c r="H20" s="365"/>
      <c r="I20" s="365"/>
      <c r="K20" s="365"/>
    </row>
    <row r="21" spans="2:11" ht="12.75">
      <c r="B21" s="369" t="s">
        <v>444</v>
      </c>
      <c r="C21" s="365"/>
      <c r="D21" s="365"/>
      <c r="E21" s="365"/>
      <c r="F21" s="365"/>
      <c r="G21" s="365"/>
      <c r="H21" s="365"/>
      <c r="I21" s="365"/>
      <c r="K21" s="365"/>
    </row>
    <row r="22" spans="3:11" ht="12.75">
      <c r="C22" s="365"/>
      <c r="D22" s="365"/>
      <c r="E22" s="365"/>
      <c r="F22" s="365"/>
      <c r="G22" s="365"/>
      <c r="H22" s="365"/>
      <c r="I22" s="365"/>
      <c r="K22" s="365"/>
    </row>
    <row r="23" spans="2:11" ht="12.75">
      <c r="B23" s="304" t="s">
        <v>315</v>
      </c>
      <c r="C23" s="371">
        <f>'det equity'!D25</f>
        <v>53076</v>
      </c>
      <c r="D23" s="371">
        <f>'det equity'!E25</f>
        <v>3715</v>
      </c>
      <c r="E23" s="371">
        <f>'det equity'!F25</f>
        <v>377</v>
      </c>
      <c r="F23" s="371">
        <f>'det equity'!G25</f>
        <v>583</v>
      </c>
      <c r="G23" s="371">
        <f>'det equity'!H25</f>
        <v>623</v>
      </c>
      <c r="H23" s="371">
        <f>'det equity'!I25</f>
        <v>11060.1</v>
      </c>
      <c r="I23" s="371">
        <f>SUM(C23:H23)</f>
        <v>69434.1</v>
      </c>
      <c r="K23" s="365"/>
    </row>
    <row r="24" spans="3:11" ht="12.75">
      <c r="C24" s="371"/>
      <c r="D24" s="371"/>
      <c r="E24" s="371"/>
      <c r="F24" s="371"/>
      <c r="G24" s="371"/>
      <c r="H24" s="371"/>
      <c r="I24" s="371"/>
      <c r="K24" s="365"/>
    </row>
    <row r="25" spans="2:11" ht="12.75">
      <c r="B25" s="304" t="str">
        <f>'det equity'!A16</f>
        <v>Transfer from retained profit to capital reverse</v>
      </c>
      <c r="C25" s="371"/>
      <c r="D25" s="371"/>
      <c r="E25" s="371"/>
      <c r="F25" s="371">
        <v>509</v>
      </c>
      <c r="G25" s="371"/>
      <c r="H25" s="371">
        <v>-509</v>
      </c>
      <c r="I25" s="371">
        <f aca="true" t="shared" si="1" ref="I25:I30">SUM(C25:H25)</f>
        <v>0</v>
      </c>
      <c r="K25" s="365"/>
    </row>
    <row r="26" spans="2:11" ht="12.75">
      <c r="B26" s="304" t="s">
        <v>736</v>
      </c>
      <c r="C26" s="371">
        <v>30</v>
      </c>
      <c r="D26" s="371"/>
      <c r="E26" s="371"/>
      <c r="F26" s="371"/>
      <c r="G26" s="371"/>
      <c r="H26" s="371"/>
      <c r="I26" s="371">
        <f t="shared" si="1"/>
        <v>30</v>
      </c>
      <c r="K26" s="365"/>
    </row>
    <row r="27" spans="2:11" ht="12.75">
      <c r="B27" s="304" t="s">
        <v>71</v>
      </c>
      <c r="C27" s="371"/>
      <c r="D27" s="371"/>
      <c r="E27" s="371">
        <v>0</v>
      </c>
      <c r="F27" s="371"/>
      <c r="G27" s="371"/>
      <c r="H27" s="371"/>
      <c r="I27" s="371">
        <f t="shared" si="1"/>
        <v>0</v>
      </c>
      <c r="K27" s="365"/>
    </row>
    <row r="28" spans="2:11" ht="12.75">
      <c r="B28" s="304" t="str">
        <f>'det equity'!A18</f>
        <v>Currency translation differences</v>
      </c>
      <c r="C28" s="371"/>
      <c r="D28" s="371"/>
      <c r="E28" s="371"/>
      <c r="F28" s="371">
        <v>0</v>
      </c>
      <c r="G28" s="371">
        <f>+'det equity'!H29</f>
        <v>1084</v>
      </c>
      <c r="H28" s="371"/>
      <c r="I28" s="371">
        <f t="shared" si="1"/>
        <v>1084</v>
      </c>
      <c r="K28" s="365"/>
    </row>
    <row r="29" spans="2:11" ht="12.75">
      <c r="B29" s="304" t="s">
        <v>254</v>
      </c>
      <c r="C29" s="373"/>
      <c r="D29" s="373"/>
      <c r="E29" s="373"/>
      <c r="F29" s="373"/>
      <c r="G29" s="373"/>
      <c r="H29" s="370" t="e">
        <f>'Cond PL'!F31</f>
        <v>#REF!</v>
      </c>
      <c r="I29" s="371" t="e">
        <f t="shared" si="1"/>
        <v>#REF!</v>
      </c>
      <c r="K29" s="365"/>
    </row>
    <row r="30" spans="2:11" ht="12.75" hidden="1">
      <c r="B30" s="304" t="s">
        <v>740</v>
      </c>
      <c r="C30" s="371"/>
      <c r="D30" s="371"/>
      <c r="E30" s="371"/>
      <c r="F30" s="371"/>
      <c r="G30" s="371"/>
      <c r="H30" s="371"/>
      <c r="I30" s="371">
        <f t="shared" si="1"/>
        <v>0</v>
      </c>
      <c r="K30" s="365"/>
    </row>
    <row r="31" spans="3:11" ht="12.75">
      <c r="C31" s="371"/>
      <c r="D31" s="371"/>
      <c r="E31" s="371"/>
      <c r="F31" s="371"/>
      <c r="G31" s="371"/>
      <c r="H31" s="371"/>
      <c r="I31" s="371"/>
      <c r="K31" s="365"/>
    </row>
    <row r="32" spans="2:11" ht="13.5" thickBot="1">
      <c r="B32" s="304" t="s">
        <v>447</v>
      </c>
      <c r="C32" s="374">
        <f aca="true" t="shared" si="2" ref="C32:H32">SUM(C23:C30)</f>
        <v>53106</v>
      </c>
      <c r="D32" s="374">
        <f t="shared" si="2"/>
        <v>3715</v>
      </c>
      <c r="E32" s="374">
        <f t="shared" si="2"/>
        <v>377</v>
      </c>
      <c r="F32" s="374">
        <f t="shared" si="2"/>
        <v>1092</v>
      </c>
      <c r="G32" s="374">
        <f t="shared" si="2"/>
        <v>1707</v>
      </c>
      <c r="H32" s="374" t="e">
        <f t="shared" si="2"/>
        <v>#REF!</v>
      </c>
      <c r="I32" s="374" t="e">
        <f>SUM(C32:H32)</f>
        <v>#REF!</v>
      </c>
      <c r="K32" s="365"/>
    </row>
    <row r="33" spans="2:11" ht="13.5" thickTop="1">
      <c r="B33" s="375"/>
      <c r="C33" s="376"/>
      <c r="D33" s="376"/>
      <c r="E33" s="376"/>
      <c r="F33" s="376"/>
      <c r="G33" s="376"/>
      <c r="H33" s="376"/>
      <c r="I33" s="376"/>
      <c r="K33" s="365"/>
    </row>
    <row r="34" spans="3:11" ht="12.75">
      <c r="C34" s="365"/>
      <c r="D34" s="365"/>
      <c r="E34" s="365"/>
      <c r="F34" s="365"/>
      <c r="G34" s="365"/>
      <c r="H34" s="365"/>
      <c r="I34" s="365"/>
      <c r="K34" s="365"/>
    </row>
    <row r="35" ht="12.75">
      <c r="K35" s="365"/>
    </row>
    <row r="36" ht="12.75">
      <c r="K36" s="365"/>
    </row>
    <row r="37" ht="12.75">
      <c r="K37" s="365"/>
    </row>
    <row r="38" ht="12.75">
      <c r="K38" s="365"/>
    </row>
    <row r="39" ht="12.75">
      <c r="K39" s="365"/>
    </row>
    <row r="40" ht="12.75">
      <c r="K40" s="365"/>
    </row>
    <row r="41" ht="12.75">
      <c r="K41" s="365"/>
    </row>
    <row r="42" ht="12.75">
      <c r="K42" s="365"/>
    </row>
    <row r="43" ht="12.75">
      <c r="K43" s="365"/>
    </row>
    <row r="44" ht="12.75">
      <c r="K44" s="365"/>
    </row>
    <row r="45" ht="12.75">
      <c r="K45" s="365"/>
    </row>
    <row r="46" ht="12.75">
      <c r="K46" s="365"/>
    </row>
    <row r="47" ht="12.75">
      <c r="K47" s="365"/>
    </row>
    <row r="48" ht="12.75">
      <c r="K48" s="365"/>
    </row>
    <row r="49" ht="12.75">
      <c r="K49" s="365"/>
    </row>
  </sheetData>
  <printOptions/>
  <pageMargins left="0.75" right="0.75" top="0.84" bottom="1" header="0.5" footer="0.5"/>
  <pageSetup fitToHeight="1" fitToWidth="1" horizontalDpi="300" verticalDpi="300" orientation="landscape" paperSize="9" r:id="rId2"/>
  <headerFooter alignWithMargins="0">
    <oddHeader>&amp;R&amp;D  &amp;T</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59"/>
  <sheetViews>
    <sheetView workbookViewId="0" topLeftCell="A7">
      <selection activeCell="H30" sqref="H30"/>
    </sheetView>
  </sheetViews>
  <sheetFormatPr defaultColWidth="9.140625" defaultRowHeight="12.75"/>
  <cols>
    <col min="1" max="1" width="47.28125" style="278" customWidth="1"/>
    <col min="2" max="2" width="1.7109375" style="278" customWidth="1"/>
    <col min="3" max="3" width="11.28125" style="278" bestFit="1" customWidth="1"/>
    <col min="4" max="4" width="9.28125" style="278" customWidth="1"/>
    <col min="5" max="5" width="8.421875" style="278" bestFit="1" customWidth="1"/>
    <col min="6" max="6" width="10.421875" style="278" bestFit="1" customWidth="1"/>
    <col min="7" max="7" width="8.7109375" style="278" customWidth="1"/>
    <col min="8" max="8" width="8.421875" style="278" customWidth="1"/>
    <col min="9" max="9" width="11.8515625" style="278" bestFit="1" customWidth="1"/>
    <col min="10" max="10" width="10.57421875" style="278" customWidth="1"/>
    <col min="11" max="11" width="10.00390625" style="278" customWidth="1"/>
    <col min="12" max="12" width="14.00390625" style="278" customWidth="1"/>
    <col min="13" max="16384" width="8.8515625" style="278" customWidth="1"/>
  </cols>
  <sheetData>
    <row r="1" spans="1:7" ht="12.75">
      <c r="A1" s="290" t="s">
        <v>97</v>
      </c>
      <c r="B1" s="290"/>
      <c r="C1" s="290"/>
      <c r="G1" s="279"/>
    </row>
    <row r="2" spans="1:7" ht="12.75">
      <c r="A2" s="290" t="s">
        <v>129</v>
      </c>
      <c r="G2" s="279"/>
    </row>
    <row r="3" spans="1:7" ht="12.75">
      <c r="A3" s="290" t="s">
        <v>446</v>
      </c>
      <c r="G3" s="279"/>
    </row>
    <row r="4" ht="12.75">
      <c r="G4" s="279"/>
    </row>
    <row r="5" spans="3:9" ht="12.75">
      <c r="C5" s="701" t="s">
        <v>173</v>
      </c>
      <c r="D5" s="702"/>
      <c r="E5" s="293"/>
      <c r="F5" s="294"/>
      <c r="G5" s="295"/>
      <c r="H5" s="296"/>
      <c r="I5" s="291" t="s">
        <v>174</v>
      </c>
    </row>
    <row r="6" spans="3:9" ht="12.75">
      <c r="C6" s="703" t="s">
        <v>584</v>
      </c>
      <c r="D6" s="704"/>
      <c r="E6" s="703" t="s">
        <v>585</v>
      </c>
      <c r="F6" s="705"/>
      <c r="G6" s="705"/>
      <c r="H6" s="704"/>
      <c r="I6" s="292" t="s">
        <v>586</v>
      </c>
    </row>
    <row r="7" ht="12.75">
      <c r="G7" s="279"/>
    </row>
    <row r="8" spans="3:10" ht="12.75">
      <c r="C8" s="280" t="s">
        <v>587</v>
      </c>
      <c r="D8" s="280" t="s">
        <v>588</v>
      </c>
      <c r="E8" s="280" t="s">
        <v>589</v>
      </c>
      <c r="F8" s="280" t="s">
        <v>590</v>
      </c>
      <c r="G8" s="281" t="s">
        <v>354</v>
      </c>
      <c r="H8" s="280" t="s">
        <v>591</v>
      </c>
      <c r="I8" s="280" t="s">
        <v>691</v>
      </c>
      <c r="J8" s="280" t="s">
        <v>790</v>
      </c>
    </row>
    <row r="9" spans="2:10" ht="12.75">
      <c r="B9" s="280"/>
      <c r="C9" s="280" t="s">
        <v>662</v>
      </c>
      <c r="D9" s="280" t="s">
        <v>592</v>
      </c>
      <c r="E9" s="280" t="s">
        <v>593</v>
      </c>
      <c r="F9" s="280" t="s">
        <v>116</v>
      </c>
      <c r="G9" s="281" t="s">
        <v>116</v>
      </c>
      <c r="H9" s="280" t="s">
        <v>116</v>
      </c>
      <c r="I9" s="280" t="s">
        <v>692</v>
      </c>
      <c r="J9" s="280"/>
    </row>
    <row r="10" spans="1:10" ht="12.75">
      <c r="A10" s="290" t="s">
        <v>29</v>
      </c>
      <c r="D10" s="280" t="s">
        <v>87</v>
      </c>
      <c r="E10" s="280" t="s">
        <v>87</v>
      </c>
      <c r="F10" s="280" t="s">
        <v>87</v>
      </c>
      <c r="G10" s="281" t="s">
        <v>87</v>
      </c>
      <c r="H10" s="280" t="s">
        <v>87</v>
      </c>
      <c r="I10" s="280" t="s">
        <v>87</v>
      </c>
      <c r="J10" s="280" t="s">
        <v>87</v>
      </c>
    </row>
    <row r="11" spans="3:10" ht="12.75">
      <c r="C11" s="282"/>
      <c r="D11" s="282"/>
      <c r="E11" s="282"/>
      <c r="F11" s="282"/>
      <c r="G11" s="282"/>
      <c r="H11" s="282"/>
      <c r="I11" s="282"/>
      <c r="J11" s="282"/>
    </row>
    <row r="12" spans="3:10" ht="12.75">
      <c r="C12" s="283"/>
      <c r="D12" s="283"/>
      <c r="E12" s="283"/>
      <c r="F12" s="283"/>
      <c r="G12" s="283"/>
      <c r="H12" s="283"/>
      <c r="I12" s="283"/>
      <c r="J12" s="283"/>
    </row>
    <row r="13" spans="1:10" ht="12.75">
      <c r="A13" s="278" t="s">
        <v>727</v>
      </c>
      <c r="C13" s="284">
        <v>53020000</v>
      </c>
      <c r="D13" s="284">
        <v>53020</v>
      </c>
      <c r="E13" s="284">
        <v>3704</v>
      </c>
      <c r="F13" s="284">
        <v>377</v>
      </c>
      <c r="G13" s="284">
        <v>464</v>
      </c>
      <c r="H13" s="284">
        <v>515</v>
      </c>
      <c r="I13" s="284">
        <v>-997</v>
      </c>
      <c r="J13" s="284">
        <f>SUM(D13:I13)</f>
        <v>57083</v>
      </c>
    </row>
    <row r="14" ht="12.75">
      <c r="G14" s="279"/>
    </row>
    <row r="15" spans="1:10" s="274" customFormat="1" ht="12.75">
      <c r="A15" s="274" t="s">
        <v>648</v>
      </c>
      <c r="C15" s="274">
        <v>55900</v>
      </c>
      <c r="D15" s="274">
        <v>56</v>
      </c>
      <c r="E15" s="274">
        <v>11</v>
      </c>
      <c r="G15" s="286"/>
      <c r="J15" s="274">
        <f aca="true" t="shared" si="0" ref="J15:J21">SUM(D15:I15)</f>
        <v>67</v>
      </c>
    </row>
    <row r="16" spans="1:10" ht="12.75">
      <c r="A16" s="278" t="s">
        <v>649</v>
      </c>
      <c r="C16" s="274">
        <v>0</v>
      </c>
      <c r="D16" s="274">
        <v>0</v>
      </c>
      <c r="E16" s="274">
        <v>0</v>
      </c>
      <c r="F16" s="274">
        <v>0</v>
      </c>
      <c r="G16" s="274">
        <v>119</v>
      </c>
      <c r="H16" s="274">
        <v>0</v>
      </c>
      <c r="I16" s="274">
        <v>-119</v>
      </c>
      <c r="J16" s="285">
        <f t="shared" si="0"/>
        <v>0</v>
      </c>
    </row>
    <row r="17" spans="1:10" ht="12.75" hidden="1">
      <c r="A17" s="278" t="s">
        <v>172</v>
      </c>
      <c r="C17" s="274">
        <v>0</v>
      </c>
      <c r="D17" s="274">
        <v>0</v>
      </c>
      <c r="E17" s="274">
        <v>0</v>
      </c>
      <c r="F17" s="274">
        <v>0</v>
      </c>
      <c r="G17" s="274">
        <v>0</v>
      </c>
      <c r="H17" s="274">
        <v>0</v>
      </c>
      <c r="I17" s="274">
        <v>0</v>
      </c>
      <c r="J17" s="285">
        <f t="shared" si="0"/>
        <v>0</v>
      </c>
    </row>
    <row r="18" spans="1:10" ht="12.75">
      <c r="A18" s="278" t="s">
        <v>172</v>
      </c>
      <c r="C18" s="274">
        <v>0</v>
      </c>
      <c r="D18" s="274">
        <v>0</v>
      </c>
      <c r="E18" s="274">
        <v>0</v>
      </c>
      <c r="F18" s="274">
        <v>0</v>
      </c>
      <c r="G18" s="274">
        <v>0</v>
      </c>
      <c r="H18" s="274">
        <v>108</v>
      </c>
      <c r="I18" s="274"/>
      <c r="J18" s="285">
        <f t="shared" si="0"/>
        <v>108</v>
      </c>
    </row>
    <row r="19" spans="1:10" ht="12.75">
      <c r="A19" s="278" t="s">
        <v>152</v>
      </c>
      <c r="C19" s="274">
        <v>0</v>
      </c>
      <c r="D19" s="274">
        <v>0</v>
      </c>
      <c r="E19" s="274">
        <v>0</v>
      </c>
      <c r="F19" s="274">
        <v>0</v>
      </c>
      <c r="G19" s="274">
        <v>0</v>
      </c>
      <c r="H19" s="274">
        <v>0</v>
      </c>
      <c r="I19" s="274">
        <v>0</v>
      </c>
      <c r="J19" s="285">
        <f t="shared" si="0"/>
        <v>0</v>
      </c>
    </row>
    <row r="20" spans="1:10" ht="12.75">
      <c r="A20" s="278" t="s">
        <v>606</v>
      </c>
      <c r="C20" s="274">
        <v>0</v>
      </c>
      <c r="D20" s="274">
        <v>0</v>
      </c>
      <c r="E20" s="274">
        <v>0</v>
      </c>
      <c r="F20" s="274">
        <v>0</v>
      </c>
      <c r="G20" s="274">
        <v>0</v>
      </c>
      <c r="H20" s="274">
        <v>0</v>
      </c>
      <c r="I20" s="274">
        <v>12176</v>
      </c>
      <c r="J20" s="274">
        <f t="shared" si="0"/>
        <v>12176</v>
      </c>
    </row>
    <row r="21" spans="1:10" ht="12.75">
      <c r="A21" s="278" t="s">
        <v>740</v>
      </c>
      <c r="C21" s="274">
        <v>0</v>
      </c>
      <c r="D21" s="274">
        <v>0</v>
      </c>
      <c r="E21" s="274">
        <v>0</v>
      </c>
      <c r="F21" s="274">
        <v>0</v>
      </c>
      <c r="G21" s="274">
        <v>0</v>
      </c>
      <c r="H21" s="274">
        <v>0</v>
      </c>
      <c r="I21" s="274">
        <v>0</v>
      </c>
      <c r="J21" s="274">
        <f t="shared" si="0"/>
        <v>0</v>
      </c>
    </row>
    <row r="22" spans="4:10" ht="12.75">
      <c r="D22" s="274"/>
      <c r="E22" s="274"/>
      <c r="F22" s="274"/>
      <c r="G22" s="286"/>
      <c r="H22" s="274"/>
      <c r="I22" s="274"/>
      <c r="J22" s="274"/>
    </row>
    <row r="23" spans="1:12" ht="13.5" thickBot="1">
      <c r="A23" s="278" t="s">
        <v>445</v>
      </c>
      <c r="C23" s="297">
        <f>SUM(C13:C22)</f>
        <v>53075900</v>
      </c>
      <c r="D23" s="297">
        <f>SUM(D13:D22)</f>
        <v>53076</v>
      </c>
      <c r="E23" s="297">
        <f aca="true" t="shared" si="1" ref="E23:J23">SUM(E13:E22)</f>
        <v>3715</v>
      </c>
      <c r="F23" s="297">
        <f t="shared" si="1"/>
        <v>377</v>
      </c>
      <c r="G23" s="297">
        <f t="shared" si="1"/>
        <v>583</v>
      </c>
      <c r="H23" s="297">
        <f t="shared" si="1"/>
        <v>623</v>
      </c>
      <c r="I23" s="297">
        <f>SUM(I13:I22)+0.1</f>
        <v>11060.1</v>
      </c>
      <c r="J23" s="297">
        <f t="shared" si="1"/>
        <v>69434</v>
      </c>
      <c r="K23" s="308">
        <f>'Cond BS'!F44</f>
        <v>82473</v>
      </c>
      <c r="L23" s="309">
        <f>J23-K23</f>
        <v>-13039</v>
      </c>
    </row>
    <row r="24" ht="12.75">
      <c r="J24" s="284"/>
    </row>
    <row r="25" spans="1:10" ht="12.75">
      <c r="A25" s="278" t="s">
        <v>315</v>
      </c>
      <c r="C25" s="284">
        <f>+C23</f>
        <v>53075900</v>
      </c>
      <c r="D25" s="284">
        <f>+D23</f>
        <v>53076</v>
      </c>
      <c r="E25" s="284">
        <f>+E23</f>
        <v>3715</v>
      </c>
      <c r="F25" s="284">
        <f>F23</f>
        <v>377</v>
      </c>
      <c r="G25" s="284">
        <f>G23</f>
        <v>583</v>
      </c>
      <c r="H25" s="284">
        <f>+H23</f>
        <v>623</v>
      </c>
      <c r="I25" s="306">
        <f>I23</f>
        <v>11060.1</v>
      </c>
      <c r="J25" s="284">
        <f>SUM(D25:I25)</f>
        <v>69434.1</v>
      </c>
    </row>
    <row r="26" ht="12.75">
      <c r="G26" s="279"/>
    </row>
    <row r="27" spans="1:10" ht="12.75">
      <c r="A27" s="278" t="s">
        <v>650</v>
      </c>
      <c r="C27" s="274">
        <v>0</v>
      </c>
      <c r="D27" s="284">
        <v>30</v>
      </c>
      <c r="E27" s="287">
        <v>0</v>
      </c>
      <c r="F27" s="287">
        <v>0</v>
      </c>
      <c r="G27" s="307">
        <v>0</v>
      </c>
      <c r="J27" s="284">
        <f>SUM(C27:I27)</f>
        <v>30</v>
      </c>
    </row>
    <row r="28" spans="1:10" ht="12.75">
      <c r="A28" s="278" t="s">
        <v>649</v>
      </c>
      <c r="C28" s="274">
        <v>0</v>
      </c>
      <c r="D28" s="274">
        <v>0</v>
      </c>
      <c r="E28" s="274">
        <v>0</v>
      </c>
      <c r="F28" s="274">
        <v>0</v>
      </c>
      <c r="G28" s="470">
        <v>509</v>
      </c>
      <c r="H28" s="286">
        <v>0</v>
      </c>
      <c r="I28" s="274">
        <v>-509</v>
      </c>
      <c r="J28" s="285">
        <f aca="true" t="shared" si="2" ref="J28:J33">SUM(D28:I28)</f>
        <v>0</v>
      </c>
    </row>
    <row r="29" spans="1:10" ht="12.75">
      <c r="A29" s="278" t="s">
        <v>172</v>
      </c>
      <c r="C29" s="274">
        <v>0</v>
      </c>
      <c r="D29" s="274">
        <v>0</v>
      </c>
      <c r="E29" s="274">
        <v>0</v>
      </c>
      <c r="F29" s="274">
        <v>0</v>
      </c>
      <c r="G29" s="274">
        <v>0</v>
      </c>
      <c r="H29" s="286">
        <v>1084</v>
      </c>
      <c r="I29" s="274">
        <v>0</v>
      </c>
      <c r="J29" s="305">
        <f t="shared" si="2"/>
        <v>1084</v>
      </c>
    </row>
    <row r="30" spans="1:10" ht="12.75">
      <c r="A30" s="278" t="s">
        <v>78</v>
      </c>
      <c r="C30" s="274">
        <v>0</v>
      </c>
      <c r="D30" s="274">
        <v>0</v>
      </c>
      <c r="E30" s="274">
        <v>0</v>
      </c>
      <c r="F30" s="274">
        <v>0</v>
      </c>
      <c r="G30" s="274">
        <v>0</v>
      </c>
      <c r="H30" s="274">
        <v>0</v>
      </c>
      <c r="I30" s="274">
        <v>0</v>
      </c>
      <c r="J30" s="285">
        <f t="shared" si="2"/>
        <v>0</v>
      </c>
    </row>
    <row r="31" spans="1:10" ht="12.75">
      <c r="A31" s="278" t="s">
        <v>606</v>
      </c>
      <c r="C31" s="274">
        <v>0</v>
      </c>
      <c r="D31" s="274">
        <v>0</v>
      </c>
      <c r="E31" s="274">
        <v>0</v>
      </c>
      <c r="F31" s="274">
        <v>0</v>
      </c>
      <c r="G31" s="274">
        <v>0</v>
      </c>
      <c r="H31" s="274">
        <v>0</v>
      </c>
      <c r="I31" s="274" t="e">
        <f>'Cond PL'!F31</f>
        <v>#REF!</v>
      </c>
      <c r="J31" s="274" t="e">
        <f t="shared" si="2"/>
        <v>#REF!</v>
      </c>
    </row>
    <row r="32" spans="1:10" ht="12.75">
      <c r="A32" s="278" t="s">
        <v>70</v>
      </c>
      <c r="C32" s="274">
        <v>0</v>
      </c>
      <c r="D32" s="274">
        <v>0</v>
      </c>
      <c r="E32" s="274">
        <v>0</v>
      </c>
      <c r="F32" s="286">
        <v>0</v>
      </c>
      <c r="G32" s="274"/>
      <c r="H32" s="274"/>
      <c r="I32" s="274">
        <v>0</v>
      </c>
      <c r="J32" s="274">
        <f t="shared" si="2"/>
        <v>0</v>
      </c>
    </row>
    <row r="33" spans="1:10" ht="12.75">
      <c r="A33" s="278" t="s">
        <v>72</v>
      </c>
      <c r="C33" s="274">
        <v>0</v>
      </c>
      <c r="D33" s="274">
        <v>0</v>
      </c>
      <c r="E33" s="274">
        <v>0</v>
      </c>
      <c r="F33" s="274">
        <v>0</v>
      </c>
      <c r="G33" s="274">
        <v>0</v>
      </c>
      <c r="H33" s="274">
        <v>0</v>
      </c>
      <c r="I33" s="274">
        <f>-F33</f>
        <v>0</v>
      </c>
      <c r="J33" s="274">
        <f t="shared" si="2"/>
        <v>0</v>
      </c>
    </row>
    <row r="34" spans="4:10" ht="12.75">
      <c r="D34" s="274"/>
      <c r="E34" s="274"/>
      <c r="F34" s="274"/>
      <c r="G34" s="286"/>
      <c r="H34" s="274"/>
      <c r="I34" s="274"/>
      <c r="J34" s="274"/>
    </row>
    <row r="35" spans="1:12" ht="13.5" thickBot="1">
      <c r="A35" s="278" t="s">
        <v>447</v>
      </c>
      <c r="C35" s="297">
        <f aca="true" t="shared" si="3" ref="C35:I35">SUM(C25:C34)</f>
        <v>53075900</v>
      </c>
      <c r="D35" s="297">
        <f t="shared" si="3"/>
        <v>53106</v>
      </c>
      <c r="E35" s="297">
        <f t="shared" si="3"/>
        <v>3715</v>
      </c>
      <c r="F35" s="297">
        <f t="shared" si="3"/>
        <v>377</v>
      </c>
      <c r="G35" s="297">
        <f t="shared" si="3"/>
        <v>1092</v>
      </c>
      <c r="H35" s="297">
        <f>SUM(H25:H34)</f>
        <v>1707</v>
      </c>
      <c r="I35" s="299" t="e">
        <f t="shared" si="3"/>
        <v>#REF!</v>
      </c>
      <c r="J35" s="299" t="e">
        <f>SUM(J25:J34)</f>
        <v>#REF!</v>
      </c>
      <c r="K35" s="310" t="e">
        <f>+'Cond BS'!D44</f>
        <v>#REF!</v>
      </c>
      <c r="L35" s="311" t="e">
        <f>+J35-K35</f>
        <v>#REF!</v>
      </c>
    </row>
    <row r="36" spans="8:11" ht="12.75">
      <c r="H36" s="284"/>
      <c r="J36" s="284"/>
      <c r="K36" s="284" t="e">
        <f>+K35-J35</f>
        <v>#REF!</v>
      </c>
    </row>
    <row r="37" spans="1:10" ht="12.75" hidden="1">
      <c r="A37" s="288" t="s">
        <v>142</v>
      </c>
      <c r="B37" s="288"/>
      <c r="C37" s="288"/>
      <c r="D37" s="289"/>
      <c r="E37" s="288"/>
      <c r="F37" s="288"/>
      <c r="G37" s="288"/>
      <c r="H37" s="288"/>
      <c r="I37" s="288"/>
      <c r="J37" s="289" t="e">
        <f>+'Cond BS'!D44</f>
        <v>#REF!</v>
      </c>
    </row>
    <row r="38" ht="12.75" hidden="1">
      <c r="J38" s="289" t="e">
        <f>+J35-J37</f>
        <v>#REF!</v>
      </c>
    </row>
    <row r="39" spans="4:10" ht="12.75">
      <c r="D39" s="274"/>
      <c r="E39" s="274"/>
      <c r="F39" s="274"/>
      <c r="G39" s="274"/>
      <c r="H39" s="274"/>
      <c r="I39" s="274"/>
      <c r="J39" s="289"/>
    </row>
    <row r="40" ht="12.75">
      <c r="J40" s="274"/>
    </row>
    <row r="41" spans="1:7" ht="12.75">
      <c r="A41" s="290" t="s">
        <v>28</v>
      </c>
      <c r="B41" s="290"/>
      <c r="C41" s="290"/>
      <c r="G41" s="279"/>
    </row>
    <row r="42" spans="3:10" ht="12.75">
      <c r="C42" s="283"/>
      <c r="D42" s="283"/>
      <c r="E42" s="283"/>
      <c r="F42" s="283"/>
      <c r="G42" s="283"/>
      <c r="H42" s="283"/>
      <c r="I42" s="283"/>
      <c r="J42" s="283"/>
    </row>
    <row r="43" spans="1:10" ht="12.75">
      <c r="A43" s="278" t="str">
        <f>+A13</f>
        <v>Balance at 1 February 2005</v>
      </c>
      <c r="C43" s="284">
        <v>53020000</v>
      </c>
      <c r="D43" s="284">
        <v>53020</v>
      </c>
      <c r="E43" s="284">
        <v>3704</v>
      </c>
      <c r="F43" s="284">
        <v>0</v>
      </c>
      <c r="G43" s="284">
        <v>0</v>
      </c>
      <c r="H43" s="284">
        <v>0</v>
      </c>
      <c r="I43" s="284">
        <v>-62414</v>
      </c>
      <c r="J43" s="284">
        <f>SUM(D43:I43)</f>
        <v>-5690</v>
      </c>
    </row>
    <row r="44" ht="12.75">
      <c r="G44" s="279"/>
    </row>
    <row r="45" spans="1:10" ht="12.75">
      <c r="A45" s="278" t="s">
        <v>648</v>
      </c>
      <c r="C45" s="274">
        <v>55900</v>
      </c>
      <c r="D45" s="274">
        <v>56</v>
      </c>
      <c r="E45" s="274">
        <v>11</v>
      </c>
      <c r="F45" s="274">
        <v>0</v>
      </c>
      <c r="G45" s="286">
        <v>0</v>
      </c>
      <c r="H45" s="286">
        <v>0</v>
      </c>
      <c r="J45" s="285">
        <f>SUM(D45:I45)</f>
        <v>67</v>
      </c>
    </row>
    <row r="46" spans="1:10" ht="12.75">
      <c r="A46" s="278" t="s">
        <v>30</v>
      </c>
      <c r="C46" s="274">
        <v>0</v>
      </c>
      <c r="D46" s="274">
        <v>0</v>
      </c>
      <c r="E46" s="274">
        <v>0</v>
      </c>
      <c r="F46" s="274">
        <v>0</v>
      </c>
      <c r="G46" s="286">
        <v>0</v>
      </c>
      <c r="H46" s="274">
        <v>0</v>
      </c>
      <c r="I46" s="274">
        <v>0</v>
      </c>
      <c r="J46" s="285">
        <f>SUM(D46:I46)</f>
        <v>0</v>
      </c>
    </row>
    <row r="47" spans="1:10" ht="12.75">
      <c r="A47" s="278" t="s">
        <v>651</v>
      </c>
      <c r="C47" s="274">
        <v>0</v>
      </c>
      <c r="D47" s="274">
        <v>0</v>
      </c>
      <c r="E47" s="274">
        <v>0</v>
      </c>
      <c r="F47" s="274">
        <v>0</v>
      </c>
      <c r="G47" s="286">
        <v>0</v>
      </c>
      <c r="H47" s="274">
        <v>0</v>
      </c>
      <c r="I47" s="274">
        <v>301</v>
      </c>
      <c r="J47" s="274">
        <f>SUM(D47:I47)</f>
        <v>301</v>
      </c>
    </row>
    <row r="48" spans="4:10" ht="12.75">
      <c r="D48" s="274"/>
      <c r="E48" s="274"/>
      <c r="F48" s="274"/>
      <c r="G48" s="286"/>
      <c r="H48" s="274"/>
      <c r="I48" s="274"/>
      <c r="J48" s="274"/>
    </row>
    <row r="49" spans="1:10" ht="13.5" thickBot="1">
      <c r="A49" s="278" t="str">
        <f>+A23</f>
        <v>Balance at 31 January 2006</v>
      </c>
      <c r="C49" s="297">
        <f aca="true" t="shared" si="4" ref="C49:J49">SUM(C43:C48)</f>
        <v>53075900</v>
      </c>
      <c r="D49" s="297">
        <f t="shared" si="4"/>
        <v>53076</v>
      </c>
      <c r="E49" s="297">
        <f t="shared" si="4"/>
        <v>3715</v>
      </c>
      <c r="F49" s="297">
        <f t="shared" si="4"/>
        <v>0</v>
      </c>
      <c r="G49" s="297">
        <f t="shared" si="4"/>
        <v>0</v>
      </c>
      <c r="H49" s="297">
        <f t="shared" si="4"/>
        <v>0</v>
      </c>
      <c r="I49" s="297">
        <f t="shared" si="4"/>
        <v>-62113</v>
      </c>
      <c r="J49" s="297">
        <f t="shared" si="4"/>
        <v>-5322</v>
      </c>
    </row>
    <row r="50" ht="12.75">
      <c r="J50" s="284"/>
    </row>
    <row r="51" spans="1:10" ht="12.75">
      <c r="A51" s="278" t="str">
        <f>+A25</f>
        <v>Balance at 1 February 2006</v>
      </c>
      <c r="C51" s="284">
        <f>+C49</f>
        <v>53075900</v>
      </c>
      <c r="D51" s="284">
        <f aca="true" t="shared" si="5" ref="D51:I51">+D49</f>
        <v>53076</v>
      </c>
      <c r="E51" s="284">
        <f t="shared" si="5"/>
        <v>3715</v>
      </c>
      <c r="F51" s="284">
        <f t="shared" si="5"/>
        <v>0</v>
      </c>
      <c r="G51" s="284">
        <f t="shared" si="5"/>
        <v>0</v>
      </c>
      <c r="H51" s="284">
        <f t="shared" si="5"/>
        <v>0</v>
      </c>
      <c r="I51" s="284">
        <f t="shared" si="5"/>
        <v>-62113</v>
      </c>
      <c r="J51" s="284">
        <f>SUM(D51:I51)</f>
        <v>-5322</v>
      </c>
    </row>
    <row r="52" ht="12.75">
      <c r="G52" s="279"/>
    </row>
    <row r="53" spans="1:10" ht="12.75">
      <c r="A53" s="278" t="s">
        <v>34</v>
      </c>
      <c r="C53" s="274"/>
      <c r="D53" s="284">
        <f>C53/1000</f>
        <v>0</v>
      </c>
      <c r="E53" s="312"/>
      <c r="G53" s="279"/>
      <c r="J53" s="274">
        <f>SUM(D53:I53)</f>
        <v>0</v>
      </c>
    </row>
    <row r="54" spans="1:10" ht="12.75">
      <c r="A54" s="278" t="s">
        <v>778</v>
      </c>
      <c r="C54" s="274">
        <v>0</v>
      </c>
      <c r="D54" s="274">
        <v>0</v>
      </c>
      <c r="E54" s="274">
        <v>0</v>
      </c>
      <c r="F54" s="274">
        <v>0</v>
      </c>
      <c r="G54" s="286">
        <v>0</v>
      </c>
      <c r="H54" s="274">
        <v>0</v>
      </c>
      <c r="I54" s="274" t="e">
        <f>#REF!</f>
        <v>#REF!</v>
      </c>
      <c r="J54" s="274" t="e">
        <f>SUM(D54:I54)</f>
        <v>#REF!</v>
      </c>
    </row>
    <row r="55" spans="1:10" ht="12.75" hidden="1">
      <c r="A55" s="278" t="s">
        <v>563</v>
      </c>
      <c r="D55" s="274"/>
      <c r="E55" s="274"/>
      <c r="F55" s="274"/>
      <c r="G55" s="286"/>
      <c r="H55" s="274"/>
      <c r="I55" s="274"/>
      <c r="J55" s="274">
        <f>SUM(D55:I55)</f>
        <v>0</v>
      </c>
    </row>
    <row r="56" spans="1:10" ht="12.75" hidden="1">
      <c r="A56" s="278" t="s">
        <v>740</v>
      </c>
      <c r="D56" s="274"/>
      <c r="E56" s="274"/>
      <c r="F56" s="274"/>
      <c r="G56" s="286"/>
      <c r="H56" s="274"/>
      <c r="I56" s="274"/>
      <c r="J56" s="274">
        <f>SUM(D56:I56)</f>
        <v>0</v>
      </c>
    </row>
    <row r="57" spans="4:10" ht="12.75">
      <c r="D57" s="274"/>
      <c r="E57" s="274"/>
      <c r="F57" s="274"/>
      <c r="G57" s="286"/>
      <c r="H57" s="274"/>
      <c r="I57" s="274"/>
      <c r="J57" s="274"/>
    </row>
    <row r="58" spans="1:12" ht="13.5" thickBot="1">
      <c r="A58" s="278" t="str">
        <f>+A35</f>
        <v>Balance at 31 January 2007</v>
      </c>
      <c r="C58" s="297">
        <f aca="true" t="shared" si="6" ref="C58:I58">SUM(C51:C57)</f>
        <v>53075900</v>
      </c>
      <c r="D58" s="297">
        <f t="shared" si="6"/>
        <v>53076</v>
      </c>
      <c r="E58" s="297">
        <f t="shared" si="6"/>
        <v>3715</v>
      </c>
      <c r="F58" s="297">
        <f t="shared" si="6"/>
        <v>0</v>
      </c>
      <c r="G58" s="297">
        <f t="shared" si="6"/>
        <v>0</v>
      </c>
      <c r="H58" s="297">
        <f t="shared" si="6"/>
        <v>0</v>
      </c>
      <c r="I58" s="297" t="e">
        <f t="shared" si="6"/>
        <v>#REF!</v>
      </c>
      <c r="J58" s="297" t="e">
        <f>SUM(J51:J57)</f>
        <v>#REF!</v>
      </c>
      <c r="K58" s="308" t="e">
        <f>+#REF!</f>
        <v>#REF!</v>
      </c>
      <c r="L58" s="343" t="e">
        <f>+J58-K58</f>
        <v>#REF!</v>
      </c>
    </row>
    <row r="59" spans="8:10" ht="12.75">
      <c r="H59" s="284"/>
      <c r="J59" s="284"/>
    </row>
  </sheetData>
  <mergeCells count="3">
    <mergeCell ref="C5:D5"/>
    <mergeCell ref="C6:D6"/>
    <mergeCell ref="E6:H6"/>
  </mergeCells>
  <printOptions/>
  <pageMargins left="0.5" right="0.25" top="0.25" bottom="0" header="0.24" footer="0.24"/>
  <pageSetup fitToHeight="1" fitToWidth="1" horizontalDpi="300" verticalDpi="300" orientation="landscape" paperSize="9" scale="85" r:id="rId2"/>
  <headerFooter alignWithMargins="0">
    <oddHeader>&amp;R&amp;D  &amp;T</oddHeader>
  </headerFooter>
  <drawing r:id="rId1"/>
</worksheet>
</file>

<file path=xl/worksheets/sheet9.xml><?xml version="1.0" encoding="utf-8"?>
<worksheet xmlns="http://schemas.openxmlformats.org/spreadsheetml/2006/main" xmlns:r="http://schemas.openxmlformats.org/officeDocument/2006/relationships">
  <dimension ref="A1:AQ149"/>
  <sheetViews>
    <sheetView zoomScale="90" zoomScaleNormal="90" workbookViewId="0" topLeftCell="A1">
      <pane xSplit="1" ySplit="6" topLeftCell="B32" activePane="bottomRight" state="frozen"/>
      <selection pane="topLeft" activeCell="A1" sqref="A1"/>
      <selection pane="topRight" activeCell="B1" sqref="B1"/>
      <selection pane="bottomLeft" activeCell="A7" sqref="A7"/>
      <selection pane="bottomRight" activeCell="J69" sqref="J69"/>
    </sheetView>
  </sheetViews>
  <sheetFormatPr defaultColWidth="9.140625" defaultRowHeight="12.75"/>
  <cols>
    <col min="1" max="1" width="31.421875" style="96" customWidth="1"/>
    <col min="2" max="2" width="11.7109375" style="96" customWidth="1"/>
    <col min="3" max="3" width="12.00390625" style="182" customWidth="1"/>
    <col min="4" max="4" width="11.140625" style="183" customWidth="1"/>
    <col min="5" max="5" width="2.7109375" style="183" customWidth="1"/>
    <col min="6" max="6" width="11.421875" style="183" customWidth="1"/>
    <col min="7" max="7" width="9.8515625" style="183" customWidth="1"/>
    <col min="8" max="8" width="10.57421875" style="184" customWidth="1"/>
    <col min="9" max="9" width="44.140625" style="184" customWidth="1"/>
    <col min="10" max="11" width="8.8515625" style="184" customWidth="1"/>
    <col min="12" max="19" width="8.8515625" style="97" customWidth="1"/>
    <col min="20" max="43" width="8.8515625" style="185" customWidth="1"/>
    <col min="44" max="16384" width="8.8515625" style="96" customWidth="1"/>
  </cols>
  <sheetData>
    <row r="1" spans="1:2" ht="15">
      <c r="A1" s="181" t="s">
        <v>97</v>
      </c>
      <c r="B1" s="181"/>
    </row>
    <row r="2" spans="1:2" ht="15">
      <c r="A2" s="181" t="s">
        <v>561</v>
      </c>
      <c r="B2" s="181"/>
    </row>
    <row r="4" spans="2:43" s="186" customFormat="1" ht="15">
      <c r="B4" s="187" t="s">
        <v>562</v>
      </c>
      <c r="C4" s="187" t="s">
        <v>484</v>
      </c>
      <c r="D4" s="188"/>
      <c r="E4" s="188"/>
      <c r="F4" s="188"/>
      <c r="G4" s="188"/>
      <c r="H4" s="189"/>
      <c r="I4" s="189"/>
      <c r="J4" s="189"/>
      <c r="K4" s="189"/>
      <c r="L4" s="190"/>
      <c r="M4" s="190"/>
      <c r="N4" s="190"/>
      <c r="O4" s="190"/>
      <c r="P4" s="190"/>
      <c r="Q4" s="190"/>
      <c r="R4" s="190"/>
      <c r="S4" s="190"/>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row>
    <row r="5" spans="2:43" s="186" customFormat="1" ht="15">
      <c r="B5" s="187" t="s">
        <v>337</v>
      </c>
      <c r="C5" s="187" t="s">
        <v>337</v>
      </c>
      <c r="D5" s="188" t="s">
        <v>205</v>
      </c>
      <c r="E5" s="188"/>
      <c r="F5" s="188" t="s">
        <v>355</v>
      </c>
      <c r="G5" s="188" t="s">
        <v>114</v>
      </c>
      <c r="H5" s="189" t="s">
        <v>206</v>
      </c>
      <c r="I5" s="189" t="s">
        <v>207</v>
      </c>
      <c r="J5" s="189"/>
      <c r="K5" s="189"/>
      <c r="L5" s="190"/>
      <c r="M5" s="190"/>
      <c r="N5" s="190"/>
      <c r="O5" s="190"/>
      <c r="P5" s="190"/>
      <c r="Q5" s="190"/>
      <c r="R5" s="190"/>
      <c r="S5" s="190"/>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row>
    <row r="6" spans="2:3" ht="4.5" customHeight="1">
      <c r="B6" s="99"/>
      <c r="C6" s="187"/>
    </row>
    <row r="7" spans="1:9" ht="15">
      <c r="A7" s="192" t="s">
        <v>486</v>
      </c>
      <c r="B7" s="183" t="e">
        <f>+'Cond BS'!D12</f>
        <v>#REF!</v>
      </c>
      <c r="C7" s="183">
        <f>+'Cond BS'!F12</f>
        <v>53760</v>
      </c>
      <c r="D7" s="183" t="e">
        <f>+B7-C7</f>
        <v>#REF!</v>
      </c>
      <c r="F7" s="183" t="e">
        <f>+#REF!</f>
        <v>#REF!</v>
      </c>
      <c r="I7" s="193" t="s">
        <v>208</v>
      </c>
    </row>
    <row r="8" spans="1:9" ht="15">
      <c r="A8" s="96" t="s">
        <v>485</v>
      </c>
      <c r="B8" s="99"/>
      <c r="C8" s="194"/>
      <c r="F8" s="183" t="e">
        <f>-#REF!-#REF!</f>
        <v>#REF!</v>
      </c>
      <c r="I8" s="193" t="s">
        <v>209</v>
      </c>
    </row>
    <row r="9" spans="2:9" ht="15">
      <c r="B9" s="99"/>
      <c r="C9" s="194"/>
      <c r="F9" s="183">
        <f>-'FA'!B16</f>
        <v>0</v>
      </c>
      <c r="I9" s="193" t="s">
        <v>210</v>
      </c>
    </row>
    <row r="10" spans="2:9" ht="15">
      <c r="B10" s="99"/>
      <c r="C10" s="194"/>
      <c r="F10" s="183" t="e">
        <f>-#REF!/1000+#REF!/1000</f>
        <v>#REF!</v>
      </c>
      <c r="I10" s="193" t="s">
        <v>522</v>
      </c>
    </row>
    <row r="11" spans="2:9" ht="15">
      <c r="B11" s="99"/>
      <c r="C11" s="194"/>
      <c r="F11" s="183" t="e">
        <f>-'Cond BS'!D14+'Cond BS'!F14</f>
        <v>#REF!</v>
      </c>
      <c r="I11" s="193" t="s">
        <v>523</v>
      </c>
    </row>
    <row r="12" spans="2:9" ht="15">
      <c r="B12" s="99"/>
      <c r="C12" s="194"/>
      <c r="F12" s="183">
        <f>-'FA'!C16</f>
        <v>-1572.661</v>
      </c>
      <c r="H12" s="184" t="e">
        <f>SUM(F7:F12)</f>
        <v>#REF!</v>
      </c>
      <c r="I12" s="193" t="s">
        <v>211</v>
      </c>
    </row>
    <row r="13" spans="2:9" ht="4.5" customHeight="1">
      <c r="B13" s="99"/>
      <c r="C13" s="194"/>
      <c r="I13" s="193"/>
    </row>
    <row r="14" spans="1:9" ht="15">
      <c r="A14" s="96" t="s">
        <v>319</v>
      </c>
      <c r="B14" s="183" t="e">
        <f>+'Cond BS'!D14</f>
        <v>#REF!</v>
      </c>
      <c r="C14" s="183">
        <f>+'Cond BS'!F14</f>
        <v>2845</v>
      </c>
      <c r="D14" s="183" t="e">
        <f>+B14-C14</f>
        <v>#REF!</v>
      </c>
      <c r="F14" s="195">
        <v>-216.888</v>
      </c>
      <c r="I14" s="193" t="s">
        <v>247</v>
      </c>
    </row>
    <row r="15" spans="2:9" ht="15">
      <c r="B15" s="183"/>
      <c r="C15" s="183"/>
      <c r="F15" s="195" t="e">
        <f>-D14-F14</f>
        <v>#REF!</v>
      </c>
      <c r="H15" s="184" t="e">
        <f>SUM(F14:F15)</f>
        <v>#REF!</v>
      </c>
      <c r="I15" s="193" t="s">
        <v>525</v>
      </c>
    </row>
    <row r="16" spans="2:9" ht="15" hidden="1">
      <c r="B16" s="183"/>
      <c r="C16" s="183"/>
      <c r="F16" s="195"/>
      <c r="I16" s="193"/>
    </row>
    <row r="17" spans="2:9" ht="15" hidden="1">
      <c r="B17" s="183"/>
      <c r="C17" s="183"/>
      <c r="F17" s="195"/>
      <c r="I17" s="193"/>
    </row>
    <row r="18" spans="2:9" ht="4.5" customHeight="1">
      <c r="B18" s="99"/>
      <c r="C18" s="194"/>
      <c r="I18" s="193"/>
    </row>
    <row r="19" spans="1:9" ht="15">
      <c r="A19" s="96" t="s">
        <v>380</v>
      </c>
      <c r="B19" s="183" t="e">
        <f>+'Cond BS'!D16</f>
        <v>#REF!</v>
      </c>
      <c r="C19" s="183">
        <f>+'Cond BS'!F16</f>
        <v>8812</v>
      </c>
      <c r="D19" s="183" t="e">
        <f>+B19-C19</f>
        <v>#REF!</v>
      </c>
      <c r="F19" s="195" t="e">
        <f>-#REF!/1000</f>
        <v>#REF!</v>
      </c>
      <c r="I19" s="193" t="s">
        <v>317</v>
      </c>
    </row>
    <row r="20" spans="2:9" ht="15">
      <c r="B20" s="99"/>
      <c r="C20" s="99"/>
      <c r="F20" s="195" t="e">
        <f>-#REF!/1000-#REF!/1000</f>
        <v>#REF!</v>
      </c>
      <c r="I20" s="193" t="s">
        <v>369</v>
      </c>
    </row>
    <row r="21" spans="2:9" ht="15">
      <c r="B21" s="99"/>
      <c r="C21" s="99"/>
      <c r="F21" s="195" t="e">
        <f>-#REF!/1000</f>
        <v>#REF!</v>
      </c>
      <c r="H21" s="184" t="e">
        <f>SUM(F19:F21)</f>
        <v>#REF!</v>
      </c>
      <c r="I21" s="193" t="s">
        <v>370</v>
      </c>
    </row>
    <row r="22" spans="2:9" ht="15" hidden="1">
      <c r="B22" s="99"/>
      <c r="C22" s="99"/>
      <c r="F22" s="195"/>
      <c r="I22" s="193" t="s">
        <v>371</v>
      </c>
    </row>
    <row r="23" spans="2:9" ht="15" hidden="1">
      <c r="B23" s="99"/>
      <c r="C23" s="194"/>
      <c r="F23" s="196"/>
      <c r="I23" s="193" t="s">
        <v>372</v>
      </c>
    </row>
    <row r="24" spans="2:9" ht="4.5" customHeight="1">
      <c r="B24" s="99"/>
      <c r="C24" s="194"/>
      <c r="I24" s="193"/>
    </row>
    <row r="25" spans="1:9" ht="15">
      <c r="A25" s="192" t="s">
        <v>373</v>
      </c>
      <c r="B25" s="183" t="e">
        <f>+'Cond BS'!D18</f>
        <v>#REF!</v>
      </c>
      <c r="C25" s="183">
        <f>+'Cond BS'!F18</f>
        <v>0</v>
      </c>
      <c r="D25" s="183" t="e">
        <f>+B25-C25</f>
        <v>#REF!</v>
      </c>
      <c r="F25" s="195" t="e">
        <f>-D25</f>
        <v>#REF!</v>
      </c>
      <c r="H25" s="184" t="e">
        <f>+F25</f>
        <v>#REF!</v>
      </c>
      <c r="I25" s="193" t="s">
        <v>318</v>
      </c>
    </row>
    <row r="26" spans="1:9" ht="4.5" customHeight="1">
      <c r="A26" s="192"/>
      <c r="B26" s="197"/>
      <c r="C26" s="194"/>
      <c r="F26" s="195"/>
      <c r="I26" s="193"/>
    </row>
    <row r="27" spans="1:9" ht="15">
      <c r="A27" s="192" t="s">
        <v>374</v>
      </c>
      <c r="B27" s="197">
        <v>0</v>
      </c>
      <c r="C27" s="194">
        <v>0</v>
      </c>
      <c r="D27" s="183">
        <f>+B27-C27</f>
        <v>0</v>
      </c>
      <c r="F27" s="195"/>
      <c r="I27" s="193"/>
    </row>
    <row r="28" spans="1:9" ht="15" hidden="1">
      <c r="A28" s="192"/>
      <c r="B28" s="197"/>
      <c r="C28" s="194"/>
      <c r="F28" s="196"/>
      <c r="I28" s="193"/>
    </row>
    <row r="29" spans="1:9" ht="4.5" customHeight="1" hidden="1">
      <c r="A29" s="192"/>
      <c r="B29" s="197"/>
      <c r="C29" s="194"/>
      <c r="I29" s="193"/>
    </row>
    <row r="30" spans="1:9" ht="15" hidden="1">
      <c r="A30" s="192"/>
      <c r="B30" s="197"/>
      <c r="C30" s="194"/>
      <c r="F30" s="195"/>
      <c r="I30" s="193"/>
    </row>
    <row r="31" spans="1:9" ht="15" hidden="1">
      <c r="A31" s="192"/>
      <c r="B31" s="197"/>
      <c r="C31" s="194"/>
      <c r="F31" s="196"/>
      <c r="I31" s="193"/>
    </row>
    <row r="32" spans="1:9" ht="4.5" customHeight="1">
      <c r="A32" s="192"/>
      <c r="B32" s="197"/>
      <c r="C32" s="194"/>
      <c r="I32" s="193"/>
    </row>
    <row r="33" spans="1:9" ht="15">
      <c r="A33" s="192" t="s">
        <v>375</v>
      </c>
      <c r="B33" s="197">
        <v>0</v>
      </c>
      <c r="C33" s="194">
        <v>0</v>
      </c>
      <c r="D33" s="183">
        <f>+B33-C33</f>
        <v>0</v>
      </c>
      <c r="F33" s="195">
        <v>0</v>
      </c>
      <c r="I33" s="193"/>
    </row>
    <row r="34" spans="1:9" ht="4.5" customHeight="1">
      <c r="A34" s="192"/>
      <c r="B34" s="197"/>
      <c r="C34" s="194"/>
      <c r="H34"/>
      <c r="I34" s="193"/>
    </row>
    <row r="35" spans="1:9" ht="15">
      <c r="A35" s="192"/>
      <c r="B35" s="197"/>
      <c r="C35" s="194"/>
      <c r="F35" s="198"/>
      <c r="G35" s="199"/>
      <c r="H35" s="200"/>
      <c r="I35" s="201"/>
    </row>
    <row r="36" spans="1:9" ht="15">
      <c r="A36" s="192"/>
      <c r="B36" s="197"/>
      <c r="C36" s="194"/>
      <c r="F36" s="199"/>
      <c r="I36" s="193"/>
    </row>
    <row r="37" spans="1:6" ht="15">
      <c r="A37" s="181" t="s">
        <v>376</v>
      </c>
      <c r="B37" s="197"/>
      <c r="C37" s="194"/>
      <c r="F37" s="199"/>
    </row>
    <row r="38" spans="1:9" ht="15">
      <c r="A38" s="192" t="s">
        <v>377</v>
      </c>
      <c r="B38" s="183" t="e">
        <f>+'Cond BS'!D24</f>
        <v>#REF!</v>
      </c>
      <c r="C38" s="183">
        <f>+'Cond BS'!F24</f>
        <v>28749</v>
      </c>
      <c r="D38" s="183" t="e">
        <f>+B38-C38</f>
        <v>#REF!</v>
      </c>
      <c r="F38" s="195" t="e">
        <f>-'Cond BS'!D24+'Cond BS'!F24-F41</f>
        <v>#REF!</v>
      </c>
      <c r="I38" s="193" t="s">
        <v>378</v>
      </c>
    </row>
    <row r="39" spans="1:9" ht="15" hidden="1">
      <c r="A39" s="192"/>
      <c r="B39" s="197"/>
      <c r="C39" s="194"/>
      <c r="F39" s="195"/>
      <c r="I39" s="193" t="s">
        <v>247</v>
      </c>
    </row>
    <row r="40" spans="1:9" ht="15" hidden="1">
      <c r="A40" s="192"/>
      <c r="B40" s="197"/>
      <c r="C40" s="194"/>
      <c r="F40" s="195"/>
      <c r="I40" s="193" t="s">
        <v>248</v>
      </c>
    </row>
    <row r="41" spans="2:9" ht="15">
      <c r="B41" s="99"/>
      <c r="C41" s="194"/>
      <c r="F41" s="195" t="e">
        <f>-#REF!</f>
        <v>#REF!</v>
      </c>
      <c r="H41" s="202" t="e">
        <f>SUM(F38:F41)</f>
        <v>#REF!</v>
      </c>
      <c r="I41" s="193" t="s">
        <v>249</v>
      </c>
    </row>
    <row r="42" spans="2:9" ht="4.5" customHeight="1">
      <c r="B42" s="99"/>
      <c r="C42" s="194"/>
      <c r="F42" s="195"/>
      <c r="I42" s="193"/>
    </row>
    <row r="43" spans="1:9" ht="15">
      <c r="A43" s="192" t="s">
        <v>250</v>
      </c>
      <c r="B43" s="183" t="e">
        <f>+'Cond BS'!D25</f>
        <v>#REF!</v>
      </c>
      <c r="C43" s="183">
        <f>+'Cond BS'!F25</f>
        <v>35489</v>
      </c>
      <c r="D43" s="183" t="e">
        <f>+B43-C43</f>
        <v>#REF!</v>
      </c>
      <c r="F43" s="195" t="e">
        <f>+'Cond BS'!F25-'Cond BS'!D25-'cf work'!F46</f>
        <v>#REF!</v>
      </c>
      <c r="H43" s="193"/>
      <c r="I43" s="193" t="s">
        <v>252</v>
      </c>
    </row>
    <row r="44" spans="1:9" ht="15" hidden="1">
      <c r="A44" s="192"/>
      <c r="B44" s="197"/>
      <c r="C44" s="194"/>
      <c r="F44" s="195">
        <f>-F39</f>
        <v>0</v>
      </c>
      <c r="I44" s="193" t="s">
        <v>247</v>
      </c>
    </row>
    <row r="45" spans="1:9" ht="15" hidden="1">
      <c r="A45" s="192"/>
      <c r="B45" s="197"/>
      <c r="C45" s="194"/>
      <c r="F45" s="195"/>
      <c r="I45" s="193" t="s">
        <v>251</v>
      </c>
    </row>
    <row r="46" spans="2:9" ht="15">
      <c r="B46" s="99"/>
      <c r="C46" s="194"/>
      <c r="F46" s="195" t="e">
        <f>-#REF!</f>
        <v>#REF!</v>
      </c>
      <c r="H46" s="202" t="e">
        <f>SUM(F43:F46)</f>
        <v>#REF!</v>
      </c>
      <c r="I46" s="193" t="s">
        <v>372</v>
      </c>
    </row>
    <row r="47" spans="2:9" ht="4.5" customHeight="1">
      <c r="B47" s="99"/>
      <c r="C47" s="194"/>
      <c r="F47" s="195"/>
      <c r="I47" s="193"/>
    </row>
    <row r="48" spans="1:9" ht="15">
      <c r="A48" s="192" t="s">
        <v>514</v>
      </c>
      <c r="B48" s="183" t="e">
        <f>+'Cond BS'!D26</f>
        <v>#REF!</v>
      </c>
      <c r="C48" s="183">
        <f>+'Cond BS'!F26</f>
        <v>1426</v>
      </c>
      <c r="D48" s="183" t="e">
        <f>+B48-C48</f>
        <v>#REF!</v>
      </c>
      <c r="F48" s="196" t="e">
        <f>-D48</f>
        <v>#REF!</v>
      </c>
      <c r="H48" s="202" t="e">
        <f>+F48</f>
        <v>#REF!</v>
      </c>
      <c r="I48" s="193" t="s">
        <v>253</v>
      </c>
    </row>
    <row r="49" spans="2:9" ht="4.5" customHeight="1">
      <c r="B49" s="183"/>
      <c r="C49" s="183"/>
      <c r="I49" s="193"/>
    </row>
    <row r="50" spans="1:9" ht="15">
      <c r="A50" s="192" t="s">
        <v>626</v>
      </c>
      <c r="B50" s="183" t="e">
        <f>+'Cond BS'!D27</f>
        <v>#REF!</v>
      </c>
      <c r="C50" s="183">
        <f>+'Cond BS'!F27</f>
        <v>46050</v>
      </c>
      <c r="D50" s="183" t="e">
        <f>+B50-C50</f>
        <v>#REF!</v>
      </c>
      <c r="G50" s="183" t="e">
        <f>-D50</f>
        <v>#REF!</v>
      </c>
      <c r="H50" s="184" t="e">
        <f>+G50</f>
        <v>#REF!</v>
      </c>
      <c r="I50" s="193" t="s">
        <v>526</v>
      </c>
    </row>
    <row r="51" spans="2:9" ht="4.5" customHeight="1">
      <c r="B51" s="99"/>
      <c r="C51" s="194"/>
      <c r="H51" s="203"/>
      <c r="I51" s="193"/>
    </row>
    <row r="52" spans="2:3" ht="15">
      <c r="B52" s="204" t="e">
        <f>SUM(B38:B50)</f>
        <v>#REF!</v>
      </c>
      <c r="C52" s="204">
        <f>SUM(C38:C50)</f>
        <v>111714</v>
      </c>
    </row>
    <row r="53" spans="2:3" ht="15">
      <c r="B53" s="99"/>
      <c r="C53" s="194"/>
    </row>
    <row r="54" spans="1:3" ht="15">
      <c r="A54" s="181" t="s">
        <v>627</v>
      </c>
      <c r="B54" s="99"/>
      <c r="C54" s="194"/>
    </row>
    <row r="55" spans="1:9" ht="15">
      <c r="A55" s="96" t="s">
        <v>628</v>
      </c>
      <c r="B55" s="183" t="e">
        <f>+'Cond BS'!D31</f>
        <v>#REF!</v>
      </c>
      <c r="C55" s="183">
        <f>+'Cond BS'!F31</f>
        <v>21183</v>
      </c>
      <c r="D55" s="183" t="e">
        <f>+B55-C55</f>
        <v>#REF!</v>
      </c>
      <c r="F55" s="198" t="e">
        <f>D55-F56</f>
        <v>#REF!</v>
      </c>
      <c r="G55" s="92"/>
      <c r="H55" s="200"/>
      <c r="I55" s="193" t="s">
        <v>524</v>
      </c>
    </row>
    <row r="56" spans="2:9" ht="15">
      <c r="B56" s="183"/>
      <c r="C56" s="183"/>
      <c r="F56" s="198" t="e">
        <f>+#REF!</f>
        <v>#REF!</v>
      </c>
      <c r="G56" s="92"/>
      <c r="H56" s="200" t="e">
        <f>SUM(F55:F56)</f>
        <v>#REF!</v>
      </c>
      <c r="I56" s="193" t="s">
        <v>728</v>
      </c>
    </row>
    <row r="57" spans="2:9" ht="15" hidden="1">
      <c r="B57" s="183"/>
      <c r="C57" s="183"/>
      <c r="F57" s="198"/>
      <c r="G57" s="92"/>
      <c r="H57" s="200"/>
      <c r="I57" s="205" t="s">
        <v>630</v>
      </c>
    </row>
    <row r="58" spans="2:9" ht="15" hidden="1">
      <c r="B58" s="183"/>
      <c r="C58" s="183"/>
      <c r="F58" s="198"/>
      <c r="G58" s="92"/>
      <c r="H58" s="200"/>
      <c r="I58" s="205" t="s">
        <v>631</v>
      </c>
    </row>
    <row r="59" spans="2:9" ht="15" hidden="1">
      <c r="B59" s="183"/>
      <c r="C59" s="183"/>
      <c r="F59" s="196"/>
      <c r="G59" s="199"/>
      <c r="H59" s="200"/>
      <c r="I59" s="193" t="s">
        <v>632</v>
      </c>
    </row>
    <row r="60" spans="2:9" ht="4.5" customHeight="1">
      <c r="B60" s="183"/>
      <c r="C60" s="183"/>
      <c r="H60" s="203"/>
      <c r="I60" s="193"/>
    </row>
    <row r="61" spans="1:9" ht="15">
      <c r="A61" s="192" t="s">
        <v>399</v>
      </c>
      <c r="B61" s="183" t="e">
        <f>+'Cond BS'!D34</f>
        <v>#REF!</v>
      </c>
      <c r="C61" s="183">
        <f>+'Cond BS'!F34</f>
        <v>57</v>
      </c>
      <c r="D61" s="183" t="e">
        <f>+B61-C61</f>
        <v>#REF!</v>
      </c>
      <c r="F61" s="183" t="e">
        <f>+F48</f>
        <v>#REF!</v>
      </c>
      <c r="G61"/>
      <c r="I61" s="193" t="s">
        <v>253</v>
      </c>
    </row>
    <row r="62" spans="1:9" ht="15">
      <c r="A62" s="192"/>
      <c r="B62" s="183"/>
      <c r="C62" s="183"/>
      <c r="F62" s="183">
        <v>291</v>
      </c>
      <c r="G62"/>
      <c r="I62" s="193" t="s">
        <v>633</v>
      </c>
    </row>
    <row r="63" spans="2:9" ht="15">
      <c r="B63" s="183"/>
      <c r="C63" s="183"/>
      <c r="F63" s="196" t="e">
        <f>-'Cond PL'!F25</f>
        <v>#REF!</v>
      </c>
      <c r="H63" s="184" t="e">
        <f>SUM(F61:G63)</f>
        <v>#REF!</v>
      </c>
      <c r="I63" s="193" t="s">
        <v>634</v>
      </c>
    </row>
    <row r="64" spans="2:9" ht="4.5" customHeight="1">
      <c r="B64" s="183"/>
      <c r="C64" s="183"/>
      <c r="H64" s="182"/>
      <c r="I64" s="193"/>
    </row>
    <row r="65" spans="1:9" ht="15">
      <c r="A65" s="96" t="s">
        <v>635</v>
      </c>
      <c r="B65" s="183" t="e">
        <f>'Cond BS'!D32</f>
        <v>#REF!</v>
      </c>
      <c r="C65" s="183">
        <f>+'Cond BS'!F32</f>
        <v>3140</v>
      </c>
      <c r="D65" s="183" t="e">
        <f>+B65-C65</f>
        <v>#REF!</v>
      </c>
      <c r="F65" s="196" t="e">
        <f>+'Cond BS'!#REF!-'Cond BS'!#REF!</f>
        <v>#REF!</v>
      </c>
      <c r="G65" s="183" t="e">
        <f>+'Cond BS'!#REF!-'Cond BS'!#REF!</f>
        <v>#REF!</v>
      </c>
      <c r="H65" s="184" t="e">
        <f>SUM(F65:G65)</f>
        <v>#REF!</v>
      </c>
      <c r="I65" s="193" t="s">
        <v>305</v>
      </c>
    </row>
    <row r="66" spans="2:9" ht="15" hidden="1">
      <c r="B66" s="99"/>
      <c r="C66" s="194"/>
      <c r="F66" s="195"/>
      <c r="I66" s="193"/>
    </row>
    <row r="67" spans="2:9" ht="15" hidden="1">
      <c r="B67" s="99"/>
      <c r="C67" s="194"/>
      <c r="F67" s="196"/>
      <c r="I67" s="193"/>
    </row>
    <row r="68" spans="2:9" ht="4.5" customHeight="1">
      <c r="B68" s="99"/>
      <c r="C68" s="194"/>
      <c r="I68" s="193"/>
    </row>
    <row r="69" spans="2:3" ht="15">
      <c r="B69" s="204" t="e">
        <f>SUM(B55:B68)</f>
        <v>#REF!</v>
      </c>
      <c r="C69" s="204">
        <f>SUM(C55:C68)</f>
        <v>24380</v>
      </c>
    </row>
    <row r="70" spans="2:3" ht="4.5" customHeight="1">
      <c r="B70" s="99"/>
      <c r="C70" s="194"/>
    </row>
    <row r="71" spans="1:3" ht="15">
      <c r="A71" s="96" t="s">
        <v>636</v>
      </c>
      <c r="B71" s="183" t="e">
        <f>+B52-B69</f>
        <v>#REF!</v>
      </c>
      <c r="C71" s="183">
        <f>+C52-C69</f>
        <v>87334</v>
      </c>
    </row>
    <row r="72" spans="2:3" ht="4.5" customHeight="1">
      <c r="B72" s="206"/>
      <c r="C72" s="206"/>
    </row>
    <row r="73" spans="2:3" ht="15.75" thickBot="1">
      <c r="B73" s="207" t="e">
        <f>+B71+B7+B14+B19+B25+B33+B30</f>
        <v>#REF!</v>
      </c>
      <c r="C73" s="207">
        <f>+C71+C7+C14+C19+C25+C33+C30</f>
        <v>152751</v>
      </c>
    </row>
    <row r="74" spans="2:3" ht="15.75" thickTop="1">
      <c r="B74" s="99"/>
      <c r="C74" s="194"/>
    </row>
    <row r="75" spans="2:3" ht="4.5" customHeight="1">
      <c r="B75" s="99"/>
      <c r="C75" s="194"/>
    </row>
    <row r="76" spans="1:3" ht="15">
      <c r="A76" s="181" t="s">
        <v>637</v>
      </c>
      <c r="B76" s="99"/>
      <c r="C76" s="194"/>
    </row>
    <row r="77" spans="2:3" ht="15">
      <c r="B77" s="99"/>
      <c r="C77" s="194"/>
    </row>
    <row r="78" spans="1:9" ht="15">
      <c r="A78" s="96" t="s">
        <v>638</v>
      </c>
      <c r="B78" s="99" t="e">
        <f>+'Cond BS'!D42</f>
        <v>#REF!</v>
      </c>
      <c r="C78" s="194">
        <f>+'Cond BS'!F42</f>
        <v>53106</v>
      </c>
      <c r="D78" s="99" t="e">
        <f>+B78-C78</f>
        <v>#REF!</v>
      </c>
      <c r="F78" s="99" t="e">
        <f>+D78</f>
        <v>#REF!</v>
      </c>
      <c r="G78"/>
      <c r="H78" s="184" t="e">
        <f>+F78</f>
        <v>#REF!</v>
      </c>
      <c r="I78" s="193" t="s">
        <v>527</v>
      </c>
    </row>
    <row r="79" spans="1:9" ht="15">
      <c r="A79" s="96" t="s">
        <v>639</v>
      </c>
      <c r="B79" s="99">
        <f>+equity!F32</f>
        <v>1092</v>
      </c>
      <c r="C79" s="194">
        <f>+equity!F23</f>
        <v>583</v>
      </c>
      <c r="D79" s="99">
        <f>+B79-C79</f>
        <v>509</v>
      </c>
      <c r="F79" s="99"/>
      <c r="I79" s="193"/>
    </row>
    <row r="80" spans="1:9" ht="15">
      <c r="A80" s="96" t="s">
        <v>640</v>
      </c>
      <c r="B80" s="99">
        <f>+equity!G32</f>
        <v>1707</v>
      </c>
      <c r="C80" s="194">
        <f>+equity!G23</f>
        <v>623</v>
      </c>
      <c r="D80" s="183">
        <f>+B80-C80</f>
        <v>1084</v>
      </c>
      <c r="F80" s="183" t="e">
        <f>+#REF!/1000</f>
        <v>#REF!</v>
      </c>
      <c r="I80" s="193" t="s">
        <v>370</v>
      </c>
    </row>
    <row r="81" spans="2:9" ht="15">
      <c r="B81" s="99"/>
      <c r="C81" s="194"/>
      <c r="F81" s="208" t="e">
        <f>-#REF!/1000</f>
        <v>#REF!</v>
      </c>
      <c r="H81" s="184" t="e">
        <f>+F81+F80</f>
        <v>#REF!</v>
      </c>
      <c r="I81" s="193" t="s">
        <v>641</v>
      </c>
    </row>
    <row r="82" spans="1:9" ht="15">
      <c r="A82" s="96" t="s">
        <v>320</v>
      </c>
      <c r="B82" s="99">
        <f>+equity!E32</f>
        <v>377</v>
      </c>
      <c r="C82" s="194">
        <f>+equity!E23</f>
        <v>377</v>
      </c>
      <c r="D82" s="183">
        <f>+B82-C82</f>
        <v>0</v>
      </c>
      <c r="F82" s="183">
        <f>+D82</f>
        <v>0</v>
      </c>
      <c r="G82" s="96"/>
      <c r="H82" s="184">
        <f>+F82</f>
        <v>0</v>
      </c>
      <c r="I82" s="100" t="s">
        <v>520</v>
      </c>
    </row>
    <row r="83" spans="2:9" ht="15">
      <c r="B83" s="99"/>
      <c r="C83" s="194"/>
      <c r="F83" s="209"/>
      <c r="I83" s="193"/>
    </row>
    <row r="84" spans="2:9" ht="4.5" customHeight="1">
      <c r="B84" s="99"/>
      <c r="C84" s="194"/>
      <c r="I84" s="193"/>
    </row>
    <row r="85" spans="1:9" ht="15">
      <c r="A85" s="96" t="s">
        <v>642</v>
      </c>
      <c r="B85" s="99">
        <f>+equity!D32</f>
        <v>3715</v>
      </c>
      <c r="C85" s="194">
        <f>+equity!D23</f>
        <v>3715</v>
      </c>
      <c r="D85" s="183">
        <f>+B85-C85</f>
        <v>0</v>
      </c>
      <c r="F85" s="195"/>
      <c r="G85"/>
      <c r="I85" s="193"/>
    </row>
    <row r="86" spans="2:9" ht="4.5" customHeight="1">
      <c r="B86" s="99"/>
      <c r="C86" s="194"/>
      <c r="I86" s="193"/>
    </row>
    <row r="87" spans="1:9" ht="15">
      <c r="A87" s="96" t="s">
        <v>134</v>
      </c>
      <c r="B87" s="99" t="e">
        <f>+equity!H32</f>
        <v>#REF!</v>
      </c>
      <c r="C87" s="210">
        <f>+equity!H23</f>
        <v>11060.1</v>
      </c>
      <c r="D87" s="183" t="e">
        <f>+B87-C87</f>
        <v>#REF!</v>
      </c>
      <c r="F87" s="183" t="e">
        <f>+'Cond PL'!F23</f>
        <v>#REF!</v>
      </c>
      <c r="I87" s="193" t="s">
        <v>135</v>
      </c>
    </row>
    <row r="88" spans="2:9" ht="15">
      <c r="B88" s="99"/>
      <c r="C88" s="199"/>
      <c r="F88" s="183" t="e">
        <f>-#REF!</f>
        <v>#REF!</v>
      </c>
      <c r="H88"/>
      <c r="I88" s="193" t="s">
        <v>136</v>
      </c>
    </row>
    <row r="89" spans="2:9" ht="15">
      <c r="B89" s="99"/>
      <c r="C89" s="199"/>
      <c r="F89" s="183" t="e">
        <f>-#REF!</f>
        <v>#REF!</v>
      </c>
      <c r="H89"/>
      <c r="I89" s="193" t="s">
        <v>582</v>
      </c>
    </row>
    <row r="90" spans="2:9" ht="15" hidden="1">
      <c r="B90" s="99"/>
      <c r="C90" s="199"/>
      <c r="H90"/>
      <c r="I90" s="193" t="s">
        <v>583</v>
      </c>
    </row>
    <row r="91" spans="2:9" ht="15" hidden="1">
      <c r="B91" s="99"/>
      <c r="C91" s="199"/>
      <c r="H91"/>
      <c r="I91" s="193" t="s">
        <v>384</v>
      </c>
    </row>
    <row r="92" spans="2:9" ht="15">
      <c r="B92" s="208"/>
      <c r="C92" s="211"/>
      <c r="F92" s="211" t="e">
        <f>+#REF!</f>
        <v>#REF!</v>
      </c>
      <c r="H92" s="184" t="e">
        <f>SUM(F87:F92)</f>
        <v>#REF!</v>
      </c>
      <c r="I92" s="193" t="s">
        <v>230</v>
      </c>
    </row>
    <row r="93" spans="1:6" ht="15">
      <c r="A93" s="181" t="s">
        <v>231</v>
      </c>
      <c r="B93" s="194" t="e">
        <f>SUM(B78:B92)</f>
        <v>#REF!</v>
      </c>
      <c r="C93" s="194">
        <f>SUM(C78:C92)</f>
        <v>69464.1</v>
      </c>
      <c r="F93" s="99"/>
    </row>
    <row r="94" spans="2:6" ht="4.5" customHeight="1">
      <c r="B94" s="99"/>
      <c r="C94" s="183"/>
      <c r="F94" s="99"/>
    </row>
    <row r="95" spans="1:9" ht="15">
      <c r="A95" s="96" t="s">
        <v>353</v>
      </c>
      <c r="B95" s="99" t="e">
        <f>+'Cond BS'!D45</f>
        <v>#REF!</v>
      </c>
      <c r="C95" s="99">
        <f>+'Cond BS'!F45</f>
        <v>61553</v>
      </c>
      <c r="D95" s="183" t="e">
        <f>+B95-C95</f>
        <v>#REF!</v>
      </c>
      <c r="F95" s="99" t="e">
        <f>-F92</f>
        <v>#REF!</v>
      </c>
      <c r="I95" s="193" t="s">
        <v>726</v>
      </c>
    </row>
    <row r="96" spans="2:9" ht="15">
      <c r="B96" s="99"/>
      <c r="C96" s="183"/>
      <c r="F96" s="99" t="e">
        <f>-F81</f>
        <v>#REF!</v>
      </c>
      <c r="I96" s="193" t="s">
        <v>370</v>
      </c>
    </row>
    <row r="97" spans="2:9" ht="15">
      <c r="B97" s="99"/>
      <c r="C97" s="183"/>
      <c r="I97" s="193"/>
    </row>
    <row r="98" spans="2:9" ht="15">
      <c r="B98" s="99"/>
      <c r="C98" s="183"/>
      <c r="I98" s="193" t="s">
        <v>232</v>
      </c>
    </row>
    <row r="99" spans="2:9" ht="15">
      <c r="B99" s="99"/>
      <c r="C99" s="183"/>
      <c r="F99" s="211"/>
      <c r="H99" s="184" t="e">
        <f>SUM(F95:F99)</f>
        <v>#REF!</v>
      </c>
      <c r="I99" s="193" t="s">
        <v>629</v>
      </c>
    </row>
    <row r="100" spans="2:9" ht="4.5" customHeight="1">
      <c r="B100" s="99"/>
      <c r="C100" s="183"/>
      <c r="F100" s="99"/>
      <c r="H100" s="182"/>
      <c r="I100" s="193"/>
    </row>
    <row r="101" spans="1:9" ht="15">
      <c r="A101" s="96" t="s">
        <v>476</v>
      </c>
      <c r="B101" s="99" t="e">
        <f>+'Cond BS'!D48</f>
        <v>#REF!</v>
      </c>
      <c r="C101" s="99">
        <f>+'Cond BS'!F48</f>
        <v>1383</v>
      </c>
      <c r="D101" s="183" t="e">
        <f>+B101-C101</f>
        <v>#REF!</v>
      </c>
      <c r="F101" s="99" t="e">
        <f>D101</f>
        <v>#REF!</v>
      </c>
      <c r="I101" s="193" t="s">
        <v>477</v>
      </c>
    </row>
    <row r="102" spans="2:9" ht="4.5" customHeight="1">
      <c r="B102" s="99"/>
      <c r="C102" s="183"/>
      <c r="F102" s="99"/>
      <c r="I102" s="193"/>
    </row>
    <row r="103" spans="1:9" ht="15">
      <c r="A103" s="96" t="s">
        <v>321</v>
      </c>
      <c r="B103" s="99" t="e">
        <f>+'Cond BS'!D47</f>
        <v>#REF!</v>
      </c>
      <c r="C103" s="99">
        <f>+'Cond BS'!F47</f>
        <v>7342</v>
      </c>
      <c r="D103" s="183" t="e">
        <f>+B103-C103</f>
        <v>#REF!</v>
      </c>
      <c r="F103" s="183" t="e">
        <f>D103</f>
        <v>#REF!</v>
      </c>
      <c r="G103"/>
      <c r="H103" s="184" t="e">
        <f>+F103</f>
        <v>#REF!</v>
      </c>
      <c r="I103" s="193" t="s">
        <v>521</v>
      </c>
    </row>
    <row r="104" spans="2:9" ht="4.5" customHeight="1">
      <c r="B104" s="99"/>
      <c r="C104" s="183"/>
      <c r="F104" s="99"/>
      <c r="I104" s="193"/>
    </row>
    <row r="105" spans="2:8" ht="15.75" thickBot="1">
      <c r="B105" s="212" t="e">
        <f>SUM(B93:B103)</f>
        <v>#REF!</v>
      </c>
      <c r="C105" s="212">
        <f>SUM(C93:C103)</f>
        <v>139742.1</v>
      </c>
      <c r="D105" s="204" t="e">
        <f>SUM(D6:D104)</f>
        <v>#REF!</v>
      </c>
      <c r="F105" s="204" t="e">
        <f>SUM(F7:F104)</f>
        <v>#REF!</v>
      </c>
      <c r="G105" s="204" t="e">
        <f>SUM(G7:G104)</f>
        <v>#REF!</v>
      </c>
      <c r="H105" s="213" t="e">
        <f>SUM(F105:G105)</f>
        <v>#REF!</v>
      </c>
    </row>
    <row r="106" spans="2:6" ht="15.75" thickTop="1">
      <c r="B106" s="183" t="e">
        <f>+B105-B73</f>
        <v>#REF!</v>
      </c>
      <c r="C106" s="194">
        <f>+C105-C73</f>
        <v>-13008.899999999994</v>
      </c>
      <c r="F106" s="99"/>
    </row>
    <row r="107" spans="1:43" s="218" customFormat="1" ht="15">
      <c r="A107" s="214"/>
      <c r="B107" s="210"/>
      <c r="C107" s="215"/>
      <c r="D107" s="199"/>
      <c r="E107" s="199"/>
      <c r="F107" s="210"/>
      <c r="G107" s="199"/>
      <c r="H107" s="200"/>
      <c r="I107" s="200"/>
      <c r="J107" s="200"/>
      <c r="K107" s="200"/>
      <c r="L107" s="216"/>
      <c r="M107" s="216"/>
      <c r="N107" s="216"/>
      <c r="O107" s="216"/>
      <c r="P107" s="216"/>
      <c r="Q107" s="216"/>
      <c r="R107" s="216"/>
      <c r="S107" s="216"/>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row>
    <row r="108" spans="2:43" s="218" customFormat="1" ht="4.5" customHeight="1">
      <c r="B108" s="210"/>
      <c r="C108" s="215"/>
      <c r="D108" s="199"/>
      <c r="E108" s="199"/>
      <c r="F108" s="210"/>
      <c r="G108" s="199"/>
      <c r="H108" s="200"/>
      <c r="I108" s="200"/>
      <c r="J108" s="200"/>
      <c r="K108" s="200"/>
      <c r="L108" s="216"/>
      <c r="M108" s="216"/>
      <c r="N108" s="216"/>
      <c r="O108" s="216"/>
      <c r="P108" s="216"/>
      <c r="Q108" s="216"/>
      <c r="R108" s="216"/>
      <c r="S108" s="216"/>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row>
    <row r="109" spans="2:43" s="218" customFormat="1" ht="15">
      <c r="B109" s="210"/>
      <c r="C109" s="215"/>
      <c r="D109" s="199"/>
      <c r="E109" s="199"/>
      <c r="F109" s="210"/>
      <c r="G109" s="199"/>
      <c r="H109" s="200"/>
      <c r="I109" s="200"/>
      <c r="J109" s="200"/>
      <c r="K109" s="200"/>
      <c r="L109" s="216"/>
      <c r="M109" s="216"/>
      <c r="N109" s="216"/>
      <c r="O109" s="216"/>
      <c r="P109" s="216"/>
      <c r="Q109" s="216"/>
      <c r="R109" s="216"/>
      <c r="S109" s="216"/>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row>
    <row r="110" spans="1:43" s="218" customFormat="1" ht="15">
      <c r="A110" s="219"/>
      <c r="B110" s="210"/>
      <c r="C110" s="210"/>
      <c r="D110" s="199"/>
      <c r="E110" s="199"/>
      <c r="F110" s="199"/>
      <c r="G110" s="199"/>
      <c r="H110" s="200"/>
      <c r="I110" s="200"/>
      <c r="J110" s="200"/>
      <c r="K110" s="200"/>
      <c r="L110" s="216"/>
      <c r="M110" s="216"/>
      <c r="N110" s="216"/>
      <c r="O110" s="216"/>
      <c r="P110" s="216"/>
      <c r="Q110" s="216"/>
      <c r="R110" s="216"/>
      <c r="S110" s="216"/>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row>
    <row r="111" spans="1:43" s="218" customFormat="1" ht="15">
      <c r="A111" s="219"/>
      <c r="B111" s="210"/>
      <c r="C111" s="215"/>
      <c r="D111" s="199"/>
      <c r="E111" s="199"/>
      <c r="F111" s="199"/>
      <c r="G111" s="199"/>
      <c r="H111" s="200"/>
      <c r="I111" s="200"/>
      <c r="J111" s="200"/>
      <c r="K111" s="200"/>
      <c r="L111" s="216"/>
      <c r="M111" s="216"/>
      <c r="N111" s="216"/>
      <c r="O111" s="216"/>
      <c r="P111" s="216"/>
      <c r="Q111" s="216"/>
      <c r="R111" s="216"/>
      <c r="S111" s="216"/>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row>
    <row r="112" spans="2:43" s="218" customFormat="1" ht="15">
      <c r="B112" s="210"/>
      <c r="C112" s="210"/>
      <c r="D112" s="210"/>
      <c r="E112" s="199"/>
      <c r="F112" s="199"/>
      <c r="G112" s="199"/>
      <c r="H112" s="200"/>
      <c r="I112" s="201"/>
      <c r="J112" s="200"/>
      <c r="K112" s="200"/>
      <c r="L112" s="216"/>
      <c r="M112" s="216"/>
      <c r="N112" s="216"/>
      <c r="O112" s="216"/>
      <c r="P112" s="216"/>
      <c r="Q112" s="216"/>
      <c r="R112" s="216"/>
      <c r="S112" s="216"/>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row>
    <row r="113" spans="2:3" ht="15">
      <c r="B113" s="99"/>
      <c r="C113" s="194"/>
    </row>
    <row r="114" spans="1:3" ht="15" hidden="1">
      <c r="A114" s="96" t="s">
        <v>478</v>
      </c>
      <c r="B114" s="99"/>
      <c r="C114" s="194"/>
    </row>
    <row r="115" spans="1:4" ht="15" hidden="1">
      <c r="A115" s="100" t="s">
        <v>479</v>
      </c>
      <c r="B115" s="99"/>
      <c r="C115"/>
      <c r="D115" s="183">
        <v>-18</v>
      </c>
    </row>
    <row r="116" spans="1:4" ht="15" hidden="1">
      <c r="A116" s="100" t="s">
        <v>480</v>
      </c>
      <c r="B116" s="99"/>
      <c r="C116"/>
      <c r="D116" s="183">
        <v>-23</v>
      </c>
    </row>
    <row r="117" spans="1:4" ht="15" hidden="1">
      <c r="A117" s="100" t="s">
        <v>481</v>
      </c>
      <c r="B117" s="99"/>
      <c r="C117"/>
      <c r="D117" s="183">
        <v>-48</v>
      </c>
    </row>
    <row r="118" spans="1:4" ht="15" hidden="1">
      <c r="A118" s="100" t="s">
        <v>482</v>
      </c>
      <c r="B118" s="99"/>
      <c r="C118"/>
      <c r="D118" s="183">
        <v>-39</v>
      </c>
    </row>
    <row r="119" spans="1:4" ht="15" hidden="1">
      <c r="A119" s="100" t="s">
        <v>483</v>
      </c>
      <c r="B119" s="99"/>
      <c r="C119"/>
      <c r="D119" s="211">
        <v>-80</v>
      </c>
    </row>
    <row r="120" spans="2:4" ht="15" hidden="1">
      <c r="B120" s="99"/>
      <c r="C120"/>
      <c r="D120" s="211">
        <f>SUM(D115:D119)</f>
        <v>-208</v>
      </c>
    </row>
    <row r="121" spans="2:3" ht="15">
      <c r="B121" s="99"/>
      <c r="C121" s="194"/>
    </row>
    <row r="122" spans="2:3" ht="15">
      <c r="B122" s="99"/>
      <c r="C122" s="194"/>
    </row>
    <row r="123" spans="2:3" ht="15">
      <c r="B123" s="99"/>
      <c r="C123" s="194"/>
    </row>
    <row r="124" spans="2:3" ht="15">
      <c r="B124" s="99"/>
      <c r="C124" s="194"/>
    </row>
    <row r="125" spans="2:3" ht="15">
      <c r="B125" s="99"/>
      <c r="C125" s="194"/>
    </row>
    <row r="126" spans="2:3" ht="15">
      <c r="B126" s="99"/>
      <c r="C126" s="194"/>
    </row>
    <row r="127" spans="2:3" ht="15">
      <c r="B127" s="99"/>
      <c r="C127" s="194"/>
    </row>
    <row r="128" spans="2:3" ht="15">
      <c r="B128" s="99"/>
      <c r="C128" s="194"/>
    </row>
    <row r="129" spans="2:3" ht="15">
      <c r="B129" s="99"/>
      <c r="C129" s="194"/>
    </row>
    <row r="130" spans="2:3" ht="15">
      <c r="B130" s="99"/>
      <c r="C130" s="194"/>
    </row>
    <row r="131" spans="2:3" ht="15">
      <c r="B131" s="99"/>
      <c r="C131" s="194"/>
    </row>
    <row r="132" spans="2:3" ht="15">
      <c r="B132" s="99"/>
      <c r="C132" s="194"/>
    </row>
    <row r="133" spans="2:3" ht="15">
      <c r="B133" s="99"/>
      <c r="C133" s="194"/>
    </row>
    <row r="134" spans="2:3" ht="15">
      <c r="B134" s="99"/>
      <c r="C134" s="194"/>
    </row>
    <row r="135" spans="2:3" ht="15">
      <c r="B135" s="99"/>
      <c r="C135" s="194"/>
    </row>
    <row r="136" spans="2:3" ht="15">
      <c r="B136" s="99"/>
      <c r="C136" s="194"/>
    </row>
    <row r="137" spans="2:3" ht="15">
      <c r="B137" s="99"/>
      <c r="C137" s="194"/>
    </row>
    <row r="138" spans="2:3" ht="15">
      <c r="B138" s="99"/>
      <c r="C138" s="194"/>
    </row>
    <row r="139" spans="2:3" ht="15">
      <c r="B139" s="99"/>
      <c r="C139" s="194"/>
    </row>
    <row r="140" spans="2:3" ht="15">
      <c r="B140" s="99"/>
      <c r="C140" s="194"/>
    </row>
    <row r="141" spans="2:3" ht="15">
      <c r="B141" s="99"/>
      <c r="C141" s="194"/>
    </row>
    <row r="142" spans="2:3" ht="15">
      <c r="B142" s="99"/>
      <c r="C142" s="194"/>
    </row>
    <row r="143" spans="2:3" ht="15">
      <c r="B143" s="99"/>
      <c r="C143" s="194"/>
    </row>
    <row r="144" spans="2:3" ht="15">
      <c r="B144" s="99"/>
      <c r="C144" s="194"/>
    </row>
    <row r="145" spans="2:3" ht="15">
      <c r="B145" s="99"/>
      <c r="C145" s="194"/>
    </row>
    <row r="146" spans="2:3" ht="15">
      <c r="B146" s="99"/>
      <c r="C146" s="194"/>
    </row>
    <row r="147" spans="2:3" ht="15">
      <c r="B147" s="99"/>
      <c r="C147" s="194"/>
    </row>
    <row r="148" spans="2:3" ht="15">
      <c r="B148" s="99"/>
      <c r="C148" s="194"/>
    </row>
    <row r="149" ht="15">
      <c r="C149" s="194"/>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KYM</dc:creator>
  <cp:keywords/>
  <dc:description/>
  <cp:lastModifiedBy>Owner</cp:lastModifiedBy>
  <cp:lastPrinted>2008-12-23T10:30:36Z</cp:lastPrinted>
  <dcterms:created xsi:type="dcterms:W3CDTF">1999-09-12T02:26:21Z</dcterms:created>
  <dcterms:modified xsi:type="dcterms:W3CDTF">2008-12-23T10:32:45Z</dcterms:modified>
  <cp:category/>
  <cp:version/>
  <cp:contentType/>
  <cp:contentStatus/>
</cp:coreProperties>
</file>