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735" activeTab="0"/>
  </bookViews>
  <sheets>
    <sheet name="BSheet" sheetId="1" r:id="rId1"/>
    <sheet name="PLoss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3">'Cashflow'!$A$1:$AC$63</definedName>
  </definedNames>
  <calcPr fullCalcOnLoad="1"/>
</workbook>
</file>

<file path=xl/sharedStrings.xml><?xml version="1.0" encoding="utf-8"?>
<sst xmlns="http://schemas.openxmlformats.org/spreadsheetml/2006/main" count="305" uniqueCount="220">
  <si>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</si>
  <si>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</si>
  <si>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</si>
  <si>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</si>
  <si>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</si>
  <si>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</si>
  <si>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</si>
  <si>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</si>
  <si>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</si>
  <si>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</si>
  <si>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</si>
  <si>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</si>
  <si>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</si>
  <si>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</si>
  <si>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</si>
  <si>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</si>
  <si>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</si>
  <si>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</si>
  <si>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</si>
  <si>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</si>
  <si>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</si>
  <si>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</si>
  <si>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</si>
  <si>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</si>
  <si>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</si>
  <si>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</si>
  <si>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</si>
  <si>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</si>
  <si>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</si>
  <si>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</si>
  <si>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</si>
  <si>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</si>
  <si>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</si>
  <si>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</si>
  <si>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</si>
  <si>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</si>
  <si>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</si>
  <si>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</si>
  <si>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</si>
  <si>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</si>
  <si>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</si>
  <si>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</si>
  <si>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</si>
  <si>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</si>
  <si>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</si>
  <si>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</si>
  <si>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</si>
  <si>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</si>
  <si>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</si>
  <si>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</si>
  <si>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</si>
  <si>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</si>
  <si>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</si>
  <si>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</si>
  <si>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</si>
  <si>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</si>
  <si>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</si>
  <si>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</si>
  <si>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</si>
  <si>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</si>
  <si>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</si>
  <si>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</si>
  <si>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</si>
  <si>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</si>
  <si>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</si>
  <si>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</si>
  <si>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</si>
  <si>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</si>
  <si>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</si>
  <si>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</si>
  <si>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</si>
  <si>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</si>
  <si>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</si>
  <si>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</si>
  <si>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</si>
  <si>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</si>
  <si>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</si>
  <si>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</si>
  <si>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</si>
  <si>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</si>
  <si>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</si>
  <si>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</si>
  <si>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</si>
  <si>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</si>
  <si>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</si>
  <si>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</si>
  <si>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</si>
  <si>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</si>
  <si>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</si>
  <si>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</si>
  <si>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</si>
  <si>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</si>
  <si>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</si>
  <si>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</si>
  <si>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</si>
  <si>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</si>
  <si>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</si>
  <si>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</si>
  <si>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</si>
  <si>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</si>
  <si>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</si>
  <si>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</si>
  <si>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</si>
  <si>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</si>
  <si>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</si>
  <si>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</si>
  <si>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</si>
  <si>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</si>
  <si>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Net Tangible Assets per Share (RM)</t>
  </si>
  <si>
    <t>Net tangible assets per share (RM)</t>
  </si>
  <si>
    <t>Deferred Liabilities</t>
  </si>
  <si>
    <t>CONSOLIDATED BALANCE SHEET (Unaudited)</t>
  </si>
  <si>
    <t>CONSOLIDATED INCOME STATEMENT (Unaudited)</t>
  </si>
  <si>
    <t>31.12.01</t>
  </si>
  <si>
    <t>ok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</si>
  <si>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</si>
  <si>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</si>
  <si>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</si>
  <si>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</si>
  <si>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</si>
  <si>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</si>
  <si>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</si>
  <si>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</si>
  <si>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</si>
  <si>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</si>
  <si>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</si>
  <si>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</si>
  <si>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</si>
  <si>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</si>
  <si>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</si>
  <si>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</si>
  <si>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</si>
  <si>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</si>
  <si>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</si>
  <si>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</si>
  <si>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</si>
  <si>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TMIB</t>
  </si>
  <si>
    <t>TMMM</t>
  </si>
  <si>
    <t>PTMM</t>
  </si>
  <si>
    <t>TMGT</t>
  </si>
  <si>
    <t>KPTS</t>
  </si>
  <si>
    <t>SHTM</t>
  </si>
  <si>
    <t>TMTC</t>
  </si>
  <si>
    <t>WCSB</t>
  </si>
  <si>
    <t>TMRL</t>
  </si>
  <si>
    <t>MCSB</t>
  </si>
  <si>
    <t>LRSB</t>
  </si>
  <si>
    <t>DESB</t>
  </si>
  <si>
    <t>TMHG</t>
  </si>
  <si>
    <t>TMP</t>
  </si>
  <si>
    <t>TGIL</t>
  </si>
  <si>
    <t>VVSB</t>
  </si>
  <si>
    <t>LMSB</t>
  </si>
  <si>
    <t>TMLL</t>
  </si>
  <si>
    <t>FFSB</t>
  </si>
  <si>
    <t>TOTAL</t>
  </si>
  <si>
    <t>ADJ</t>
  </si>
  <si>
    <t>Depreciation</t>
  </si>
  <si>
    <t>YALE</t>
  </si>
  <si>
    <t>*</t>
  </si>
  <si>
    <t>TMCA</t>
  </si>
  <si>
    <t>30.09.02</t>
  </si>
  <si>
    <t>30.09.01</t>
  </si>
  <si>
    <t>CASH FLOW FROM OPERATING ACTIVITIES</t>
  </si>
  <si>
    <t>Loss before taxation</t>
  </si>
  <si>
    <t>Adjustment for:</t>
  </si>
  <si>
    <t>Bad debts (recovered)/written off</t>
  </si>
  <si>
    <t>Development expenditure written off</t>
  </si>
  <si>
    <t>Fixed assets written off</t>
  </si>
  <si>
    <t>Provision for guarantees write off</t>
  </si>
  <si>
    <t>Fixed assets impairment losses</t>
  </si>
  <si>
    <t>Profit on sale of fixed assets</t>
  </si>
  <si>
    <t>Bad debts written off</t>
  </si>
  <si>
    <t>Provision for doubtful debts</t>
  </si>
  <si>
    <t>Gain on foreign exchange</t>
  </si>
  <si>
    <t>Amortisation of intangible assets</t>
  </si>
  <si>
    <t>Interest Income</t>
  </si>
  <si>
    <t>Interest Expense</t>
  </si>
  <si>
    <t>Cash flow used in operations before working capital</t>
  </si>
  <si>
    <t>changes</t>
  </si>
  <si>
    <t>Increase in intangible assets</t>
  </si>
  <si>
    <t>Decrease in development expenditure</t>
  </si>
  <si>
    <t>(Decrease)/increase in Amount due to related co</t>
  </si>
  <si>
    <t>Decrease in stocks</t>
  </si>
  <si>
    <t>(Increase)/decrease in debtors</t>
  </si>
  <si>
    <t>Increase/(decrease) in creditors</t>
  </si>
  <si>
    <t>Cash generated from/(used in) operations</t>
  </si>
  <si>
    <t>Taxation paid</t>
  </si>
  <si>
    <t>Interest paid</t>
  </si>
  <si>
    <t>Net cash flow used in operating activities</t>
  </si>
  <si>
    <t>Cash flow from investing activities</t>
  </si>
  <si>
    <t>Purchase of fixed assets</t>
  </si>
  <si>
    <t>Proceeds from sale of fixed assets</t>
  </si>
  <si>
    <t>Interest received</t>
  </si>
  <si>
    <t>Net cash flow generated from investing</t>
  </si>
  <si>
    <t>activities</t>
  </si>
  <si>
    <t>Cash flow from financing activities</t>
  </si>
  <si>
    <t>Repayment of hire purchase and lease</t>
  </si>
  <si>
    <t>creditors</t>
  </si>
  <si>
    <t>Cash and cash equivalents</t>
  </si>
  <si>
    <t>Net increase/(decrease)</t>
  </si>
  <si>
    <t>Cash and cash equivalents comprise:</t>
  </si>
  <si>
    <t>Cash and bank balances</t>
  </si>
  <si>
    <t>Bank overdrafts</t>
  </si>
  <si>
    <t>As at the beginning of the year</t>
  </si>
  <si>
    <t>As at 30/9/2002</t>
  </si>
  <si>
    <t>STATEMENT OF CHANGES IN EQUITY</t>
  </si>
  <si>
    <t>AT 1 JANUARY 2002</t>
  </si>
  <si>
    <t>NET LOSS FOR THE YEAR</t>
  </si>
  <si>
    <t>AT 30 SEPTEMBER 2002</t>
  </si>
  <si>
    <t>SHARE CAPITAL</t>
  </si>
  <si>
    <t>SHARE PREMIUM</t>
  </si>
  <si>
    <t>ACCUMULATED LOSSES</t>
  </si>
  <si>
    <t xml:space="preserve">                 (NON-DISTRIBUTABLE)</t>
  </si>
  <si>
    <t xml:space="preserve">                         RESERVES</t>
  </si>
  <si>
    <t>RM</t>
  </si>
  <si>
    <t>FOR THE FINANCIAL PERIOD ENDED 30 SEPTEMBER 2002</t>
  </si>
  <si>
    <t>GROUPCASHFLOW STATEMENT AS AT 30 SEPTEMBER 2002</t>
  </si>
  <si>
    <t>TIMBERMASTER INDUSTRIES BHD GROUP</t>
  </si>
  <si>
    <t>FOR THE PERIOD ENDED 30 SEPTEMBER 2002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</si>
</sst>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#,##0,;[Red]\(#,##0,\)"/>
    <numFmt numFmtId="177" formatCode="#,##0.0,;[Red]\(#,##0.0,\)"/>
    <numFmt numFmtId="178" formatCode="#,##0.000,;[Red]\(#,##0.000,\)"/>
    <numFmt numFmtId="179" formatCode="#,##0.0000,;[Red]\(#,##0.0000,\)"/>
    <numFmt numFmtId="180" formatCode="_-* #,##0.00_-;\-* #,##0.00_-;_-* &quot;-&quot;??_-;_-@_-"/>
    <numFmt numFmtId="181" formatCode="#,##0.0000000,;[Red]\(#,##0.0000000,\)"/>
    <numFmt numFmtId="182" formatCode="_-* #,##0.000000_-;\-* #,##0.000000_-;_-* &quot;-&quot;??_-;_-@_-"/>
    <numFmt numFmtId="183" formatCode="_-* #,##0.000_-;\-* #,##0.000_-;_-* &quot;-&quot;??_-;_-@_-"/>
    <numFmt numFmtId="184" formatCode="#,##0.00000,;[Red]\(#,##0.00000,\)"/>
    <numFmt numFmtId="185" formatCode="#,##0.000000,;[Red]\(#,##0.000000,\)"/>
    <numFmt numFmtId="186" formatCode="0_);[Red]\(0\)"/>
    <numFmt numFmtId="187" formatCode="#,##0.00,;[Red]\(#,##0.00,\)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color indexed="57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2" fillId="0" borderId="6" xfId="15" applyNumberFormat="1" applyFont="1" applyBorder="1" applyAlignment="1">
      <alignment horizontal="center"/>
    </xf>
    <xf numFmtId="176" fontId="9" fillId="0" borderId="0" xfId="15" applyNumberFormat="1" applyFont="1" applyAlignment="1">
      <alignment/>
    </xf>
    <xf numFmtId="176" fontId="8" fillId="0" borderId="0" xfId="15" applyNumberFormat="1" applyFont="1" applyAlignment="1">
      <alignment/>
    </xf>
    <xf numFmtId="176" fontId="10" fillId="0" borderId="0" xfId="15" applyNumberFormat="1" applyFont="1" applyAlignment="1">
      <alignment/>
    </xf>
    <xf numFmtId="176" fontId="8" fillId="0" borderId="0" xfId="15" applyNumberFormat="1" applyFont="1" applyAlignment="1">
      <alignment horizontal="center"/>
    </xf>
    <xf numFmtId="0" fontId="8" fillId="0" borderId="0" xfId="15" applyNumberFormat="1" applyFont="1" applyAlignment="1">
      <alignment horizontal="center"/>
    </xf>
    <xf numFmtId="0" fontId="9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76" fontId="11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76" fontId="0" fillId="0" borderId="0" xfId="15" applyNumberFormat="1" applyFont="1" applyAlignment="1">
      <alignment/>
    </xf>
    <xf numFmtId="176" fontId="11" fillId="0" borderId="0" xfId="15" applyNumberFormat="1" applyFont="1" applyBorder="1" applyAlignment="1">
      <alignment/>
    </xf>
    <xf numFmtId="176" fontId="2" fillId="0" borderId="0" xfId="15" applyNumberFormat="1" applyFont="1" applyAlignment="1">
      <alignment/>
    </xf>
    <xf numFmtId="176" fontId="1" fillId="2" borderId="9" xfId="15" applyNumberFormat="1" applyFont="1" applyFill="1" applyBorder="1" applyAlignment="1">
      <alignment horizontal="center"/>
    </xf>
    <xf numFmtId="176" fontId="1" fillId="2" borderId="10" xfId="15" applyNumberFormat="1" applyFont="1" applyFill="1" applyBorder="1" applyAlignment="1">
      <alignment horizontal="center"/>
    </xf>
    <xf numFmtId="176" fontId="1" fillId="2" borderId="0" xfId="15" applyNumberFormat="1" applyFont="1" applyFill="1" applyBorder="1" applyAlignment="1">
      <alignment horizontal="right"/>
    </xf>
    <xf numFmtId="38" fontId="2" fillId="0" borderId="0" xfId="15" applyNumberFormat="1" applyFont="1" applyFill="1" applyBorder="1" applyAlignment="1">
      <alignment/>
    </xf>
    <xf numFmtId="176" fontId="1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Fill="1" applyBorder="1" applyAlignment="1">
      <alignment/>
    </xf>
    <xf numFmtId="180" fontId="2" fillId="0" borderId="0" xfId="0" applyNumberFormat="1" applyFont="1" applyAlignment="1">
      <alignment/>
    </xf>
    <xf numFmtId="176" fontId="2" fillId="0" borderId="0" xfId="15" applyNumberFormat="1" applyFont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2" fillId="0" borderId="8" xfId="15" applyNumberFormat="1" applyFont="1" applyFill="1" applyBorder="1" applyAlignment="1">
      <alignment/>
    </xf>
    <xf numFmtId="38" fontId="2" fillId="3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8" fontId="2" fillId="0" borderId="11" xfId="15" applyNumberFormat="1" applyFont="1" applyFill="1" applyBorder="1" applyAlignment="1">
      <alignment/>
    </xf>
    <xf numFmtId="43" fontId="2" fillId="0" borderId="11" xfId="15" applyFont="1" applyFill="1" applyBorder="1" applyAlignment="1">
      <alignment/>
    </xf>
    <xf numFmtId="176" fontId="1" fillId="0" borderId="0" xfId="15" applyNumberFormat="1" applyFont="1" applyAlignment="1">
      <alignment/>
    </xf>
    <xf numFmtId="43" fontId="2" fillId="0" borderId="8" xfId="15" applyFont="1" applyFill="1" applyBorder="1" applyAlignment="1">
      <alignment/>
    </xf>
    <xf numFmtId="38" fontId="13" fillId="0" borderId="0" xfId="15" applyNumberFormat="1" applyFont="1" applyFill="1" applyBorder="1" applyAlignment="1">
      <alignment/>
    </xf>
    <xf numFmtId="38" fontId="2" fillId="0" borderId="12" xfId="15" applyNumberFormat="1" applyFont="1" applyFill="1" applyBorder="1" applyAlignment="1">
      <alignment/>
    </xf>
    <xf numFmtId="43" fontId="2" fillId="0" borderId="12" xfId="15" applyFont="1" applyFill="1" applyBorder="1" applyAlignment="1">
      <alignment/>
    </xf>
    <xf numFmtId="181" fontId="2" fillId="0" borderId="0" xfId="15" applyNumberFormat="1" applyFont="1" applyAlignment="1">
      <alignment/>
    </xf>
    <xf numFmtId="182" fontId="2" fillId="0" borderId="0" xfId="15" applyNumberFormat="1" applyFont="1" applyAlignment="1">
      <alignment/>
    </xf>
    <xf numFmtId="176" fontId="2" fillId="0" borderId="0" xfId="15" applyNumberFormat="1" applyFont="1" applyFill="1" applyBorder="1" applyAlignment="1">
      <alignment/>
    </xf>
    <xf numFmtId="176" fontId="14" fillId="0" borderId="0" xfId="15" applyNumberFormat="1" applyFont="1" applyAlignment="1">
      <alignment/>
    </xf>
    <xf numFmtId="186" fontId="2" fillId="0" borderId="0" xfId="15" applyNumberFormat="1" applyFont="1" applyAlignment="1">
      <alignment/>
    </xf>
    <xf numFmtId="4" fontId="2" fillId="0" borderId="0" xfId="15" applyNumberFormat="1" applyFont="1" applyFill="1" applyBorder="1" applyAlignment="1">
      <alignment/>
    </xf>
    <xf numFmtId="0" fontId="2" fillId="0" borderId="0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85725</xdr:rowOff>
    </xdr:from>
    <xdr:to>
      <xdr:col>1</xdr:col>
      <xdr:colOff>1200150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952625" y="11715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76200</xdr:rowOff>
    </xdr:from>
    <xdr:to>
      <xdr:col>2</xdr:col>
      <xdr:colOff>1152525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3219450" y="11620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Conso09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d"/>
      <sheetName val="ytd"/>
      <sheetName val="bs"/>
      <sheetName val="Cflow"/>
      <sheetName val="interco"/>
      <sheetName val="eps"/>
      <sheetName val="FA(old)"/>
      <sheetName val="CF-1l2l3"/>
      <sheetName val="CF-4"/>
      <sheetName val="CF-5"/>
      <sheetName val="CF-6"/>
      <sheetName val="CF-7(FA)"/>
      <sheetName val="FA Notes Summary"/>
      <sheetName val="CF-8"/>
      <sheetName val="CF-9"/>
      <sheetName val="CF-9-1"/>
      <sheetName val="CF-9-1 (2)"/>
      <sheetName val="CF-10(segmental)"/>
      <sheetName val="BIK"/>
      <sheetName val="bor"/>
      <sheetName val="conlia"/>
      <sheetName val="due fro"/>
      <sheetName val="KPTSconso"/>
      <sheetName val="intib"/>
    </sheetNames>
    <sheetDataSet>
      <sheetData sheetId="1">
        <row r="11">
          <cell r="F11">
            <v>-376043.58</v>
          </cell>
          <cell r="H11">
            <v>-345176.01</v>
          </cell>
          <cell r="L11">
            <v>-8487851.64</v>
          </cell>
        </row>
        <row r="16">
          <cell r="D16">
            <v>137767.58</v>
          </cell>
          <cell r="E16">
            <v>13760</v>
          </cell>
          <cell r="F16">
            <v>40780</v>
          </cell>
        </row>
        <row r="26">
          <cell r="D26">
            <v>-3852.46</v>
          </cell>
          <cell r="E26">
            <v>-25018.83</v>
          </cell>
          <cell r="F26">
            <v>-15391.68</v>
          </cell>
          <cell r="H26">
            <v>-17150.4</v>
          </cell>
          <cell r="L26">
            <v>-150042.6</v>
          </cell>
          <cell r="S26">
            <v>-140422.95</v>
          </cell>
          <cell r="W26">
            <v>-9313.47</v>
          </cell>
        </row>
        <row r="33">
          <cell r="W33">
            <v>-415225.2</v>
          </cell>
        </row>
        <row r="42">
          <cell r="D42">
            <v>-7779575.83</v>
          </cell>
          <cell r="E42">
            <v>-4101637.68</v>
          </cell>
          <cell r="F42">
            <v>-951714.18</v>
          </cell>
          <cell r="H42">
            <v>-1160638.02</v>
          </cell>
          <cell r="L42">
            <v>-6448818.5</v>
          </cell>
          <cell r="S42">
            <v>-240000</v>
          </cell>
        </row>
        <row r="50">
          <cell r="D50">
            <v>-8590306.120000001</v>
          </cell>
          <cell r="E50">
            <v>-4179513.7800000003</v>
          </cell>
          <cell r="F50">
            <v>-1452096.25</v>
          </cell>
        </row>
        <row r="58">
          <cell r="G58">
            <v>-7208.129999999999</v>
          </cell>
          <cell r="H58">
            <v>-1857869.71</v>
          </cell>
          <cell r="J58">
            <v>-11889.44</v>
          </cell>
          <cell r="K58">
            <v>-70724.4</v>
          </cell>
          <cell r="L58">
            <v>-15768586.8</v>
          </cell>
          <cell r="M58">
            <v>-8522.5</v>
          </cell>
          <cell r="N58">
            <v>-4964.08</v>
          </cell>
          <cell r="O58">
            <v>-5792.5</v>
          </cell>
          <cell r="P58">
            <v>-5606.73</v>
          </cell>
          <cell r="Q58">
            <v>-5554.58</v>
          </cell>
          <cell r="R58">
            <v>-10466.73</v>
          </cell>
          <cell r="S58">
            <v>-438383.76</v>
          </cell>
          <cell r="T58">
            <v>-4824.38</v>
          </cell>
          <cell r="U58">
            <v>-961.69</v>
          </cell>
          <cell r="V58">
            <v>-5174.35</v>
          </cell>
          <cell r="W58">
            <v>-427242.78</v>
          </cell>
          <cell r="X58">
            <v>-920</v>
          </cell>
          <cell r="Y58">
            <v>-52215.35</v>
          </cell>
        </row>
      </sheetData>
      <sheetData sheetId="2">
        <row r="16">
          <cell r="E16">
            <v>657856.57</v>
          </cell>
          <cell r="F16">
            <v>496478.12</v>
          </cell>
          <cell r="K16">
            <v>836.51</v>
          </cell>
          <cell r="Z16">
            <v>2848276.599999999</v>
          </cell>
        </row>
        <row r="18">
          <cell r="E18">
            <v>1000010</v>
          </cell>
          <cell r="F18">
            <v>40500</v>
          </cell>
          <cell r="Z18">
            <v>10335889.2</v>
          </cell>
        </row>
        <row r="32">
          <cell r="F32">
            <v>15714995.809999999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workbookViewId="0" topLeftCell="A36">
      <selection activeCell="C58" sqref="C58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70" t="s">
        <v>0</v>
      </c>
      <c r="C1" s="70"/>
      <c r="D1" s="70"/>
      <c r="E1" s="70"/>
      <c r="F1" s="70"/>
    </row>
    <row r="2" spans="2:6" ht="12">
      <c r="B2" s="71" t="s">
        <v>59</v>
      </c>
      <c r="C2" s="71"/>
      <c r="D2" s="71"/>
      <c r="E2" s="71"/>
      <c r="F2" s="71"/>
    </row>
    <row r="3" spans="2:6" ht="12">
      <c r="B3" s="69" t="s">
        <v>60</v>
      </c>
      <c r="C3" s="69"/>
      <c r="D3" s="69"/>
      <c r="E3" s="69"/>
      <c r="F3" s="69"/>
    </row>
    <row r="4" spans="2:6" ht="15">
      <c r="B4" s="70" t="s">
        <v>105</v>
      </c>
      <c r="C4" s="70"/>
      <c r="D4" s="70"/>
      <c r="E4" s="70"/>
      <c r="F4" s="70"/>
    </row>
    <row r="6" spans="2:6" ht="12">
      <c r="B6" s="69" t="s">
        <v>61</v>
      </c>
      <c r="C6" s="69"/>
      <c r="D6" s="69"/>
      <c r="E6" s="69"/>
      <c r="F6" s="69"/>
    </row>
    <row r="7" spans="2:6" ht="12">
      <c r="B7" s="69" t="s">
        <v>111</v>
      </c>
      <c r="C7" s="69"/>
      <c r="D7" s="69"/>
      <c r="E7" s="69"/>
      <c r="F7" s="69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56</v>
      </c>
      <c r="E11" s="3"/>
      <c r="F11" s="3" t="s">
        <v>58</v>
      </c>
    </row>
    <row r="12" spans="4:6" ht="12">
      <c r="D12" s="3" t="s">
        <v>57</v>
      </c>
      <c r="E12" s="3"/>
      <c r="F12" s="3" t="s">
        <v>62</v>
      </c>
    </row>
    <row r="13" spans="3:6" ht="12">
      <c r="C13" s="3"/>
      <c r="D13" s="3" t="s">
        <v>161</v>
      </c>
      <c r="E13" s="3"/>
      <c r="F13" s="3" t="s">
        <v>113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63</v>
      </c>
      <c r="C16" s="4"/>
      <c r="D16" s="5">
        <v>51664</v>
      </c>
      <c r="E16" s="5"/>
      <c r="F16" s="5">
        <v>61038</v>
      </c>
      <c r="G16" s="4"/>
    </row>
    <row r="17" spans="1:7" ht="12">
      <c r="A17" s="2">
        <v>2</v>
      </c>
      <c r="B17" s="4" t="s">
        <v>64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65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66</v>
      </c>
      <c r="C19" s="4"/>
      <c r="D19" s="5">
        <v>0</v>
      </c>
      <c r="E19" s="5"/>
      <c r="F19" s="5">
        <v>0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67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0</v>
      </c>
      <c r="E22" s="5"/>
      <c r="F22" s="8">
        <v>0</v>
      </c>
      <c r="G22" s="4"/>
    </row>
    <row r="23" spans="3:7" ht="12">
      <c r="C23" s="6" t="s">
        <v>44</v>
      </c>
      <c r="D23" s="9">
        <v>0</v>
      </c>
      <c r="E23" s="5"/>
      <c r="F23" s="9">
        <v>501</v>
      </c>
      <c r="G23" s="4"/>
    </row>
    <row r="24" spans="3:7" ht="12">
      <c r="C24" s="6" t="s">
        <v>54</v>
      </c>
      <c r="D24" s="9">
        <v>207</v>
      </c>
      <c r="E24" s="5"/>
      <c r="F24" s="9">
        <v>814</v>
      </c>
      <c r="G24" s="4"/>
    </row>
    <row r="25" spans="3:7" ht="12">
      <c r="C25" s="6" t="s">
        <v>53</v>
      </c>
      <c r="D25" s="9">
        <v>10337</v>
      </c>
      <c r="E25" s="5"/>
      <c r="F25" s="9">
        <v>11216</v>
      </c>
      <c r="G25" s="4"/>
    </row>
    <row r="26" spans="3:7" ht="12">
      <c r="C26" s="6" t="s">
        <v>104</v>
      </c>
      <c r="D26" s="9">
        <v>2849</v>
      </c>
      <c r="E26" s="5"/>
      <c r="F26" s="9">
        <v>814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18">
        <f>SUM(D22:D27)</f>
        <v>13393</v>
      </c>
      <c r="E28" s="5"/>
      <c r="F28" s="10">
        <f>SUM(F22:F27)</f>
        <v>13345</v>
      </c>
      <c r="G28" s="4"/>
    </row>
    <row r="29" spans="1:7" ht="12">
      <c r="A29" s="2">
        <v>6</v>
      </c>
      <c r="B29" s="6" t="s">
        <v>68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v>254437</v>
      </c>
      <c r="E30" s="5"/>
      <c r="F30" s="8">
        <v>254142</v>
      </c>
      <c r="G30" s="4"/>
    </row>
    <row r="31" spans="3:7" ht="12">
      <c r="C31" s="6" t="s">
        <v>46</v>
      </c>
      <c r="D31" s="9">
        <v>2840</v>
      </c>
      <c r="E31" s="5"/>
      <c r="F31" s="9">
        <v>3096</v>
      </c>
      <c r="G31" s="4"/>
    </row>
    <row r="32" spans="3:7" ht="12">
      <c r="C32" s="6" t="s">
        <v>47</v>
      </c>
      <c r="D32" s="9">
        <v>164543</v>
      </c>
      <c r="E32" s="5"/>
      <c r="F32" s="9">
        <v>141007</v>
      </c>
      <c r="G32" s="4"/>
    </row>
    <row r="33" spans="3:7" ht="12">
      <c r="C33" s="6" t="s">
        <v>48</v>
      </c>
      <c r="D33" s="9">
        <f>909+9</f>
        <v>918</v>
      </c>
      <c r="E33" s="5"/>
      <c r="F33" s="9">
        <v>909</v>
      </c>
      <c r="G33" s="4"/>
    </row>
    <row r="34" spans="2:7" ht="12">
      <c r="B34" s="4"/>
      <c r="C34" s="4" t="s">
        <v>110</v>
      </c>
      <c r="D34" s="10">
        <v>0</v>
      </c>
      <c r="E34" s="5"/>
      <c r="F34" s="10">
        <v>0</v>
      </c>
      <c r="G34" s="4"/>
    </row>
    <row r="35" spans="2:7" ht="12">
      <c r="B35" s="4"/>
      <c r="C35" s="4"/>
      <c r="D35" s="10">
        <f>SUM(D30:D34)</f>
        <v>422738</v>
      </c>
      <c r="E35" s="5"/>
      <c r="F35" s="10">
        <f>SUM(F30:F34)</f>
        <v>399154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69</v>
      </c>
      <c r="C37" s="4"/>
      <c r="D37" s="5">
        <f>SUM(D28-D35)</f>
        <v>-409345</v>
      </c>
      <c r="E37" s="5"/>
      <c r="F37" s="5">
        <f>SUM(F28-F35)</f>
        <v>-385809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-357681</v>
      </c>
      <c r="E39" s="5"/>
      <c r="F39" s="12">
        <f>F16+F17+F18+F19+F37</f>
        <v>-324771</v>
      </c>
      <c r="G39" s="4"/>
      <c r="H39" s="24"/>
    </row>
    <row r="40" spans="2:8" ht="12.75" thickTop="1">
      <c r="B40" s="4"/>
      <c r="C40" s="4"/>
      <c r="D40" s="5"/>
      <c r="E40" s="5"/>
      <c r="F40" s="5"/>
      <c r="G40" s="4"/>
      <c r="H40" s="24"/>
    </row>
    <row r="41" spans="1:8" ht="12">
      <c r="A41" s="2">
        <v>8</v>
      </c>
      <c r="B41" s="4" t="s">
        <v>72</v>
      </c>
      <c r="C41" s="4"/>
      <c r="D41" s="5"/>
      <c r="E41" s="5"/>
      <c r="F41" s="5"/>
      <c r="G41" s="4"/>
      <c r="H41" s="24"/>
    </row>
    <row r="42" spans="2:7" ht="12">
      <c r="B42" s="4" t="s">
        <v>70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71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f>75462</f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76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v>-498985</v>
      </c>
      <c r="E48" s="5"/>
      <c r="F48" s="5">
        <v>-466075</v>
      </c>
      <c r="G48" s="4"/>
    </row>
    <row r="49" spans="2:11" ht="12">
      <c r="B49" s="6"/>
      <c r="C49" s="4"/>
      <c r="D49" s="11"/>
      <c r="E49" s="5"/>
      <c r="F49" s="11"/>
      <c r="G49" s="4"/>
      <c r="I49" s="34"/>
      <c r="J49" s="34"/>
      <c r="K49" s="34"/>
    </row>
    <row r="50" spans="2:11" ht="12">
      <c r="B50" s="6"/>
      <c r="C50" s="4"/>
      <c r="D50" s="5">
        <f>SUM(D42:D49)</f>
        <v>-357681</v>
      </c>
      <c r="E50" s="5"/>
      <c r="F50" s="5">
        <f>SUM(F42:F49)</f>
        <v>-324771</v>
      </c>
      <c r="G50" s="4"/>
      <c r="I50" s="34"/>
      <c r="J50" s="34"/>
      <c r="K50" s="3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73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74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75</v>
      </c>
      <c r="C54" s="4"/>
      <c r="D54" s="5">
        <v>0</v>
      </c>
      <c r="E54" s="5"/>
      <c r="F54" s="5">
        <v>0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-357681</v>
      </c>
      <c r="E56" s="5"/>
      <c r="F56" s="12">
        <f>SUM(F50:F55)</f>
        <v>-324771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108</v>
      </c>
      <c r="D58" s="23">
        <f>+D56/D42</f>
        <v>-5.432413960693782</v>
      </c>
      <c r="E58" s="7"/>
      <c r="F58" s="23">
        <f>+F56/F42</f>
        <v>-4.932581027307798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2"/>
      <c r="C61" s="4"/>
      <c r="D61" s="5"/>
      <c r="E61" s="5"/>
      <c r="F61" s="19"/>
      <c r="G61" s="4"/>
      <c r="H61" s="4"/>
      <c r="I61" s="4"/>
      <c r="J61" s="4"/>
    </row>
    <row r="62" spans="1:10" ht="12">
      <c r="A62" s="4"/>
      <c r="B62" s="22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2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0"/>
      <c r="E84" s="5"/>
      <c r="F84" s="21"/>
      <c r="G84" s="4"/>
      <c r="H84" s="4"/>
      <c r="I84" s="4"/>
      <c r="J84" s="4"/>
    </row>
    <row r="85" spans="1:10" ht="12">
      <c r="A85" s="4"/>
      <c r="B85" s="4"/>
      <c r="C85" s="4"/>
      <c r="D85" s="20"/>
      <c r="E85" s="5"/>
      <c r="F85" s="21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 verticalCentered="1"/>
  <pageMargins left="1" right="0.75" top="1.25" bottom="1" header="0.5" footer="0.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D13" sqref="D13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70" t="s">
        <v>105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4" ht="12">
      <c r="A5" s="1"/>
      <c r="D5" s="1"/>
    </row>
    <row r="6" spans="1:11" ht="12">
      <c r="A6" s="69" t="s">
        <v>78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">
      <c r="A7" s="69" t="s">
        <v>216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>
      <c r="A8" s="69" t="s">
        <v>112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69" t="s">
        <v>79</v>
      </c>
      <c r="F11" s="69"/>
      <c r="G11" s="69"/>
      <c r="H11" s="1"/>
      <c r="I11" s="69" t="s">
        <v>89</v>
      </c>
      <c r="J11" s="69"/>
      <c r="K11" s="69"/>
    </row>
    <row r="12" spans="5:11" ht="12">
      <c r="E12" s="3" t="s">
        <v>80</v>
      </c>
      <c r="F12" s="3"/>
      <c r="G12" s="3" t="s">
        <v>83</v>
      </c>
      <c r="H12" s="1"/>
      <c r="I12" s="3" t="s">
        <v>86</v>
      </c>
      <c r="J12" s="3"/>
      <c r="K12" s="3" t="s">
        <v>83</v>
      </c>
    </row>
    <row r="13" spans="5:11" ht="12">
      <c r="E13" s="3" t="s">
        <v>81</v>
      </c>
      <c r="F13" s="3"/>
      <c r="G13" s="3" t="s">
        <v>84</v>
      </c>
      <c r="H13" s="3"/>
      <c r="I13" s="3" t="s">
        <v>81</v>
      </c>
      <c r="J13" s="3"/>
      <c r="K13" s="3" t="s">
        <v>84</v>
      </c>
    </row>
    <row r="14" spans="5:11" ht="12">
      <c r="E14" s="3" t="s">
        <v>82</v>
      </c>
      <c r="F14" s="3"/>
      <c r="G14" s="3" t="s">
        <v>85</v>
      </c>
      <c r="H14" s="3"/>
      <c r="I14" s="3" t="s">
        <v>87</v>
      </c>
      <c r="J14" s="3"/>
      <c r="K14" s="3" t="s">
        <v>85</v>
      </c>
    </row>
    <row r="15" spans="5:11" ht="12">
      <c r="E15" s="3"/>
      <c r="F15" s="3"/>
      <c r="G15" s="3" t="s">
        <v>82</v>
      </c>
      <c r="H15" s="3"/>
      <c r="I15" s="3"/>
      <c r="J15" s="3"/>
      <c r="K15" s="3" t="s">
        <v>88</v>
      </c>
    </row>
    <row r="16" spans="5:11" ht="12">
      <c r="E16" s="3" t="s">
        <v>161</v>
      </c>
      <c r="F16" s="3"/>
      <c r="G16" s="3" t="s">
        <v>162</v>
      </c>
      <c r="H16" s="3"/>
      <c r="I16" s="3" t="str">
        <f>E16</f>
        <v>30.09.02</v>
      </c>
      <c r="J16" s="3"/>
      <c r="K16" s="3" t="str">
        <f>G16</f>
        <v>30.09.01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90</v>
      </c>
      <c r="E19" s="14">
        <v>0</v>
      </c>
      <c r="F19" s="5"/>
      <c r="G19" s="14">
        <v>0</v>
      </c>
      <c r="H19" s="5"/>
      <c r="I19" s="14">
        <v>0</v>
      </c>
      <c r="J19" s="5"/>
      <c r="K19" s="14">
        <v>0</v>
      </c>
    </row>
    <row r="20" spans="5:11" ht="12.75" thickTop="1">
      <c r="E20" s="5"/>
      <c r="F20" s="5"/>
      <c r="G20" s="5"/>
      <c r="H20" s="5"/>
      <c r="I20" s="5"/>
      <c r="J20" s="5"/>
      <c r="K20" s="5"/>
    </row>
    <row r="21" spans="2:11" ht="12.75" thickBot="1">
      <c r="B21" s="2" t="s">
        <v>7</v>
      </c>
      <c r="D21" s="2" t="s">
        <v>14</v>
      </c>
      <c r="E21" s="14">
        <v>0</v>
      </c>
      <c r="F21" s="5"/>
      <c r="G21" s="14">
        <v>0</v>
      </c>
      <c r="H21" s="5"/>
      <c r="I21" s="14">
        <v>0</v>
      </c>
      <c r="J21" s="5"/>
      <c r="K21" s="14">
        <v>0</v>
      </c>
    </row>
    <row r="22" spans="5:11" ht="12.75" thickTop="1">
      <c r="E22" s="5"/>
      <c r="F22" s="5"/>
      <c r="G22" s="5"/>
      <c r="H22" s="5"/>
      <c r="I22" s="5"/>
      <c r="J22" s="5"/>
      <c r="K22" s="5"/>
    </row>
    <row r="23" spans="2:18" ht="12.75" thickBot="1">
      <c r="B23" s="2" t="s">
        <v>8</v>
      </c>
      <c r="D23" s="2" t="s">
        <v>96</v>
      </c>
      <c r="E23" s="14">
        <f>372-322</f>
        <v>50</v>
      </c>
      <c r="F23" s="5"/>
      <c r="G23" s="14">
        <v>246</v>
      </c>
      <c r="H23" s="5"/>
      <c r="I23" s="14">
        <v>372</v>
      </c>
      <c r="J23" s="5"/>
      <c r="K23" s="14">
        <v>1045</v>
      </c>
      <c r="Q23" s="24"/>
      <c r="R23" s="24"/>
    </row>
    <row r="24" spans="5:11" ht="12.75" thickTop="1">
      <c r="E24" s="5"/>
      <c r="F24" s="5"/>
      <c r="G24" s="5"/>
      <c r="H24" s="5"/>
      <c r="I24" s="5"/>
      <c r="J24" s="5"/>
      <c r="K24" s="5"/>
    </row>
    <row r="25" spans="1:18" ht="12">
      <c r="A25" s="2">
        <v>2</v>
      </c>
      <c r="B25" s="2" t="s">
        <v>6</v>
      </c>
      <c r="D25" s="2" t="s">
        <v>15</v>
      </c>
      <c r="E25" s="5">
        <f>-2647+2050</f>
        <v>-597</v>
      </c>
      <c r="F25" s="5"/>
      <c r="G25" s="5">
        <v>-826</v>
      </c>
      <c r="H25" s="5"/>
      <c r="I25" s="5">
        <v>-2647</v>
      </c>
      <c r="J25" s="5"/>
      <c r="K25" s="5">
        <v>-968</v>
      </c>
      <c r="Q25" s="7"/>
      <c r="R25" s="24"/>
    </row>
    <row r="26" spans="4:11" ht="12">
      <c r="D26" s="2" t="s">
        <v>17</v>
      </c>
      <c r="E26" s="7"/>
      <c r="F26" s="7"/>
      <c r="G26" s="7"/>
      <c r="H26" s="7"/>
      <c r="I26" s="7"/>
      <c r="J26" s="7"/>
      <c r="K26" s="7"/>
    </row>
    <row r="27" spans="4:18" ht="12">
      <c r="D27" s="2" t="s">
        <v>18</v>
      </c>
      <c r="E27" s="7"/>
      <c r="F27" s="7"/>
      <c r="G27" s="7"/>
      <c r="H27" s="7"/>
      <c r="I27" s="7"/>
      <c r="J27" s="7"/>
      <c r="K27" s="7"/>
      <c r="Q27" s="25"/>
      <c r="R27" s="25"/>
    </row>
    <row r="28" spans="4:11" ht="12">
      <c r="D28" s="2" t="s">
        <v>19</v>
      </c>
      <c r="E28" s="7"/>
      <c r="F28" s="7"/>
      <c r="G28" s="7"/>
      <c r="H28" s="7"/>
      <c r="I28" s="7"/>
      <c r="J28" s="7"/>
      <c r="K28" s="7"/>
    </row>
    <row r="29" spans="5:11" ht="12">
      <c r="E29" s="7"/>
      <c r="F29" s="7"/>
      <c r="G29" s="7"/>
      <c r="H29" s="7"/>
      <c r="I29" s="7"/>
      <c r="J29" s="7"/>
      <c r="K29" s="7"/>
    </row>
    <row r="30" spans="2:11" ht="12">
      <c r="B30" s="2" t="s">
        <v>7</v>
      </c>
      <c r="D30" s="2" t="s">
        <v>20</v>
      </c>
      <c r="E30" s="7">
        <v>-7182</v>
      </c>
      <c r="F30" s="7"/>
      <c r="G30" s="7">
        <v>-5538</v>
      </c>
      <c r="H30" s="7"/>
      <c r="I30" s="7">
        <v>-20683</v>
      </c>
      <c r="J30" s="7"/>
      <c r="K30" s="7">
        <v>-20248</v>
      </c>
    </row>
    <row r="31" spans="5:11" ht="12">
      <c r="E31" s="7"/>
      <c r="F31" s="7"/>
      <c r="G31" s="7"/>
      <c r="H31" s="7"/>
      <c r="I31" s="7"/>
      <c r="J31" s="7"/>
      <c r="K31" s="7"/>
    </row>
    <row r="32" spans="2:11" ht="12">
      <c r="B32" s="2" t="s">
        <v>8</v>
      </c>
      <c r="D32" s="2" t="s">
        <v>21</v>
      </c>
      <c r="E32" s="7">
        <f>-9570+6273</f>
        <v>-3297</v>
      </c>
      <c r="F32" s="7"/>
      <c r="G32" s="7">
        <v>-3451</v>
      </c>
      <c r="H32" s="7"/>
      <c r="I32" s="7">
        <v>-9570</v>
      </c>
      <c r="J32" s="7"/>
      <c r="K32" s="7">
        <v>-9678</v>
      </c>
    </row>
    <row r="33" spans="5:11" ht="12">
      <c r="E33" s="7"/>
      <c r="F33" s="7"/>
      <c r="G33" s="7"/>
      <c r="H33" s="7"/>
      <c r="I33" s="7"/>
      <c r="J33" s="7"/>
      <c r="K33" s="7"/>
    </row>
    <row r="34" spans="2:11" ht="12">
      <c r="B34" s="2" t="s">
        <v>9</v>
      </c>
      <c r="D34" s="2" t="s">
        <v>22</v>
      </c>
      <c r="E34" s="7">
        <v>0</v>
      </c>
      <c r="F34" s="7"/>
      <c r="G34" s="7">
        <v>0</v>
      </c>
      <c r="H34" s="7"/>
      <c r="I34" s="7">
        <v>0</v>
      </c>
      <c r="J34" s="7"/>
      <c r="K34" s="7">
        <v>0</v>
      </c>
    </row>
    <row r="35" spans="5:11" ht="12">
      <c r="E35" s="11"/>
      <c r="F35" s="7"/>
      <c r="G35" s="11"/>
      <c r="H35" s="7"/>
      <c r="I35" s="11"/>
      <c r="J35" s="7"/>
      <c r="K35" s="11"/>
    </row>
    <row r="36" spans="2:11" ht="12">
      <c r="B36" s="2" t="s">
        <v>23</v>
      </c>
      <c r="D36" s="2" t="s">
        <v>24</v>
      </c>
      <c r="E36" s="7">
        <f>SUM(E25:E34)</f>
        <v>-11076</v>
      </c>
      <c r="F36" s="7"/>
      <c r="G36" s="7">
        <f>G25+G30+G32+G34</f>
        <v>-9815</v>
      </c>
      <c r="H36" s="7"/>
      <c r="I36" s="7">
        <f>SUM(I25:I34)</f>
        <v>-32900</v>
      </c>
      <c r="J36" s="7"/>
      <c r="K36" s="7">
        <f>K25+K30+K32+K34</f>
        <v>-30894</v>
      </c>
    </row>
    <row r="37" spans="4:11" ht="12">
      <c r="D37" s="2" t="s">
        <v>16</v>
      </c>
      <c r="E37" s="7"/>
      <c r="F37" s="7"/>
      <c r="G37" s="7"/>
      <c r="H37" s="7"/>
      <c r="I37" s="7"/>
      <c r="J37" s="7"/>
      <c r="K37" s="7"/>
    </row>
    <row r="38" spans="4:11" ht="12">
      <c r="D38" s="2" t="s">
        <v>25</v>
      </c>
      <c r="E38" s="7"/>
      <c r="F38" s="7"/>
      <c r="G38" s="7"/>
      <c r="H38" s="7"/>
      <c r="I38" s="7"/>
      <c r="J38" s="7"/>
      <c r="K38" s="7"/>
    </row>
    <row r="39" spans="4:11" ht="12">
      <c r="D39" s="2" t="s">
        <v>26</v>
      </c>
      <c r="E39" s="7"/>
      <c r="F39" s="7"/>
      <c r="G39" s="7"/>
      <c r="H39" s="7"/>
      <c r="I39" s="7"/>
      <c r="J39" s="7"/>
      <c r="K39" s="7"/>
    </row>
    <row r="40" spans="5:11" ht="12">
      <c r="E40" s="7"/>
      <c r="F40" s="7"/>
      <c r="G40" s="7"/>
      <c r="H40" s="7"/>
      <c r="I40" s="7"/>
      <c r="J40" s="7"/>
      <c r="K40" s="7"/>
    </row>
    <row r="41" spans="2:11" ht="12">
      <c r="B41" s="2" t="s">
        <v>27</v>
      </c>
      <c r="D41" s="2" t="s">
        <v>28</v>
      </c>
      <c r="E41" s="7">
        <v>0</v>
      </c>
      <c r="F41" s="7"/>
      <c r="G41" s="7">
        <v>0</v>
      </c>
      <c r="H41" s="7"/>
      <c r="I41" s="7">
        <v>0</v>
      </c>
      <c r="J41" s="7"/>
      <c r="K41" s="7">
        <v>0</v>
      </c>
    </row>
    <row r="42" spans="5:11" ht="12">
      <c r="E42" s="11"/>
      <c r="F42" s="7"/>
      <c r="G42" s="11"/>
      <c r="H42" s="7"/>
      <c r="I42" s="11"/>
      <c r="J42" s="7"/>
      <c r="K42" s="11"/>
    </row>
    <row r="43" spans="2:11" ht="12">
      <c r="B43" s="2" t="s">
        <v>29</v>
      </c>
      <c r="D43" s="2" t="s">
        <v>30</v>
      </c>
      <c r="E43" s="7">
        <f>SUM(E36:E42)</f>
        <v>-11076</v>
      </c>
      <c r="F43" s="7"/>
      <c r="G43" s="7">
        <f>SUM(G36:G42)</f>
        <v>-9815</v>
      </c>
      <c r="H43" s="7"/>
      <c r="I43" s="7">
        <f>SUM(I36:I42)</f>
        <v>-32900</v>
      </c>
      <c r="J43" s="7"/>
      <c r="K43" s="7">
        <f>SUM(K36:K42)</f>
        <v>-30894</v>
      </c>
    </row>
    <row r="44" spans="4:11" ht="12">
      <c r="D44" s="2" t="s">
        <v>19</v>
      </c>
      <c r="E44" s="7"/>
      <c r="F44" s="7"/>
      <c r="G44" s="7"/>
      <c r="H44" s="7"/>
      <c r="I44" s="7"/>
      <c r="J44" s="7"/>
      <c r="K44" s="7"/>
    </row>
    <row r="45" spans="5:11" ht="12">
      <c r="E45" s="7"/>
      <c r="F45" s="7"/>
      <c r="G45" s="7"/>
      <c r="H45" s="7"/>
      <c r="I45" s="7"/>
      <c r="J45" s="7"/>
      <c r="K45" s="7"/>
    </row>
    <row r="46" spans="2:11" ht="12">
      <c r="B46" s="2" t="s">
        <v>31</v>
      </c>
      <c r="D46" s="2" t="s">
        <v>2</v>
      </c>
      <c r="E46" s="7"/>
      <c r="F46" s="7"/>
      <c r="G46" s="7">
        <v>0</v>
      </c>
      <c r="H46" s="7"/>
      <c r="I46" s="7">
        <v>-9.3</v>
      </c>
      <c r="J46" s="7"/>
      <c r="K46" s="7">
        <v>0</v>
      </c>
    </row>
    <row r="47" spans="5:11" ht="12">
      <c r="E47" s="11"/>
      <c r="F47" s="7"/>
      <c r="G47" s="11"/>
      <c r="H47" s="7"/>
      <c r="I47" s="11"/>
      <c r="J47" s="7"/>
      <c r="K47" s="11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-11076</v>
      </c>
      <c r="F48" s="7"/>
      <c r="G48" s="7">
        <f>SUM(G43:G47)</f>
        <v>-9815</v>
      </c>
      <c r="H48" s="7"/>
      <c r="I48" s="7">
        <f>SUM(I43:I47)</f>
        <v>-32909.3</v>
      </c>
      <c r="J48" s="7"/>
      <c r="K48" s="7">
        <f>SUM(K43:K47)</f>
        <v>-30894</v>
      </c>
    </row>
    <row r="49" spans="4:11" ht="12">
      <c r="D49" s="2" t="s">
        <v>33</v>
      </c>
      <c r="E49" s="7"/>
      <c r="F49" s="7"/>
      <c r="G49" s="7"/>
      <c r="H49" s="7"/>
      <c r="I49" s="7"/>
      <c r="J49" s="7"/>
      <c r="K49" s="7"/>
    </row>
    <row r="50" spans="5:11" ht="12">
      <c r="E50" s="7"/>
      <c r="F50" s="7"/>
      <c r="G50" s="7"/>
      <c r="H50" s="7"/>
      <c r="I50" s="7"/>
      <c r="J50" s="7"/>
      <c r="K50" s="7"/>
    </row>
    <row r="51" spans="3:11" ht="12">
      <c r="C51" s="2" t="s">
        <v>12</v>
      </c>
      <c r="D51" s="2" t="s">
        <v>34</v>
      </c>
      <c r="E51" s="7">
        <v>0</v>
      </c>
      <c r="F51" s="7"/>
      <c r="G51" s="7">
        <v>0</v>
      </c>
      <c r="H51" s="7"/>
      <c r="I51" s="7">
        <v>0</v>
      </c>
      <c r="J51" s="7"/>
      <c r="K51" s="7">
        <v>0</v>
      </c>
    </row>
    <row r="52" spans="5:11" ht="12">
      <c r="E52" s="11"/>
      <c r="F52" s="7"/>
      <c r="G52" s="11"/>
      <c r="H52" s="7"/>
      <c r="I52" s="11"/>
      <c r="J52" s="7"/>
      <c r="K52" s="11"/>
    </row>
    <row r="53" spans="2:11" ht="12">
      <c r="B53" s="2" t="s">
        <v>35</v>
      </c>
      <c r="D53" s="2" t="s">
        <v>36</v>
      </c>
      <c r="E53" s="7">
        <f>SUM(E48:E52)</f>
        <v>-11076</v>
      </c>
      <c r="F53" s="7"/>
      <c r="G53" s="7">
        <f>SUM(G48:G52)</f>
        <v>-9815</v>
      </c>
      <c r="H53" s="7"/>
      <c r="I53" s="7">
        <f>SUM(I48:I52)</f>
        <v>-32909.3</v>
      </c>
      <c r="J53" s="7"/>
      <c r="K53" s="7">
        <f>SUM(K48:K52)</f>
        <v>-30894</v>
      </c>
    </row>
    <row r="54" spans="4:11" ht="12">
      <c r="D54" s="2" t="s">
        <v>10</v>
      </c>
      <c r="E54" s="7"/>
      <c r="F54" s="7"/>
      <c r="G54" s="7"/>
      <c r="H54" s="7"/>
      <c r="I54" s="7"/>
      <c r="J54" s="7"/>
      <c r="K54" s="7"/>
    </row>
    <row r="55" spans="5:11" ht="12">
      <c r="E55" s="7"/>
      <c r="F55" s="7"/>
      <c r="G55" s="7"/>
      <c r="H55" s="7"/>
      <c r="I55" s="7"/>
      <c r="J55" s="7"/>
      <c r="K55" s="7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8">
        <v>0</v>
      </c>
      <c r="H56" s="7"/>
      <c r="I56" s="8">
        <v>0</v>
      </c>
      <c r="J56" s="7"/>
      <c r="K56" s="8">
        <v>0</v>
      </c>
    </row>
    <row r="57" spans="5:11" ht="12">
      <c r="E57" s="9"/>
      <c r="F57" s="7"/>
      <c r="G57" s="9"/>
      <c r="H57" s="7"/>
      <c r="I57" s="9"/>
      <c r="J57" s="7"/>
      <c r="K57" s="9"/>
    </row>
    <row r="58" spans="3:11" ht="12">
      <c r="C58" s="2" t="s">
        <v>12</v>
      </c>
      <c r="D58" s="2" t="s">
        <v>34</v>
      </c>
      <c r="E58" s="9">
        <v>0</v>
      </c>
      <c r="F58" s="7"/>
      <c r="G58" s="9">
        <v>0</v>
      </c>
      <c r="H58" s="7"/>
      <c r="I58" s="9">
        <v>0</v>
      </c>
      <c r="J58" s="7"/>
      <c r="K58" s="9">
        <v>0</v>
      </c>
    </row>
    <row r="59" spans="5:11" ht="12">
      <c r="E59" s="9"/>
      <c r="F59" s="7"/>
      <c r="G59" s="9"/>
      <c r="H59" s="7"/>
      <c r="I59" s="9"/>
      <c r="J59" s="7"/>
      <c r="K59" s="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10">
        <f>SUM(G56:G59)</f>
        <v>0</v>
      </c>
      <c r="H60" s="7"/>
      <c r="I60" s="10">
        <f>SUM(I56:I59)</f>
        <v>0</v>
      </c>
      <c r="J60" s="7"/>
      <c r="K60" s="10">
        <f>SUM(K56:K59)</f>
        <v>0</v>
      </c>
    </row>
    <row r="61" spans="4:11" ht="12">
      <c r="D61" s="2" t="s">
        <v>40</v>
      </c>
      <c r="E61" s="7"/>
      <c r="F61" s="7"/>
      <c r="G61" s="7"/>
      <c r="H61" s="7"/>
      <c r="I61" s="7"/>
      <c r="J61" s="7"/>
      <c r="K61" s="7"/>
    </row>
    <row r="62" spans="5:11" ht="12">
      <c r="E62" s="11"/>
      <c r="F62" s="7"/>
      <c r="G62" s="11"/>
      <c r="H62" s="7"/>
      <c r="I62" s="11"/>
      <c r="J62" s="7"/>
      <c r="K62" s="11"/>
    </row>
    <row r="63" spans="2:11" ht="12">
      <c r="B63" s="2" t="s">
        <v>41</v>
      </c>
      <c r="D63" s="2" t="s">
        <v>42</v>
      </c>
      <c r="E63" s="7"/>
      <c r="F63" s="7"/>
      <c r="G63" s="7"/>
      <c r="H63" s="7"/>
      <c r="I63" s="7"/>
      <c r="J63" s="7"/>
      <c r="K63" s="7"/>
    </row>
    <row r="64" spans="4:11" ht="12.75" thickBot="1">
      <c r="D64" s="2" t="s">
        <v>43</v>
      </c>
      <c r="E64" s="14">
        <f>E53+E60</f>
        <v>-11076</v>
      </c>
      <c r="F64" s="7"/>
      <c r="G64" s="14">
        <f>G53+G60</f>
        <v>-9815</v>
      </c>
      <c r="H64" s="7"/>
      <c r="I64" s="14">
        <f>I53+I60</f>
        <v>-32909.3</v>
      </c>
      <c r="J64" s="7"/>
      <c r="K64" s="14">
        <f>K53+K60</f>
        <v>-30894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69" t="s">
        <v>79</v>
      </c>
      <c r="F68" s="69"/>
      <c r="G68" s="69"/>
      <c r="H68" s="1"/>
      <c r="I68" s="69" t="s">
        <v>89</v>
      </c>
      <c r="J68" s="69"/>
      <c r="K68" s="69"/>
    </row>
    <row r="69" spans="5:11" ht="12">
      <c r="E69" s="3" t="s">
        <v>80</v>
      </c>
      <c r="F69" s="3"/>
      <c r="G69" s="3" t="s">
        <v>83</v>
      </c>
      <c r="H69" s="1"/>
      <c r="I69" s="3" t="s">
        <v>86</v>
      </c>
      <c r="J69" s="3"/>
      <c r="K69" s="3" t="s">
        <v>83</v>
      </c>
    </row>
    <row r="70" spans="5:11" ht="12">
      <c r="E70" s="3" t="s">
        <v>81</v>
      </c>
      <c r="F70" s="3"/>
      <c r="G70" s="3" t="s">
        <v>84</v>
      </c>
      <c r="H70" s="3"/>
      <c r="I70" s="3" t="s">
        <v>81</v>
      </c>
      <c r="J70" s="3"/>
      <c r="K70" s="3" t="s">
        <v>84</v>
      </c>
    </row>
    <row r="71" spans="5:11" ht="12">
      <c r="E71" s="3" t="s">
        <v>82</v>
      </c>
      <c r="F71" s="3"/>
      <c r="G71" s="3" t="s">
        <v>85</v>
      </c>
      <c r="H71" s="3"/>
      <c r="I71" s="3" t="s">
        <v>87</v>
      </c>
      <c r="J71" s="3"/>
      <c r="K71" s="3" t="s">
        <v>85</v>
      </c>
    </row>
    <row r="72" spans="5:11" ht="12">
      <c r="E72" s="3"/>
      <c r="F72" s="3"/>
      <c r="G72" s="3" t="s">
        <v>82</v>
      </c>
      <c r="H72" s="3"/>
      <c r="I72" s="3"/>
      <c r="J72" s="3"/>
      <c r="K72" s="3" t="s">
        <v>88</v>
      </c>
    </row>
    <row r="73" spans="5:11" ht="12">
      <c r="E73" s="26" t="str">
        <f>E16</f>
        <v>30.09.02</v>
      </c>
      <c r="F73" s="26"/>
      <c r="G73" s="26" t="str">
        <f>G16</f>
        <v>30.09.01</v>
      </c>
      <c r="H73" s="26"/>
      <c r="I73" s="26" t="str">
        <f>I16</f>
        <v>30.09.02</v>
      </c>
      <c r="J73" s="26"/>
      <c r="K73" s="26" t="str">
        <f>K16</f>
        <v>30.09.01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91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92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93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94</v>
      </c>
      <c r="F81" s="7"/>
      <c r="H81" s="7"/>
      <c r="I81" s="7"/>
      <c r="J81" s="7"/>
      <c r="K81" s="13"/>
    </row>
    <row r="82" spans="4:11" ht="12.75" thickBot="1">
      <c r="D82" s="16" t="s">
        <v>95</v>
      </c>
      <c r="E82" s="27">
        <f>SUM((E64/65842272)*1000)*100</f>
        <v>-16.822019750472766</v>
      </c>
      <c r="F82" s="13"/>
      <c r="G82" s="27">
        <f>SUM((G64/65842272)*1000)*100</f>
        <v>-14.906836750712369</v>
      </c>
      <c r="H82" s="13"/>
      <c r="I82" s="27">
        <f>SUM((I64/65842272)*1000)*100</f>
        <v>-49.98202370659385</v>
      </c>
      <c r="J82" s="13"/>
      <c r="K82" s="27">
        <f>SUM((K64/65842272)*1000)*100</f>
        <v>-46.92122410356678</v>
      </c>
    </row>
    <row r="83" spans="5:11" ht="12.75" thickTop="1">
      <c r="E83" s="7"/>
      <c r="F83" s="7"/>
      <c r="G83" s="7"/>
      <c r="H83" s="7"/>
      <c r="I83" s="7"/>
      <c r="J83" s="7"/>
      <c r="K83" s="7"/>
    </row>
    <row r="84" spans="3:4" ht="12">
      <c r="C84" s="2" t="s">
        <v>12</v>
      </c>
      <c r="D84" s="2" t="s">
        <v>107</v>
      </c>
    </row>
    <row r="85" spans="4:11" ht="12.75" thickBot="1">
      <c r="D85" s="2" t="s">
        <v>106</v>
      </c>
      <c r="E85" s="27" t="s">
        <v>55</v>
      </c>
      <c r="F85" s="13"/>
      <c r="G85" s="27" t="s">
        <v>55</v>
      </c>
      <c r="H85" s="13"/>
      <c r="I85" s="27" t="s">
        <v>55</v>
      </c>
      <c r="J85" s="13"/>
      <c r="K85" s="27" t="str">
        <f>I85</f>
        <v>N/A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97</v>
      </c>
      <c r="E87" s="15" t="s">
        <v>55</v>
      </c>
      <c r="F87" s="7"/>
      <c r="G87" s="15" t="s">
        <v>55</v>
      </c>
      <c r="H87" s="7"/>
      <c r="I87" s="15" t="s">
        <v>55</v>
      </c>
      <c r="J87" s="7"/>
      <c r="K87" s="15" t="s">
        <v>55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98</v>
      </c>
      <c r="E89" s="15" t="s">
        <v>55</v>
      </c>
      <c r="F89" s="7"/>
      <c r="G89" s="15" t="s">
        <v>55</v>
      </c>
      <c r="H89" s="7"/>
      <c r="I89" s="15" t="s">
        <v>55</v>
      </c>
      <c r="J89" s="7"/>
      <c r="K89" s="15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101</v>
      </c>
    </row>
    <row r="93" spans="5:11" ht="12">
      <c r="E93" s="7"/>
      <c r="F93" s="7"/>
      <c r="G93" s="7"/>
      <c r="H93" s="7"/>
      <c r="I93" s="17" t="s">
        <v>99</v>
      </c>
      <c r="J93" s="7"/>
      <c r="K93" s="17" t="s">
        <v>83</v>
      </c>
    </row>
    <row r="94" spans="5:11" ht="12">
      <c r="E94" s="7"/>
      <c r="F94" s="7"/>
      <c r="G94" s="7"/>
      <c r="H94" s="7"/>
      <c r="I94" s="17" t="s">
        <v>100</v>
      </c>
      <c r="J94" s="7"/>
      <c r="K94" s="17" t="s">
        <v>102</v>
      </c>
    </row>
    <row r="95" spans="5:11" ht="12">
      <c r="E95" s="7"/>
      <c r="F95" s="7"/>
      <c r="G95" s="7"/>
      <c r="H95" s="7"/>
      <c r="I95" s="17" t="s">
        <v>82</v>
      </c>
      <c r="J95" s="7"/>
      <c r="K95" s="17" t="s">
        <v>103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109</v>
      </c>
      <c r="E97" s="7"/>
      <c r="F97" s="7"/>
      <c r="G97" s="7"/>
      <c r="H97" s="7"/>
      <c r="I97" s="23">
        <f>SUM(BSheet!D58)</f>
        <v>-5.432413960693782</v>
      </c>
      <c r="J97" s="7"/>
      <c r="K97" s="23">
        <f>SUM(BSheet!F58)</f>
        <v>-4.932581027307798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E68:G68"/>
    <mergeCell ref="I68:K68"/>
    <mergeCell ref="E11:G11"/>
    <mergeCell ref="I11:K11"/>
    <mergeCell ref="A8:K8"/>
    <mergeCell ref="A2:K2"/>
    <mergeCell ref="A1:K1"/>
    <mergeCell ref="A6:K6"/>
    <mergeCell ref="A7:K7"/>
    <mergeCell ref="A3:K3"/>
    <mergeCell ref="A4:K4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workbookViewId="0" topLeftCell="A2">
      <selection activeCell="D13" sqref="D13"/>
    </sheetView>
  </sheetViews>
  <sheetFormatPr defaultColWidth="9.140625" defaultRowHeight="12.75"/>
  <cols>
    <col min="1" max="1" width="28.28125" style="0" customWidth="1"/>
    <col min="2" max="2" width="19.57421875" style="0" customWidth="1"/>
    <col min="3" max="3" width="18.8515625" style="0" customWidth="1"/>
    <col min="4" max="4" width="25.57421875" style="0" customWidth="1"/>
    <col min="5" max="5" width="15.57421875" style="0" customWidth="1"/>
  </cols>
  <sheetData>
    <row r="2" ht="15">
      <c r="A2" s="36" t="s">
        <v>206</v>
      </c>
    </row>
    <row r="3" ht="12.75">
      <c r="A3" s="1" t="s">
        <v>219</v>
      </c>
    </row>
    <row r="6" spans="1:9" ht="19.5" customHeight="1">
      <c r="A6" s="2"/>
      <c r="B6" s="2" t="s">
        <v>214</v>
      </c>
      <c r="C6" s="2"/>
      <c r="D6" s="2"/>
      <c r="E6" s="2"/>
      <c r="F6" s="2"/>
      <c r="G6" s="2"/>
      <c r="H6" s="2"/>
      <c r="I6" s="2"/>
    </row>
    <row r="7" spans="1:9" ht="19.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>
      <c r="A8" s="2"/>
      <c r="B8" s="2" t="s">
        <v>213</v>
      </c>
      <c r="C8" s="2"/>
      <c r="D8" s="2"/>
      <c r="E8" s="2"/>
      <c r="F8" s="2"/>
      <c r="G8" s="2"/>
      <c r="H8" s="2"/>
      <c r="I8" s="2"/>
    </row>
    <row r="9" spans="1:9" ht="19.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>
      <c r="A10" s="2"/>
      <c r="B10" s="37" t="s">
        <v>210</v>
      </c>
      <c r="C10" s="37" t="s">
        <v>211</v>
      </c>
      <c r="D10" s="37" t="s">
        <v>212</v>
      </c>
      <c r="E10" s="37" t="s">
        <v>155</v>
      </c>
      <c r="F10" s="2"/>
      <c r="G10" s="2"/>
      <c r="H10" s="2"/>
      <c r="I10" s="2"/>
    </row>
    <row r="11" spans="1:9" ht="19.5" customHeight="1" thickBot="1">
      <c r="A11" s="2"/>
      <c r="B11" s="38" t="s">
        <v>215</v>
      </c>
      <c r="C11" s="38" t="s">
        <v>215</v>
      </c>
      <c r="D11" s="38" t="s">
        <v>215</v>
      </c>
      <c r="E11" s="38" t="s">
        <v>215</v>
      </c>
      <c r="F11" s="2"/>
      <c r="G11" s="2"/>
      <c r="H11" s="2"/>
      <c r="I11" s="2"/>
    </row>
    <row r="12" spans="1:9" ht="19.5" customHeight="1">
      <c r="A12" s="2" t="s">
        <v>207</v>
      </c>
      <c r="B12" s="7">
        <v>65842272</v>
      </c>
      <c r="C12" s="7">
        <v>75462427</v>
      </c>
      <c r="D12" s="7">
        <v>-466075800</v>
      </c>
      <c r="E12" s="7">
        <f>SUM(B12:D12)</f>
        <v>-324771101</v>
      </c>
      <c r="F12" s="2"/>
      <c r="G12" s="2"/>
      <c r="H12" s="2"/>
      <c r="I12" s="2"/>
    </row>
    <row r="13" spans="1:9" ht="19.5" customHeight="1">
      <c r="A13" s="2" t="s">
        <v>208</v>
      </c>
      <c r="B13" s="7">
        <v>0</v>
      </c>
      <c r="C13" s="7">
        <v>0</v>
      </c>
      <c r="D13" s="7">
        <v>-32909546</v>
      </c>
      <c r="E13" s="7">
        <f>SUM(B13:D13)</f>
        <v>-32909546</v>
      </c>
      <c r="F13" s="2"/>
      <c r="G13" s="2"/>
      <c r="H13" s="2"/>
      <c r="I13" s="2"/>
    </row>
    <row r="14" spans="1:9" ht="19.5" customHeight="1" thickBot="1">
      <c r="A14" s="2" t="s">
        <v>209</v>
      </c>
      <c r="B14" s="12">
        <f>SUM(B12:B13)</f>
        <v>65842272</v>
      </c>
      <c r="C14" s="12">
        <f>SUM(C12:C13)</f>
        <v>75462427</v>
      </c>
      <c r="D14" s="12">
        <f>SUM(D12:D13)</f>
        <v>-498985346</v>
      </c>
      <c r="E14" s="12">
        <f>SUM(E12:E13)</f>
        <v>-357680647</v>
      </c>
      <c r="F14" s="2"/>
      <c r="G14" s="2"/>
      <c r="H14" s="2"/>
      <c r="I14" s="2"/>
    </row>
    <row r="15" spans="1:9" ht="13.5" thickTop="1">
      <c r="A15" s="2"/>
      <c r="B15" s="2"/>
      <c r="C15" s="2"/>
      <c r="D15" s="2"/>
      <c r="E15" s="2"/>
      <c r="F15" s="2"/>
      <c r="G15" s="2"/>
      <c r="H15" s="2"/>
      <c r="I15" s="2"/>
    </row>
  </sheetData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2"/>
  <sheetViews>
    <sheetView workbookViewId="0" topLeftCell="A45">
      <selection activeCell="AB61" sqref="AB61"/>
    </sheetView>
  </sheetViews>
  <sheetFormatPr defaultColWidth="9.140625" defaultRowHeight="12.75"/>
  <cols>
    <col min="2" max="2" width="33.28125" style="0" customWidth="1"/>
    <col min="3" max="3" width="4.00390625" style="0" customWidth="1"/>
    <col min="4" max="4" width="6.7109375" style="0" hidden="1" customWidth="1"/>
    <col min="5" max="10" width="9.140625" style="0" hidden="1" customWidth="1"/>
    <col min="11" max="11" width="12.00390625" style="0" hidden="1" customWidth="1"/>
    <col min="12" max="25" width="9.140625" style="0" hidden="1" customWidth="1"/>
    <col min="26" max="26" width="11.57421875" style="0" hidden="1" customWidth="1"/>
    <col min="27" max="27" width="9.140625" style="0" hidden="1" customWidth="1"/>
    <col min="28" max="28" width="15.7109375" style="0" customWidth="1"/>
  </cols>
  <sheetData>
    <row r="1" spans="1:28" ht="12.75">
      <c r="A1" s="35" t="s">
        <v>218</v>
      </c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.75">
      <c r="A2" s="35" t="s">
        <v>217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2.75">
      <c r="A3" s="40"/>
      <c r="B3" s="30"/>
      <c r="C3" s="28"/>
      <c r="D3" s="28"/>
      <c r="E3" s="31" t="s">
        <v>114</v>
      </c>
      <c r="F3" s="31" t="s">
        <v>114</v>
      </c>
      <c r="G3" s="31" t="s">
        <v>114</v>
      </c>
      <c r="H3" s="31" t="s">
        <v>114</v>
      </c>
      <c r="I3" s="31" t="s">
        <v>114</v>
      </c>
      <c r="J3" s="31" t="s">
        <v>114</v>
      </c>
      <c r="K3" s="31" t="s">
        <v>114</v>
      </c>
      <c r="L3" s="31" t="s">
        <v>114</v>
      </c>
      <c r="M3" s="31" t="s">
        <v>114</v>
      </c>
      <c r="N3" s="31" t="s">
        <v>114</v>
      </c>
      <c r="O3" s="31" t="s">
        <v>114</v>
      </c>
      <c r="P3" s="31" t="s">
        <v>114</v>
      </c>
      <c r="Q3" s="31" t="s">
        <v>114</v>
      </c>
      <c r="R3" s="31" t="s">
        <v>114</v>
      </c>
      <c r="S3" s="31" t="s">
        <v>114</v>
      </c>
      <c r="T3" s="31" t="s">
        <v>114</v>
      </c>
      <c r="U3" s="31" t="s">
        <v>114</v>
      </c>
      <c r="V3" s="31" t="s">
        <v>114</v>
      </c>
      <c r="W3" s="31" t="s">
        <v>114</v>
      </c>
      <c r="X3" s="31" t="s">
        <v>114</v>
      </c>
      <c r="Y3" s="31" t="s">
        <v>114</v>
      </c>
      <c r="Z3" s="31"/>
      <c r="AA3" s="31"/>
      <c r="AB3" s="31"/>
    </row>
    <row r="4" spans="1:28" ht="12.75">
      <c r="A4" s="39"/>
      <c r="B4" s="30"/>
      <c r="C4" s="28"/>
      <c r="D4" s="28"/>
      <c r="E4" s="32" t="s">
        <v>115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120</v>
      </c>
      <c r="K4" s="32" t="s">
        <v>121</v>
      </c>
      <c r="L4" s="32" t="s">
        <v>122</v>
      </c>
      <c r="M4" s="32" t="s">
        <v>123</v>
      </c>
      <c r="N4" s="32" t="s">
        <v>124</v>
      </c>
      <c r="O4" s="32" t="s">
        <v>125</v>
      </c>
      <c r="P4" s="32" t="s">
        <v>126</v>
      </c>
      <c r="Q4" s="32" t="s">
        <v>127</v>
      </c>
      <c r="R4" s="32" t="s">
        <v>128</v>
      </c>
      <c r="S4" s="32" t="s">
        <v>129</v>
      </c>
      <c r="T4" s="32" t="s">
        <v>130</v>
      </c>
      <c r="U4" s="32" t="s">
        <v>131</v>
      </c>
      <c r="V4" s="32" t="s">
        <v>132</v>
      </c>
      <c r="W4" s="32" t="s">
        <v>133</v>
      </c>
      <c r="X4" s="32" t="s">
        <v>134</v>
      </c>
      <c r="Y4" s="31" t="s">
        <v>135</v>
      </c>
      <c r="Z4" s="32"/>
      <c r="AA4" s="33"/>
      <c r="AB4" s="33"/>
    </row>
    <row r="5" spans="1:28" ht="13.5" thickBot="1">
      <c r="A5" s="35" t="s">
        <v>163</v>
      </c>
      <c r="B5" s="30"/>
      <c r="C5" s="28"/>
      <c r="D5" s="28"/>
      <c r="E5" s="28"/>
      <c r="F5" s="28"/>
      <c r="G5" s="28"/>
      <c r="H5" s="28"/>
      <c r="I5" s="28" t="s">
        <v>159</v>
      </c>
      <c r="J5" s="28" t="s">
        <v>159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3.5" thickBot="1">
      <c r="A6" s="41"/>
      <c r="B6" s="41"/>
      <c r="C6" s="41"/>
      <c r="D6" s="41"/>
      <c r="E6" s="42" t="s">
        <v>136</v>
      </c>
      <c r="F6" s="42" t="s">
        <v>137</v>
      </c>
      <c r="G6" s="42" t="s">
        <v>138</v>
      </c>
      <c r="H6" s="42" t="s">
        <v>139</v>
      </c>
      <c r="I6" s="42" t="s">
        <v>140</v>
      </c>
      <c r="J6" s="42" t="s">
        <v>141</v>
      </c>
      <c r="K6" s="42" t="s">
        <v>142</v>
      </c>
      <c r="L6" s="42" t="s">
        <v>143</v>
      </c>
      <c r="M6" s="42" t="s">
        <v>144</v>
      </c>
      <c r="N6" s="42" t="s">
        <v>145</v>
      </c>
      <c r="O6" s="42" t="s">
        <v>151</v>
      </c>
      <c r="P6" s="42" t="s">
        <v>146</v>
      </c>
      <c r="Q6" s="42" t="s">
        <v>147</v>
      </c>
      <c r="R6" s="42" t="s">
        <v>148</v>
      </c>
      <c r="S6" s="42" t="s">
        <v>160</v>
      </c>
      <c r="T6" s="42" t="s">
        <v>150</v>
      </c>
      <c r="U6" s="42" t="s">
        <v>153</v>
      </c>
      <c r="V6" s="42" t="s">
        <v>152</v>
      </c>
      <c r="W6" s="42" t="s">
        <v>154</v>
      </c>
      <c r="X6" s="42" t="s">
        <v>158</v>
      </c>
      <c r="Y6" s="42" t="s">
        <v>149</v>
      </c>
      <c r="Z6" s="42" t="s">
        <v>155</v>
      </c>
      <c r="AA6" s="43" t="s">
        <v>156</v>
      </c>
      <c r="AB6" s="44" t="s">
        <v>215</v>
      </c>
    </row>
    <row r="7" spans="1:28" ht="12.75">
      <c r="A7" s="41" t="s">
        <v>164</v>
      </c>
      <c r="B7" s="41"/>
      <c r="C7" s="41"/>
      <c r="D7" s="41"/>
      <c r="E7" s="45">
        <f>'[1]ytd'!D50</f>
        <v>-8590306.120000001</v>
      </c>
      <c r="F7" s="45">
        <f>'[1]ytd'!E50</f>
        <v>-4179513.7800000003</v>
      </c>
      <c r="G7" s="45">
        <f>'[1]ytd'!F50</f>
        <v>-1452096.25</v>
      </c>
      <c r="H7" s="45">
        <f>'[1]ytd'!G58</f>
        <v>-7208.129999999999</v>
      </c>
      <c r="I7" s="45">
        <f>'[1]ytd'!H58</f>
        <v>-1857869.71</v>
      </c>
      <c r="J7" s="45">
        <f>'[1]ytd'!J58</f>
        <v>-11889.44</v>
      </c>
      <c r="K7" s="45">
        <f>'[1]ytd'!L58</f>
        <v>-15768586.8</v>
      </c>
      <c r="L7" s="45">
        <f>'[1]ytd'!M58</f>
        <v>-8522.5</v>
      </c>
      <c r="M7" s="45">
        <f>'[1]ytd'!N58</f>
        <v>-4964.08</v>
      </c>
      <c r="N7" s="45">
        <f>'[1]ytd'!O58</f>
        <v>-5792.5</v>
      </c>
      <c r="O7" s="45">
        <f>'[1]ytd'!V58</f>
        <v>-5174.35</v>
      </c>
      <c r="P7" s="45">
        <f>'[1]ytd'!P58</f>
        <v>-5606.73</v>
      </c>
      <c r="Q7" s="45">
        <f>'[1]ytd'!R58</f>
        <v>-10466.73</v>
      </c>
      <c r="R7" s="45">
        <f>'[1]ytd'!S58</f>
        <v>-438383.76</v>
      </c>
      <c r="S7" s="45">
        <f>'[1]ytd'!Q58</f>
        <v>-5554.58</v>
      </c>
      <c r="T7" s="45">
        <f>'[1]ytd'!U58</f>
        <v>-961.69</v>
      </c>
      <c r="U7" s="45">
        <f>'[1]ytd'!X58</f>
        <v>-920</v>
      </c>
      <c r="V7" s="45">
        <f>'[1]ytd'!W58</f>
        <v>-427242.78</v>
      </c>
      <c r="W7" s="45">
        <f>'[1]ytd'!Y58</f>
        <v>-52215.35</v>
      </c>
      <c r="X7" s="45">
        <f>'[1]ytd'!K58</f>
        <v>-70724.4</v>
      </c>
      <c r="Y7" s="45">
        <f>'[1]ytd'!T58</f>
        <v>-4824.38</v>
      </c>
      <c r="Z7" s="45">
        <f>SUM(E7:Y7)</f>
        <v>-32908824.060000006</v>
      </c>
      <c r="AA7" s="45"/>
      <c r="AB7" s="45">
        <f>SUM(Z7:AA7)</f>
        <v>-32908824.060000006</v>
      </c>
    </row>
    <row r="8" spans="1:28" ht="12.75">
      <c r="A8" s="46"/>
      <c r="B8" s="41"/>
      <c r="C8" s="41"/>
      <c r="D8" s="4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ht="12.75">
      <c r="A9" s="41" t="s">
        <v>165</v>
      </c>
      <c r="B9" s="41"/>
      <c r="C9" s="41"/>
      <c r="D9" s="4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ht="12.75">
      <c r="A10" s="41"/>
      <c r="B10" s="41" t="s">
        <v>166</v>
      </c>
      <c r="C10" s="41"/>
      <c r="D10" s="41"/>
      <c r="E10" s="45"/>
      <c r="F10" s="45"/>
      <c r="G10" s="45"/>
      <c r="H10" s="45"/>
      <c r="I10" s="45"/>
      <c r="J10" s="45">
        <v>5452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>
        <f>'[1]ytd'!W33*-1</f>
        <v>415225.2</v>
      </c>
      <c r="W10" s="45">
        <v>50000</v>
      </c>
      <c r="X10" s="45"/>
      <c r="Y10" s="45"/>
      <c r="Z10" s="45">
        <f>SUM(E10:Y10)</f>
        <v>470677.2</v>
      </c>
      <c r="AA10" s="45"/>
      <c r="AB10" s="45">
        <v>465225.2</v>
      </c>
    </row>
    <row r="11" spans="1:28" ht="12.75">
      <c r="A11" s="41"/>
      <c r="B11" s="41" t="s">
        <v>157</v>
      </c>
      <c r="C11" s="41"/>
      <c r="D11" s="41"/>
      <c r="E11" s="45">
        <f>'[1]ytd'!D26*-1</f>
        <v>3852.46</v>
      </c>
      <c r="F11" s="45">
        <f>'[1]ytd'!E26*-1</f>
        <v>25018.83</v>
      </c>
      <c r="G11" s="45">
        <f>('[1]ytd'!F26+'[1]ytd'!F11)*-1</f>
        <v>391435.26</v>
      </c>
      <c r="H11" s="45">
        <f>'[1]ytd'!G26*-1</f>
        <v>0</v>
      </c>
      <c r="I11" s="45">
        <f>('[1]ytd'!H26+'[1]ytd'!H11)*-1</f>
        <v>362326.41000000003</v>
      </c>
      <c r="J11" s="45">
        <f>'[1]ytd'!J26*-1</f>
        <v>0</v>
      </c>
      <c r="K11" s="45">
        <f>('[1]ytd'!L26+'[1]ytd'!L11)*-1</f>
        <v>8637894.24</v>
      </c>
      <c r="L11" s="45">
        <f>'[1]ytd'!M26*-1</f>
        <v>0</v>
      </c>
      <c r="M11" s="45">
        <f>'[1]ytd'!N26*-1</f>
        <v>0</v>
      </c>
      <c r="N11" s="45">
        <f>'[1]ytd'!O26*-1</f>
        <v>0</v>
      </c>
      <c r="O11" s="45">
        <f>'[1]ytd'!V26*-1</f>
        <v>0</v>
      </c>
      <c r="P11" s="45">
        <f>'[1]ytd'!P26*-1</f>
        <v>0</v>
      </c>
      <c r="Q11" s="45">
        <f>'[1]ytd'!R26*-1</f>
        <v>0</v>
      </c>
      <c r="R11" s="45">
        <f>'[1]ytd'!S26*-1</f>
        <v>140422.95</v>
      </c>
      <c r="S11" s="45">
        <f>'[1]ytd'!Q26*-1</f>
        <v>0</v>
      </c>
      <c r="T11" s="45">
        <f>'[1]ytd'!U26*-1</f>
        <v>0</v>
      </c>
      <c r="U11" s="45">
        <f>'[1]ytd'!X26*-1</f>
        <v>0</v>
      </c>
      <c r="V11" s="45">
        <f>'[1]ytd'!W26*-1</f>
        <v>9313.47</v>
      </c>
      <c r="W11" s="45">
        <f>'[1]ytd'!Y26*-1</f>
        <v>0</v>
      </c>
      <c r="X11" s="45">
        <f>'[1]ytd'!K26*-1</f>
        <v>0</v>
      </c>
      <c r="Y11" s="45">
        <f>'[1]ytd'!T26*-1</f>
        <v>0</v>
      </c>
      <c r="Z11" s="45">
        <f>SUM(E11:Y11)</f>
        <v>9570263.62</v>
      </c>
      <c r="AA11" s="45"/>
      <c r="AB11" s="45">
        <v>9570264</v>
      </c>
    </row>
    <row r="12" spans="1:28" ht="12.75">
      <c r="A12" s="41"/>
      <c r="B12" s="41" t="s">
        <v>167</v>
      </c>
      <c r="C12" s="47"/>
      <c r="D12" s="4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>
        <f aca="true" t="shared" si="0" ref="Z12:Z21">SUM(E12:Y12)</f>
        <v>0</v>
      </c>
      <c r="AA12" s="45"/>
      <c r="AB12" s="48">
        <f>SUM(Z12:AA12)</f>
        <v>0</v>
      </c>
    </row>
    <row r="13" spans="1:28" ht="12.75">
      <c r="A13" s="41"/>
      <c r="B13" s="41" t="s">
        <v>168</v>
      </c>
      <c r="C13" s="25"/>
      <c r="D13" s="4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>
        <f t="shared" si="0"/>
        <v>0</v>
      </c>
      <c r="AA13" s="45"/>
      <c r="AB13" s="48">
        <f>SUM(Z13:AA13)</f>
        <v>0</v>
      </c>
    </row>
    <row r="14" spans="1:28" ht="12.75">
      <c r="A14" s="41"/>
      <c r="B14" s="41" t="s">
        <v>169</v>
      </c>
      <c r="C14" s="25"/>
      <c r="D14" s="4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>
        <f t="shared" si="0"/>
        <v>0</v>
      </c>
      <c r="AA14" s="45"/>
      <c r="AB14" s="48">
        <f>SUM(Z14:AA14)</f>
        <v>0</v>
      </c>
    </row>
    <row r="15" spans="1:28" ht="12.75">
      <c r="A15" s="41"/>
      <c r="B15" s="41" t="s">
        <v>170</v>
      </c>
      <c r="C15" s="47"/>
      <c r="D15" s="4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>
        <f t="shared" si="0"/>
        <v>0</v>
      </c>
      <c r="AA15" s="45"/>
      <c r="AB15" s="48">
        <f>SUM(Z15:AA15)</f>
        <v>0</v>
      </c>
    </row>
    <row r="16" spans="1:28" ht="12.75">
      <c r="A16" s="41"/>
      <c r="B16" s="41" t="s">
        <v>171</v>
      </c>
      <c r="C16" s="49"/>
      <c r="D16" s="41"/>
      <c r="E16" s="45"/>
      <c r="F16" s="45">
        <f>'[1]ytd'!E16*-1</f>
        <v>-13760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>
        <f t="shared" si="0"/>
        <v>-13760</v>
      </c>
      <c r="AA16" s="45"/>
      <c r="AB16" s="45">
        <v>-13760</v>
      </c>
    </row>
    <row r="17" spans="1:28" ht="12.75">
      <c r="A17" s="41"/>
      <c r="B17" s="41" t="s">
        <v>172</v>
      </c>
      <c r="C17" s="49"/>
      <c r="D17" s="4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>
        <f t="shared" si="0"/>
        <v>0</v>
      </c>
      <c r="AA17" s="45"/>
      <c r="AB17" s="48">
        <f>SUM(Z17:AA17)</f>
        <v>0</v>
      </c>
    </row>
    <row r="18" spans="1:28" ht="12.75">
      <c r="A18" s="41"/>
      <c r="B18" s="41" t="s">
        <v>173</v>
      </c>
      <c r="C18" s="2"/>
      <c r="D18" s="5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8">
        <v>0</v>
      </c>
      <c r="W18" s="45"/>
      <c r="X18" s="45"/>
      <c r="Y18" s="45"/>
      <c r="Z18" s="45">
        <f t="shared" si="0"/>
        <v>0</v>
      </c>
      <c r="AA18" s="45"/>
      <c r="AB18" s="48">
        <f>SUM(Z18:AA18)</f>
        <v>0</v>
      </c>
    </row>
    <row r="19" spans="1:28" ht="12.75">
      <c r="A19" s="41"/>
      <c r="B19" s="41" t="s">
        <v>174</v>
      </c>
      <c r="C19" s="49"/>
      <c r="D19" s="4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>
        <f t="shared" si="0"/>
        <v>0</v>
      </c>
      <c r="AA19" s="45"/>
      <c r="AB19" s="48">
        <f>SUM(Z19:AA19)</f>
        <v>0</v>
      </c>
    </row>
    <row r="20" spans="1:28" ht="12.75">
      <c r="A20" s="41"/>
      <c r="B20" s="41" t="s">
        <v>175</v>
      </c>
      <c r="C20" s="2"/>
      <c r="D20" s="4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45">
        <f t="shared" si="0"/>
        <v>0</v>
      </c>
      <c r="AA20" s="51"/>
      <c r="AB20" s="48">
        <f>SUM(Z20:AA20)</f>
        <v>0</v>
      </c>
    </row>
    <row r="21" spans="1:28" ht="12.75">
      <c r="A21" s="41"/>
      <c r="B21" s="41" t="s">
        <v>176</v>
      </c>
      <c r="C21" s="2"/>
      <c r="D21" s="41"/>
      <c r="E21" s="45">
        <f>'[1]ytd'!D16*-1</f>
        <v>-137767.58</v>
      </c>
      <c r="F21" s="45"/>
      <c r="G21" s="45">
        <f>('[1]ytd'!F16)*-1</f>
        <v>-40780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>
        <f t="shared" si="0"/>
        <v>-178547.58</v>
      </c>
      <c r="AA21" s="45"/>
      <c r="AB21" s="45">
        <v>-178548</v>
      </c>
    </row>
    <row r="22" spans="1:28" ht="13.5" thickBot="1">
      <c r="A22" s="46"/>
      <c r="B22" s="41" t="s">
        <v>177</v>
      </c>
      <c r="C22" s="41"/>
      <c r="D22" s="41"/>
      <c r="E22" s="52">
        <f>'[1]ytd'!D42*-1</f>
        <v>7779575.83</v>
      </c>
      <c r="F22" s="52">
        <f>'[1]ytd'!E42*-1</f>
        <v>4101637.68</v>
      </c>
      <c r="G22" s="52">
        <f>('[1]ytd'!F42)*-1</f>
        <v>951714.18</v>
      </c>
      <c r="H22" s="52">
        <f>'[1]ytd'!G42*-1</f>
        <v>0</v>
      </c>
      <c r="I22" s="52">
        <f>('[1]ytd'!H42)*-1</f>
        <v>1160638.02</v>
      </c>
      <c r="J22" s="52">
        <f>'[1]ytd'!J42*-1</f>
        <v>0</v>
      </c>
      <c r="K22" s="52">
        <f>('[1]ytd'!L42)*-1</f>
        <v>6448818.5</v>
      </c>
      <c r="L22" s="52">
        <f>'[1]ytd'!M42*-1</f>
        <v>0</v>
      </c>
      <c r="M22" s="52">
        <f>'[1]ytd'!N42*-1</f>
        <v>0</v>
      </c>
      <c r="N22" s="52">
        <f>'[1]ytd'!O42*-1</f>
        <v>0</v>
      </c>
      <c r="O22" s="52">
        <f>'[1]ytd'!V42*-1</f>
        <v>0</v>
      </c>
      <c r="P22" s="52">
        <f>'[1]ytd'!P42*-1</f>
        <v>0</v>
      </c>
      <c r="Q22" s="52">
        <f>'[1]ytd'!R42*-1</f>
        <v>0</v>
      </c>
      <c r="R22" s="52">
        <f>'[1]ytd'!S42*-1</f>
        <v>240000</v>
      </c>
      <c r="S22" s="52">
        <f>'[1]ytd'!Q42*-1</f>
        <v>0</v>
      </c>
      <c r="T22" s="52">
        <f>'[1]ytd'!U42*-1</f>
        <v>0</v>
      </c>
      <c r="U22" s="52">
        <f>'[1]ytd'!X42*-1</f>
        <v>0</v>
      </c>
      <c r="V22" s="52">
        <f>'[1]ytd'!W42*-1</f>
        <v>0</v>
      </c>
      <c r="W22" s="52">
        <f>'[1]ytd'!Y42*-1</f>
        <v>0</v>
      </c>
      <c r="X22" s="52">
        <f>'[1]ytd'!K42*-1</f>
        <v>0</v>
      </c>
      <c r="Y22" s="52">
        <f>'[1]ytd'!T42*-1</f>
        <v>0</v>
      </c>
      <c r="Z22" s="52">
        <f>SUM(E22:Y22)</f>
        <v>20682384.21</v>
      </c>
      <c r="AA22" s="52"/>
      <c r="AB22" s="52">
        <v>20682384</v>
      </c>
    </row>
    <row r="23" spans="1:28" ht="12.75">
      <c r="A23" s="41" t="s">
        <v>178</v>
      </c>
      <c r="B23" s="41"/>
      <c r="C23" s="41"/>
      <c r="D23" s="4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2.75">
      <c r="A24" s="41" t="s">
        <v>179</v>
      </c>
      <c r="B24" s="41"/>
      <c r="C24" s="41"/>
      <c r="D24" s="41"/>
      <c r="E24" s="45">
        <f>SUM(E7:E22)</f>
        <v>-944645.4100000001</v>
      </c>
      <c r="F24" s="45">
        <f aca="true" t="shared" si="1" ref="F24:AB24">SUM(F7:F22)</f>
        <v>-66617.27000000002</v>
      </c>
      <c r="G24" s="45">
        <f t="shared" si="1"/>
        <v>-149726.80999999994</v>
      </c>
      <c r="H24" s="45">
        <f t="shared" si="1"/>
        <v>-7208.129999999999</v>
      </c>
      <c r="I24" s="45">
        <f t="shared" si="1"/>
        <v>-334905.2799999998</v>
      </c>
      <c r="J24" s="45">
        <f t="shared" si="1"/>
        <v>-6437.4400000000005</v>
      </c>
      <c r="K24" s="45">
        <f t="shared" si="1"/>
        <v>-681874.0600000005</v>
      </c>
      <c r="L24" s="45">
        <f t="shared" si="1"/>
        <v>-8522.5</v>
      </c>
      <c r="M24" s="45">
        <f t="shared" si="1"/>
        <v>-4964.08</v>
      </c>
      <c r="N24" s="45">
        <f t="shared" si="1"/>
        <v>-5792.5</v>
      </c>
      <c r="O24" s="45">
        <f t="shared" si="1"/>
        <v>-5174.35</v>
      </c>
      <c r="P24" s="45">
        <f>SUM(P7:P22)</f>
        <v>-5606.73</v>
      </c>
      <c r="Q24" s="45">
        <f t="shared" si="1"/>
        <v>-10466.73</v>
      </c>
      <c r="R24" s="45">
        <f t="shared" si="1"/>
        <v>-57960.81</v>
      </c>
      <c r="S24" s="45">
        <f t="shared" si="1"/>
        <v>-5554.58</v>
      </c>
      <c r="T24" s="45">
        <f t="shared" si="1"/>
        <v>-961.69</v>
      </c>
      <c r="U24" s="45">
        <f t="shared" si="1"/>
        <v>-920</v>
      </c>
      <c r="V24" s="45">
        <f t="shared" si="1"/>
        <v>-2704.110000000017</v>
      </c>
      <c r="W24" s="45">
        <f t="shared" si="1"/>
        <v>-2215.3499999999985</v>
      </c>
      <c r="X24" s="45">
        <f t="shared" si="1"/>
        <v>-70724.4</v>
      </c>
      <c r="Y24" s="45">
        <f t="shared" si="1"/>
        <v>-4824.38</v>
      </c>
      <c r="Z24" s="45">
        <f t="shared" si="1"/>
        <v>-2377806.610000007</v>
      </c>
      <c r="AA24" s="45">
        <f t="shared" si="1"/>
        <v>0</v>
      </c>
      <c r="AB24" s="45">
        <f t="shared" si="1"/>
        <v>-2383258.860000007</v>
      </c>
    </row>
    <row r="25" spans="1:28" ht="12.75">
      <c r="A25" s="41"/>
      <c r="B25" s="41"/>
      <c r="C25" s="49"/>
      <c r="D25" s="41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2.75">
      <c r="A26" s="41"/>
      <c r="B26" s="41" t="s">
        <v>180</v>
      </c>
      <c r="C26" s="41"/>
      <c r="D26" s="41"/>
      <c r="E26" s="45"/>
      <c r="F26" s="45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>
        <f>SUM(E26:Y26)</f>
        <v>0</v>
      </c>
      <c r="AA26" s="45"/>
      <c r="AB26" s="48">
        <f>SUM(Z26:AA26)</f>
        <v>0</v>
      </c>
    </row>
    <row r="27" spans="1:28" ht="12.75">
      <c r="A27" s="41"/>
      <c r="B27" s="41" t="s">
        <v>181</v>
      </c>
      <c r="C27" s="41"/>
      <c r="D27" s="41"/>
      <c r="E27" s="45"/>
      <c r="F27" s="45">
        <v>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>
        <f>SUM(E27:Y27)</f>
        <v>0</v>
      </c>
      <c r="AA27" s="45"/>
      <c r="AB27" s="48">
        <f>SUM(Z27:AA27)</f>
        <v>0</v>
      </c>
    </row>
    <row r="28" spans="1:28" ht="12.75">
      <c r="A28" s="41"/>
      <c r="B28" s="41" t="s">
        <v>182</v>
      </c>
      <c r="C28" s="41"/>
      <c r="D28" s="41"/>
      <c r="E28" s="45">
        <v>-695066.52</v>
      </c>
      <c r="F28" s="53">
        <v>15190.64</v>
      </c>
      <c r="G28" s="45">
        <v>-2049</v>
      </c>
      <c r="H28" s="45">
        <v>-2985.8</v>
      </c>
      <c r="I28" s="45">
        <v>-3858.8</v>
      </c>
      <c r="J28" s="45">
        <v>7278.5</v>
      </c>
      <c r="K28" s="45">
        <f>707945+45067.57</f>
        <v>753012.57</v>
      </c>
      <c r="L28" s="45">
        <v>5712.5</v>
      </c>
      <c r="M28" s="45">
        <v>4924.08</v>
      </c>
      <c r="N28" s="45">
        <v>4695</v>
      </c>
      <c r="O28" s="45">
        <v>3998</v>
      </c>
      <c r="P28" s="45">
        <f>4430-634.4</f>
        <v>3795.6</v>
      </c>
      <c r="Q28" s="45">
        <v>7323.74</v>
      </c>
      <c r="R28" s="45">
        <f>201391.02-199389</f>
        <v>2002.0199999999895</v>
      </c>
      <c r="S28" s="45">
        <v>4378</v>
      </c>
      <c r="T28" s="45">
        <v>920</v>
      </c>
      <c r="U28" s="45">
        <v>920</v>
      </c>
      <c r="V28" s="45">
        <v>-3055.7</v>
      </c>
      <c r="W28" s="45">
        <f>-255.84+0.07</f>
        <v>-255.77</v>
      </c>
      <c r="X28" s="45">
        <v>59308.7</v>
      </c>
      <c r="Y28" s="45">
        <v>5105.58</v>
      </c>
      <c r="Z28" s="45">
        <v>0</v>
      </c>
      <c r="AA28" s="45">
        <f>Z18*-1</f>
        <v>0</v>
      </c>
      <c r="AB28" s="48">
        <f>SUM(Z28:AA28)</f>
        <v>0</v>
      </c>
    </row>
    <row r="29" spans="1:28" ht="12.75">
      <c r="A29" s="41"/>
      <c r="B29" s="41" t="s">
        <v>183</v>
      </c>
      <c r="C29" s="47"/>
      <c r="D29" s="41"/>
      <c r="E29" s="45">
        <v>0</v>
      </c>
      <c r="F29" s="45">
        <v>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>
        <f>SUM(E29:Y29)</f>
        <v>0</v>
      </c>
      <c r="AA29" s="45"/>
      <c r="AB29" s="48">
        <f>SUM(Z29:AA29)</f>
        <v>0</v>
      </c>
    </row>
    <row r="30" spans="1:28" ht="12.75">
      <c r="A30" s="41"/>
      <c r="B30" s="41" t="s">
        <v>184</v>
      </c>
      <c r="C30" s="41"/>
      <c r="D30" s="41"/>
      <c r="E30" s="45">
        <v>0</v>
      </c>
      <c r="F30" s="45">
        <v>499998.76</v>
      </c>
      <c r="G30" s="45">
        <v>-5300000</v>
      </c>
      <c r="H30" s="45"/>
      <c r="I30" s="45">
        <v>-60000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>
        <f>1515234.66+74819.18+237500-717466</f>
        <v>1110087.8399999999</v>
      </c>
      <c r="AA30" s="45"/>
      <c r="AB30" s="45">
        <v>1109147.86</v>
      </c>
    </row>
    <row r="31" spans="1:28" ht="13.5" thickBot="1">
      <c r="A31" s="41"/>
      <c r="B31" s="41" t="s">
        <v>185</v>
      </c>
      <c r="C31" s="41"/>
      <c r="D31" s="41"/>
      <c r="E31" s="52">
        <v>-6495885.86</v>
      </c>
      <c r="F31" s="52">
        <v>-10270</v>
      </c>
      <c r="G31" s="52">
        <f>6804288+2049</f>
        <v>6806337</v>
      </c>
      <c r="H31" s="52">
        <v>2180.24</v>
      </c>
      <c r="I31" s="52"/>
      <c r="J31" s="52">
        <f>-2559.4-191.91</f>
        <v>-2751.31</v>
      </c>
      <c r="K31" s="52">
        <v>-173349.05</v>
      </c>
      <c r="L31" s="52">
        <v>2632.5</v>
      </c>
      <c r="M31" s="52">
        <v>40</v>
      </c>
      <c r="N31" s="52">
        <v>910</v>
      </c>
      <c r="O31" s="52">
        <v>910</v>
      </c>
      <c r="P31" s="52">
        <v>910</v>
      </c>
      <c r="Q31" s="52">
        <v>930</v>
      </c>
      <c r="R31" s="52">
        <f>1202.25+331016.55-293979</f>
        <v>38239.79999999999</v>
      </c>
      <c r="S31" s="52">
        <v>910</v>
      </c>
      <c r="T31" s="52"/>
      <c r="U31" s="52"/>
      <c r="V31" s="52">
        <f>-8019.26+3055.7</f>
        <v>-4963.56</v>
      </c>
      <c r="W31" s="52">
        <f>7255.18-0.06-5082</f>
        <v>2173.12</v>
      </c>
      <c r="X31" s="52">
        <f>2615+8800.7</f>
        <v>11415.7</v>
      </c>
      <c r="Y31" s="52">
        <v>-1112.1</v>
      </c>
      <c r="Z31" s="52">
        <f>8980540.18+3999.96-3200757</f>
        <v>5783783.140000001</v>
      </c>
      <c r="AA31" s="52"/>
      <c r="AB31" s="52">
        <v>5795626.84</v>
      </c>
    </row>
    <row r="32" spans="1:28" ht="12.75">
      <c r="A32" s="41" t="s">
        <v>186</v>
      </c>
      <c r="B32" s="41"/>
      <c r="C32" s="41"/>
      <c r="D32" s="41"/>
      <c r="E32" s="45">
        <f>SUM(E24:E31)</f>
        <v>-8135597.790000001</v>
      </c>
      <c r="F32" s="45">
        <f aca="true" t="shared" si="2" ref="F32:AB32">SUM(F24:F31)</f>
        <v>438302.13</v>
      </c>
      <c r="G32" s="45">
        <f t="shared" si="2"/>
        <v>1354561.1900000004</v>
      </c>
      <c r="H32" s="45">
        <f t="shared" si="2"/>
        <v>-8013.6900000000005</v>
      </c>
      <c r="I32" s="45">
        <f t="shared" si="2"/>
        <v>-398764.0799999998</v>
      </c>
      <c r="J32" s="45">
        <f t="shared" si="2"/>
        <v>-1910.2500000000005</v>
      </c>
      <c r="K32" s="45">
        <f t="shared" si="2"/>
        <v>-102210.54000000056</v>
      </c>
      <c r="L32" s="48">
        <f t="shared" si="2"/>
        <v>-177.5</v>
      </c>
      <c r="M32" s="48">
        <f t="shared" si="2"/>
        <v>0</v>
      </c>
      <c r="N32" s="48">
        <f t="shared" si="2"/>
        <v>-187.5</v>
      </c>
      <c r="O32" s="45">
        <f t="shared" si="2"/>
        <v>-266.35000000000036</v>
      </c>
      <c r="P32" s="45">
        <f t="shared" si="2"/>
        <v>-901.1299999999997</v>
      </c>
      <c r="Q32" s="45">
        <f t="shared" si="2"/>
        <v>-2212.99</v>
      </c>
      <c r="R32" s="45">
        <f t="shared" si="2"/>
        <v>-17718.99000000002</v>
      </c>
      <c r="S32" s="45">
        <f t="shared" si="2"/>
        <v>-266.5799999999999</v>
      </c>
      <c r="T32" s="48">
        <f t="shared" si="2"/>
        <v>-41.690000000000055</v>
      </c>
      <c r="U32" s="48">
        <f t="shared" si="2"/>
        <v>0</v>
      </c>
      <c r="V32" s="48">
        <f t="shared" si="2"/>
        <v>-10723.370000000017</v>
      </c>
      <c r="W32" s="45">
        <f t="shared" si="2"/>
        <v>-297.99999999999864</v>
      </c>
      <c r="X32" s="48">
        <f t="shared" si="2"/>
        <v>0</v>
      </c>
      <c r="Y32" s="48">
        <f t="shared" si="2"/>
        <v>-830.9000000000001</v>
      </c>
      <c r="Z32" s="45">
        <f t="shared" si="2"/>
        <v>4516064.369999994</v>
      </c>
      <c r="AA32" s="45">
        <f t="shared" si="2"/>
        <v>0</v>
      </c>
      <c r="AB32" s="45">
        <f t="shared" si="2"/>
        <v>4521515.839999993</v>
      </c>
    </row>
    <row r="33" spans="1:28" ht="12.75">
      <c r="A33" s="41"/>
      <c r="B33" s="41"/>
      <c r="C33" s="41"/>
      <c r="D33" s="41"/>
      <c r="E33" s="45"/>
      <c r="F33" s="45"/>
      <c r="G33" s="45"/>
      <c r="H33" s="45"/>
      <c r="I33" s="45"/>
      <c r="J33" s="45"/>
      <c r="K33" s="45"/>
      <c r="L33" s="45"/>
      <c r="M33" s="48"/>
      <c r="N33" s="48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ht="12.75">
      <c r="A34" s="41"/>
      <c r="B34" s="41" t="s">
        <v>187</v>
      </c>
      <c r="C34" s="41"/>
      <c r="D34" s="41"/>
      <c r="E34" s="45"/>
      <c r="F34" s="48">
        <v>0</v>
      </c>
      <c r="G34" s="45"/>
      <c r="H34" s="45"/>
      <c r="I34" s="45"/>
      <c r="J34" s="45"/>
      <c r="K34" s="45"/>
      <c r="L34" s="45"/>
      <c r="M34" s="48"/>
      <c r="N34" s="48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ht="12.75">
      <c r="A35" s="41"/>
      <c r="B35" s="41" t="s">
        <v>188</v>
      </c>
      <c r="C35" s="41"/>
      <c r="D35" s="41"/>
      <c r="E35" s="51"/>
      <c r="F35" s="54">
        <v>0</v>
      </c>
      <c r="G35" s="51"/>
      <c r="H35" s="51"/>
      <c r="I35" s="51"/>
      <c r="J35" s="51"/>
      <c r="K35" s="51"/>
      <c r="L35" s="51"/>
      <c r="M35" s="54"/>
      <c r="N35" s="54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ht="13.5" thickBot="1">
      <c r="A36" s="41"/>
      <c r="B36" s="41" t="s">
        <v>189</v>
      </c>
      <c r="C36" s="41"/>
      <c r="D36" s="41"/>
      <c r="E36" s="55">
        <f>SUM(E32:E35)</f>
        <v>-8135597.790000001</v>
      </c>
      <c r="F36" s="55">
        <f aca="true" t="shared" si="3" ref="F36:AB36">SUM(F32:F35)</f>
        <v>438302.13</v>
      </c>
      <c r="G36" s="55">
        <f t="shared" si="3"/>
        <v>1354561.1900000004</v>
      </c>
      <c r="H36" s="55">
        <f t="shared" si="3"/>
        <v>-8013.6900000000005</v>
      </c>
      <c r="I36" s="55">
        <f t="shared" si="3"/>
        <v>-398764.0799999998</v>
      </c>
      <c r="J36" s="55">
        <f t="shared" si="3"/>
        <v>-1910.2500000000005</v>
      </c>
      <c r="K36" s="55">
        <f t="shared" si="3"/>
        <v>-102210.54000000056</v>
      </c>
      <c r="L36" s="55">
        <f t="shared" si="3"/>
        <v>-177.5</v>
      </c>
      <c r="M36" s="56">
        <f t="shared" si="3"/>
        <v>0</v>
      </c>
      <c r="N36" s="56">
        <f t="shared" si="3"/>
        <v>-187.5</v>
      </c>
      <c r="O36" s="55">
        <f t="shared" si="3"/>
        <v>-266.35000000000036</v>
      </c>
      <c r="P36" s="55">
        <f t="shared" si="3"/>
        <v>-901.1299999999997</v>
      </c>
      <c r="Q36" s="55">
        <f t="shared" si="3"/>
        <v>-2212.99</v>
      </c>
      <c r="R36" s="55">
        <f t="shared" si="3"/>
        <v>-17718.99000000002</v>
      </c>
      <c r="S36" s="55">
        <f t="shared" si="3"/>
        <v>-266.5799999999999</v>
      </c>
      <c r="T36" s="56">
        <f t="shared" si="3"/>
        <v>-41.690000000000055</v>
      </c>
      <c r="U36" s="56">
        <f t="shared" si="3"/>
        <v>0</v>
      </c>
      <c r="V36" s="56">
        <f t="shared" si="3"/>
        <v>-10723.370000000017</v>
      </c>
      <c r="W36" s="55">
        <f t="shared" si="3"/>
        <v>-297.99999999999864</v>
      </c>
      <c r="X36" s="56">
        <f t="shared" si="3"/>
        <v>0</v>
      </c>
      <c r="Y36" s="56">
        <f t="shared" si="3"/>
        <v>-830.9000000000001</v>
      </c>
      <c r="Z36" s="55">
        <f t="shared" si="3"/>
        <v>4516064.369999994</v>
      </c>
      <c r="AA36" s="55">
        <f t="shared" si="3"/>
        <v>0</v>
      </c>
      <c r="AB36" s="55">
        <f t="shared" si="3"/>
        <v>4521515.839999993</v>
      </c>
    </row>
    <row r="37" spans="1:28" ht="12.75">
      <c r="A37" s="46"/>
      <c r="B37" s="41"/>
      <c r="C37" s="41"/>
      <c r="D37" s="4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12.75">
      <c r="A38" s="41" t="s">
        <v>190</v>
      </c>
      <c r="B38" s="41"/>
      <c r="C38" s="41"/>
      <c r="D38" s="4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12.75">
      <c r="A39" s="41"/>
      <c r="B39" s="41"/>
      <c r="C39" s="41"/>
      <c r="D39" s="41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12.75">
      <c r="A40" s="41"/>
      <c r="B40" s="41" t="s">
        <v>191</v>
      </c>
      <c r="C40" s="41"/>
      <c r="D40" s="41"/>
      <c r="E40" s="45"/>
      <c r="F40" s="48">
        <v>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>
        <f>SUM(E40:Y40)</f>
        <v>0</v>
      </c>
      <c r="AA40" s="45"/>
      <c r="AB40" s="48">
        <f>SUM(Z40:AA40)</f>
        <v>0</v>
      </c>
    </row>
    <row r="41" spans="1:28" ht="12.75">
      <c r="A41" s="57"/>
      <c r="B41" s="41" t="s">
        <v>192</v>
      </c>
      <c r="C41" s="41"/>
      <c r="D41" s="41"/>
      <c r="E41" s="45"/>
      <c r="F41" s="48">
        <v>0</v>
      </c>
      <c r="G41" s="45">
        <v>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>
        <f>SUM(E41:Y41)</f>
        <v>0</v>
      </c>
      <c r="AA41" s="45"/>
      <c r="AB41" s="48">
        <f>SUM(Z41:AA41)</f>
        <v>0</v>
      </c>
    </row>
    <row r="42" spans="1:28" ht="13.5" thickBot="1">
      <c r="A42" s="57"/>
      <c r="B42" s="41" t="s">
        <v>193</v>
      </c>
      <c r="C42" s="41"/>
      <c r="D42" s="41"/>
      <c r="E42" s="52">
        <f>'[1]ytd'!D16</f>
        <v>137767.58</v>
      </c>
      <c r="F42" s="58">
        <v>0</v>
      </c>
      <c r="G42" s="52">
        <f>'[1]ytd'!F16</f>
        <v>40780</v>
      </c>
      <c r="H42" s="52"/>
      <c r="I42" s="52"/>
      <c r="J42" s="52"/>
      <c r="K42" s="52"/>
      <c r="L42" s="52">
        <v>15</v>
      </c>
      <c r="M42" s="52"/>
      <c r="N42" s="52"/>
      <c r="O42" s="52"/>
      <c r="P42" s="52"/>
      <c r="Q42" s="52"/>
      <c r="R42" s="52"/>
      <c r="S42" s="52"/>
      <c r="T42" s="52"/>
      <c r="U42" s="52"/>
      <c r="V42" s="52">
        <v>168.85</v>
      </c>
      <c r="W42" s="52"/>
      <c r="X42" s="52"/>
      <c r="Y42" s="52"/>
      <c r="Z42" s="52">
        <f>SUM(E42:Y42)-183</f>
        <v>178548.43</v>
      </c>
      <c r="AA42" s="52"/>
      <c r="AB42" s="52">
        <f>AB21*-1</f>
        <v>178548</v>
      </c>
    </row>
    <row r="43" spans="1:28" ht="12.75">
      <c r="A43" s="41"/>
      <c r="B43" s="41" t="s">
        <v>194</v>
      </c>
      <c r="C43" s="41"/>
      <c r="D43" s="41"/>
      <c r="E43" s="45">
        <f>SUM(E40:E42)</f>
        <v>137767.58</v>
      </c>
      <c r="F43" s="48">
        <f aca="true" t="shared" si="4" ref="F43:AB43">SUM(F40:F42)</f>
        <v>0</v>
      </c>
      <c r="G43" s="45">
        <f t="shared" si="4"/>
        <v>40780</v>
      </c>
      <c r="H43" s="48">
        <f t="shared" si="4"/>
        <v>0</v>
      </c>
      <c r="I43" s="45">
        <f t="shared" si="4"/>
        <v>0</v>
      </c>
      <c r="J43" s="45">
        <f t="shared" si="4"/>
        <v>0</v>
      </c>
      <c r="K43" s="45">
        <f t="shared" si="4"/>
        <v>0</v>
      </c>
      <c r="L43" s="45">
        <f t="shared" si="4"/>
        <v>15</v>
      </c>
      <c r="M43" s="48">
        <f t="shared" si="4"/>
        <v>0</v>
      </c>
      <c r="N43" s="48">
        <f t="shared" si="4"/>
        <v>0</v>
      </c>
      <c r="O43" s="48">
        <f t="shared" si="4"/>
        <v>0</v>
      </c>
      <c r="P43" s="48">
        <f t="shared" si="4"/>
        <v>0</v>
      </c>
      <c r="Q43" s="48">
        <f t="shared" si="4"/>
        <v>0</v>
      </c>
      <c r="R43" s="48">
        <f t="shared" si="4"/>
        <v>0</v>
      </c>
      <c r="S43" s="48">
        <f t="shared" si="4"/>
        <v>0</v>
      </c>
      <c r="T43" s="48">
        <f t="shared" si="4"/>
        <v>0</v>
      </c>
      <c r="U43" s="48">
        <f t="shared" si="4"/>
        <v>0</v>
      </c>
      <c r="V43" s="48">
        <f t="shared" si="4"/>
        <v>168.85</v>
      </c>
      <c r="W43" s="48">
        <f t="shared" si="4"/>
        <v>0</v>
      </c>
      <c r="X43" s="48">
        <f t="shared" si="4"/>
        <v>0</v>
      </c>
      <c r="Y43" s="48">
        <f t="shared" si="4"/>
        <v>0</v>
      </c>
      <c r="Z43" s="45">
        <f t="shared" si="4"/>
        <v>178548.43</v>
      </c>
      <c r="AA43" s="45">
        <f t="shared" si="4"/>
        <v>0</v>
      </c>
      <c r="AB43" s="45">
        <f t="shared" si="4"/>
        <v>178548</v>
      </c>
    </row>
    <row r="44" spans="1:28" ht="12.75">
      <c r="A44" s="41"/>
      <c r="B44" s="41" t="s">
        <v>195</v>
      </c>
      <c r="C44" s="41"/>
      <c r="D44" s="41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ht="12.75">
      <c r="A45" s="41"/>
      <c r="B45" s="41"/>
      <c r="C45" s="41"/>
      <c r="D45" s="41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ht="12.75">
      <c r="A46" s="41"/>
      <c r="B46" s="41"/>
      <c r="C46" s="41"/>
      <c r="D46" s="41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ht="12.75">
      <c r="A47" s="41" t="s">
        <v>196</v>
      </c>
      <c r="B47" s="41"/>
      <c r="C47" s="41"/>
      <c r="D47" s="4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28" ht="12.75">
      <c r="A48" s="41"/>
      <c r="B48" s="41"/>
      <c r="C48" s="41"/>
      <c r="D48" s="41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2.75">
      <c r="A49" s="46"/>
      <c r="B49" s="41" t="s">
        <v>197</v>
      </c>
      <c r="C49" s="41"/>
      <c r="D49" s="41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68"/>
    </row>
    <row r="50" spans="1:28" ht="12.75">
      <c r="A50" s="41"/>
      <c r="B50" s="41" t="s">
        <v>198</v>
      </c>
      <c r="C50" s="41"/>
      <c r="D50" s="41"/>
      <c r="E50" s="45"/>
      <c r="F50" s="45">
        <v>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ht="12.75">
      <c r="A51" s="41"/>
      <c r="B51" s="41"/>
      <c r="C51" s="41"/>
      <c r="D51" s="41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ht="12.75">
      <c r="A52" s="41"/>
      <c r="B52" s="41"/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ht="12.75">
      <c r="A53" s="41"/>
      <c r="B53" s="41" t="s">
        <v>199</v>
      </c>
      <c r="C53" s="49"/>
      <c r="D53" s="41"/>
      <c r="E53" s="45"/>
      <c r="F53" s="59"/>
      <c r="G53" s="45"/>
      <c r="H53" s="45"/>
      <c r="I53" s="45"/>
      <c r="J53" s="45"/>
      <c r="K53" s="59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ht="12.75">
      <c r="A54" s="41"/>
      <c r="B54" s="41" t="s">
        <v>200</v>
      </c>
      <c r="C54" s="49"/>
      <c r="D54" s="41"/>
      <c r="E54" s="45">
        <f>+E36+E43+E50</f>
        <v>-7997830.210000001</v>
      </c>
      <c r="F54" s="45">
        <f>+F36+F43+F50</f>
        <v>438302.13</v>
      </c>
      <c r="G54" s="45">
        <f aca="true" t="shared" si="5" ref="G54:Y54">+G36+G43+G50</f>
        <v>1395341.1900000004</v>
      </c>
      <c r="H54" s="45">
        <f t="shared" si="5"/>
        <v>-8013.6900000000005</v>
      </c>
      <c r="I54" s="45">
        <f t="shared" si="5"/>
        <v>-398764.0799999998</v>
      </c>
      <c r="J54" s="45">
        <f t="shared" si="5"/>
        <v>-1910.2500000000005</v>
      </c>
      <c r="K54" s="45">
        <f t="shared" si="5"/>
        <v>-102210.54000000056</v>
      </c>
      <c r="L54" s="45">
        <f t="shared" si="5"/>
        <v>-162.5</v>
      </c>
      <c r="M54" s="48">
        <f t="shared" si="5"/>
        <v>0</v>
      </c>
      <c r="N54" s="48">
        <f t="shared" si="5"/>
        <v>-187.5</v>
      </c>
      <c r="O54" s="45">
        <f t="shared" si="5"/>
        <v>-266.35000000000036</v>
      </c>
      <c r="P54" s="45">
        <f t="shared" si="5"/>
        <v>-901.1299999999997</v>
      </c>
      <c r="Q54" s="45">
        <f t="shared" si="5"/>
        <v>-2212.99</v>
      </c>
      <c r="R54" s="45">
        <f t="shared" si="5"/>
        <v>-17718.99000000002</v>
      </c>
      <c r="S54" s="45">
        <f t="shared" si="5"/>
        <v>-266.5799999999999</v>
      </c>
      <c r="T54" s="48">
        <f t="shared" si="5"/>
        <v>-41.690000000000055</v>
      </c>
      <c r="U54" s="48">
        <f t="shared" si="5"/>
        <v>0</v>
      </c>
      <c r="V54" s="45">
        <f t="shared" si="5"/>
        <v>-10554.520000000017</v>
      </c>
      <c r="W54" s="45">
        <f t="shared" si="5"/>
        <v>-297.99999999999864</v>
      </c>
      <c r="X54" s="48">
        <f t="shared" si="5"/>
        <v>0</v>
      </c>
      <c r="Y54" s="48">
        <f t="shared" si="5"/>
        <v>-830.9000000000001</v>
      </c>
      <c r="Z54" s="45">
        <f>+Z36+Z43+Z50-2377808</f>
        <v>2316804.7999999933</v>
      </c>
      <c r="AA54" s="45"/>
      <c r="AB54" s="45">
        <f>+AB24+AB36+AB43</f>
        <v>2316804.9799999865</v>
      </c>
    </row>
    <row r="55" spans="1:28" ht="13.5" thickBot="1">
      <c r="A55" s="41"/>
      <c r="B55" s="41" t="s">
        <v>204</v>
      </c>
      <c r="C55" s="2"/>
      <c r="D55" s="41"/>
      <c r="E55" s="52">
        <v>6493742</v>
      </c>
      <c r="F55" s="52">
        <v>-15668913</v>
      </c>
      <c r="G55" s="52">
        <v>96861</v>
      </c>
      <c r="H55" s="52">
        <v>7961.22</v>
      </c>
      <c r="I55" s="52">
        <v>1922271</v>
      </c>
      <c r="J55" s="52">
        <v>3826</v>
      </c>
      <c r="K55" s="52">
        <v>-4746708</v>
      </c>
      <c r="L55" s="52">
        <v>2925.26</v>
      </c>
      <c r="M55" s="58">
        <v>0</v>
      </c>
      <c r="N55" s="58">
        <v>0</v>
      </c>
      <c r="O55" s="52">
        <v>16628.07</v>
      </c>
      <c r="P55" s="52">
        <v>635.14</v>
      </c>
      <c r="Q55" s="52">
        <v>1947</v>
      </c>
      <c r="R55" s="52">
        <v>484.2</v>
      </c>
      <c r="S55" s="52">
        <v>0</v>
      </c>
      <c r="T55" s="58">
        <v>0</v>
      </c>
      <c r="U55" s="58">
        <v>0</v>
      </c>
      <c r="V55" s="52">
        <v>119471.69</v>
      </c>
      <c r="W55" s="52">
        <v>298</v>
      </c>
      <c r="X55" s="58">
        <v>0</v>
      </c>
      <c r="Y55" s="58">
        <v>0</v>
      </c>
      <c r="Z55" s="52">
        <f>-39086500+26170882</f>
        <v>-12915618</v>
      </c>
      <c r="AA55" s="52"/>
      <c r="AB55" s="52">
        <v>-12915618</v>
      </c>
    </row>
    <row r="56" spans="1:28" ht="13.5" thickBot="1">
      <c r="A56" s="41"/>
      <c r="B56" s="41" t="s">
        <v>205</v>
      </c>
      <c r="C56" s="47"/>
      <c r="D56" s="41"/>
      <c r="E56" s="60">
        <f>SUM(E54:E55)</f>
        <v>-1504088.210000001</v>
      </c>
      <c r="F56" s="60">
        <f aca="true" t="shared" si="6" ref="F56:AB56">SUM(F54:F55)</f>
        <v>-15230610.87</v>
      </c>
      <c r="G56" s="60">
        <f t="shared" si="6"/>
        <v>1492202.1900000004</v>
      </c>
      <c r="H56" s="60">
        <f t="shared" si="6"/>
        <v>-52.470000000000255</v>
      </c>
      <c r="I56" s="60">
        <f t="shared" si="6"/>
        <v>1523506.9200000002</v>
      </c>
      <c r="J56" s="60">
        <f t="shared" si="6"/>
        <v>1915.7499999999995</v>
      </c>
      <c r="K56" s="60">
        <f t="shared" si="6"/>
        <v>-4848918.540000001</v>
      </c>
      <c r="L56" s="60">
        <f t="shared" si="6"/>
        <v>2762.76</v>
      </c>
      <c r="M56" s="61">
        <f t="shared" si="6"/>
        <v>0</v>
      </c>
      <c r="N56" s="61">
        <f t="shared" si="6"/>
        <v>-187.5</v>
      </c>
      <c r="O56" s="60">
        <f t="shared" si="6"/>
        <v>16361.72</v>
      </c>
      <c r="P56" s="60">
        <f t="shared" si="6"/>
        <v>-265.98999999999967</v>
      </c>
      <c r="Q56" s="60">
        <f t="shared" si="6"/>
        <v>-265.9899999999998</v>
      </c>
      <c r="R56" s="60">
        <f t="shared" si="6"/>
        <v>-17234.79000000002</v>
      </c>
      <c r="S56" s="60">
        <f t="shared" si="6"/>
        <v>-266.5799999999999</v>
      </c>
      <c r="T56" s="61">
        <f t="shared" si="6"/>
        <v>-41.690000000000055</v>
      </c>
      <c r="U56" s="61">
        <f t="shared" si="6"/>
        <v>0</v>
      </c>
      <c r="V56" s="60">
        <f t="shared" si="6"/>
        <v>108917.16999999998</v>
      </c>
      <c r="W56" s="61">
        <f t="shared" si="6"/>
        <v>1.3642420526593924E-12</v>
      </c>
      <c r="X56" s="61">
        <f t="shared" si="6"/>
        <v>0</v>
      </c>
      <c r="Y56" s="61">
        <f t="shared" si="6"/>
        <v>-830.9000000000001</v>
      </c>
      <c r="Z56" s="60">
        <f t="shared" si="6"/>
        <v>-10598813.200000007</v>
      </c>
      <c r="AA56" s="60">
        <f t="shared" si="6"/>
        <v>0</v>
      </c>
      <c r="AB56" s="60">
        <f t="shared" si="6"/>
        <v>-10598813.020000014</v>
      </c>
    </row>
    <row r="57" spans="1:28" ht="13.5" thickTop="1">
      <c r="A57" s="41"/>
      <c r="B57" s="41"/>
      <c r="C57" s="41"/>
      <c r="D57" s="41"/>
      <c r="E57" s="45"/>
      <c r="F57" s="45"/>
      <c r="G57" s="45"/>
      <c r="H57" s="45"/>
      <c r="I57" s="45"/>
      <c r="J57" s="45"/>
      <c r="K57" s="45"/>
      <c r="L57" s="45"/>
      <c r="M57" s="48"/>
      <c r="N57" s="48"/>
      <c r="O57" s="45"/>
      <c r="P57" s="45"/>
      <c r="Q57" s="45"/>
      <c r="R57" s="45"/>
      <c r="S57" s="45"/>
      <c r="T57" s="48"/>
      <c r="U57" s="48"/>
      <c r="V57" s="45"/>
      <c r="W57" s="45"/>
      <c r="X57" s="45"/>
      <c r="Y57" s="45"/>
      <c r="Z57" s="45"/>
      <c r="AA57" s="45"/>
      <c r="AB57" s="45"/>
    </row>
    <row r="58" spans="1:28" ht="12.75">
      <c r="A58" s="41"/>
      <c r="B58" s="41"/>
      <c r="C58" s="62"/>
      <c r="D58" s="41"/>
      <c r="E58" s="45"/>
      <c r="F58" s="45"/>
      <c r="G58" s="45"/>
      <c r="H58" s="45"/>
      <c r="I58" s="45"/>
      <c r="J58" s="45"/>
      <c r="K58" s="45"/>
      <c r="L58" s="45"/>
      <c r="M58" s="48"/>
      <c r="N58" s="48"/>
      <c r="O58" s="45"/>
      <c r="P58" s="45"/>
      <c r="Q58" s="45"/>
      <c r="R58" s="45"/>
      <c r="S58" s="45"/>
      <c r="T58" s="48"/>
      <c r="U58" s="48"/>
      <c r="V58" s="45"/>
      <c r="W58" s="45"/>
      <c r="X58" s="45"/>
      <c r="Y58" s="45"/>
      <c r="Z58" s="45"/>
      <c r="AA58" s="45"/>
      <c r="AB58" s="45"/>
    </row>
    <row r="59" spans="1:28" ht="12.75">
      <c r="A59" s="41"/>
      <c r="B59" s="41" t="s">
        <v>201</v>
      </c>
      <c r="C59" s="41"/>
      <c r="D59" s="41"/>
      <c r="E59" s="45"/>
      <c r="F59" s="45"/>
      <c r="G59" s="45"/>
      <c r="H59" s="45"/>
      <c r="I59" s="45"/>
      <c r="J59" s="45"/>
      <c r="K59" s="45"/>
      <c r="L59" s="45"/>
      <c r="M59" s="48"/>
      <c r="N59" s="48"/>
      <c r="O59" s="45"/>
      <c r="P59" s="45"/>
      <c r="Q59" s="45"/>
      <c r="R59" s="45"/>
      <c r="S59" s="45"/>
      <c r="T59" s="48"/>
      <c r="U59" s="48"/>
      <c r="V59" s="45"/>
      <c r="W59" s="45"/>
      <c r="X59" s="45"/>
      <c r="Y59" s="45"/>
      <c r="Z59" s="45"/>
      <c r="AA59" s="45"/>
      <c r="AB59" s="45"/>
    </row>
    <row r="60" spans="1:28" ht="12.75">
      <c r="A60" s="41"/>
      <c r="B60" s="41" t="s">
        <v>202</v>
      </c>
      <c r="C60" s="63"/>
      <c r="D60" s="41"/>
      <c r="E60" s="45">
        <f>'[1]bs'!E16+'[1]bs'!E18</f>
        <v>1657866.5699999998</v>
      </c>
      <c r="F60" s="45">
        <f>'[1]bs'!F16+'[1]bs'!F18</f>
        <v>536978.12</v>
      </c>
      <c r="G60" s="45">
        <v>9205987.93</v>
      </c>
      <c r="H60" s="45">
        <v>-52</v>
      </c>
      <c r="I60" s="45">
        <v>1922271</v>
      </c>
      <c r="J60" s="45">
        <v>1903.19</v>
      </c>
      <c r="K60" s="45">
        <f>'[1]bs'!K16+'[1]bs'!K18</f>
        <v>836.51</v>
      </c>
      <c r="L60" s="45">
        <v>2940.26</v>
      </c>
      <c r="M60" s="48">
        <v>0</v>
      </c>
      <c r="N60" s="48">
        <v>0</v>
      </c>
      <c r="O60" s="45">
        <v>16628.07</v>
      </c>
      <c r="P60" s="45">
        <v>0</v>
      </c>
      <c r="Q60" s="45">
        <v>0</v>
      </c>
      <c r="R60" s="45">
        <v>444.2</v>
      </c>
      <c r="S60" s="45">
        <v>0</v>
      </c>
      <c r="T60" s="48">
        <v>0</v>
      </c>
      <c r="U60" s="48">
        <v>0</v>
      </c>
      <c r="V60" s="45">
        <v>108748.32</v>
      </c>
      <c r="W60" s="48">
        <v>0</v>
      </c>
      <c r="X60" s="48">
        <v>0</v>
      </c>
      <c r="Y60" s="48">
        <v>0</v>
      </c>
      <c r="Z60" s="45">
        <f>'[1]bs'!Z18+'[1]bs'!Z16+4000</f>
        <v>13188165.799999999</v>
      </c>
      <c r="AA60" s="45"/>
      <c r="AB60" s="45">
        <v>13188166</v>
      </c>
    </row>
    <row r="61" spans="1:28" ht="13.5" thickBot="1">
      <c r="A61" s="41"/>
      <c r="B61" s="41" t="s">
        <v>203</v>
      </c>
      <c r="C61" s="41"/>
      <c r="D61" s="41"/>
      <c r="E61" s="52">
        <v>-795173.62</v>
      </c>
      <c r="F61" s="52">
        <f>'[1]bs'!F32*-1</f>
        <v>-15714995.809999999</v>
      </c>
      <c r="G61" s="52">
        <v>-2482429</v>
      </c>
      <c r="H61" s="58">
        <v>0</v>
      </c>
      <c r="I61" s="58">
        <v>0</v>
      </c>
      <c r="J61" s="58">
        <v>0</v>
      </c>
      <c r="K61" s="52">
        <f>-3312741.82-1461600.53-20-10</f>
        <v>-4774372.35</v>
      </c>
      <c r="L61" s="52">
        <v>0</v>
      </c>
      <c r="M61" s="58">
        <v>0</v>
      </c>
      <c r="N61" s="58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8">
        <v>0</v>
      </c>
      <c r="U61" s="58">
        <v>0</v>
      </c>
      <c r="V61" s="52">
        <v>0</v>
      </c>
      <c r="W61" s="58">
        <v>0</v>
      </c>
      <c r="X61" s="58">
        <v>0</v>
      </c>
      <c r="Y61" s="58">
        <v>0</v>
      </c>
      <c r="Z61" s="52">
        <f>-43661647+19874668</f>
        <v>-23786979</v>
      </c>
      <c r="AA61" s="52"/>
      <c r="AB61" s="52">
        <v>-23786979.02</v>
      </c>
    </row>
    <row r="62" spans="1:28" ht="13.5" thickBot="1">
      <c r="A62" s="41"/>
      <c r="B62" s="41"/>
      <c r="C62" s="41"/>
      <c r="D62" s="41"/>
      <c r="E62" s="60">
        <f>SUM(E60:E61)</f>
        <v>862692.9499999998</v>
      </c>
      <c r="F62" s="60">
        <f aca="true" t="shared" si="7" ref="F62:AB62">SUM(F60:F61)</f>
        <v>-15178017.69</v>
      </c>
      <c r="G62" s="60">
        <f t="shared" si="7"/>
        <v>6723558.93</v>
      </c>
      <c r="H62" s="60">
        <f t="shared" si="7"/>
        <v>-52</v>
      </c>
      <c r="I62" s="60">
        <f t="shared" si="7"/>
        <v>1922271</v>
      </c>
      <c r="J62" s="60">
        <f t="shared" si="7"/>
        <v>1903.19</v>
      </c>
      <c r="K62" s="60">
        <f t="shared" si="7"/>
        <v>-4773535.84</v>
      </c>
      <c r="L62" s="60">
        <f t="shared" si="7"/>
        <v>2940.26</v>
      </c>
      <c r="M62" s="61">
        <f t="shared" si="7"/>
        <v>0</v>
      </c>
      <c r="N62" s="61">
        <f t="shared" si="7"/>
        <v>0</v>
      </c>
      <c r="O62" s="60">
        <f t="shared" si="7"/>
        <v>16628.07</v>
      </c>
      <c r="P62" s="60">
        <f t="shared" si="7"/>
        <v>0</v>
      </c>
      <c r="Q62" s="60">
        <f t="shared" si="7"/>
        <v>0</v>
      </c>
      <c r="R62" s="60">
        <f t="shared" si="7"/>
        <v>444.2</v>
      </c>
      <c r="S62" s="60">
        <f t="shared" si="7"/>
        <v>0</v>
      </c>
      <c r="T62" s="61">
        <f t="shared" si="7"/>
        <v>0</v>
      </c>
      <c r="U62" s="61">
        <f t="shared" si="7"/>
        <v>0</v>
      </c>
      <c r="V62" s="60">
        <f t="shared" si="7"/>
        <v>108748.32</v>
      </c>
      <c r="W62" s="61">
        <f>SUM(W60:W61)</f>
        <v>0</v>
      </c>
      <c r="X62" s="61">
        <f t="shared" si="7"/>
        <v>0</v>
      </c>
      <c r="Y62" s="61">
        <f t="shared" si="7"/>
        <v>0</v>
      </c>
      <c r="Z62" s="60">
        <f t="shared" si="7"/>
        <v>-10598813.200000001</v>
      </c>
      <c r="AA62" s="60">
        <f t="shared" si="7"/>
        <v>0</v>
      </c>
      <c r="AB62" s="60">
        <f t="shared" si="7"/>
        <v>-10598813.02</v>
      </c>
    </row>
    <row r="63" spans="1:28" ht="13.5" thickTop="1">
      <c r="A63" s="41"/>
      <c r="B63" s="41"/>
      <c r="C63" s="41"/>
      <c r="D63" s="41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2.75">
      <c r="A64" s="65"/>
      <c r="B64" s="41"/>
      <c r="C64" s="41"/>
      <c r="D64" s="41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2.75">
      <c r="A65" s="41"/>
      <c r="B65" s="41"/>
      <c r="C65" s="66"/>
      <c r="D65" s="4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2.75">
      <c r="A66" s="41"/>
      <c r="B66" s="41"/>
      <c r="C66" s="41"/>
      <c r="D66" s="41"/>
      <c r="E66" s="67">
        <f>+E56-E62</f>
        <v>-2366781.1600000006</v>
      </c>
      <c r="F66" s="67">
        <f>+F56-F62</f>
        <v>-52593.1799999997</v>
      </c>
      <c r="G66" s="67">
        <f aca="true" t="shared" si="8" ref="G66:AA66">+G56-G62</f>
        <v>-5231356.739999999</v>
      </c>
      <c r="H66" s="67">
        <f t="shared" si="8"/>
        <v>-0.47000000000025466</v>
      </c>
      <c r="I66" s="67">
        <f t="shared" si="8"/>
        <v>-398764.07999999984</v>
      </c>
      <c r="J66" s="67">
        <f t="shared" si="8"/>
        <v>12.55999999999949</v>
      </c>
      <c r="K66" s="67">
        <f t="shared" si="8"/>
        <v>-75382.70000000112</v>
      </c>
      <c r="L66" s="67">
        <f t="shared" si="8"/>
        <v>-177.5</v>
      </c>
      <c r="M66" s="67">
        <f t="shared" si="8"/>
        <v>0</v>
      </c>
      <c r="N66" s="67">
        <f t="shared" si="8"/>
        <v>-187.5</v>
      </c>
      <c r="O66" s="67">
        <f t="shared" si="8"/>
        <v>-266.35000000000036</v>
      </c>
      <c r="P66" s="67">
        <f t="shared" si="8"/>
        <v>-265.98999999999967</v>
      </c>
      <c r="Q66" s="67">
        <f t="shared" si="8"/>
        <v>-265.9899999999998</v>
      </c>
      <c r="R66" s="67">
        <f t="shared" si="8"/>
        <v>-17678.99000000002</v>
      </c>
      <c r="S66" s="67">
        <f t="shared" si="8"/>
        <v>-266.5799999999999</v>
      </c>
      <c r="T66" s="67">
        <f t="shared" si="8"/>
        <v>-41.690000000000055</v>
      </c>
      <c r="U66" s="67">
        <f t="shared" si="8"/>
        <v>0</v>
      </c>
      <c r="V66" s="67">
        <f t="shared" si="8"/>
        <v>168.84999999997672</v>
      </c>
      <c r="W66" s="67">
        <f t="shared" si="8"/>
        <v>1.3642420526593924E-12</v>
      </c>
      <c r="X66" s="67">
        <f t="shared" si="8"/>
        <v>0</v>
      </c>
      <c r="Y66" s="67">
        <f t="shared" si="8"/>
        <v>-830.9000000000001</v>
      </c>
      <c r="Z66" s="67">
        <f t="shared" si="8"/>
        <v>0</v>
      </c>
      <c r="AA66" s="67">
        <f t="shared" si="8"/>
        <v>0</v>
      </c>
      <c r="AB66" s="67"/>
    </row>
    <row r="67" spans="1:28" ht="12.75">
      <c r="A67" s="41"/>
      <c r="B67" s="41"/>
      <c r="C67" s="41"/>
      <c r="D67" s="41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</sheetData>
  <printOptions/>
  <pageMargins left="0.75" right="0.75" top="1" bottom="1" header="0.5" footer="0.5"/>
  <pageSetup horizontalDpi="600" verticalDpi="600" orientation="portrait" scale="82" r:id="rId1"/>
  <rowBreaks count="1" manualBreakCount="1">
    <brk id="6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TMIB</cp:lastModifiedBy>
  <cp:lastPrinted>2002-11-29T05:21:05Z</cp:lastPrinted>
  <dcterms:created xsi:type="dcterms:W3CDTF">1999-10-20T01:33:21Z</dcterms:created>
  <dcterms:modified xsi:type="dcterms:W3CDTF">2002-11-29T07:58:35Z</dcterms:modified>
  <cp:category/>
  <cp:version/>
  <cp:contentType/>
  <cp:contentStatus/>
</cp:coreProperties>
</file>