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firstSheet="2" activeTab="2"/>
  </bookViews>
  <sheets>
    <sheet name="D1" sheetId="1" state="hidden" r:id="rId1"/>
    <sheet name="Sheet1" sheetId="2" state="hidden" r:id="rId2"/>
    <sheet name="incomestatements" sheetId="3" r:id="rId3"/>
    <sheet name="Balance Sheet " sheetId="4" r:id="rId4"/>
    <sheet name="equitystatement " sheetId="5" r:id="rId5"/>
    <sheet name="cashflow " sheetId="6" r:id="rId6"/>
    <sheet name="Notes   " sheetId="7" r:id="rId7"/>
    <sheet name="D2" sheetId="8" state="hidden" r:id="rId8"/>
  </sheets>
  <definedNames>
    <definedName name="_xlnm.Print_Area" localSheetId="6">'Notes   '!$A$1:$F$266</definedName>
    <definedName name="_xlnm.Print_Titles" localSheetId="6">'Notes   '!$2:$3</definedName>
  </definedNames>
  <calcPr fullCalcOnLoad="1"/>
</workbook>
</file>

<file path=xl/sharedStrings.xml><?xml version="1.0" encoding="utf-8"?>
<sst xmlns="http://schemas.openxmlformats.org/spreadsheetml/2006/main" count="522" uniqueCount="364">
  <si>
    <t>PSC GROUP</t>
  </si>
  <si>
    <t>Turnover</t>
  </si>
  <si>
    <t>Profit after taxation</t>
  </si>
  <si>
    <t>VARIANCE</t>
  </si>
  <si>
    <t>BUDGET</t>
  </si>
  <si>
    <t>Investment income</t>
  </si>
  <si>
    <t>Interest on borrowings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</si>
  <si>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</si>
  <si>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</si>
  <si>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</si>
  <si>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</si>
  <si>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</si>
  <si>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</si>
  <si>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</si>
  <si>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</si>
  <si>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Inventories</t>
  </si>
  <si>
    <t>Dividends paid</t>
  </si>
  <si>
    <t>Valuation of property, plant and equipment</t>
  </si>
  <si>
    <t>Contingent Liabilities/ Assets</t>
  </si>
  <si>
    <t>Earnings Per Share</t>
  </si>
  <si>
    <t>CURRENT</t>
  </si>
  <si>
    <t>PRECEDING YEAR</t>
  </si>
  <si>
    <t>YEAR</t>
  </si>
  <si>
    <t>CORRESPONDING</t>
  </si>
  <si>
    <t>RM'000</t>
  </si>
  <si>
    <t>AS AT</t>
  </si>
  <si>
    <t>Current Liabilities</t>
  </si>
  <si>
    <t>Shareholders' Funds</t>
  </si>
  <si>
    <t>Share Capital</t>
  </si>
  <si>
    <t>Reserves</t>
  </si>
  <si>
    <t>Minority Interests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</si>
  <si>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</si>
  <si>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</si>
  <si>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</si>
  <si>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</si>
  <si>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</si>
  <si>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</si>
  <si>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</si>
  <si>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</si>
  <si>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</si>
  <si>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</si>
  <si>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</si>
  <si>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</si>
  <si>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</si>
  <si>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</si>
  <si>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</si>
  <si>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</si>
  <si>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</si>
  <si>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There were no material changes in estimates in respect of amounts reported in  the prior interim periods</t>
  </si>
  <si>
    <t>of the Directors, to affect substantially the results of the operation of the Company and of the Group</t>
  </si>
  <si>
    <t>There were no material off balance sheet financial instruments during the current financial</t>
  </si>
  <si>
    <t>Intangible Assets</t>
  </si>
  <si>
    <t>Other investments</t>
  </si>
  <si>
    <t>Overdraft &amp; Short Term Borrowings</t>
  </si>
  <si>
    <t>Net tangible assets per share (RM)</t>
  </si>
  <si>
    <t>Long Term Liabilties</t>
  </si>
  <si>
    <t>Borrowings</t>
  </si>
  <si>
    <t>Other deferred liabilities</t>
  </si>
  <si>
    <t>Retained</t>
  </si>
  <si>
    <t>Profits</t>
  </si>
  <si>
    <t xml:space="preserve">                                          Condensed Consolidated Statements of Changes in Equity</t>
  </si>
  <si>
    <t>Offshore Patrol vessels expenditure</t>
  </si>
  <si>
    <t>AUD998</t>
  </si>
  <si>
    <t>EURO14,660</t>
  </si>
  <si>
    <t>CEDIS163,327</t>
  </si>
  <si>
    <t>of 168,808,348 shares.</t>
  </si>
  <si>
    <t>PSC  INDUSTRIES BERHAD</t>
  </si>
  <si>
    <t xml:space="preserve">Basic earnings per </t>
  </si>
  <si>
    <t>ordinary share (sen)</t>
  </si>
  <si>
    <t>31/12/2003</t>
  </si>
  <si>
    <t>The interim financial report has been prepared in accordance with MASB 26 Interim Financial</t>
  </si>
  <si>
    <t>Items of unusual nature, size or incidence</t>
  </si>
  <si>
    <t>Changes in estimates  of amounts</t>
  </si>
  <si>
    <t>(The condensed Consolidated Income Statements Should be read in conjunction with the Annual</t>
  </si>
  <si>
    <t>was not subjected to any qualification.</t>
  </si>
  <si>
    <t>Investment Properties</t>
  </si>
  <si>
    <t>Trading</t>
  </si>
  <si>
    <t>Construction</t>
  </si>
  <si>
    <t>Total</t>
  </si>
  <si>
    <t>(Company No.: 11106-V)</t>
  </si>
  <si>
    <t>NOTES TO THE UNAUDITED FINANCIAL STATEMENTS</t>
  </si>
  <si>
    <t>Accounting Policies</t>
  </si>
  <si>
    <t>Profits / (Losses) on Sale of Investment and/or Properties</t>
  </si>
  <si>
    <t>Quoted Securities</t>
  </si>
  <si>
    <t>Changes in the Composition of the Group</t>
  </si>
  <si>
    <t>Status of Corporate Proposals</t>
  </si>
  <si>
    <t>Details of Issuances and Repayment of Debt</t>
  </si>
  <si>
    <t>Group Borrowings and Debt Securities</t>
  </si>
  <si>
    <t>30/06/2004</t>
  </si>
  <si>
    <t xml:space="preserve">                                       For the period ended 30 June 2004</t>
  </si>
  <si>
    <t>Balance as at 30.06.2004</t>
  </si>
  <si>
    <t xml:space="preserve">The business operations of the Group for the current financial quarter  ended  30 June 2004 were </t>
  </si>
  <si>
    <t>30 June 2004.</t>
  </si>
  <si>
    <t>FOR THE 2ND QUARTER ENDED 30 June 2004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</si>
  <si>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</si>
  <si>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</si>
  <si>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</si>
  <si>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</si>
  <si>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</si>
  <si>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</si>
  <si>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Off Balance Sheet Financial Instruments</t>
  </si>
  <si>
    <t>Material Litigation</t>
  </si>
  <si>
    <t>Operating expenses</t>
  </si>
  <si>
    <t>Other operating income</t>
  </si>
  <si>
    <t>Profit from Operations</t>
  </si>
  <si>
    <t>Finance costs</t>
  </si>
  <si>
    <t>Profit before tax</t>
  </si>
  <si>
    <t>Condensed Consolidated Cash Flow Statements</t>
  </si>
  <si>
    <t>For the period ended 30 June 2004</t>
  </si>
  <si>
    <t>9 months</t>
  </si>
  <si>
    <t>6 months</t>
  </si>
  <si>
    <t xml:space="preserve">ended </t>
  </si>
  <si>
    <t>30/06/04</t>
  </si>
  <si>
    <t>30/06/03</t>
  </si>
  <si>
    <t>(RM)</t>
  </si>
  <si>
    <t>Net 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</si>
  <si>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</si>
  <si>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</si>
  <si>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</si>
  <si>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</si>
  <si>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</si>
  <si>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</si>
  <si>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</si>
  <si>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(used in)/generated from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</si>
  <si>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</si>
  <si>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</si>
  <si>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</si>
  <si>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propert,plant &amp; equipment</t>
  </si>
  <si>
    <t xml:space="preserve">  Purchase of subsidiary company</t>
  </si>
  <si>
    <t xml:space="preserve">  Net cash generated from investing activities</t>
  </si>
  <si>
    <t>Financing activities</t>
  </si>
  <si>
    <t xml:space="preserve">  Bank borrowings</t>
  </si>
  <si>
    <t xml:space="preserve">  Share capital issued</t>
  </si>
  <si>
    <t xml:space="preserve">  Net cash generated from/(used in)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</si>
  <si>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</si>
  <si>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</si>
  <si>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</si>
  <si>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</si>
  <si>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</si>
  <si>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2003)</t>
  </si>
  <si>
    <t>Profit after tax</t>
  </si>
  <si>
    <t>Minority interest</t>
  </si>
  <si>
    <t>Net profit for the period</t>
  </si>
  <si>
    <t>The Group is not engaged in any material litigation as at the date of this announcement.</t>
  </si>
  <si>
    <t>Segmental Reporting</t>
  </si>
  <si>
    <t>Review of Performance</t>
  </si>
  <si>
    <t>Current Year Prospects</t>
  </si>
  <si>
    <t>Variance of Actual Profit from Forecast Profit</t>
  </si>
  <si>
    <t>Dividend</t>
  </si>
  <si>
    <t>Company Secretary</t>
  </si>
  <si>
    <t>Kuala Lumpur</t>
  </si>
  <si>
    <t>(The figures have not been audited)</t>
  </si>
  <si>
    <t>Bonus issue</t>
  </si>
  <si>
    <t>Current Taxation</t>
  </si>
  <si>
    <t>There were no material  changes in contingent liabilities/assets  since the last annual balance sheet date.</t>
  </si>
  <si>
    <t>QUARTER</t>
  </si>
  <si>
    <t>Current Assets</t>
  </si>
  <si>
    <t>share cancellations, shares held as treasury shares and resale of treasury shares during the</t>
  </si>
  <si>
    <t>Consolidated Profit &amp; Loss Account as at 31st December 1999</t>
  </si>
  <si>
    <t>Nevertheless, there are legal summons which in the opinion of the Board of Directors are immaterial.</t>
  </si>
  <si>
    <t>There were no purchase or disposal of quoted securities for the current financial quarter  ended</t>
  </si>
  <si>
    <t>A) By business segment</t>
  </si>
  <si>
    <t>B) By geographical segment</t>
  </si>
  <si>
    <t>Malaysia</t>
  </si>
  <si>
    <t>Australia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</si>
  <si>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</si>
  <si>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</si>
  <si>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</si>
  <si>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</si>
  <si>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</si>
  <si>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</si>
  <si>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</si>
  <si>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</si>
  <si>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</si>
  <si>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</si>
  <si>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</si>
  <si>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</si>
  <si>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</si>
  <si>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</si>
  <si>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</si>
  <si>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</si>
  <si>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</si>
  <si>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</si>
  <si>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</si>
  <si>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</si>
  <si>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</si>
  <si>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</si>
  <si>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</si>
  <si>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</si>
  <si>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</si>
  <si>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</si>
  <si>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</si>
  <si>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</si>
  <si>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Trade and other receivables</t>
  </si>
  <si>
    <t>Trade  &amp; other payable</t>
  </si>
  <si>
    <t>Declaration of audit qualification</t>
  </si>
  <si>
    <t>The valuation of property, plant and equipment have been brought forward, without amendment from the</t>
  </si>
  <si>
    <t>DATO' R. RAJAKUMARAN A/L M. RAJADURAI (MAICSA 7003699)</t>
  </si>
  <si>
    <t xml:space="preserve">                                                                                 SELECTED EXPLANATORY NOTES TO THE INTERIM FINANCIAL REPORT - MASB 26</t>
  </si>
  <si>
    <t xml:space="preserve">                          Non distributable</t>
  </si>
  <si>
    <t>Revaluation reserve,</t>
  </si>
  <si>
    <t>exchange fuctuation</t>
  </si>
  <si>
    <t>reserve, capital reserve</t>
  </si>
  <si>
    <t>Share</t>
  </si>
  <si>
    <t>Premium</t>
  </si>
  <si>
    <t>currency translations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</si>
  <si>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</si>
  <si>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</si>
  <si>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</si>
  <si>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</si>
  <si>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 xml:space="preserve"> for the quarter ended 30/06/2004.</t>
  </si>
  <si>
    <t>30/06/2003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</si>
  <si>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</si>
  <si>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</si>
  <si>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</si>
  <si>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</si>
  <si>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</si>
  <si>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</si>
  <si>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</si>
  <si>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</si>
  <si>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</si>
  <si>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</si>
  <si>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</si>
  <si>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</si>
  <si>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</si>
  <si>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</si>
  <si>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</si>
  <si>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</si>
  <si>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</si>
  <si>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</si>
  <si>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</si>
  <si>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</si>
  <si>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</si>
  <si>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>announcement, any item, transaction or event of a material and unusual nature likely, in the opinion</t>
  </si>
  <si>
    <t>Interest income</t>
  </si>
  <si>
    <t>Financial Statements for the year ended 31 December 2003)</t>
  </si>
  <si>
    <t>Net Current Assets/ (Liabilities)</t>
  </si>
  <si>
    <t xml:space="preserve"> Statements for the year ended 31 December 2003)</t>
  </si>
  <si>
    <t>Private placement of 15,825,000</t>
  </si>
  <si>
    <t>ordinary shares at RM5.40 each</t>
  </si>
  <si>
    <t>Net profit  for the period</t>
  </si>
  <si>
    <t>Expenses on private placement</t>
  </si>
  <si>
    <t xml:space="preserve"> Annual Financial Statements for the year ended 31 December 2003)</t>
  </si>
  <si>
    <t>current financial quarter ended 30 June 2004.</t>
  </si>
  <si>
    <t xml:space="preserve">There was no dividend paid for the current financial quarter ended 30 June 2004. </t>
  </si>
  <si>
    <t>(a) On 1 April 2004, a 79.16% owned subsidiary company, PSC-Naval Dockyard Sdn Bhd (PSCND) acquired</t>
  </si>
  <si>
    <t>(b) On 28 April 2004, a 100% owned subsidiary company, Penang Shipbuilding &amp; Construction Sdn Bhd (PSC)</t>
  </si>
  <si>
    <t xml:space="preserve">     RM2. PSCND  had subsequently increased its share subscription  in ISS to 1,000,000 ordinary</t>
  </si>
  <si>
    <t xml:space="preserve">     shares of RM1 each  in cash.</t>
  </si>
  <si>
    <t xml:space="preserve">    There were no other changes in the composition of the Group for the current financial quarter ended  </t>
  </si>
  <si>
    <t xml:space="preserve">    30 June 2004.</t>
  </si>
  <si>
    <t>quarter ended 30 June 2004.</t>
  </si>
  <si>
    <t>The basic earnings per share has been calculated based on the Group's net profit for the financial period</t>
  </si>
  <si>
    <t>Reporting and Chapter 9 part K of the Listing Requirements of Bursa Malaysia Securities Berhad</t>
  </si>
  <si>
    <t>(formerly known as Malaysia Securities Exchange Berhad).  The same accounting policies and methods</t>
  </si>
  <si>
    <t>of computation are followed in the interim financial statements as compared with the annual</t>
  </si>
  <si>
    <t>financial statements for the financial year ended 31 December 2003.</t>
  </si>
  <si>
    <t>The interim financial report is to be read in conjunction with the most recent annual financial statements.</t>
  </si>
  <si>
    <t>There were no items affecting the assets, liabilities, equity, net income  or cash flows of the Group</t>
  </si>
  <si>
    <t>that are unusual because of their nature , size or incidence for the current  financial quarter ended</t>
  </si>
  <si>
    <t>annual financial statements for the financial year ended  31 December 2003.</t>
  </si>
  <si>
    <t xml:space="preserve">ADDITIONAL INFORMATION AS REQUIRED BY BMSB LISTING REQUIREMENTS </t>
  </si>
  <si>
    <t>(PART A OF APPENDIX 9B)</t>
  </si>
  <si>
    <t>Barring any unforeseen circumstances, the Board of Directors expects the Group's operating environment</t>
  </si>
  <si>
    <t>to remain challenging and competitive. The offshore patrol vessels project and shiprepairs</t>
  </si>
  <si>
    <t>activities are expected to progress as planned. The group also expect interest saving resulting</t>
  </si>
  <si>
    <t>30.06.2004</t>
  </si>
  <si>
    <t>6 months ended</t>
  </si>
  <si>
    <t>30 .06.2003</t>
  </si>
  <si>
    <t>Balance as at 30.06.2003</t>
  </si>
  <si>
    <t xml:space="preserve">01.01.2004 </t>
  </si>
  <si>
    <t>01.01.2003</t>
  </si>
  <si>
    <t>There were no sale of Investments and/or Properties for the current financial quarter ended</t>
  </si>
  <si>
    <t>2004.</t>
  </si>
  <si>
    <t xml:space="preserve">(Company No. : 11106-V) </t>
  </si>
  <si>
    <t>not materially affected by any seasonal or cyclical factors.</t>
  </si>
  <si>
    <t>Not Applicable.</t>
  </si>
  <si>
    <t>CONDENSED CONSOLIDATED INCOME STATEMENTS</t>
  </si>
  <si>
    <t>CONDENSED CONSOLIDATED BALANCE SHEETS</t>
  </si>
  <si>
    <t>(UNAUDITED)</t>
  </si>
  <si>
    <t>(AUDITED)</t>
  </si>
  <si>
    <t>(The condensed Balance Sheets should be read in conjunction with the Annual  Financial</t>
  </si>
  <si>
    <t>Deposits, bank and cash balances</t>
  </si>
  <si>
    <t xml:space="preserve">Balance as at </t>
  </si>
  <si>
    <t>The auditor's report of the preceding annual financial statements of the Company and of the Group</t>
  </si>
  <si>
    <t>Profit/(loss)</t>
  </si>
  <si>
    <t>Before</t>
  </si>
  <si>
    <t xml:space="preserve">(The condensed Consolidated Statements of Changes in Equity  should be read in conjunction with the </t>
  </si>
  <si>
    <t xml:space="preserve">Overprovision in respect of prior </t>
  </si>
  <si>
    <t xml:space="preserve">   years</t>
  </si>
  <si>
    <t>Intersegment elimination</t>
  </si>
  <si>
    <t>Other operations</t>
  </si>
  <si>
    <t>Distributable</t>
  </si>
  <si>
    <t>Revenue</t>
  </si>
  <si>
    <t>Shipbuilding and shiprepair related activities</t>
  </si>
  <si>
    <t>Property, plant and equipment</t>
  </si>
  <si>
    <t>Material events subsequent to the reporting period</t>
  </si>
  <si>
    <t>Seasonal or cyclical factors</t>
  </si>
  <si>
    <t>Foreign currrency</t>
  </si>
  <si>
    <t>-</t>
  </si>
  <si>
    <t>('000)</t>
  </si>
  <si>
    <t xml:space="preserve">                         CUMULATIVE QUARTER</t>
  </si>
  <si>
    <t xml:space="preserve">       INDIVIDUAL QUARTER</t>
  </si>
  <si>
    <t xml:space="preserve">There has not arisen in the interval between the end of the current quarter  and the date of this </t>
  </si>
  <si>
    <t>Unallocated expenses</t>
  </si>
  <si>
    <t>Finance cost</t>
  </si>
  <si>
    <t xml:space="preserve">There were no issuances or repayment of debts and equity securities, share buy-backs, </t>
  </si>
  <si>
    <t>INDIVIDUAL QUARTER</t>
  </si>
  <si>
    <t>CUMULATIVE QUARTER</t>
  </si>
  <si>
    <t>TO DATE</t>
  </si>
  <si>
    <t>PERIOD</t>
  </si>
  <si>
    <t xml:space="preserve">YEAR </t>
  </si>
  <si>
    <t>is derived from  shipbuilding and shiprepair activities.</t>
  </si>
  <si>
    <t>USD31,579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</si>
  <si>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</si>
  <si>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</si>
  <si>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</si>
  <si>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</si>
  <si>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</si>
  <si>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</si>
  <si>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</si>
  <si>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</si>
  <si>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</si>
  <si>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</si>
  <si>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</si>
  <si>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</si>
  <si>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</si>
  <si>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Total Group Borrowings as at 30 June 2004 are as follows:-</t>
  </si>
  <si>
    <t xml:space="preserve">There was no dividend declared or recommended for the current financial quarter ended 30 June </t>
  </si>
  <si>
    <t>Taxation</t>
  </si>
  <si>
    <t>There were no material events subsequent to the end of the financial period reported</t>
  </si>
  <si>
    <t>that have not been reflected in the financial statements for the said period.</t>
  </si>
  <si>
    <t xml:space="preserve">financial period ended 30 June 2004. The major contribution to the profit for the Group </t>
  </si>
  <si>
    <t>of the current financial quarter or that of prior financial years.</t>
  </si>
  <si>
    <t>from the corporate debt restructuring exercise which is expected to be completed by the fourth quarter 2004.</t>
  </si>
  <si>
    <t>for the quarter ended 30 June 2004 in respect of which this announcement is made.</t>
  </si>
  <si>
    <t xml:space="preserve">     Shareholders , Ministry of International  Trade and Industry and Foreign Investment Committee on 17 May</t>
  </si>
  <si>
    <t xml:space="preserve">     The revised proposals which was announced on 10 March 2004 had obtained approval from the</t>
  </si>
  <si>
    <t>(a) Proposed Debt Restructuring and Restricted Offer for Sale ("revised proposals")</t>
  </si>
  <si>
    <t xml:space="preserve">     Following the decision of SC not approving Actacorp Holdings Berhad's (AHB) proposed restructuring</t>
  </si>
  <si>
    <t xml:space="preserve">     scheme, which includes the above proposals, the Company is currently awaiting a response</t>
  </si>
  <si>
    <t xml:space="preserve">     from AHB on its appeal to SC which was submitted on 11 August 2004.</t>
  </si>
  <si>
    <t xml:space="preserve">  Placement of fixed deposit/(withdrawal from fixed deposit pledged)</t>
  </si>
  <si>
    <t xml:space="preserve">The group recorded a turnover of RM339.0 million and pre-tax profit of RM19.2 million during </t>
  </si>
  <si>
    <t xml:space="preserve">The Group achieved a pre-tax profit of RM1.0 million for the quarter under review as compared to profit </t>
  </si>
  <si>
    <t>of RM18.1 million in the preceding quarter. The decline in profit in the current quarter is mainly due to  lower</t>
  </si>
  <si>
    <t>turnover generated and revision of profit margin for certain projects undertaken by the Group.</t>
  </si>
  <si>
    <t>There were significant reversal of provision for taxation  for the Group made  in previous years as a subsidiary</t>
  </si>
  <si>
    <t xml:space="preserve">(b) Proposed Shipyard disposal , Proposed Tenancy  and Proposed PSC Asset Holdings </t>
  </si>
  <si>
    <t xml:space="preserve">     Sdn Bhd Disposal ("proposals")</t>
  </si>
  <si>
    <t>of  RM22,170,000 over the weighted number of ordinary shares  in issue during the financial period</t>
  </si>
  <si>
    <t xml:space="preserve">     consideration of RM2.</t>
  </si>
  <si>
    <t xml:space="preserve">(c) On 1 June 2004, a 100% owned subsidiary company, PSC Defence Technologies Sdn Bhd  (PSCDT) </t>
  </si>
  <si>
    <t xml:space="preserve">     RM2,999,998. The remaining 2 ordinary  shares of RM1 each in PSCP were subsequently purchased</t>
  </si>
  <si>
    <t xml:space="preserve">     for a cash consideration of RM2 which  resulted in PSC holding 100% equity interest in PSCP.</t>
  </si>
  <si>
    <t xml:space="preserve">company had obtained approval from Ministry of Finance a tax exemption under Section 127 of Income Tax Act, </t>
  </si>
  <si>
    <t xml:space="preserve">1967 where the income generated in relation to the Offshore Patrol Vessel project has been tax exempted for a </t>
  </si>
  <si>
    <t>Apart from the existing local businesses, the Group is pursuing for businesses in overseas market.</t>
  </si>
  <si>
    <t>period of 5 years from the   commencement date of the project.</t>
  </si>
  <si>
    <t xml:space="preserve">     100% equity interest in In-Service Support Technologies Sdn Bhd (ISS) for a cash  consideration of</t>
  </si>
  <si>
    <t xml:space="preserve">     subscribed 2,999,998 shares in PSC Petroleum Sdn Bhd (PSCP) for a cash  consideration of</t>
  </si>
  <si>
    <t xml:space="preserve">     acquired 100% equity interest in Naval &amp; Defence Communication Systems Sdn Bhd for a cash  </t>
  </si>
  <si>
    <t xml:space="preserve">     approval on certain variations.</t>
  </si>
  <si>
    <t xml:space="preserve">     2004, 28 May 2004 and 15 June 2004 respectively and currently pending Securities Commision's (SC) </t>
  </si>
</sst>
</file>

<file path=xl/styles.xml><?xml version="1.0" encoding="utf-8"?>
<styleSheet xmlns="http://schemas.openxmlformats.org/spreadsheetml/2006/main">
  <numFmts count="7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(* #,##0.0_);_(* \(#,##0.0\);_(* &quot;-&quot;??_);_(@_)"/>
    <numFmt numFmtId="186" formatCode="_(* #,##0_);_(* \(#,##0\);_(* &quot;-&quot;??_);_(@_)"/>
    <numFmt numFmtId="187" formatCode="0.0%"/>
    <numFmt numFmtId="188" formatCode="_ * #,##0_ ;_ * \-#,##0_ ;_ * &quot;-&quot;??_ ;_ @_ "/>
    <numFmt numFmtId="189" formatCode="_(* #,##0.0000_);_(* \(#,##0.0000\);_(* &quot;-&quot;??_);_(@_)"/>
    <numFmt numFmtId="190" formatCode="_(* #,##0.000000_);_(* \(#,##0.000000\);_(* &quot;-&quot;??_);_(@_)"/>
    <numFmt numFmtId="191" formatCode="&quot;$&quot;#,##0\ ;\(&quot;$&quot;#,##0\)"/>
    <numFmt numFmtId="192" formatCode="m/d"/>
    <numFmt numFmtId="193" formatCode="0.000%"/>
    <numFmt numFmtId="194" formatCode="#,##0.000_);[Red]\(#,##0.000\)"/>
    <numFmt numFmtId="195" formatCode="#,##0.0_);[Red]\(#,##0.0\)"/>
    <numFmt numFmtId="196" formatCode="_(* #,##0.0_);_(* \(#,##0.0\);_(* &quot;-&quot;?_);_(@_)"/>
    <numFmt numFmtId="197" formatCode="_(* #,##0.0000_);_(* \(#,##0.0000\);_(* &quot;-&quot;????_);_(@_)"/>
    <numFmt numFmtId="198" formatCode="_(* #,##0.00000_);_(* \(#,##0.00000\);_(* &quot;-&quot;?????_);_(@_)"/>
    <numFmt numFmtId="199" formatCode="0.00_);[Red]\(0.00\)"/>
    <numFmt numFmtId="200" formatCode="0.0_);[Red]\(0.0\)"/>
    <numFmt numFmtId="201" formatCode="#,##0.0_);\(#,##0.0\)"/>
    <numFmt numFmtId="202" formatCode="#,##0.000_);\(#,##0.000\)"/>
    <numFmt numFmtId="203" formatCode="#,##0_ ;[Red]\-#,##0\ "/>
    <numFmt numFmtId="204" formatCode="#,##0.0_ ;[Red]\-#,##0.0\ "/>
    <numFmt numFmtId="205" formatCode="_-* #,##0.0000_-;\-* #,##0.0000_-;_-* &quot;-&quot;????_-;_-@_-"/>
    <numFmt numFmtId="206" formatCode="#,##0.00_ ;[Red]\-#,##0.00\ "/>
    <numFmt numFmtId="207" formatCode="_(* #,##0.000_);_(* \(#,##0.000\);_(* &quot;-&quot;??_);_(@_)"/>
    <numFmt numFmtId="208" formatCode="dd\-mmm\-yy"/>
    <numFmt numFmtId="209" formatCode="d\-mmm\-yyyy"/>
    <numFmt numFmtId="210" formatCode="#,##0.000_ ;[Red]\-#,##0.000\ "/>
    <numFmt numFmtId="211" formatCode="0.00000"/>
    <numFmt numFmtId="212" formatCode="&quot;L.&quot;\ #,##0.00;[Red]\-&quot;L.&quot;\ #,##0.00"/>
    <numFmt numFmtId="213" formatCode="#,##0\ &quot;F&quot;;[Red]\-#,##0\ &quot;F&quot;"/>
    <numFmt numFmtId="214" formatCode="#,##0.00\ &quot;F&quot;;[Red]\-#,##0.00\ &quot;F&quot;"/>
    <numFmt numFmtId="215" formatCode="[hhhhh]:mm:ss"/>
    <numFmt numFmtId="216" formatCode="#,##0;[Red]#,##0"/>
    <numFmt numFmtId="217" formatCode="_(&quot;$&quot;* #,##0_);_(&quot;$&quot;* \(#,##0\);_(&quot;$&quot;* &quot;-  &quot;_);_(@_)"/>
    <numFmt numFmtId="218" formatCode="_(* #,##0_);_(* \(#,##0\);_(* &quot;-  &quot;_);_(@_)"/>
    <numFmt numFmtId="219" formatCode="_(&quot;$&quot;* #,##0.0_);_(&quot;$&quot;* \(#,##0.0\);_(&quot;$&quot;* &quot;-&quot;??_);_(@_)"/>
    <numFmt numFmtId="220" formatCode="_(&quot;$&quot;* #,##0_);_(&quot;$&quot;* \(#,##0\);_(&quot;$&quot;* &quot;-&quot;??_);_(@_)"/>
    <numFmt numFmtId="221" formatCode="_(&quot;$&quot;* #,##0.000_);_(&quot;$&quot;* \(#,##0.000\);_(&quot;$&quot;* &quot;-&quot;??_);_(@_)"/>
    <numFmt numFmtId="222" formatCode="_(&quot;$&quot;* #,##0.0000_);_(&quot;$&quot;* \(#,##0.0000\);_(&quot;$&quot;* &quot;-&quot;??_);_(@_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_(* #,##0.00000_);_(* \(#,##0.00000\);_(* &quot;-&quot;??_);_(@_)"/>
    <numFmt numFmtId="227" formatCode="dd/mm/yyyy"/>
    <numFmt numFmtId="228" formatCode="0.000_);[Red]\(0.000\)"/>
    <numFmt numFmtId="229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6" fontId="0" fillId="0" borderId="0" xfId="15" applyNumberFormat="1" applyAlignment="1">
      <alignment/>
    </xf>
    <xf numFmtId="186" fontId="0" fillId="0" borderId="2" xfId="15" applyNumberFormat="1" applyBorder="1" applyAlignment="1">
      <alignment/>
    </xf>
    <xf numFmtId="186" fontId="0" fillId="0" borderId="3" xfId="15" applyNumberFormat="1" applyBorder="1" applyAlignment="1">
      <alignment/>
    </xf>
    <xf numFmtId="186" fontId="0" fillId="0" borderId="4" xfId="15" applyNumberFormat="1" applyBorder="1" applyAlignment="1">
      <alignment/>
    </xf>
    <xf numFmtId="186" fontId="0" fillId="0" borderId="0" xfId="15" applyNumberFormat="1" applyBorder="1" applyAlignment="1">
      <alignment/>
    </xf>
    <xf numFmtId="186" fontId="1" fillId="0" borderId="0" xfId="15" applyNumberFormat="1" applyFont="1" applyBorder="1" applyAlignment="1">
      <alignment/>
    </xf>
    <xf numFmtId="186" fontId="1" fillId="0" borderId="5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6" fontId="0" fillId="0" borderId="14" xfId="15" applyNumberFormat="1" applyBorder="1" applyAlignment="1">
      <alignment/>
    </xf>
    <xf numFmtId="186" fontId="0" fillId="0" borderId="15" xfId="15" applyNumberFormat="1" applyBorder="1" applyAlignment="1">
      <alignment/>
    </xf>
    <xf numFmtId="186" fontId="1" fillId="0" borderId="16" xfId="15" applyNumberFormat="1" applyFont="1" applyBorder="1" applyAlignment="1">
      <alignment/>
    </xf>
    <xf numFmtId="9" fontId="1" fillId="0" borderId="12" xfId="29" applyFont="1" applyBorder="1" applyAlignment="1">
      <alignment horizontal="center"/>
    </xf>
    <xf numFmtId="186" fontId="0" fillId="0" borderId="13" xfId="15" applyNumberFormat="1" applyBorder="1" applyAlignment="1">
      <alignment/>
    </xf>
    <xf numFmtId="186" fontId="0" fillId="0" borderId="6" xfId="15" applyNumberFormat="1" applyBorder="1" applyAlignment="1">
      <alignment/>
    </xf>
    <xf numFmtId="186" fontId="1" fillId="0" borderId="12" xfId="15" applyNumberFormat="1" applyFont="1" applyBorder="1" applyAlignment="1">
      <alignment/>
    </xf>
    <xf numFmtId="186" fontId="0" fillId="0" borderId="17" xfId="15" applyNumberFormat="1" applyBorder="1" applyAlignment="1">
      <alignment/>
    </xf>
    <xf numFmtId="186" fontId="0" fillId="0" borderId="18" xfId="15" applyNumberFormat="1" applyBorder="1" applyAlignment="1">
      <alignment/>
    </xf>
    <xf numFmtId="186" fontId="1" fillId="0" borderId="19" xfId="15" applyNumberFormat="1" applyFont="1" applyBorder="1" applyAlignment="1">
      <alignment/>
    </xf>
    <xf numFmtId="186" fontId="0" fillId="0" borderId="13" xfId="15" applyNumberFormat="1" applyFill="1" applyBorder="1" applyAlignment="1">
      <alignment/>
    </xf>
    <xf numFmtId="186" fontId="0" fillId="0" borderId="18" xfId="15" applyNumberFormat="1" applyFont="1" applyBorder="1" applyAlignment="1">
      <alignment/>
    </xf>
    <xf numFmtId="0" fontId="1" fillId="0" borderId="20" xfId="0" applyFont="1" applyBorder="1" applyAlignment="1">
      <alignment/>
    </xf>
    <xf numFmtId="186" fontId="0" fillId="0" borderId="21" xfId="15" applyNumberFormat="1" applyBorder="1" applyAlignment="1">
      <alignment/>
    </xf>
    <xf numFmtId="186" fontId="0" fillId="0" borderId="22" xfId="15" applyNumberFormat="1" applyBorder="1" applyAlignment="1">
      <alignment/>
    </xf>
    <xf numFmtId="186" fontId="1" fillId="0" borderId="20" xfId="15" applyNumberFormat="1" applyFont="1" applyBorder="1" applyAlignment="1">
      <alignment/>
    </xf>
    <xf numFmtId="9" fontId="1" fillId="0" borderId="20" xfId="29" applyFont="1" applyBorder="1" applyAlignment="1">
      <alignment horizontal="center"/>
    </xf>
    <xf numFmtId="0" fontId="7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6" fontId="0" fillId="0" borderId="27" xfId="15" applyNumberFormat="1" applyBorder="1" applyAlignment="1">
      <alignment/>
    </xf>
    <xf numFmtId="186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86" fontId="0" fillId="0" borderId="35" xfId="15" applyNumberFormat="1" applyBorder="1" applyAlignment="1">
      <alignment/>
    </xf>
    <xf numFmtId="186" fontId="0" fillId="0" borderId="34" xfId="15" applyNumberFormat="1" applyBorder="1" applyAlignment="1">
      <alignment/>
    </xf>
    <xf numFmtId="186" fontId="0" fillId="0" borderId="36" xfId="15" applyNumberFormat="1" applyBorder="1" applyAlignment="1">
      <alignment/>
    </xf>
    <xf numFmtId="186" fontId="0" fillId="0" borderId="37" xfId="15" applyNumberFormat="1" applyBorder="1" applyAlignment="1">
      <alignment/>
    </xf>
    <xf numFmtId="186" fontId="0" fillId="0" borderId="38" xfId="15" applyNumberFormat="1" applyBorder="1" applyAlignment="1">
      <alignment/>
    </xf>
    <xf numFmtId="175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3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6" fontId="7" fillId="0" borderId="12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6" fontId="7" fillId="0" borderId="0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186" fontId="8" fillId="0" borderId="33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33" xfId="0" applyFont="1" applyBorder="1" applyAlignment="1">
      <alignment/>
    </xf>
    <xf numFmtId="186" fontId="7" fillId="0" borderId="41" xfId="15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186" fontId="8" fillId="0" borderId="33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42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6" fontId="0" fillId="0" borderId="28" xfId="15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6" fontId="0" fillId="0" borderId="27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38" fontId="0" fillId="0" borderId="2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20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03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204" fontId="0" fillId="0" borderId="0" xfId="0" applyNumberFormat="1" applyFill="1" applyAlignment="1">
      <alignment/>
    </xf>
    <xf numFmtId="204" fontId="0" fillId="0" borderId="0" xfId="0" applyNumberFormat="1" applyAlignment="1">
      <alignment/>
    </xf>
    <xf numFmtId="186" fontId="0" fillId="0" borderId="3" xfId="0" applyNumberFormat="1" applyFill="1" applyBorder="1" applyAlignment="1">
      <alignment/>
    </xf>
    <xf numFmtId="186" fontId="0" fillId="0" borderId="6" xfId="0" applyNumberFormat="1" applyBorder="1" applyAlignment="1">
      <alignment/>
    </xf>
    <xf numFmtId="186" fontId="0" fillId="0" borderId="3" xfId="0" applyNumberFormat="1" applyBorder="1" applyAlignment="1">
      <alignment/>
    </xf>
    <xf numFmtId="186" fontId="0" fillId="0" borderId="28" xfId="0" applyNumberFormat="1" applyFill="1" applyBorder="1" applyAlignment="1">
      <alignment/>
    </xf>
    <xf numFmtId="186" fontId="0" fillId="0" borderId="27" xfId="0" applyNumberFormat="1" applyFill="1" applyBorder="1" applyAlignment="1">
      <alignment/>
    </xf>
    <xf numFmtId="186" fontId="0" fillId="0" borderId="25" xfId="0" applyNumberFormat="1" applyFill="1" applyBorder="1" applyAlignment="1">
      <alignment/>
    </xf>
    <xf numFmtId="186" fontId="0" fillId="0" borderId="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186" fontId="0" fillId="0" borderId="44" xfId="0" applyNumberFormat="1" applyBorder="1" applyAlignment="1">
      <alignment/>
    </xf>
    <xf numFmtId="186" fontId="0" fillId="0" borderId="45" xfId="0" applyNumberFormat="1" applyFill="1" applyBorder="1" applyAlignment="1">
      <alignment/>
    </xf>
    <xf numFmtId="186" fontId="0" fillId="0" borderId="4" xfId="0" applyNumberFormat="1" applyBorder="1" applyAlignment="1">
      <alignment/>
    </xf>
    <xf numFmtId="186" fontId="0" fillId="0" borderId="46" xfId="0" applyNumberFormat="1" applyFill="1" applyBorder="1" applyAlignment="1">
      <alignment/>
    </xf>
    <xf numFmtId="15" fontId="10" fillId="0" borderId="0" xfId="0" applyNumberFormat="1" applyFont="1" applyAlignment="1" quotePrefix="1">
      <alignment horizontal="left"/>
    </xf>
    <xf numFmtId="186" fontId="0" fillId="0" borderId="0" xfId="0" applyNumberFormat="1" applyAlignment="1">
      <alignment horizontal="right"/>
    </xf>
    <xf numFmtId="0" fontId="1" fillId="0" borderId="46" xfId="0" applyFont="1" applyBorder="1" applyAlignment="1">
      <alignment/>
    </xf>
    <xf numFmtId="186" fontId="0" fillId="0" borderId="0" xfId="0" applyNumberFormat="1" applyFont="1" applyAlignment="1">
      <alignment horizontal="center"/>
    </xf>
    <xf numFmtId="206" fontId="0" fillId="0" borderId="0" xfId="0" applyNumberFormat="1" applyAlignment="1">
      <alignment/>
    </xf>
    <xf numFmtId="0" fontId="1" fillId="0" borderId="44" xfId="0" applyFon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6" fontId="0" fillId="0" borderId="0" xfId="18" applyNumberFormat="1" applyAlignment="1">
      <alignment/>
    </xf>
    <xf numFmtId="186" fontId="0" fillId="0" borderId="28" xfId="0" applyNumberFormat="1" applyBorder="1" applyAlignment="1">
      <alignment/>
    </xf>
    <xf numFmtId="186" fontId="0" fillId="0" borderId="42" xfId="0" applyNumberFormat="1" applyBorder="1" applyAlignment="1">
      <alignment/>
    </xf>
    <xf numFmtId="38" fontId="3" fillId="0" borderId="0" xfId="17" applyNumberFormat="1" applyFont="1" applyAlignment="1">
      <alignment/>
    </xf>
    <xf numFmtId="186" fontId="0" fillId="0" borderId="27" xfId="17" applyNumberFormat="1" applyBorder="1" applyAlignment="1">
      <alignment/>
    </xf>
    <xf numFmtId="38" fontId="0" fillId="0" borderId="0" xfId="17" applyNumberFormat="1" applyFont="1" applyAlignment="1">
      <alignment/>
    </xf>
    <xf numFmtId="186" fontId="0" fillId="0" borderId="3" xfId="17" applyNumberFormat="1" applyBorder="1" applyAlignment="1">
      <alignment/>
    </xf>
    <xf numFmtId="186" fontId="0" fillId="0" borderId="3" xfId="17" applyNumberFormat="1" applyFont="1" applyBorder="1" applyAlignment="1">
      <alignment horizontal="right"/>
    </xf>
    <xf numFmtId="186" fontId="0" fillId="0" borderId="27" xfId="17" applyNumberFormat="1" applyFont="1" applyBorder="1" applyAlignment="1">
      <alignment/>
    </xf>
    <xf numFmtId="186" fontId="0" fillId="0" borderId="3" xfId="17" applyNumberFormat="1" applyFont="1" applyBorder="1" applyAlignment="1">
      <alignment/>
    </xf>
    <xf numFmtId="186" fontId="1" fillId="0" borderId="47" xfId="17" applyNumberFormat="1" applyFont="1" applyBorder="1" applyAlignment="1">
      <alignment/>
    </xf>
    <xf numFmtId="186" fontId="0" fillId="0" borderId="4" xfId="17" applyNumberFormat="1" applyFont="1" applyBorder="1" applyAlignment="1">
      <alignment/>
    </xf>
    <xf numFmtId="186" fontId="1" fillId="0" borderId="0" xfId="17" applyNumberFormat="1" applyFont="1" applyBorder="1" applyAlignment="1">
      <alignment/>
    </xf>
    <xf numFmtId="186" fontId="1" fillId="0" borderId="46" xfId="17" applyNumberFormat="1" applyFont="1" applyBorder="1" applyAlignment="1">
      <alignment/>
    </xf>
    <xf numFmtId="38" fontId="1" fillId="0" borderId="0" xfId="17" applyNumberFormat="1" applyFont="1" applyAlignment="1">
      <alignment horizontal="center"/>
    </xf>
    <xf numFmtId="38" fontId="0" fillId="0" borderId="0" xfId="17" applyNumberFormat="1" applyFont="1" applyAlignment="1">
      <alignment horizontal="center"/>
    </xf>
    <xf numFmtId="186" fontId="0" fillId="0" borderId="0" xfId="17" applyNumberFormat="1" applyFont="1" applyAlignment="1">
      <alignment horizontal="right"/>
    </xf>
    <xf numFmtId="186" fontId="0" fillId="0" borderId="0" xfId="17" applyNumberFormat="1" applyFont="1" applyAlignment="1">
      <alignment/>
    </xf>
    <xf numFmtId="186" fontId="0" fillId="0" borderId="0" xfId="17" applyNumberFormat="1" applyFont="1" applyBorder="1" applyAlignment="1">
      <alignment/>
    </xf>
    <xf numFmtId="186" fontId="1" fillId="0" borderId="5" xfId="17" applyNumberFormat="1" applyFont="1" applyBorder="1" applyAlignment="1">
      <alignment/>
    </xf>
    <xf numFmtId="38" fontId="7" fillId="0" borderId="0" xfId="17" applyNumberFormat="1" applyFont="1" applyAlignment="1">
      <alignment/>
    </xf>
    <xf numFmtId="186" fontId="0" fillId="0" borderId="3" xfId="17" applyNumberFormat="1" applyFont="1" applyBorder="1" applyAlignment="1">
      <alignment horizontal="center"/>
    </xf>
    <xf numFmtId="186" fontId="1" fillId="0" borderId="3" xfId="17" applyNumberFormat="1" applyFont="1" applyBorder="1" applyAlignment="1">
      <alignment horizontal="center"/>
    </xf>
    <xf numFmtId="186" fontId="3" fillId="0" borderId="3" xfId="17" applyNumberFormat="1" applyFont="1" applyBorder="1" applyAlignment="1">
      <alignment horizontal="center"/>
    </xf>
    <xf numFmtId="186" fontId="1" fillId="0" borderId="10" xfId="17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5" xfId="0" applyFont="1" applyBorder="1" applyAlignment="1">
      <alignment/>
    </xf>
    <xf numFmtId="186" fontId="1" fillId="0" borderId="45" xfId="17" applyNumberFormat="1" applyFont="1" applyBorder="1" applyAlignment="1">
      <alignment/>
    </xf>
    <xf numFmtId="186" fontId="1" fillId="0" borderId="0" xfId="17" applyNumberFormat="1" applyFont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209" fontId="6" fillId="0" borderId="0" xfId="0" applyNumberFormat="1" applyFont="1" applyAlignment="1" quotePrefix="1">
      <alignment horizontal="right"/>
    </xf>
    <xf numFmtId="38" fontId="0" fillId="0" borderId="5" xfId="0" applyNumberFormat="1" applyBorder="1" applyAlignment="1">
      <alignment/>
    </xf>
    <xf numFmtId="186" fontId="0" fillId="0" borderId="5" xfId="0" applyNumberFormat="1" applyBorder="1" applyAlignment="1">
      <alignment/>
    </xf>
    <xf numFmtId="186" fontId="0" fillId="0" borderId="6" xfId="17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86" fontId="1" fillId="0" borderId="27" xfId="17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42" xfId="0" applyNumberFormat="1" applyFont="1" applyFill="1" applyBorder="1" applyAlignment="1">
      <alignment horizontal="center"/>
    </xf>
    <xf numFmtId="49" fontId="0" fillId="0" borderId="42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5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8" xfId="0" applyFont="1" applyBorder="1" applyAlignment="1">
      <alignment horizontal="center"/>
    </xf>
  </cellXfs>
  <cellStyles count="17">
    <cellStyle name="Normal" xfId="0"/>
    <cellStyle name="Comma" xfId="15"/>
    <cellStyle name="Comma [0]" xfId="16"/>
    <cellStyle name="Comma_4thQTR03" xfId="17"/>
    <cellStyle name="Comma_KLSEQR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314</v>
      </c>
      <c r="V1" s="2" t="s">
        <v>13</v>
      </c>
    </row>
    <row r="2" spans="1:22" ht="15.75">
      <c r="A2" s="2" t="s">
        <v>158</v>
      </c>
      <c r="V2" s="2" t="s">
        <v>158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316</v>
      </c>
      <c r="C4" s="17" t="s">
        <v>317</v>
      </c>
      <c r="D4" s="17" t="s">
        <v>318</v>
      </c>
      <c r="E4" s="17" t="s">
        <v>319</v>
      </c>
      <c r="F4" s="17" t="s">
        <v>320</v>
      </c>
      <c r="G4" s="17" t="s">
        <v>321</v>
      </c>
      <c r="H4" s="17" t="s">
        <v>322</v>
      </c>
      <c r="I4" s="93" t="s">
        <v>31</v>
      </c>
      <c r="J4" s="18"/>
      <c r="K4" s="19" t="s">
        <v>32</v>
      </c>
      <c r="L4" s="20" t="s">
        <v>33</v>
      </c>
      <c r="M4" s="20"/>
      <c r="N4" s="19" t="s">
        <v>32</v>
      </c>
      <c r="O4" s="18"/>
      <c r="P4" s="18"/>
      <c r="Q4" s="19" t="s">
        <v>4</v>
      </c>
      <c r="R4" s="18"/>
      <c r="S4" s="21" t="s">
        <v>3</v>
      </c>
      <c r="T4" s="19" t="s">
        <v>34</v>
      </c>
      <c r="V4" s="15" t="s">
        <v>0</v>
      </c>
      <c r="W4" s="16" t="s">
        <v>315</v>
      </c>
      <c r="X4" s="17" t="s">
        <v>7</v>
      </c>
      <c r="Y4" s="17" t="s">
        <v>8</v>
      </c>
      <c r="Z4" s="17" t="s">
        <v>9</v>
      </c>
      <c r="AA4" s="17" t="s">
        <v>10</v>
      </c>
      <c r="AB4" s="17" t="s">
        <v>35</v>
      </c>
      <c r="AC4" s="17" t="s">
        <v>12</v>
      </c>
      <c r="AD4" s="17" t="s">
        <v>11</v>
      </c>
      <c r="AE4" s="17" t="s">
        <v>14</v>
      </c>
      <c r="AF4" s="17" t="s">
        <v>36</v>
      </c>
      <c r="AG4" s="18"/>
      <c r="AH4" s="19" t="s">
        <v>37</v>
      </c>
      <c r="AJ4" s="19" t="s">
        <v>4</v>
      </c>
      <c r="AK4" s="18"/>
      <c r="AL4" s="21" t="s">
        <v>3</v>
      </c>
      <c r="AM4" s="19" t="s">
        <v>34</v>
      </c>
    </row>
    <row r="5" spans="1:39" ht="13.5" thickBot="1">
      <c r="A5" s="90" t="s">
        <v>38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324</v>
      </c>
      <c r="M5" s="18" t="s">
        <v>325</v>
      </c>
      <c r="N5" s="19" t="s">
        <v>47</v>
      </c>
      <c r="O5" s="18"/>
      <c r="P5" s="26"/>
      <c r="Q5" s="27"/>
      <c r="R5" s="26"/>
      <c r="S5" s="27"/>
      <c r="T5" s="28"/>
      <c r="V5" s="22" t="s">
        <v>38</v>
      </c>
      <c r="W5" s="23">
        <v>1</v>
      </c>
      <c r="X5" s="29">
        <v>0.8807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</v>
      </c>
      <c r="B7" s="33">
        <v>0</v>
      </c>
      <c r="C7" s="34">
        <v>15709428</v>
      </c>
      <c r="D7" s="34">
        <v>669901.26</v>
      </c>
      <c r="E7" s="34">
        <v>1868706.49</v>
      </c>
      <c r="F7" s="34">
        <v>5734855.64</v>
      </c>
      <c r="G7" s="34">
        <v>0</v>
      </c>
      <c r="H7" s="34">
        <v>0</v>
      </c>
      <c r="I7" s="95">
        <f>AH7</f>
        <v>543779171.4833333</v>
      </c>
      <c r="J7" s="9"/>
      <c r="K7" s="35">
        <f>SUM(B7:I7)</f>
        <v>567762062.8733333</v>
      </c>
      <c r="L7" s="10"/>
      <c r="M7" s="10"/>
      <c r="N7" s="35">
        <f>K7-L7</f>
        <v>567762062.8733333</v>
      </c>
      <c r="O7" s="10"/>
      <c r="P7" s="10"/>
      <c r="Q7" s="35">
        <v>358674721</v>
      </c>
      <c r="R7" s="10"/>
      <c r="S7" s="35">
        <f>K7-Q7</f>
        <v>209087341.87333333</v>
      </c>
      <c r="T7" s="36">
        <f>S7/Q7</f>
        <v>0.5829441821001189</v>
      </c>
      <c r="V7" s="25" t="s">
        <v>1</v>
      </c>
      <c r="W7" s="33">
        <v>43235894.67</v>
      </c>
      <c r="X7" s="34">
        <v>41695852</v>
      </c>
      <c r="Y7" s="34">
        <f>8842498000/2400*3.8</f>
        <v>14000621.833333332</v>
      </c>
      <c r="Z7" s="34">
        <v>440822248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543779171.4833333</v>
      </c>
      <c r="AJ7" s="35">
        <v>346259892</v>
      </c>
      <c r="AK7" s="10"/>
      <c r="AL7" s="35">
        <f>AH7-AJ7</f>
        <v>197519279.48333335</v>
      </c>
      <c r="AM7" s="36">
        <f>AL7/AJ7</f>
        <v>0.570436495958167</v>
      </c>
    </row>
    <row r="8" spans="1:39" ht="21" customHeight="1" thickTop="1">
      <c r="A8" s="88" t="s">
        <v>5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5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39</v>
      </c>
      <c r="B9" s="37">
        <v>107365.05</v>
      </c>
      <c r="C9" s="38">
        <v>79842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39623680.6</v>
      </c>
      <c r="J9" s="9"/>
      <c r="K9" s="39">
        <f>SUM(B9:I9)</f>
        <v>40255013.34</v>
      </c>
      <c r="L9" s="10"/>
      <c r="M9" s="10"/>
      <c r="N9" s="39">
        <f>K9</f>
        <v>40255013.34</v>
      </c>
      <c r="O9" s="10"/>
      <c r="P9" s="10"/>
      <c r="Q9" s="39">
        <v>17007728</v>
      </c>
      <c r="R9" s="10"/>
      <c r="S9" s="39">
        <f>K9-Q9</f>
        <v>23247285.340000004</v>
      </c>
      <c r="T9" s="36">
        <f>S9/Q9</f>
        <v>1.3668660117330194</v>
      </c>
      <c r="V9" s="25" t="s">
        <v>39</v>
      </c>
      <c r="W9" s="37">
        <v>14351063.11</v>
      </c>
      <c r="X9" s="38">
        <v>0</v>
      </c>
      <c r="Y9" s="38">
        <v>0</v>
      </c>
      <c r="Z9" s="38">
        <v>25000000</v>
      </c>
      <c r="AA9" s="38">
        <v>80211.49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39623680.6</v>
      </c>
      <c r="AJ9" s="39">
        <v>11263550</v>
      </c>
      <c r="AK9" s="10"/>
      <c r="AL9" s="39">
        <f>AH9-AJ9</f>
        <v>28360130.6</v>
      </c>
      <c r="AM9" s="36">
        <f>AL9/AJ9</f>
        <v>2.517867865814952</v>
      </c>
    </row>
    <row r="10" spans="1:39" ht="33" customHeight="1">
      <c r="A10" s="88" t="s">
        <v>40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40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41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41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42</v>
      </c>
      <c r="B12" s="37">
        <f aca="true" t="shared" si="0" ref="B12:I12">B15+B13+B14</f>
        <v>3501325.439999999</v>
      </c>
      <c r="C12" s="38">
        <f t="shared" si="0"/>
        <v>1059772</v>
      </c>
      <c r="D12" s="38">
        <f t="shared" si="0"/>
        <v>106238.92</v>
      </c>
      <c r="E12" s="38">
        <f t="shared" si="0"/>
        <v>25638.399999999998</v>
      </c>
      <c r="F12" s="38">
        <f t="shared" si="0"/>
        <v>3863020.48</v>
      </c>
      <c r="G12" s="38">
        <f t="shared" si="0"/>
        <v>-78682</v>
      </c>
      <c r="H12" s="38">
        <f t="shared" si="0"/>
        <v>-59225</v>
      </c>
      <c r="I12" s="96">
        <f t="shared" si="0"/>
        <v>57889898.38666666</v>
      </c>
      <c r="J12" s="9"/>
      <c r="K12" s="39">
        <f aca="true" t="shared" si="1" ref="K12:K19">SUM(B12:I12)</f>
        <v>66307986.626666665</v>
      </c>
      <c r="L12" s="10"/>
      <c r="M12" s="10"/>
      <c r="N12" s="39">
        <f>K12-L12</f>
        <v>66307986.626666665</v>
      </c>
      <c r="O12" s="10"/>
      <c r="P12" s="10"/>
      <c r="Q12" s="39">
        <f>Q15+Q13</f>
        <v>64240257</v>
      </c>
      <c r="R12" s="10"/>
      <c r="S12" s="39">
        <f>K12-Q12</f>
        <v>2067729.626666665</v>
      </c>
      <c r="T12" s="36">
        <f>S12/Q12</f>
        <v>0.03218744325177069</v>
      </c>
      <c r="V12" s="25" t="s">
        <v>42</v>
      </c>
      <c r="W12" s="38">
        <f aca="true" t="shared" si="2" ref="W12:AF12">W15+W13+W14</f>
        <v>-27325895.28</v>
      </c>
      <c r="X12" s="38">
        <f t="shared" si="2"/>
        <v>-3541640.5</v>
      </c>
      <c r="Y12" s="38">
        <f t="shared" si="2"/>
        <v>-50956.833333333256</v>
      </c>
      <c r="Z12" s="38">
        <f t="shared" si="2"/>
        <v>89779444</v>
      </c>
      <c r="AA12" s="38">
        <f t="shared" si="2"/>
        <v>296212.18000000005</v>
      </c>
      <c r="AB12" s="38">
        <f t="shared" si="2"/>
        <v>-831575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57889898.38666667</v>
      </c>
      <c r="AJ12" s="39">
        <f>AJ15+AJ13</f>
        <v>58840816</v>
      </c>
      <c r="AK12" s="10"/>
      <c r="AL12" s="39">
        <f>AH12-AJ12</f>
        <v>-950917.6133333296</v>
      </c>
      <c r="AM12" s="36">
        <f>AL12/AJ12</f>
        <v>-0.016160850205295074</v>
      </c>
    </row>
    <row r="13" spans="1:39" ht="36" customHeight="1">
      <c r="A13" s="88" t="s">
        <v>6</v>
      </c>
      <c r="B13" s="6">
        <f>18598507.79+70213.7</f>
        <v>18668721.49</v>
      </c>
      <c r="C13" s="7">
        <v>108388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27023797.06</v>
      </c>
      <c r="J13" s="9"/>
      <c r="K13" s="42">
        <f t="shared" si="1"/>
        <v>49157504.519999996</v>
      </c>
      <c r="L13" s="10"/>
      <c r="M13" s="10"/>
      <c r="N13" s="42">
        <f>K13</f>
        <v>49157504.519999996</v>
      </c>
      <c r="O13" s="10"/>
      <c r="P13" s="10"/>
      <c r="Q13" s="42">
        <v>29135318</v>
      </c>
      <c r="R13" s="10"/>
      <c r="S13" s="42">
        <f>K13-Q13</f>
        <v>20022186.519999996</v>
      </c>
      <c r="T13" s="36">
        <f>S13/Q13</f>
        <v>0.6872135914219297</v>
      </c>
      <c r="V13" s="25" t="s">
        <v>6</v>
      </c>
      <c r="W13" s="40">
        <v>25304583.4</v>
      </c>
      <c r="X13" s="41">
        <v>0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27023797.06</v>
      </c>
      <c r="AJ13" s="42">
        <v>16915356</v>
      </c>
      <c r="AK13" s="10"/>
      <c r="AL13" s="42">
        <f>AH13-AJ13</f>
        <v>10108441.059999999</v>
      </c>
      <c r="AM13" s="36">
        <f>AL13/AJ13</f>
        <v>0.5975896138396377</v>
      </c>
    </row>
    <row r="14" spans="1:39" ht="36" customHeight="1">
      <c r="A14" s="88" t="s">
        <v>43</v>
      </c>
      <c r="B14" s="40">
        <v>96365.72</v>
      </c>
      <c r="C14" s="41">
        <v>908224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14488172.65</v>
      </c>
      <c r="J14" s="9"/>
      <c r="K14" s="42">
        <f t="shared" si="1"/>
        <v>15617489.38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43</v>
      </c>
      <c r="W14" s="37">
        <v>4780909</v>
      </c>
      <c r="X14" s="38">
        <v>1698307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14488172.65</v>
      </c>
      <c r="AJ14" s="39"/>
      <c r="AK14" s="10"/>
      <c r="AL14" s="39"/>
      <c r="AM14" s="36"/>
    </row>
    <row r="15" spans="1:39" ht="41.25" customHeight="1">
      <c r="A15" s="88" t="s">
        <v>44</v>
      </c>
      <c r="B15" s="37">
        <f>-19685813.95+4422052.18</f>
        <v>-15263761.77</v>
      </c>
      <c r="C15" s="38">
        <v>43160</v>
      </c>
      <c r="D15" s="38">
        <v>37462.75</v>
      </c>
      <c r="E15" s="38">
        <v>-3008.86</v>
      </c>
      <c r="F15" s="38">
        <v>479118.93</v>
      </c>
      <c r="G15" s="38">
        <v>-78682</v>
      </c>
      <c r="H15" s="38">
        <v>-59225</v>
      </c>
      <c r="I15" s="96">
        <f t="shared" si="4"/>
        <v>16377928.676666666</v>
      </c>
      <c r="J15" s="9"/>
      <c r="K15" s="39">
        <f t="shared" si="1"/>
        <v>1532992.7266666666</v>
      </c>
      <c r="L15" s="10"/>
      <c r="M15" s="10"/>
      <c r="N15" s="39">
        <f>K15-L15</f>
        <v>1532992.7266666666</v>
      </c>
      <c r="O15" s="10"/>
      <c r="P15" s="10"/>
      <c r="Q15" s="39">
        <v>35104939</v>
      </c>
      <c r="R15" s="10"/>
      <c r="S15" s="39">
        <f>K15-Q15</f>
        <v>-33571946.27333333</v>
      </c>
      <c r="T15" s="36">
        <f>S15/Q15</f>
        <v>-0.9563311382860781</v>
      </c>
      <c r="V15" s="25" t="s">
        <v>44</v>
      </c>
      <c r="W15" s="43">
        <v>-57411387.68</v>
      </c>
      <c r="X15" s="38">
        <f>-2095979*2.5</f>
        <v>-5239947.5</v>
      </c>
      <c r="Y15" s="38">
        <f>-684958000/2400*3.8</f>
        <v>-1084516.8333333333</v>
      </c>
      <c r="Z15" s="38">
        <v>82146444</v>
      </c>
      <c r="AA15" s="38">
        <v>202894.87</v>
      </c>
      <c r="AB15" s="38">
        <v>-1756361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16377928.676666666</v>
      </c>
      <c r="AJ15" s="39">
        <v>41925460</v>
      </c>
      <c r="AK15" s="10"/>
      <c r="AL15" s="39">
        <f>AH15-AJ15</f>
        <v>-25547531.323333334</v>
      </c>
      <c r="AM15" s="36">
        <f>AL15/AJ15</f>
        <v>-0.6093560171631589</v>
      </c>
    </row>
    <row r="16" spans="1:39" ht="34.5" customHeight="1">
      <c r="A16" s="88" t="s">
        <v>329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329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2</v>
      </c>
      <c r="B17" s="37">
        <f>B15+B16</f>
        <v>-14896082.33</v>
      </c>
      <c r="C17" s="38">
        <f aca="true" t="shared" si="5" ref="C17:H17">C15</f>
        <v>43160</v>
      </c>
      <c r="D17" s="38">
        <f t="shared" si="5"/>
        <v>37462.75</v>
      </c>
      <c r="E17" s="38">
        <f t="shared" si="5"/>
        <v>-3008.86</v>
      </c>
      <c r="F17" s="38">
        <f t="shared" si="5"/>
        <v>479118.93</v>
      </c>
      <c r="G17" s="38">
        <f t="shared" si="5"/>
        <v>-78682</v>
      </c>
      <c r="H17" s="38">
        <f t="shared" si="5"/>
        <v>-59225</v>
      </c>
      <c r="I17" s="96">
        <f t="shared" si="4"/>
        <v>16377928.676666666</v>
      </c>
      <c r="J17" s="9"/>
      <c r="K17" s="39">
        <f t="shared" si="1"/>
        <v>1900672.166666666</v>
      </c>
      <c r="L17" s="10"/>
      <c r="M17" s="10"/>
      <c r="N17" s="39">
        <f>N15-N16</f>
        <v>1532992.7266666666</v>
      </c>
      <c r="O17" s="10"/>
      <c r="P17" s="10"/>
      <c r="Q17" s="39">
        <f>Q15-Q16</f>
        <v>35104939</v>
      </c>
      <c r="R17" s="10"/>
      <c r="S17" s="39">
        <f>K17-Q17</f>
        <v>-33204266.833333336</v>
      </c>
      <c r="T17" s="36">
        <f>S17/Q17</f>
        <v>-0.9458574143465492</v>
      </c>
      <c r="V17" s="25" t="s">
        <v>2</v>
      </c>
      <c r="W17" s="37">
        <f aca="true" t="shared" si="6" ref="W17:AF17">W15-W16</f>
        <v>-57411387.68</v>
      </c>
      <c r="X17" s="38">
        <f t="shared" si="6"/>
        <v>-5239947.5</v>
      </c>
      <c r="Y17" s="38">
        <f t="shared" si="6"/>
        <v>-1084516.8333333333</v>
      </c>
      <c r="Z17" s="38">
        <f t="shared" si="6"/>
        <v>82146444</v>
      </c>
      <c r="AA17" s="38">
        <f t="shared" si="6"/>
        <v>202894.87</v>
      </c>
      <c r="AB17" s="38">
        <f t="shared" si="6"/>
        <v>-1756361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16377928.676666666</v>
      </c>
      <c r="AJ17" s="39">
        <f>AJ15-AJ16</f>
        <v>41925460</v>
      </c>
      <c r="AK17" s="10"/>
      <c r="AL17" s="39">
        <f>AH17-AJ17</f>
        <v>-25547531.323333334</v>
      </c>
      <c r="AM17" s="36">
        <f>AL17/AJ17</f>
        <v>-0.6093560171631589</v>
      </c>
    </row>
    <row r="18" spans="1:39" ht="35.25" customHeight="1">
      <c r="A18" s="88" t="s">
        <v>45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47742980.27591666</v>
      </c>
      <c r="J18" s="9"/>
      <c r="K18" s="42">
        <f t="shared" si="1"/>
        <v>47756761.83191666</v>
      </c>
      <c r="L18" s="10"/>
      <c r="M18" s="10"/>
      <c r="N18" s="42">
        <f>K18</f>
        <v>47756761.83191666</v>
      </c>
      <c r="O18" s="10"/>
      <c r="P18" s="10"/>
      <c r="Q18" s="42">
        <v>28609038</v>
      </c>
      <c r="R18" s="10"/>
      <c r="S18" s="42">
        <f>K18-Q18</f>
        <v>19147723.83191666</v>
      </c>
      <c r="T18" s="36">
        <f>S18/Q18</f>
        <v>0.6692893284953049</v>
      </c>
      <c r="V18" s="25" t="s">
        <v>45</v>
      </c>
      <c r="W18" s="40">
        <v>0</v>
      </c>
      <c r="X18" s="41">
        <f>X17*0.1193</f>
        <v>-625125.73675</v>
      </c>
      <c r="Y18" s="41">
        <f>Y17*0.4</f>
        <v>-433806.73333333334</v>
      </c>
      <c r="Z18" s="41">
        <f>Z17*0.6</f>
        <v>49287866.4</v>
      </c>
      <c r="AA18" s="41">
        <v>0</v>
      </c>
      <c r="AB18" s="41">
        <f>AB17*0.2</f>
        <v>-351272.2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47742980.27591666</v>
      </c>
      <c r="AJ18" s="42">
        <v>28592382</v>
      </c>
      <c r="AK18" s="10"/>
      <c r="AL18" s="42">
        <f>AH18-AJ18</f>
        <v>19150598.27591666</v>
      </c>
      <c r="AM18" s="36">
        <f>AL18/AJ18</f>
        <v>0.6697797432867488</v>
      </c>
    </row>
    <row r="19" spans="1:39" ht="42" customHeight="1" thickBot="1">
      <c r="A19" s="92" t="s">
        <v>46</v>
      </c>
      <c r="B19" s="46">
        <f>B17</f>
        <v>-14896082.33</v>
      </c>
      <c r="C19" s="47">
        <f>C17</f>
        <v>43160</v>
      </c>
      <c r="D19" s="47">
        <f>D17-D18</f>
        <v>22477.65</v>
      </c>
      <c r="E19" s="47">
        <f>E17-E18</f>
        <v>-1805.316</v>
      </c>
      <c r="F19" s="47">
        <f>F17</f>
        <v>479118.93</v>
      </c>
      <c r="G19" s="47">
        <f>G17</f>
        <v>-78682</v>
      </c>
      <c r="H19" s="47">
        <f>H17</f>
        <v>-59225</v>
      </c>
      <c r="I19" s="99">
        <f t="shared" si="4"/>
        <v>-31365051.59925</v>
      </c>
      <c r="J19" s="9"/>
      <c r="K19" s="48">
        <f t="shared" si="1"/>
        <v>-45856089.66525</v>
      </c>
      <c r="L19" s="10"/>
      <c r="M19" s="10"/>
      <c r="N19" s="48">
        <f>N17-N18</f>
        <v>-46223769.10524999</v>
      </c>
      <c r="O19" s="10"/>
      <c r="P19" s="10"/>
      <c r="Q19" s="48">
        <f>Q17-Q18</f>
        <v>6495901</v>
      </c>
      <c r="R19" s="10"/>
      <c r="S19" s="48">
        <f>K19-Q19</f>
        <v>-52351990.66525</v>
      </c>
      <c r="T19" s="49">
        <f>S19/Q19</f>
        <v>-8.059234687420576</v>
      </c>
      <c r="V19" s="45" t="s">
        <v>46</v>
      </c>
      <c r="W19" s="46">
        <f aca="true" t="shared" si="7" ref="W19:AF19">W17-W18</f>
        <v>-57411387.68</v>
      </c>
      <c r="X19" s="47">
        <f t="shared" si="7"/>
        <v>-4614821.76325</v>
      </c>
      <c r="Y19" s="47">
        <f t="shared" si="7"/>
        <v>-650710.0999999999</v>
      </c>
      <c r="Z19" s="47">
        <f t="shared" si="7"/>
        <v>32858577.6</v>
      </c>
      <c r="AA19" s="47">
        <f t="shared" si="7"/>
        <v>202894.87</v>
      </c>
      <c r="AB19" s="47">
        <f t="shared" si="7"/>
        <v>-1405088.8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-31365051.59925</v>
      </c>
      <c r="AJ19" s="48">
        <f>AJ17-AJ18</f>
        <v>13333078</v>
      </c>
      <c r="AK19" s="10"/>
      <c r="AL19" s="48">
        <f>AH19-AJ19</f>
        <v>-44698129.59925</v>
      </c>
      <c r="AM19" s="49">
        <f>AL19/AJ19</f>
        <v>-3.3524239188617964</v>
      </c>
    </row>
    <row r="20" spans="1:33" ht="26.25" customHeight="1">
      <c r="A20" s="50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50" customWidth="1"/>
    <col min="2" max="2" width="12.28125" style="50" customWidth="1"/>
    <col min="3" max="3" width="1.28515625" style="50" customWidth="1"/>
    <col min="4" max="4" width="12.28125" style="50" customWidth="1"/>
    <col min="5" max="5" width="1.28515625" style="50" customWidth="1"/>
    <col min="6" max="6" width="12.28125" style="50" customWidth="1"/>
    <col min="7" max="7" width="1.28515625" style="50" customWidth="1"/>
    <col min="8" max="8" width="12.28125" style="50" customWidth="1"/>
    <col min="9" max="9" width="1.28515625" style="50" customWidth="1"/>
    <col min="10" max="10" width="12.28125" style="50" customWidth="1"/>
    <col min="11" max="11" width="1.28515625" style="50" customWidth="1"/>
    <col min="12" max="12" width="12.28125" style="50" customWidth="1"/>
    <col min="13" max="255" width="9.140625" style="50" customWidth="1"/>
    <col min="256" max="16384" width="9.140625" style="65" customWidth="1"/>
  </cols>
  <sheetData>
    <row r="1" ht="12.75">
      <c r="A1" s="101" t="s">
        <v>170</v>
      </c>
    </row>
    <row r="2" ht="12.75">
      <c r="A2" s="101" t="s">
        <v>169</v>
      </c>
    </row>
    <row r="3" ht="13.5" thickBot="1">
      <c r="A3" s="101"/>
    </row>
    <row r="4" spans="1:12" ht="12.75">
      <c r="A4" s="103"/>
      <c r="B4" s="109"/>
      <c r="C4" s="104"/>
      <c r="D4" s="112" t="s">
        <v>180</v>
      </c>
      <c r="E4" s="104"/>
      <c r="F4" s="112" t="s">
        <v>181</v>
      </c>
      <c r="G4" s="104"/>
      <c r="H4" s="112" t="s">
        <v>182</v>
      </c>
      <c r="I4" s="104"/>
      <c r="J4" s="112" t="s">
        <v>183</v>
      </c>
      <c r="K4" s="104"/>
      <c r="L4" s="112" t="s">
        <v>184</v>
      </c>
    </row>
    <row r="5" spans="1:12" ht="12.75">
      <c r="A5" s="105"/>
      <c r="B5" s="110" t="s">
        <v>178</v>
      </c>
      <c r="C5" s="106"/>
      <c r="D5" s="110" t="s">
        <v>179</v>
      </c>
      <c r="E5" s="106"/>
      <c r="F5" s="110" t="s">
        <v>179</v>
      </c>
      <c r="G5" s="106"/>
      <c r="H5" s="110" t="s">
        <v>179</v>
      </c>
      <c r="I5" s="106"/>
      <c r="J5" s="110" t="s">
        <v>179</v>
      </c>
      <c r="K5" s="106"/>
      <c r="L5" s="110" t="s">
        <v>179</v>
      </c>
    </row>
    <row r="6" spans="1:12" ht="12.75">
      <c r="A6" s="105"/>
      <c r="B6" s="111">
        <v>36160</v>
      </c>
      <c r="C6" s="106"/>
      <c r="D6" s="111">
        <v>36525</v>
      </c>
      <c r="E6" s="106"/>
      <c r="F6" s="111">
        <v>36525</v>
      </c>
      <c r="G6" s="106"/>
      <c r="H6" s="111">
        <v>36525</v>
      </c>
      <c r="I6" s="106"/>
      <c r="J6" s="111">
        <v>36525</v>
      </c>
      <c r="K6" s="106"/>
      <c r="L6" s="111">
        <v>36525</v>
      </c>
    </row>
    <row r="7" spans="1:12" ht="12.75">
      <c r="A7" s="105" t="s">
        <v>171</v>
      </c>
      <c r="B7" s="113">
        <v>435757801</v>
      </c>
      <c r="C7" s="114"/>
      <c r="D7" s="113">
        <v>580297757</v>
      </c>
      <c r="E7" s="115"/>
      <c r="F7" s="113">
        <f>D7</f>
        <v>580297757</v>
      </c>
      <c r="G7" s="115"/>
      <c r="H7" s="113">
        <f>F7</f>
        <v>580297757</v>
      </c>
      <c r="I7" s="115"/>
      <c r="J7" s="113">
        <f>H7</f>
        <v>580297757</v>
      </c>
      <c r="K7" s="114"/>
      <c r="L7" s="113">
        <f>J7</f>
        <v>580297757</v>
      </c>
    </row>
    <row r="8" spans="1:12" ht="12.75">
      <c r="A8" s="105"/>
      <c r="B8" s="113"/>
      <c r="C8" s="114"/>
      <c r="D8" s="113"/>
      <c r="E8" s="115"/>
      <c r="F8" s="113"/>
      <c r="G8" s="115"/>
      <c r="H8" s="113"/>
      <c r="I8" s="115"/>
      <c r="J8" s="113"/>
      <c r="K8" s="114"/>
      <c r="L8" s="113"/>
    </row>
    <row r="9" spans="1:12" ht="12.75">
      <c r="A9" s="105" t="s">
        <v>172</v>
      </c>
      <c r="B9" s="113">
        <v>5188949</v>
      </c>
      <c r="C9" s="114"/>
      <c r="D9" s="113">
        <v>-11122409</v>
      </c>
      <c r="E9" s="115"/>
      <c r="F9" s="113">
        <f>D9</f>
        <v>-11122409</v>
      </c>
      <c r="G9" s="115"/>
      <c r="H9" s="113">
        <f>F9+27967161.26</f>
        <v>16844752.26</v>
      </c>
      <c r="I9" s="115"/>
      <c r="J9" s="113">
        <f>H9+10932652</f>
        <v>27777404.26</v>
      </c>
      <c r="K9" s="114"/>
      <c r="L9" s="113">
        <f>J9+4265361</f>
        <v>32042765.26</v>
      </c>
    </row>
    <row r="10" spans="1:12" ht="12.75">
      <c r="A10" s="105"/>
      <c r="B10" s="113"/>
      <c r="C10" s="114"/>
      <c r="D10" s="113"/>
      <c r="E10" s="115"/>
      <c r="F10" s="113"/>
      <c r="G10" s="115"/>
      <c r="H10" s="113"/>
      <c r="I10" s="115"/>
      <c r="J10" s="113"/>
      <c r="K10" s="114"/>
      <c r="L10" s="113"/>
    </row>
    <row r="11" spans="1:12" ht="12.75">
      <c r="A11" s="105" t="s">
        <v>173</v>
      </c>
      <c r="B11" s="113">
        <v>52203714</v>
      </c>
      <c r="C11" s="114"/>
      <c r="D11" s="113">
        <v>0</v>
      </c>
      <c r="E11" s="115"/>
      <c r="F11" s="113">
        <v>76510478</v>
      </c>
      <c r="G11" s="115"/>
      <c r="H11" s="113">
        <f>F11</f>
        <v>76510478</v>
      </c>
      <c r="I11" s="115"/>
      <c r="J11" s="113">
        <f>H11</f>
        <v>76510478</v>
      </c>
      <c r="K11" s="114"/>
      <c r="L11" s="113">
        <f>J11</f>
        <v>76510478</v>
      </c>
    </row>
    <row r="12" spans="1:12" ht="12.75">
      <c r="A12" s="105"/>
      <c r="B12" s="113"/>
      <c r="C12" s="114"/>
      <c r="D12" s="113"/>
      <c r="E12" s="115"/>
      <c r="F12" s="113"/>
      <c r="G12" s="115"/>
      <c r="H12" s="113"/>
      <c r="I12" s="115"/>
      <c r="J12" s="113"/>
      <c r="K12" s="114"/>
      <c r="L12" s="113"/>
    </row>
    <row r="13" spans="1:12" ht="12.75">
      <c r="A13" s="105" t="s">
        <v>174</v>
      </c>
      <c r="B13" s="113">
        <v>57392663</v>
      </c>
      <c r="C13" s="114"/>
      <c r="D13" s="113">
        <f>D9+D11</f>
        <v>-11122409</v>
      </c>
      <c r="E13" s="115"/>
      <c r="F13" s="113">
        <f>F9+F11</f>
        <v>65388069</v>
      </c>
      <c r="G13" s="115"/>
      <c r="H13" s="113">
        <f>H9+H11</f>
        <v>93355230.26</v>
      </c>
      <c r="I13" s="115"/>
      <c r="J13" s="113">
        <f>J9+J11</f>
        <v>104287882.26</v>
      </c>
      <c r="K13" s="114"/>
      <c r="L13" s="113">
        <f>L9+L11</f>
        <v>108553243.26</v>
      </c>
    </row>
    <row r="14" spans="1:12" ht="12.75">
      <c r="A14" s="105"/>
      <c r="B14" s="113"/>
      <c r="C14" s="114"/>
      <c r="D14" s="113"/>
      <c r="E14" s="115"/>
      <c r="F14" s="113"/>
      <c r="G14" s="115"/>
      <c r="H14" s="113"/>
      <c r="I14" s="115"/>
      <c r="J14" s="113"/>
      <c r="K14" s="114"/>
      <c r="L14" s="113"/>
    </row>
    <row r="15" spans="1:12" ht="12.75">
      <c r="A15" s="105" t="s">
        <v>175</v>
      </c>
      <c r="B15" s="113">
        <v>-2374936</v>
      </c>
      <c r="C15" s="114"/>
      <c r="D15" s="113">
        <v>367679</v>
      </c>
      <c r="E15" s="115"/>
      <c r="F15" s="113">
        <v>367679</v>
      </c>
      <c r="G15" s="115"/>
      <c r="H15" s="113">
        <v>367679</v>
      </c>
      <c r="I15" s="115"/>
      <c r="J15" s="113">
        <v>367679</v>
      </c>
      <c r="K15" s="114"/>
      <c r="L15" s="113">
        <v>367679</v>
      </c>
    </row>
    <row r="16" spans="1:12" ht="12.75">
      <c r="A16" s="105"/>
      <c r="B16" s="113"/>
      <c r="C16" s="114"/>
      <c r="D16" s="113"/>
      <c r="E16" s="115"/>
      <c r="F16" s="113"/>
      <c r="G16" s="115"/>
      <c r="H16" s="113"/>
      <c r="I16" s="115"/>
      <c r="J16" s="113"/>
      <c r="K16" s="114"/>
      <c r="L16" s="113"/>
    </row>
    <row r="17" spans="1:12" ht="12.75">
      <c r="A17" s="105" t="s">
        <v>176</v>
      </c>
      <c r="B17" s="113">
        <v>55017727</v>
      </c>
      <c r="C17" s="114"/>
      <c r="D17" s="113">
        <f>D13+D15</f>
        <v>-10754730</v>
      </c>
      <c r="E17" s="115"/>
      <c r="F17" s="113">
        <f>F13+F15</f>
        <v>65755748</v>
      </c>
      <c r="G17" s="115"/>
      <c r="H17" s="113">
        <f>H13+H15</f>
        <v>93722909.26</v>
      </c>
      <c r="I17" s="115"/>
      <c r="J17" s="113">
        <f>J13+J15</f>
        <v>104655561.26</v>
      </c>
      <c r="K17" s="114"/>
      <c r="L17" s="113">
        <f>L13+L15</f>
        <v>108920922.26</v>
      </c>
    </row>
    <row r="18" spans="1:12" ht="12.75">
      <c r="A18" s="105"/>
      <c r="B18" s="113"/>
      <c r="C18" s="114"/>
      <c r="D18" s="113"/>
      <c r="E18" s="115"/>
      <c r="F18" s="113"/>
      <c r="G18" s="115"/>
      <c r="H18" s="113"/>
      <c r="I18" s="115"/>
      <c r="J18" s="113"/>
      <c r="K18" s="114"/>
      <c r="L18" s="113"/>
    </row>
    <row r="19" spans="1:12" ht="12.75">
      <c r="A19" s="105" t="s">
        <v>326</v>
      </c>
      <c r="B19" s="113">
        <v>-15147975</v>
      </c>
      <c r="C19" s="114"/>
      <c r="D19" s="113">
        <v>-40350495</v>
      </c>
      <c r="E19" s="115"/>
      <c r="F19" s="113">
        <f>D19-F11*0.6</f>
        <v>-86256781.8</v>
      </c>
      <c r="G19" s="115"/>
      <c r="H19" s="113">
        <f>F19</f>
        <v>-86256781.8</v>
      </c>
      <c r="I19" s="115"/>
      <c r="J19" s="113">
        <f>H19</f>
        <v>-86256781.8</v>
      </c>
      <c r="K19" s="114"/>
      <c r="L19" s="113">
        <f>J19</f>
        <v>-86256781.8</v>
      </c>
    </row>
    <row r="20" spans="1:12" ht="12.75">
      <c r="A20" s="105"/>
      <c r="B20" s="113"/>
      <c r="C20" s="114"/>
      <c r="D20" s="113"/>
      <c r="E20" s="115"/>
      <c r="F20" s="113"/>
      <c r="G20" s="115"/>
      <c r="H20" s="113"/>
      <c r="I20" s="115"/>
      <c r="J20" s="113"/>
      <c r="K20" s="114"/>
      <c r="L20" s="113"/>
    </row>
    <row r="21" spans="1:12" ht="12.75">
      <c r="A21" s="105" t="s">
        <v>177</v>
      </c>
      <c r="B21" s="113">
        <v>39869752</v>
      </c>
      <c r="C21" s="114"/>
      <c r="D21" s="113">
        <f>D17+D19</f>
        <v>-51105225</v>
      </c>
      <c r="E21" s="115"/>
      <c r="F21" s="113">
        <f>F17+F19</f>
        <v>-20501033.799999997</v>
      </c>
      <c r="G21" s="115"/>
      <c r="H21" s="113">
        <f>H17+H19</f>
        <v>7466127.460000008</v>
      </c>
      <c r="I21" s="115"/>
      <c r="J21" s="113">
        <f>J17+J19</f>
        <v>18398779.46000001</v>
      </c>
      <c r="K21" s="114"/>
      <c r="L21" s="113">
        <f>L17+L19</f>
        <v>22664140.46000001</v>
      </c>
    </row>
    <row r="22" spans="1:12" ht="13.5" thickBot="1">
      <c r="A22" s="108"/>
      <c r="B22" s="116"/>
      <c r="C22" s="117"/>
      <c r="D22" s="116"/>
      <c r="E22" s="117"/>
      <c r="F22" s="116"/>
      <c r="G22" s="117"/>
      <c r="H22" s="116"/>
      <c r="I22" s="117"/>
      <c r="J22" s="116"/>
      <c r="K22" s="117"/>
      <c r="L22" s="116"/>
    </row>
    <row r="24" ht="12.75">
      <c r="A24" s="102" t="s">
        <v>180</v>
      </c>
    </row>
    <row r="25" ht="12.75">
      <c r="A25" s="50" t="s">
        <v>230</v>
      </c>
    </row>
    <row r="26" ht="12.75">
      <c r="A26" s="50" t="s">
        <v>188</v>
      </c>
    </row>
    <row r="27" ht="12.75">
      <c r="A27" s="50" t="s">
        <v>185</v>
      </c>
    </row>
    <row r="28" ht="12.75">
      <c r="A28" s="50" t="s">
        <v>189</v>
      </c>
    </row>
    <row r="29" ht="12.75">
      <c r="A29" s="50" t="s">
        <v>186</v>
      </c>
    </row>
    <row r="30" ht="12.75">
      <c r="A30" s="50" t="s">
        <v>187</v>
      </c>
    </row>
    <row r="31" ht="12.75">
      <c r="A31" s="50" t="s">
        <v>190</v>
      </c>
    </row>
    <row r="33" ht="12.75">
      <c r="A33" s="102" t="s">
        <v>181</v>
      </c>
    </row>
    <row r="34" ht="12.75">
      <c r="A34" s="50" t="s">
        <v>227</v>
      </c>
    </row>
    <row r="36" ht="12.75">
      <c r="A36" s="102" t="s">
        <v>182</v>
      </c>
    </row>
    <row r="37" ht="12.75">
      <c r="A37" s="50" t="s">
        <v>231</v>
      </c>
    </row>
    <row r="38" ht="12.75">
      <c r="A38" s="50" t="s">
        <v>206</v>
      </c>
    </row>
    <row r="39" ht="12.75">
      <c r="A39" s="50" t="s">
        <v>228</v>
      </c>
    </row>
    <row r="41" ht="12.75">
      <c r="A41" s="102" t="s">
        <v>183</v>
      </c>
    </row>
    <row r="42" ht="12.75">
      <c r="A42" s="50" t="s">
        <v>207</v>
      </c>
    </row>
    <row r="43" ht="12.75">
      <c r="A43" s="50" t="s">
        <v>208</v>
      </c>
    </row>
    <row r="45" ht="12.75">
      <c r="A45" s="102" t="s">
        <v>184</v>
      </c>
    </row>
    <row r="46" ht="12.75">
      <c r="A46" s="50" t="s">
        <v>191</v>
      </c>
    </row>
    <row r="47" ht="12.75">
      <c r="A47" s="50" t="s">
        <v>192</v>
      </c>
    </row>
    <row r="48" ht="12.75">
      <c r="A48" s="50" t="s">
        <v>229</v>
      </c>
    </row>
    <row r="57" ht="12.75">
      <c r="A57" s="50" t="s">
        <v>209</v>
      </c>
    </row>
    <row r="58" ht="6.75" customHeight="1" thickBot="1"/>
    <row r="59" spans="1:6" ht="12.75">
      <c r="A59" s="121" t="s">
        <v>212</v>
      </c>
      <c r="B59" s="104"/>
      <c r="C59" s="104"/>
      <c r="D59" s="122"/>
      <c r="E59" s="121"/>
      <c r="F59" s="125">
        <v>3400000</v>
      </c>
    </row>
    <row r="60" spans="1:6" ht="12.75">
      <c r="A60" s="105" t="s">
        <v>213</v>
      </c>
      <c r="B60" s="106"/>
      <c r="C60" s="106"/>
      <c r="D60" s="123"/>
      <c r="E60" s="105"/>
      <c r="F60" s="107">
        <v>6000000</v>
      </c>
    </row>
    <row r="61" spans="1:6" ht="12.75">
      <c r="A61" s="105" t="s">
        <v>214</v>
      </c>
      <c r="B61" s="106"/>
      <c r="C61" s="106"/>
      <c r="D61" s="123"/>
      <c r="E61" s="105"/>
      <c r="F61" s="107">
        <v>981000</v>
      </c>
    </row>
    <row r="62" spans="1:6" ht="12.75">
      <c r="A62" s="105" t="s">
        <v>215</v>
      </c>
      <c r="B62" s="106"/>
      <c r="C62" s="106"/>
      <c r="D62" s="123"/>
      <c r="E62" s="105"/>
      <c r="F62" s="107">
        <v>1125000</v>
      </c>
    </row>
    <row r="63" spans="1:6" ht="12.75">
      <c r="A63" s="105" t="s">
        <v>216</v>
      </c>
      <c r="B63" s="106"/>
      <c r="C63" s="106"/>
      <c r="D63" s="123"/>
      <c r="E63" s="105"/>
      <c r="F63" s="107">
        <v>670068</v>
      </c>
    </row>
    <row r="64" spans="1:6" ht="12.75">
      <c r="A64" s="105" t="s">
        <v>217</v>
      </c>
      <c r="B64" s="106"/>
      <c r="C64" s="106"/>
      <c r="D64" s="123"/>
      <c r="E64" s="105"/>
      <c r="F64" s="107">
        <v>8431944</v>
      </c>
    </row>
    <row r="65" spans="1:6" ht="12.75">
      <c r="A65" s="105" t="s">
        <v>218</v>
      </c>
      <c r="B65" s="106"/>
      <c r="C65" s="106"/>
      <c r="D65" s="123"/>
      <c r="E65" s="105"/>
      <c r="F65" s="107">
        <v>455928</v>
      </c>
    </row>
    <row r="66" spans="1:6" ht="12.75">
      <c r="A66" s="105" t="s">
        <v>219</v>
      </c>
      <c r="B66" s="106"/>
      <c r="C66" s="106"/>
      <c r="D66" s="123"/>
      <c r="E66" s="105"/>
      <c r="F66" s="107">
        <v>245390</v>
      </c>
    </row>
    <row r="67" spans="1:6" ht="12.75">
      <c r="A67" s="105" t="s">
        <v>220</v>
      </c>
      <c r="B67" s="106"/>
      <c r="C67" s="106"/>
      <c r="D67" s="123"/>
      <c r="E67" s="105"/>
      <c r="F67" s="107">
        <v>76150</v>
      </c>
    </row>
    <row r="68" spans="1:6" ht="13.5" thickBot="1">
      <c r="A68" s="105" t="s">
        <v>221</v>
      </c>
      <c r="B68" s="106"/>
      <c r="C68" s="106"/>
      <c r="D68" s="123"/>
      <c r="E68" s="105"/>
      <c r="F68" s="107">
        <v>109720</v>
      </c>
    </row>
    <row r="69" spans="1:256" s="101" customFormat="1" ht="13.5" thickBot="1">
      <c r="A69" s="118" t="s">
        <v>323</v>
      </c>
      <c r="B69" s="119"/>
      <c r="C69" s="119"/>
      <c r="D69" s="124"/>
      <c r="E69" s="118"/>
      <c r="F69" s="120">
        <f>SUM(F59:F68)</f>
        <v>21495200</v>
      </c>
      <c r="IV69" s="62"/>
    </row>
    <row r="71" ht="12.75">
      <c r="A71" s="50" t="s">
        <v>222</v>
      </c>
    </row>
    <row r="72" ht="6.75" customHeight="1" thickBot="1"/>
    <row r="73" spans="1:6" ht="12.75">
      <c r="A73" s="121" t="s">
        <v>223</v>
      </c>
      <c r="B73" s="104"/>
      <c r="C73" s="104"/>
      <c r="D73" s="122"/>
      <c r="E73" s="121"/>
      <c r="F73" s="125">
        <v>523425</v>
      </c>
    </row>
    <row r="74" spans="1:6" ht="12.75">
      <c r="A74" s="105" t="s">
        <v>224</v>
      </c>
      <c r="B74" s="106"/>
      <c r="C74" s="106"/>
      <c r="D74" s="123"/>
      <c r="E74" s="105"/>
      <c r="F74" s="107">
        <v>594495</v>
      </c>
    </row>
    <row r="75" spans="1:6" ht="12.75">
      <c r="A75" s="105" t="s">
        <v>225</v>
      </c>
      <c r="B75" s="106"/>
      <c r="C75" s="106"/>
      <c r="D75" s="123"/>
      <c r="E75" s="105"/>
      <c r="F75" s="107">
        <v>518018</v>
      </c>
    </row>
    <row r="76" spans="1:6" ht="12.75">
      <c r="A76" s="105" t="s">
        <v>11</v>
      </c>
      <c r="B76" s="106"/>
      <c r="C76" s="106"/>
      <c r="D76" s="123"/>
      <c r="E76" s="105"/>
      <c r="F76" s="107">
        <v>473245</v>
      </c>
    </row>
    <row r="77" spans="1:6" ht="13.5" thickBot="1">
      <c r="A77" s="105" t="s">
        <v>226</v>
      </c>
      <c r="B77" s="106"/>
      <c r="C77" s="106"/>
      <c r="D77" s="123"/>
      <c r="E77" s="105"/>
      <c r="F77" s="107">
        <v>1097393</v>
      </c>
    </row>
    <row r="78" spans="1:6" ht="13.5" thickBot="1">
      <c r="A78" s="118" t="s">
        <v>323</v>
      </c>
      <c r="B78" s="126"/>
      <c r="C78" s="126"/>
      <c r="D78" s="128"/>
      <c r="E78" s="127"/>
      <c r="F78" s="129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3.7109375" style="0" hidden="1" customWidth="1"/>
    <col min="4" max="4" width="19.421875" style="134" customWidth="1"/>
    <col min="5" max="5" width="19.7109375" style="0" customWidth="1"/>
    <col min="6" max="6" width="3.7109375" style="0" hidden="1" customWidth="1"/>
    <col min="7" max="7" width="19.28125" style="134" customWidth="1"/>
  </cols>
  <sheetData>
    <row r="1" ht="15.75">
      <c r="A1" s="2" t="s">
        <v>66</v>
      </c>
    </row>
    <row r="2" ht="12.75">
      <c r="A2" s="65" t="s">
        <v>274</v>
      </c>
    </row>
    <row r="4" ht="15.75">
      <c r="A4" s="2" t="s">
        <v>277</v>
      </c>
    </row>
    <row r="5" spans="1:2" ht="15.75">
      <c r="A5" s="2" t="s">
        <v>210</v>
      </c>
      <c r="B5" s="171"/>
    </row>
    <row r="6" spans="1:2" ht="15">
      <c r="A6" s="62" t="s">
        <v>151</v>
      </c>
      <c r="B6" s="171"/>
    </row>
    <row r="8" ht="15.75">
      <c r="A8" s="2"/>
    </row>
    <row r="10" spans="1:7" ht="12.75">
      <c r="A10" s="59"/>
      <c r="B10" s="251" t="s">
        <v>307</v>
      </c>
      <c r="C10" s="252"/>
      <c r="D10" s="253"/>
      <c r="E10" s="254" t="s">
        <v>308</v>
      </c>
      <c r="F10" s="255"/>
      <c r="G10" s="256"/>
    </row>
    <row r="11" spans="1:7" ht="12.75">
      <c r="A11" s="60"/>
      <c r="B11" s="56" t="s">
        <v>20</v>
      </c>
      <c r="C11" s="3"/>
      <c r="D11" s="135" t="s">
        <v>21</v>
      </c>
      <c r="E11" s="56" t="s">
        <v>20</v>
      </c>
      <c r="F11" s="59"/>
      <c r="G11" s="135" t="s">
        <v>21</v>
      </c>
    </row>
    <row r="12" spans="1:7" ht="12.75">
      <c r="A12" s="60"/>
      <c r="B12" s="57" t="s">
        <v>311</v>
      </c>
      <c r="C12" s="3"/>
      <c r="D12" s="136" t="s">
        <v>23</v>
      </c>
      <c r="E12" s="57" t="s">
        <v>22</v>
      </c>
      <c r="F12" s="60"/>
      <c r="G12" s="136" t="s">
        <v>23</v>
      </c>
    </row>
    <row r="13" spans="1:7" ht="12.75">
      <c r="A13" s="60"/>
      <c r="B13" s="57" t="s">
        <v>155</v>
      </c>
      <c r="C13" s="3"/>
      <c r="D13" s="136" t="s">
        <v>155</v>
      </c>
      <c r="E13" s="57" t="s">
        <v>309</v>
      </c>
      <c r="F13" s="60"/>
      <c r="G13" s="136" t="s">
        <v>310</v>
      </c>
    </row>
    <row r="14" spans="1:7" ht="12.75">
      <c r="A14" s="60"/>
      <c r="B14" s="87" t="s">
        <v>88</v>
      </c>
      <c r="C14" s="3"/>
      <c r="D14" s="137" t="s">
        <v>211</v>
      </c>
      <c r="E14" s="87" t="s">
        <v>88</v>
      </c>
      <c r="F14" s="57"/>
      <c r="G14" s="137" t="s">
        <v>211</v>
      </c>
    </row>
    <row r="15" spans="1:7" ht="12.75">
      <c r="A15" s="162"/>
      <c r="B15" s="58" t="s">
        <v>24</v>
      </c>
      <c r="C15" s="3"/>
      <c r="D15" s="138" t="s">
        <v>24</v>
      </c>
      <c r="E15" s="58" t="s">
        <v>24</v>
      </c>
      <c r="F15" s="57"/>
      <c r="G15" s="138" t="s">
        <v>24</v>
      </c>
    </row>
    <row r="16" spans="1:7" ht="12.75">
      <c r="A16" s="59"/>
      <c r="B16" s="14"/>
      <c r="C16" s="14"/>
      <c r="D16" s="161"/>
      <c r="E16" s="54"/>
      <c r="F16" s="60"/>
      <c r="G16" s="161"/>
    </row>
    <row r="17" spans="1:7" ht="12.75">
      <c r="A17" s="159" t="s">
        <v>293</v>
      </c>
      <c r="B17" s="51">
        <f>+E17-195241</f>
        <v>143769</v>
      </c>
      <c r="C17" s="51"/>
      <c r="D17" s="178">
        <v>307702</v>
      </c>
      <c r="E17" s="179">
        <f>339010</f>
        <v>339010</v>
      </c>
      <c r="F17" s="180"/>
      <c r="G17" s="178">
        <v>561109</v>
      </c>
    </row>
    <row r="18" spans="1:7" ht="15.75">
      <c r="A18" s="160"/>
      <c r="B18" s="51"/>
      <c r="C18" s="51"/>
      <c r="D18" s="178"/>
      <c r="E18" s="179"/>
      <c r="F18" s="180"/>
      <c r="G18" s="178"/>
    </row>
    <row r="19" spans="1:7" ht="12.75">
      <c r="A19" s="159"/>
      <c r="B19" s="51"/>
      <c r="C19" s="51"/>
      <c r="D19" s="178"/>
      <c r="E19" s="179"/>
      <c r="F19" s="180"/>
      <c r="G19" s="178"/>
    </row>
    <row r="20" spans="1:7" ht="12.75">
      <c r="A20" s="159" t="s">
        <v>102</v>
      </c>
      <c r="B20" s="51">
        <f>E20+165811</f>
        <v>-131587</v>
      </c>
      <c r="C20" s="51"/>
      <c r="D20" s="178">
        <v>-267681</v>
      </c>
      <c r="E20" s="179">
        <v>-297398</v>
      </c>
      <c r="F20" s="180"/>
      <c r="G20" s="178">
        <v>-484030</v>
      </c>
    </row>
    <row r="21" spans="1:7" ht="12.75">
      <c r="A21" s="159"/>
      <c r="B21" s="51"/>
      <c r="C21" s="51"/>
      <c r="D21" s="178"/>
      <c r="E21" s="179"/>
      <c r="F21" s="180"/>
      <c r="G21" s="178"/>
    </row>
    <row r="22" spans="1:7" ht="12.75">
      <c r="A22" s="159"/>
      <c r="B22" s="51"/>
      <c r="C22" s="51"/>
      <c r="D22" s="178"/>
      <c r="E22" s="179"/>
      <c r="F22" s="180"/>
      <c r="G22" s="178"/>
    </row>
    <row r="23" spans="1:7" ht="12.75">
      <c r="A23" s="159" t="s">
        <v>103</v>
      </c>
      <c r="B23" s="51">
        <f>+E23-2553</f>
        <v>2910</v>
      </c>
      <c r="C23" s="51"/>
      <c r="D23" s="178">
        <v>3479</v>
      </c>
      <c r="E23" s="179">
        <f>5463</f>
        <v>5463</v>
      </c>
      <c r="F23" s="180"/>
      <c r="G23" s="178">
        <v>6724</v>
      </c>
    </row>
    <row r="24" spans="1:7" ht="12.75">
      <c r="A24" s="159"/>
      <c r="B24" s="51"/>
      <c r="C24" s="51"/>
      <c r="D24" s="178"/>
      <c r="E24" s="179"/>
      <c r="F24" s="180"/>
      <c r="G24" s="178"/>
    </row>
    <row r="25" spans="1:7" ht="12.75">
      <c r="A25" s="159"/>
      <c r="B25" s="51"/>
      <c r="C25" s="51"/>
      <c r="D25" s="178"/>
      <c r="E25" s="179"/>
      <c r="F25" s="180"/>
      <c r="G25" s="178"/>
    </row>
    <row r="26" spans="1:7" ht="12.75">
      <c r="A26" s="159" t="s">
        <v>104</v>
      </c>
      <c r="B26" s="181">
        <f>SUM(B17:B23)</f>
        <v>15092</v>
      </c>
      <c r="C26" s="181">
        <f>SUM(C17:C23)</f>
        <v>0</v>
      </c>
      <c r="D26" s="182">
        <f>SUM(D17:D23)</f>
        <v>43500</v>
      </c>
      <c r="E26" s="183">
        <f>SUM(E17:E23)</f>
        <v>47075</v>
      </c>
      <c r="F26" s="180"/>
      <c r="G26" s="182">
        <f>SUM(G17:G23)</f>
        <v>83803</v>
      </c>
    </row>
    <row r="27" spans="1:7" ht="12.75">
      <c r="A27" s="159"/>
      <c r="B27" s="51"/>
      <c r="C27" s="51"/>
      <c r="D27" s="178"/>
      <c r="E27" s="179"/>
      <c r="F27" s="180"/>
      <c r="G27" s="178"/>
    </row>
    <row r="28" spans="1:7" ht="12.75">
      <c r="A28" s="159"/>
      <c r="B28" s="51"/>
      <c r="C28" s="51"/>
      <c r="D28" s="178"/>
      <c r="E28" s="179"/>
      <c r="F28" s="180"/>
      <c r="G28" s="178"/>
    </row>
    <row r="29" spans="1:7" ht="12.75">
      <c r="A29" s="159" t="s">
        <v>105</v>
      </c>
      <c r="B29" s="51">
        <f>E29+13826</f>
        <v>-14080</v>
      </c>
      <c r="C29" s="51"/>
      <c r="D29" s="178">
        <v>-13307</v>
      </c>
      <c r="E29" s="179">
        <v>-27906</v>
      </c>
      <c r="F29" s="180"/>
      <c r="G29" s="178">
        <v>-28978</v>
      </c>
    </row>
    <row r="30" spans="1:7" ht="12.75">
      <c r="A30" s="159"/>
      <c r="B30" s="51"/>
      <c r="C30" s="51"/>
      <c r="D30" s="178"/>
      <c r="E30" s="179"/>
      <c r="F30" s="180"/>
      <c r="G30" s="178"/>
    </row>
    <row r="31" spans="1:7" ht="12.75">
      <c r="A31" s="159"/>
      <c r="B31" s="51"/>
      <c r="C31" s="51"/>
      <c r="D31" s="178"/>
      <c r="E31" s="179"/>
      <c r="F31" s="180"/>
      <c r="G31" s="178"/>
    </row>
    <row r="32" spans="1:7" ht="12.75">
      <c r="A32" s="159" t="s">
        <v>106</v>
      </c>
      <c r="B32" s="181">
        <f>SUM(B26:B31)</f>
        <v>1012</v>
      </c>
      <c r="C32" s="181">
        <f>SUM(C26:C29)</f>
        <v>0</v>
      </c>
      <c r="D32" s="182">
        <f>SUM(D26:D31)</f>
        <v>30193</v>
      </c>
      <c r="E32" s="183">
        <f>SUM(E26:E31)</f>
        <v>19169</v>
      </c>
      <c r="F32" s="180"/>
      <c r="G32" s="182">
        <f>SUM(G26:G31)</f>
        <v>54825</v>
      </c>
    </row>
    <row r="33" spans="1:7" ht="12.75">
      <c r="A33" s="159"/>
      <c r="B33" s="51"/>
      <c r="C33" s="51"/>
      <c r="D33" s="178"/>
      <c r="E33" s="179"/>
      <c r="F33" s="180"/>
      <c r="G33" s="178"/>
    </row>
    <row r="34" spans="1:7" ht="12.75">
      <c r="A34" s="159"/>
      <c r="B34" s="51"/>
      <c r="C34" s="51"/>
      <c r="D34" s="178"/>
      <c r="E34" s="179"/>
      <c r="F34" s="180"/>
      <c r="G34" s="178"/>
    </row>
    <row r="35" spans="1:7" ht="12.75">
      <c r="A35" s="159" t="s">
        <v>329</v>
      </c>
      <c r="B35" s="51">
        <f>E35+180</f>
        <v>11334</v>
      </c>
      <c r="C35" s="51"/>
      <c r="D35" s="178">
        <v>-569</v>
      </c>
      <c r="E35" s="179">
        <v>11154</v>
      </c>
      <c r="F35" s="180"/>
      <c r="G35" s="178">
        <v>-613</v>
      </c>
    </row>
    <row r="36" spans="1:7" ht="12.75">
      <c r="A36" s="159"/>
      <c r="B36" s="51"/>
      <c r="C36" s="51"/>
      <c r="D36" s="178"/>
      <c r="E36" s="179"/>
      <c r="F36" s="180"/>
      <c r="G36" s="178"/>
    </row>
    <row r="37" spans="1:7" ht="12.75">
      <c r="A37" s="159"/>
      <c r="B37" s="51"/>
      <c r="C37" s="51"/>
      <c r="D37" s="178"/>
      <c r="E37" s="179"/>
      <c r="F37" s="180"/>
      <c r="G37" s="178"/>
    </row>
    <row r="38" spans="1:7" ht="12.75">
      <c r="A38" s="159" t="s">
        <v>140</v>
      </c>
      <c r="B38" s="181">
        <f>SUM(B32:B35)</f>
        <v>12346</v>
      </c>
      <c r="C38" s="51"/>
      <c r="D38" s="182">
        <f>SUM(D32:D35)</f>
        <v>29624</v>
      </c>
      <c r="E38" s="183">
        <f>SUM(E32:E35)</f>
        <v>30323</v>
      </c>
      <c r="F38" s="180"/>
      <c r="G38" s="182">
        <f>SUM(G32:G35)</f>
        <v>54212</v>
      </c>
    </row>
    <row r="39" spans="1:7" ht="12.75">
      <c r="A39" s="159"/>
      <c r="B39" s="51"/>
      <c r="C39" s="51"/>
      <c r="D39" s="178"/>
      <c r="E39" s="179"/>
      <c r="F39" s="180"/>
      <c r="G39" s="178"/>
    </row>
    <row r="40" spans="1:7" ht="12.75">
      <c r="A40" s="159"/>
      <c r="B40" s="51"/>
      <c r="C40" s="51"/>
      <c r="D40" s="178"/>
      <c r="E40" s="179"/>
      <c r="F40" s="180"/>
      <c r="G40" s="178"/>
    </row>
    <row r="41" spans="1:7" ht="12.75">
      <c r="A41" s="159" t="s">
        <v>141</v>
      </c>
      <c r="B41" s="51">
        <f>E41+4302</f>
        <v>-3851</v>
      </c>
      <c r="C41" s="51"/>
      <c r="D41" s="178">
        <v>-5808</v>
      </c>
      <c r="E41" s="179">
        <v>-8153</v>
      </c>
      <c r="F41" s="180"/>
      <c r="G41" s="178">
        <v>-15657</v>
      </c>
    </row>
    <row r="42" spans="1:7" ht="12.75">
      <c r="A42" s="159"/>
      <c r="B42" s="51"/>
      <c r="C42" s="51"/>
      <c r="D42" s="184"/>
      <c r="E42" s="179"/>
      <c r="F42" s="180"/>
      <c r="G42" s="178"/>
    </row>
    <row r="43" spans="1:7" ht="22.5" customHeight="1">
      <c r="A43" s="192" t="s">
        <v>142</v>
      </c>
      <c r="B43" s="185">
        <f>SUM(B38:B41)</f>
        <v>8495</v>
      </c>
      <c r="C43" s="186"/>
      <c r="D43" s="189">
        <f>SUM(D38:D41)</f>
        <v>23816</v>
      </c>
      <c r="E43" s="187">
        <f>SUM(E38:E41)</f>
        <v>22170</v>
      </c>
      <c r="F43" s="188"/>
      <c r="G43" s="189">
        <f>SUM(G38:G41)</f>
        <v>38555</v>
      </c>
    </row>
    <row r="44" ht="12.75">
      <c r="A44" s="62"/>
    </row>
    <row r="45" ht="12.75">
      <c r="A45" s="62"/>
    </row>
    <row r="46" ht="12.75">
      <c r="A46" s="62" t="s">
        <v>67</v>
      </c>
    </row>
    <row r="47" spans="1:7" ht="12.75">
      <c r="A47" s="62" t="s">
        <v>68</v>
      </c>
      <c r="B47" s="176">
        <f>B43/168808*100</f>
        <v>5.0323444386521965</v>
      </c>
      <c r="C47" s="176">
        <f>C43/79130*100</f>
        <v>0</v>
      </c>
      <c r="D47" s="176">
        <f>D43/158258*100</f>
        <v>15.048844292231673</v>
      </c>
      <c r="E47" s="176">
        <f>E43/168808*100</f>
        <v>13.13326382635894</v>
      </c>
      <c r="F47" s="177"/>
      <c r="G47" s="176">
        <f>G43/158258*100</f>
        <v>24.362117554878743</v>
      </c>
    </row>
    <row r="50" ht="12.75">
      <c r="A50" s="62" t="s">
        <v>73</v>
      </c>
    </row>
    <row r="51" ht="12.75">
      <c r="A51" s="62" t="s">
        <v>235</v>
      </c>
    </row>
    <row r="53" ht="12.75">
      <c r="A53" s="62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&amp;C&amp;"Arial,Bold"&amp;12PSC INDUSTRIES BERHAD
(11106-V)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2"/>
  <sheetViews>
    <sheetView zoomScale="75" zoomScaleNormal="75"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3" spans="1:6" ht="15.75">
      <c r="A3" s="257" t="s">
        <v>314</v>
      </c>
      <c r="B3" s="258"/>
      <c r="C3" s="258"/>
      <c r="D3" s="258"/>
      <c r="E3" s="258"/>
      <c r="F3" s="259"/>
    </row>
    <row r="4" spans="1:6" ht="12.75">
      <c r="A4" s="264" t="s">
        <v>79</v>
      </c>
      <c r="B4" s="265"/>
      <c r="C4" s="265"/>
      <c r="D4" s="265"/>
      <c r="E4" s="265"/>
      <c r="F4" s="266"/>
    </row>
    <row r="5" spans="1:6" ht="15.75">
      <c r="A5" s="82"/>
      <c r="B5" s="81"/>
      <c r="C5" s="81"/>
      <c r="D5" s="81"/>
      <c r="E5" s="81"/>
      <c r="F5" s="81"/>
    </row>
    <row r="6" spans="1:6" ht="15.75">
      <c r="A6" s="260" t="s">
        <v>278</v>
      </c>
      <c r="B6" s="261"/>
      <c r="C6" s="261"/>
      <c r="D6" s="261"/>
      <c r="E6" s="261"/>
      <c r="F6" s="261"/>
    </row>
    <row r="7" spans="1:6" ht="12.75">
      <c r="A7" s="262" t="s">
        <v>151</v>
      </c>
      <c r="B7" s="263"/>
      <c r="C7" s="263"/>
      <c r="D7" s="263"/>
      <c r="E7" s="263"/>
      <c r="F7" s="263"/>
    </row>
    <row r="10" spans="4:6" ht="12.75">
      <c r="D10" s="83" t="s">
        <v>279</v>
      </c>
      <c r="E10" s="83"/>
      <c r="F10" s="83" t="s">
        <v>280</v>
      </c>
    </row>
    <row r="11" spans="4:6" ht="12.75">
      <c r="D11" s="3" t="s">
        <v>25</v>
      </c>
      <c r="E11" s="3"/>
      <c r="F11" s="3" t="s">
        <v>25</v>
      </c>
    </row>
    <row r="12" spans="4:6" ht="12.75">
      <c r="D12" s="84" t="s">
        <v>88</v>
      </c>
      <c r="E12" s="3"/>
      <c r="F12" s="84" t="s">
        <v>69</v>
      </c>
    </row>
    <row r="13" spans="4:6" ht="12.75">
      <c r="D13" s="3" t="s">
        <v>24</v>
      </c>
      <c r="E13" s="3"/>
      <c r="F13" s="3" t="s">
        <v>24</v>
      </c>
    </row>
    <row r="15" spans="2:6" ht="12.75">
      <c r="B15" t="s">
        <v>295</v>
      </c>
      <c r="D15" s="5">
        <v>512189</v>
      </c>
      <c r="F15" s="5">
        <v>515671</v>
      </c>
    </row>
    <row r="16" spans="4:6" ht="6" customHeight="1">
      <c r="D16" s="5"/>
      <c r="F16" s="5"/>
    </row>
    <row r="17" spans="2:6" ht="12.75">
      <c r="B17" t="s">
        <v>51</v>
      </c>
      <c r="D17" s="5">
        <f>711806</f>
        <v>711806</v>
      </c>
      <c r="F17" s="5">
        <v>714001</v>
      </c>
    </row>
    <row r="18" spans="4:6" ht="6" customHeight="1">
      <c r="D18" s="5"/>
      <c r="F18" s="5"/>
    </row>
    <row r="19" spans="2:6" ht="12.75">
      <c r="B19" t="s">
        <v>52</v>
      </c>
      <c r="D19" s="5">
        <f>71634</f>
        <v>71634</v>
      </c>
      <c r="F19" s="5">
        <v>71599</v>
      </c>
    </row>
    <row r="20" spans="4:6" ht="6" customHeight="1">
      <c r="D20" s="5"/>
      <c r="F20" s="5"/>
    </row>
    <row r="21" spans="4:6" ht="12.75">
      <c r="D21" s="5"/>
      <c r="F21" s="5"/>
    </row>
    <row r="22" spans="2:6" ht="12.75">
      <c r="B22" s="65" t="s">
        <v>156</v>
      </c>
      <c r="D22" s="5"/>
      <c r="F22" s="5"/>
    </row>
    <row r="23" spans="3:6" ht="18.75" customHeight="1">
      <c r="C23" s="61" t="s">
        <v>15</v>
      </c>
      <c r="D23" s="85">
        <f>14659</f>
        <v>14659</v>
      </c>
      <c r="F23" s="85">
        <v>12533</v>
      </c>
    </row>
    <row r="24" spans="3:6" ht="12.75" customHeight="1">
      <c r="C24" s="61" t="s">
        <v>61</v>
      </c>
      <c r="D24" s="7">
        <f>664856</f>
        <v>664856</v>
      </c>
      <c r="F24" s="7">
        <v>281446</v>
      </c>
    </row>
    <row r="25" spans="3:6" ht="12.75" customHeight="1">
      <c r="C25" s="61" t="s">
        <v>193</v>
      </c>
      <c r="D25" s="7">
        <f>551096</f>
        <v>551096</v>
      </c>
      <c r="F25" s="7">
        <v>514280</v>
      </c>
    </row>
    <row r="26" spans="3:6" ht="12.75">
      <c r="C26" s="4" t="s">
        <v>282</v>
      </c>
      <c r="D26" s="7">
        <f>283727</f>
        <v>283727</v>
      </c>
      <c r="F26" s="7">
        <v>467348</v>
      </c>
    </row>
    <row r="27" spans="3:6" ht="4.5" customHeight="1">
      <c r="C27" s="4"/>
      <c r="D27" s="85"/>
      <c r="F27" s="85"/>
    </row>
    <row r="28" spans="3:6" ht="12.75">
      <c r="C28" s="4"/>
      <c r="D28" s="8">
        <f>SUM(D23:D27)</f>
        <v>1514338</v>
      </c>
      <c r="F28" s="8">
        <f>SUM(F23:F27)</f>
        <v>1275607</v>
      </c>
    </row>
    <row r="29" spans="3:6" ht="12.75">
      <c r="C29" s="86"/>
      <c r="D29" s="5"/>
      <c r="F29" s="5"/>
    </row>
    <row r="30" spans="2:6" ht="12.75">
      <c r="B30" s="65" t="s">
        <v>26</v>
      </c>
      <c r="D30" s="5"/>
      <c r="F30" s="5"/>
    </row>
    <row r="31" spans="3:6" ht="18.75" customHeight="1">
      <c r="C31" s="4" t="s">
        <v>194</v>
      </c>
      <c r="D31" s="143">
        <v>859759</v>
      </c>
      <c r="F31" s="85">
        <v>751102</v>
      </c>
    </row>
    <row r="32" spans="3:6" ht="12.75">
      <c r="C32" s="4" t="s">
        <v>53</v>
      </c>
      <c r="D32" s="7">
        <v>635677</v>
      </c>
      <c r="F32" s="7">
        <v>565265</v>
      </c>
    </row>
    <row r="33" spans="3:6" ht="12.75">
      <c r="C33" s="4" t="s">
        <v>329</v>
      </c>
      <c r="D33" s="7">
        <v>10839</v>
      </c>
      <c r="F33" s="7">
        <v>22037</v>
      </c>
    </row>
    <row r="34" spans="3:6" ht="6" customHeight="1">
      <c r="C34" s="4"/>
      <c r="D34" s="85"/>
      <c r="F34" s="59"/>
    </row>
    <row r="35" spans="3:6" ht="12.75">
      <c r="C35" s="4"/>
      <c r="D35" s="8">
        <f>SUM(D31:D34)</f>
        <v>1506275</v>
      </c>
      <c r="F35" s="8">
        <f>SUM(F31:F34)</f>
        <v>1338404</v>
      </c>
    </row>
    <row r="36" spans="3:4" ht="12.75">
      <c r="C36" s="86"/>
      <c r="D36" s="5"/>
    </row>
    <row r="37" spans="2:6" ht="12.75">
      <c r="B37" s="65" t="s">
        <v>236</v>
      </c>
      <c r="D37" s="5">
        <f>D28-D35</f>
        <v>8063</v>
      </c>
      <c r="F37" s="5">
        <f>F28-F35</f>
        <v>-62797</v>
      </c>
    </row>
    <row r="38" ht="9" customHeight="1">
      <c r="D38" s="5"/>
    </row>
    <row r="39" spans="4:6" ht="21.75" customHeight="1" thickBot="1">
      <c r="D39" s="11">
        <f>SUM(D15:D20)+D37</f>
        <v>1303692</v>
      </c>
      <c r="F39" s="11">
        <f>SUM(F15:F20)+F37</f>
        <v>1238474</v>
      </c>
    </row>
    <row r="40" ht="13.5" thickTop="1">
      <c r="D40" s="5"/>
    </row>
    <row r="41" spans="2:4" ht="12.75">
      <c r="B41" s="62"/>
      <c r="D41" s="5"/>
    </row>
    <row r="42" spans="2:6" ht="12.75">
      <c r="B42" t="s">
        <v>28</v>
      </c>
      <c r="D42" s="5">
        <v>174083</v>
      </c>
      <c r="F42" s="5">
        <v>158258</v>
      </c>
    </row>
    <row r="43" spans="2:6" ht="12.75">
      <c r="B43" s="65" t="s">
        <v>29</v>
      </c>
      <c r="D43" s="5">
        <v>400801</v>
      </c>
      <c r="F43" s="5">
        <v>310212</v>
      </c>
    </row>
    <row r="44" spans="2:6" ht="12.75">
      <c r="B44" s="65" t="s">
        <v>27</v>
      </c>
      <c r="C44" s="4"/>
      <c r="D44" s="140">
        <f>D42+D43</f>
        <v>574884</v>
      </c>
      <c r="F44" s="140">
        <f>F42+F43</f>
        <v>468470</v>
      </c>
    </row>
    <row r="45" spans="2:6" ht="12.75">
      <c r="B45" s="65"/>
      <c r="C45" s="4"/>
      <c r="D45" s="9"/>
      <c r="F45" s="9"/>
    </row>
    <row r="46" spans="2:6" ht="12.75">
      <c r="B46" t="s">
        <v>30</v>
      </c>
      <c r="D46" s="5">
        <v>187466</v>
      </c>
      <c r="F46" s="5">
        <v>179304</v>
      </c>
    </row>
    <row r="47" spans="4:6" ht="12.75">
      <c r="D47" s="5"/>
      <c r="F47" s="5"/>
    </row>
    <row r="48" spans="2:6" ht="12.75">
      <c r="B48" t="s">
        <v>55</v>
      </c>
      <c r="D48" s="5"/>
      <c r="F48" s="5"/>
    </row>
    <row r="49" spans="4:6" ht="12.75">
      <c r="D49" s="5"/>
      <c r="F49" s="5"/>
    </row>
    <row r="50" spans="3:6" ht="12.75">
      <c r="C50" s="61" t="s">
        <v>56</v>
      </c>
      <c r="D50" s="5">
        <f>528858</f>
        <v>528858</v>
      </c>
      <c r="F50" s="5">
        <v>577050</v>
      </c>
    </row>
    <row r="51" spans="3:6" ht="11.25" customHeight="1">
      <c r="C51" s="61" t="s">
        <v>57</v>
      </c>
      <c r="D51" s="5">
        <v>12484</v>
      </c>
      <c r="F51" s="5">
        <v>13650</v>
      </c>
    </row>
    <row r="52" spans="4:6" ht="21.75" customHeight="1" thickBot="1">
      <c r="D52" s="11">
        <f>SUM(D44:D51)</f>
        <v>1303692</v>
      </c>
      <c r="F52" s="11">
        <f>SUM(F44:F51)</f>
        <v>1238474</v>
      </c>
    </row>
    <row r="53" ht="13.5" thickTop="1"/>
    <row r="54" spans="2:6" ht="12.75">
      <c r="B54" t="s">
        <v>54</v>
      </c>
      <c r="D54" s="194">
        <f>(D44-D17)/174083</f>
        <v>-0.7865328607618205</v>
      </c>
      <c r="E54" s="194"/>
      <c r="F54" s="194">
        <f>(F44-F17)/158258</f>
        <v>-1.5514602737302379</v>
      </c>
    </row>
    <row r="57" ht="12.75">
      <c r="A57" s="62" t="s">
        <v>281</v>
      </c>
    </row>
    <row r="58" spans="1:4" ht="12.75">
      <c r="A58" s="62" t="s">
        <v>237</v>
      </c>
      <c r="D58" s="86"/>
    </row>
    <row r="60" ht="12.75">
      <c r="A60" s="62"/>
    </row>
    <row r="61" ht="12.75">
      <c r="A61" s="62"/>
    </row>
    <row r="62" ht="12.75">
      <c r="A62" s="62"/>
    </row>
  </sheetData>
  <mergeCells count="4">
    <mergeCell ref="A3:F3"/>
    <mergeCell ref="A6:F6"/>
    <mergeCell ref="A7:F7"/>
    <mergeCell ref="A4:F4"/>
  </mergeCells>
  <printOptions horizontalCentered="1"/>
  <pageMargins left="0.7480314960629921" right="0.7480314960629921" top="0.51" bottom="0.984251968503937" header="0.5118110236220472" footer="0.5118110236220472"/>
  <pageSetup fitToHeight="1" fitToWidth="1" horizontalDpi="300" verticalDpi="3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75" zoomScaleNormal="75" workbookViewId="0" topLeftCell="A1">
      <selection activeCell="E16" sqref="E16"/>
    </sheetView>
  </sheetViews>
  <sheetFormatPr defaultColWidth="9.140625" defaultRowHeight="12.75"/>
  <cols>
    <col min="1" max="1" width="27.00390625" style="0" customWidth="1"/>
    <col min="2" max="2" width="10.7109375" style="0" customWidth="1"/>
    <col min="3" max="3" width="0.9921875" style="0" customWidth="1"/>
    <col min="4" max="4" width="0.2890625" style="0" customWidth="1"/>
    <col min="5" max="5" width="12.28125" style="0" customWidth="1"/>
    <col min="6" max="6" width="0.5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167"/>
      <c r="B1" s="168"/>
      <c r="C1" s="168"/>
      <c r="D1" s="168"/>
      <c r="E1" s="169" t="s">
        <v>314</v>
      </c>
      <c r="F1" s="168"/>
      <c r="G1" s="168"/>
    </row>
    <row r="2" spans="1:7" ht="12.75">
      <c r="A2" s="155"/>
      <c r="B2" s="155"/>
      <c r="C2" s="155"/>
      <c r="D2" s="155"/>
      <c r="E2" s="164" t="s">
        <v>79</v>
      </c>
      <c r="F2" s="155"/>
      <c r="G2" s="155"/>
    </row>
    <row r="3" spans="1:7" ht="15.75">
      <c r="A3" s="82"/>
      <c r="B3" s="81"/>
      <c r="C3" s="81"/>
      <c r="D3" s="81"/>
      <c r="E3" s="81"/>
      <c r="F3" s="81"/>
      <c r="G3" s="81"/>
    </row>
    <row r="4" spans="1:7" ht="15.75">
      <c r="A4" s="82"/>
      <c r="B4" s="81"/>
      <c r="C4" s="82" t="s">
        <v>60</v>
      </c>
      <c r="D4" s="82"/>
      <c r="E4" s="81"/>
      <c r="F4" s="81"/>
      <c r="G4" s="81"/>
    </row>
    <row r="5" spans="1:7" ht="15.75">
      <c r="A5" s="82"/>
      <c r="B5" s="81"/>
      <c r="C5" s="82" t="s">
        <v>89</v>
      </c>
      <c r="D5" s="82"/>
      <c r="E5" s="81"/>
      <c r="F5" s="81"/>
      <c r="G5" s="81"/>
    </row>
    <row r="6" spans="1:9" ht="12.75">
      <c r="A6" s="83"/>
      <c r="B6" s="83"/>
      <c r="C6" s="165"/>
      <c r="D6" s="165"/>
      <c r="E6" s="157" t="s">
        <v>151</v>
      </c>
      <c r="F6" s="165"/>
      <c r="G6" s="165"/>
      <c r="H6" s="65"/>
      <c r="I6" s="65"/>
    </row>
    <row r="7" spans="1:10" ht="12.75">
      <c r="A7" s="157"/>
      <c r="B7" s="158"/>
      <c r="C7" s="158"/>
      <c r="D7" s="158"/>
      <c r="E7" s="174" t="s">
        <v>199</v>
      </c>
      <c r="F7" s="175"/>
      <c r="G7" s="175"/>
      <c r="J7" s="149" t="s">
        <v>292</v>
      </c>
    </row>
    <row r="8" spans="1:6" ht="12.75">
      <c r="A8" s="157"/>
      <c r="B8" s="158"/>
      <c r="C8" s="158"/>
      <c r="D8" s="158"/>
      <c r="E8" s="158"/>
      <c r="F8" s="158"/>
    </row>
    <row r="9" spans="1:10" ht="12.75">
      <c r="A9" s="157"/>
      <c r="B9" s="158"/>
      <c r="C9" s="158"/>
      <c r="D9" s="158"/>
      <c r="E9" s="158"/>
      <c r="F9" s="158"/>
      <c r="G9" s="158" t="s">
        <v>200</v>
      </c>
      <c r="J9" s="163"/>
    </row>
    <row r="10" spans="1:10" ht="12.75">
      <c r="A10" s="157"/>
      <c r="B10" s="158"/>
      <c r="C10" s="158"/>
      <c r="D10" s="158"/>
      <c r="E10" s="158" t="s">
        <v>203</v>
      </c>
      <c r="F10" s="158"/>
      <c r="G10" s="158" t="s">
        <v>201</v>
      </c>
      <c r="J10" s="158" t="s">
        <v>58</v>
      </c>
    </row>
    <row r="11" spans="1:12" ht="12.75">
      <c r="A11" s="157"/>
      <c r="B11" s="158" t="s">
        <v>28</v>
      </c>
      <c r="C11" s="158"/>
      <c r="D11" s="158"/>
      <c r="E11" s="158" t="s">
        <v>204</v>
      </c>
      <c r="F11" s="158"/>
      <c r="G11" s="158" t="s">
        <v>202</v>
      </c>
      <c r="J11" s="158" t="s">
        <v>59</v>
      </c>
      <c r="L11" s="158" t="s">
        <v>78</v>
      </c>
    </row>
    <row r="12" spans="2:12" ht="12.75">
      <c r="B12" s="81" t="s">
        <v>24</v>
      </c>
      <c r="E12" s="81" t="s">
        <v>24</v>
      </c>
      <c r="G12" s="81" t="s">
        <v>24</v>
      </c>
      <c r="J12" s="81" t="s">
        <v>24</v>
      </c>
      <c r="L12" s="81" t="s">
        <v>24</v>
      </c>
    </row>
    <row r="13" spans="1:12" ht="12.75">
      <c r="A13" s="65" t="s">
        <v>267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90" t="s">
        <v>266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2.75">
      <c r="A15" s="163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2:12" ht="12.75"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2.75">
      <c r="A17" t="s">
        <v>283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ht="12.75">
      <c r="A18" t="s">
        <v>270</v>
      </c>
      <c r="B18" s="156">
        <v>158258</v>
      </c>
      <c r="C18" s="156"/>
      <c r="D18" s="156"/>
      <c r="E18" s="156">
        <v>2108</v>
      </c>
      <c r="F18" s="156"/>
      <c r="G18" s="156">
        <f>8948</f>
        <v>8948</v>
      </c>
      <c r="H18" s="156"/>
      <c r="I18" s="156"/>
      <c r="J18" s="156">
        <v>299156</v>
      </c>
      <c r="K18" s="156"/>
      <c r="L18" s="156">
        <f>SUM(B18:J18)</f>
        <v>468470</v>
      </c>
    </row>
    <row r="19" spans="2:12" ht="12.75"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</row>
    <row r="20" ht="12.75">
      <c r="A20" t="s">
        <v>238</v>
      </c>
    </row>
    <row r="21" spans="1:12" ht="12.75">
      <c r="A21" t="s">
        <v>239</v>
      </c>
      <c r="B21" s="156">
        <v>15825</v>
      </c>
      <c r="C21" s="156"/>
      <c r="D21" s="156"/>
      <c r="E21" s="199">
        <v>69630</v>
      </c>
      <c r="F21" s="156"/>
      <c r="G21" s="156"/>
      <c r="H21" s="156"/>
      <c r="I21" s="156"/>
      <c r="J21" s="156"/>
      <c r="K21" s="156"/>
      <c r="L21" s="156">
        <f>SUM(B21:J21)</f>
        <v>85455</v>
      </c>
    </row>
    <row r="22" spans="2:12" ht="12.7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  <row r="23" spans="1:12" ht="12.75">
      <c r="A23" t="s">
        <v>240</v>
      </c>
      <c r="B23" s="156"/>
      <c r="C23" s="156"/>
      <c r="D23" s="156"/>
      <c r="E23" s="156"/>
      <c r="F23" s="156"/>
      <c r="G23" s="156"/>
      <c r="H23" s="156"/>
      <c r="I23" s="156"/>
      <c r="J23" s="199">
        <v>22170</v>
      </c>
      <c r="K23" s="156"/>
      <c r="L23" s="199">
        <f>SUM(B23:J23)</f>
        <v>22170</v>
      </c>
    </row>
    <row r="24" spans="1:12" ht="12.75">
      <c r="A24" s="13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ht="12.75">
      <c r="A25" t="s">
        <v>205</v>
      </c>
      <c r="B25" s="156"/>
      <c r="C25" s="156"/>
      <c r="D25" s="156"/>
      <c r="E25" s="156"/>
      <c r="F25" s="156"/>
      <c r="G25" s="199">
        <v>284</v>
      </c>
      <c r="H25" s="156"/>
      <c r="I25" s="156"/>
      <c r="J25" s="156"/>
      <c r="K25" s="156"/>
      <c r="L25" s="199">
        <f>SUM(B25:J25)</f>
        <v>284</v>
      </c>
    </row>
    <row r="26" ht="12.75">
      <c r="L26" s="156"/>
    </row>
    <row r="27" spans="1:12" ht="12.75">
      <c r="A27" t="s">
        <v>241</v>
      </c>
      <c r="E27" s="199">
        <v>-1495</v>
      </c>
      <c r="L27" s="199">
        <f>SUM(B27:J27)</f>
        <v>-1495</v>
      </c>
    </row>
    <row r="28" spans="5:12" ht="12.75">
      <c r="E28" s="199"/>
      <c r="L28" s="199"/>
    </row>
    <row r="29" spans="2:12" ht="12.75"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</row>
    <row r="30" spans="1:12" ht="13.5" thickBot="1">
      <c r="A30" t="s">
        <v>90</v>
      </c>
      <c r="B30" s="166">
        <f>SUM(B17:B28)</f>
        <v>174083</v>
      </c>
      <c r="C30" s="166"/>
      <c r="D30" s="166"/>
      <c r="E30" s="166">
        <f>SUM(E17:E28)</f>
        <v>70243</v>
      </c>
      <c r="F30" s="156"/>
      <c r="G30" s="166">
        <f>SUM(G17:G29)</f>
        <v>9232</v>
      </c>
      <c r="H30" s="156"/>
      <c r="I30" s="166"/>
      <c r="J30" s="166">
        <f>SUM(J17:J28)</f>
        <v>321326</v>
      </c>
      <c r="K30" s="156"/>
      <c r="L30" s="166">
        <f>SUM(L17:L29)</f>
        <v>574884</v>
      </c>
    </row>
    <row r="31" spans="1:12" ht="13.5" thickTop="1">
      <c r="A31" s="144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</row>
    <row r="32" spans="1:12" ht="12.75">
      <c r="A32" s="65" t="s">
        <v>267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</row>
    <row r="33" spans="1:12" ht="12.75">
      <c r="A33" s="190" t="s">
        <v>268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</row>
    <row r="34" spans="1:12" ht="12.75">
      <c r="A34" s="163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2:12" ht="12.75"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  <row r="36" spans="1:12" ht="12.75">
      <c r="A36" t="s">
        <v>283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</row>
    <row r="37" spans="1:12" ht="12.75">
      <c r="A37" t="s">
        <v>271</v>
      </c>
      <c r="B37" s="156">
        <v>79129</v>
      </c>
      <c r="C37" s="156"/>
      <c r="D37" s="156"/>
      <c r="E37" s="156">
        <v>81309</v>
      </c>
      <c r="F37" s="156"/>
      <c r="G37" s="156">
        <v>5155</v>
      </c>
      <c r="H37" s="156"/>
      <c r="I37" s="156"/>
      <c r="J37" s="156">
        <v>211915</v>
      </c>
      <c r="K37" s="156"/>
      <c r="L37" s="156">
        <f>SUM(B37:J37)</f>
        <v>377508</v>
      </c>
    </row>
    <row r="38" spans="2:12" ht="12.7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ht="12.75">
      <c r="A39" t="s">
        <v>152</v>
      </c>
      <c r="B39" s="156">
        <v>79129</v>
      </c>
      <c r="C39" s="156"/>
      <c r="D39" s="156"/>
      <c r="E39" s="86">
        <v>-79129</v>
      </c>
      <c r="F39" s="156"/>
      <c r="G39" s="156"/>
      <c r="H39" s="156"/>
      <c r="I39" s="156"/>
      <c r="J39" s="156"/>
      <c r="K39" s="156"/>
      <c r="L39" s="156"/>
    </row>
    <row r="40" spans="2:12" ht="12.75">
      <c r="B40" s="156"/>
      <c r="C40" s="156"/>
      <c r="D40" s="156"/>
      <c r="E40" s="86"/>
      <c r="F40" s="156"/>
      <c r="G40" s="156"/>
      <c r="H40" s="156"/>
      <c r="I40" s="156"/>
      <c r="J40" s="156"/>
      <c r="K40" s="156"/>
      <c r="L40" s="156"/>
    </row>
    <row r="41" spans="1:12" ht="12.75">
      <c r="A41" t="s">
        <v>240</v>
      </c>
      <c r="B41" s="156"/>
      <c r="C41" s="156"/>
      <c r="D41" s="156"/>
      <c r="E41" s="156"/>
      <c r="F41" s="156"/>
      <c r="G41" s="156"/>
      <c r="H41" s="156"/>
      <c r="I41" s="156"/>
      <c r="J41" s="156">
        <v>38555</v>
      </c>
      <c r="K41" s="156"/>
      <c r="L41" s="156">
        <f>SUM(B41:J41)</f>
        <v>38555</v>
      </c>
    </row>
    <row r="42" spans="1:15" ht="12.75">
      <c r="A42" s="133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O42" s="238"/>
    </row>
    <row r="43" spans="1:12" ht="12.75">
      <c r="A43" t="s">
        <v>205</v>
      </c>
      <c r="B43" s="156"/>
      <c r="C43" s="156"/>
      <c r="D43" s="156"/>
      <c r="E43" s="156"/>
      <c r="F43" s="156"/>
      <c r="G43" s="156">
        <v>552</v>
      </c>
      <c r="H43" s="156"/>
      <c r="I43" s="156"/>
      <c r="J43" s="156"/>
      <c r="K43" s="156"/>
      <c r="L43" s="156">
        <f>SUM(B43:J43)</f>
        <v>552</v>
      </c>
    </row>
    <row r="45" spans="2:12" ht="12.75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</row>
    <row r="46" spans="1:12" ht="13.5" thickBot="1">
      <c r="A46" t="s">
        <v>269</v>
      </c>
      <c r="B46" s="166">
        <f>SUM(B36:B45)</f>
        <v>158258</v>
      </c>
      <c r="C46" s="166"/>
      <c r="D46" s="166"/>
      <c r="E46" s="166">
        <f>SUM(E36:E45)</f>
        <v>2180</v>
      </c>
      <c r="F46" s="156"/>
      <c r="G46" s="166">
        <f>SUM(G36:G45)</f>
        <v>5707</v>
      </c>
      <c r="H46" s="156"/>
      <c r="I46" s="166"/>
      <c r="J46" s="166">
        <f>SUM(J36:J45)</f>
        <v>250470</v>
      </c>
      <c r="K46" s="156"/>
      <c r="L46" s="166">
        <f>SUM(L36:L45)</f>
        <v>416615</v>
      </c>
    </row>
    <row r="47" spans="1:12" ht="13.5" thickTop="1">
      <c r="A47" s="144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</row>
    <row r="48" spans="2:12" ht="12.75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ht="12.75">
      <c r="A49" s="62" t="s">
        <v>287</v>
      </c>
    </row>
    <row r="50" spans="1:5" ht="12.75">
      <c r="A50" s="62" t="s">
        <v>242</v>
      </c>
      <c r="E50" s="86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2" t="s">
        <v>66</v>
      </c>
    </row>
    <row r="2" ht="12.75">
      <c r="A2" s="65" t="s">
        <v>274</v>
      </c>
    </row>
    <row r="3" ht="12.75">
      <c r="A3" s="65"/>
    </row>
    <row r="4" spans="1:5" ht="12.75">
      <c r="A4" s="62" t="s">
        <v>107</v>
      </c>
      <c r="B4" s="62"/>
      <c r="C4" s="62"/>
      <c r="D4" s="62"/>
      <c r="E4" s="62"/>
    </row>
    <row r="5" spans="1:5" ht="12.75">
      <c r="A5" s="62" t="s">
        <v>108</v>
      </c>
      <c r="B5" s="62"/>
      <c r="C5" s="62"/>
      <c r="D5" s="62"/>
      <c r="E5" s="62"/>
    </row>
    <row r="6" spans="1:5" ht="12.75">
      <c r="A6" s="62" t="s">
        <v>151</v>
      </c>
      <c r="B6" s="62"/>
      <c r="C6" s="62"/>
      <c r="D6" s="62"/>
      <c r="E6" s="62"/>
    </row>
    <row r="7" spans="7:10" ht="12.75">
      <c r="G7" s="241">
        <v>2002</v>
      </c>
      <c r="H7" s="83"/>
      <c r="I7" s="83"/>
      <c r="J7" s="83"/>
    </row>
    <row r="8" spans="7:9" ht="12.75">
      <c r="G8" s="152" t="s">
        <v>109</v>
      </c>
      <c r="H8" s="242" t="s">
        <v>110</v>
      </c>
      <c r="I8" s="242" t="s">
        <v>110</v>
      </c>
    </row>
    <row r="9" spans="7:9" ht="12.75">
      <c r="G9" s="152" t="s">
        <v>111</v>
      </c>
      <c r="H9" s="242" t="s">
        <v>111</v>
      </c>
      <c r="I9" s="242" t="s">
        <v>111</v>
      </c>
    </row>
    <row r="10" spans="7:9" ht="12.75">
      <c r="G10" s="243">
        <v>37529</v>
      </c>
      <c r="H10" s="244" t="s">
        <v>112</v>
      </c>
      <c r="I10" s="244" t="s">
        <v>113</v>
      </c>
    </row>
    <row r="11" spans="7:9" ht="12.75">
      <c r="G11" s="152" t="s">
        <v>114</v>
      </c>
      <c r="H11" s="242" t="s">
        <v>24</v>
      </c>
      <c r="I11" s="242" t="s">
        <v>24</v>
      </c>
    </row>
    <row r="12" spans="8:9" ht="12.75">
      <c r="H12" s="156"/>
      <c r="I12" s="156"/>
    </row>
    <row r="13" spans="1:9" ht="12.75">
      <c r="A13" t="s">
        <v>115</v>
      </c>
      <c r="G13" s="12">
        <v>18157476.800000004</v>
      </c>
      <c r="H13" s="86">
        <v>19169</v>
      </c>
      <c r="I13" s="86">
        <v>54825</v>
      </c>
    </row>
    <row r="14" spans="1:9" ht="12.75">
      <c r="A14" t="s">
        <v>116</v>
      </c>
      <c r="H14" s="86"/>
      <c r="I14" s="86"/>
    </row>
    <row r="15" spans="8:9" ht="12.75">
      <c r="H15" s="86"/>
      <c r="I15" s="86"/>
    </row>
    <row r="16" spans="1:9" ht="12.75">
      <c r="A16" t="s">
        <v>117</v>
      </c>
      <c r="G16" s="12">
        <v>3519102.199038375</v>
      </c>
      <c r="H16" s="86">
        <v>7576</v>
      </c>
      <c r="I16" s="86">
        <v>5923</v>
      </c>
    </row>
    <row r="17" spans="1:9" ht="12.75">
      <c r="A17" t="s">
        <v>118</v>
      </c>
      <c r="G17" s="12">
        <v>12426134.481680587</v>
      </c>
      <c r="H17" s="86">
        <v>25204</v>
      </c>
      <c r="I17" s="86">
        <v>24062</v>
      </c>
    </row>
    <row r="18" spans="8:9" ht="12.75">
      <c r="H18" s="86"/>
      <c r="I18" s="86"/>
    </row>
    <row r="19" spans="1:9" ht="12.75">
      <c r="A19" t="s">
        <v>119</v>
      </c>
      <c r="G19" s="154">
        <v>34102713.48071897</v>
      </c>
      <c r="H19" s="200">
        <f>SUM(H13:H17)</f>
        <v>51949</v>
      </c>
      <c r="I19" s="200">
        <v>84810</v>
      </c>
    </row>
    <row r="20" spans="8:9" ht="12.75">
      <c r="H20" s="86"/>
      <c r="I20" s="86"/>
    </row>
    <row r="21" spans="1:9" ht="12.75">
      <c r="A21" t="s">
        <v>120</v>
      </c>
      <c r="H21" s="86"/>
      <c r="I21" s="86"/>
    </row>
    <row r="22" spans="1:9" ht="12.75">
      <c r="A22" t="s">
        <v>121</v>
      </c>
      <c r="G22" s="12">
        <v>-337693309.9468568</v>
      </c>
      <c r="H22" s="86">
        <v>-418280</v>
      </c>
      <c r="I22" s="86">
        <v>290553</v>
      </c>
    </row>
    <row r="23" spans="1:9" ht="12.75">
      <c r="A23" t="s">
        <v>122</v>
      </c>
      <c r="G23" s="12">
        <v>13448199.433237415</v>
      </c>
      <c r="H23" s="86">
        <v>94537</v>
      </c>
      <c r="I23" s="86">
        <v>-293011</v>
      </c>
    </row>
    <row r="24" spans="7:9" ht="12.75">
      <c r="G24" s="12"/>
      <c r="H24" s="86"/>
      <c r="I24" s="86"/>
    </row>
    <row r="25" spans="1:9" ht="13.5" thickBot="1">
      <c r="A25" t="s">
        <v>123</v>
      </c>
      <c r="G25" s="245">
        <v>-290142397.0329004</v>
      </c>
      <c r="H25" s="201">
        <f>SUM(H19:H23)</f>
        <v>-271794</v>
      </c>
      <c r="I25" s="201">
        <f>SUM(I19:I23)</f>
        <v>82352</v>
      </c>
    </row>
    <row r="26" spans="8:9" ht="13.5" thickTop="1">
      <c r="H26" s="86"/>
      <c r="I26" s="86"/>
    </row>
    <row r="27" spans="1:9" ht="12.75">
      <c r="A27" t="s">
        <v>124</v>
      </c>
      <c r="H27" s="86"/>
      <c r="I27" s="86"/>
    </row>
    <row r="28" spans="1:9" ht="12.75">
      <c r="A28" t="s">
        <v>125</v>
      </c>
      <c r="B28" s="133"/>
      <c r="G28" s="12"/>
      <c r="H28" s="86">
        <v>2701</v>
      </c>
      <c r="I28" s="86">
        <v>4916</v>
      </c>
    </row>
    <row r="29" spans="1:9" ht="12.75">
      <c r="A29" t="s">
        <v>126</v>
      </c>
      <c r="B29" s="133"/>
      <c r="G29" s="12"/>
      <c r="H29" s="86">
        <v>-5590</v>
      </c>
      <c r="I29" s="86"/>
    </row>
    <row r="30" spans="1:9" ht="12.75">
      <c r="A30" t="s">
        <v>127</v>
      </c>
      <c r="B30" s="133"/>
      <c r="G30" s="12"/>
      <c r="H30" s="86">
        <v>0</v>
      </c>
      <c r="I30" s="86">
        <v>75</v>
      </c>
    </row>
    <row r="31" spans="1:9" ht="12.75">
      <c r="A31" t="s">
        <v>128</v>
      </c>
      <c r="B31" s="133"/>
      <c r="G31" s="12"/>
      <c r="H31" s="86">
        <v>-1000</v>
      </c>
      <c r="I31" s="86"/>
    </row>
    <row r="32" spans="1:9" ht="12.75">
      <c r="A32" t="s">
        <v>342</v>
      </c>
      <c r="B32" s="133"/>
      <c r="G32" s="12"/>
      <c r="H32" s="86">
        <v>16433</v>
      </c>
      <c r="I32" s="86">
        <f>33968</f>
        <v>33968</v>
      </c>
    </row>
    <row r="33" spans="2:9" ht="12.75">
      <c r="B33" s="133"/>
      <c r="G33" s="12"/>
      <c r="H33" s="86"/>
      <c r="I33" s="86"/>
    </row>
    <row r="34" spans="2:9" ht="12.75">
      <c r="B34" s="133"/>
      <c r="G34" s="12"/>
      <c r="H34" s="86"/>
      <c r="I34" s="86"/>
    </row>
    <row r="35" spans="2:9" ht="12.75">
      <c r="B35" s="133"/>
      <c r="G35" s="12"/>
      <c r="H35" s="86"/>
      <c r="I35" s="86"/>
    </row>
    <row r="36" spans="1:9" ht="12.75">
      <c r="A36" t="s">
        <v>129</v>
      </c>
      <c r="B36" s="133"/>
      <c r="G36" s="131" t="e">
        <v>#REF!</v>
      </c>
      <c r="H36" s="201">
        <f>SUM(H28:H32)</f>
        <v>12544</v>
      </c>
      <c r="I36" s="201">
        <f>SUM(I28:I32)</f>
        <v>38959</v>
      </c>
    </row>
    <row r="37" spans="8:9" ht="12.75">
      <c r="H37" s="86"/>
      <c r="I37" s="86"/>
    </row>
    <row r="38" spans="1:9" ht="12.75">
      <c r="A38" t="s">
        <v>130</v>
      </c>
      <c r="H38" s="86"/>
      <c r="I38" s="86"/>
    </row>
    <row r="39" spans="1:9" ht="12.75">
      <c r="A39" t="s">
        <v>131</v>
      </c>
      <c r="B39" s="133"/>
      <c r="G39" s="12" t="e">
        <v>#REF!</v>
      </c>
      <c r="H39" s="86">
        <v>5622</v>
      </c>
      <c r="I39" s="86">
        <v>-80132</v>
      </c>
    </row>
    <row r="40" spans="1:9" ht="12.75">
      <c r="A40" t="s">
        <v>132</v>
      </c>
      <c r="B40" s="133"/>
      <c r="G40" s="12"/>
      <c r="H40" s="86">
        <v>83960</v>
      </c>
      <c r="I40" s="86">
        <v>-2025</v>
      </c>
    </row>
    <row r="41" spans="2:9" ht="12.75">
      <c r="B41" s="133"/>
      <c r="G41" s="12"/>
      <c r="H41" s="86"/>
      <c r="I41" s="86"/>
    </row>
    <row r="42" spans="1:9" ht="12.75">
      <c r="A42" t="s">
        <v>133</v>
      </c>
      <c r="B42" s="133"/>
      <c r="G42" s="131" t="e">
        <v>#REF!</v>
      </c>
      <c r="H42" s="201">
        <f>SUM(H39:H40)</f>
        <v>89582</v>
      </c>
      <c r="I42" s="201">
        <f>SUM(I39:I40)</f>
        <v>-82157</v>
      </c>
    </row>
    <row r="43" spans="8:9" ht="12.75">
      <c r="H43" s="86"/>
      <c r="I43" s="86"/>
    </row>
    <row r="44" spans="1:9" ht="12.75">
      <c r="A44" t="s">
        <v>134</v>
      </c>
      <c r="G44" s="12" t="e">
        <v>#REF!</v>
      </c>
      <c r="H44" s="86">
        <f>H25+H36+H42</f>
        <v>-169668</v>
      </c>
      <c r="I44" s="86">
        <f>I25+I36+I42</f>
        <v>39154</v>
      </c>
    </row>
    <row r="45" spans="8:9" ht="12.75">
      <c r="H45" s="86"/>
      <c r="I45" s="86"/>
    </row>
    <row r="46" spans="8:9" ht="12.75">
      <c r="H46" s="86"/>
      <c r="I46" s="86"/>
    </row>
    <row r="47" spans="1:9" ht="12.75">
      <c r="A47" t="s">
        <v>135</v>
      </c>
      <c r="G47" s="12">
        <v>151537773</v>
      </c>
      <c r="H47" s="86">
        <v>151537</v>
      </c>
      <c r="I47" s="86">
        <v>-15593</v>
      </c>
    </row>
    <row r="48" spans="7:9" ht="12.75">
      <c r="G48" s="12"/>
      <c r="H48" s="86"/>
      <c r="I48" s="86"/>
    </row>
    <row r="49" spans="1:9" ht="12.75">
      <c r="A49" t="s">
        <v>136</v>
      </c>
      <c r="G49" s="12">
        <v>-13185.989010987047</v>
      </c>
      <c r="H49" s="86">
        <v>80</v>
      </c>
      <c r="I49" s="86">
        <v>-348</v>
      </c>
    </row>
    <row r="50" spans="7:9" ht="12.75">
      <c r="G50" s="132"/>
      <c r="H50" s="51"/>
      <c r="I50" s="51"/>
    </row>
    <row r="51" spans="1:9" ht="13.5" thickBot="1">
      <c r="A51" t="s">
        <v>137</v>
      </c>
      <c r="G51" s="245" t="e">
        <v>#REF!</v>
      </c>
      <c r="H51" s="246">
        <f>SUM(H44:H49)</f>
        <v>-18051</v>
      </c>
      <c r="I51" s="246">
        <f>SUM(I44:I49)</f>
        <v>23213</v>
      </c>
    </row>
    <row r="52" ht="13.5" thickTop="1"/>
    <row r="54" ht="12.75">
      <c r="A54" t="s">
        <v>138</v>
      </c>
    </row>
    <row r="55" ht="12.75">
      <c r="A55" t="s">
        <v>139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4.28125" style="0" customWidth="1"/>
    <col min="4" max="4" width="15.00390625" style="0" customWidth="1"/>
    <col min="5" max="5" width="17.57421875" style="0" customWidth="1"/>
    <col min="6" max="6" width="15.7109375" style="0" customWidth="1"/>
  </cols>
  <sheetData>
    <row r="1" ht="3.75" customHeight="1"/>
    <row r="2" spans="1:6" ht="18">
      <c r="A2" s="269" t="s">
        <v>314</v>
      </c>
      <c r="B2" s="270"/>
      <c r="C2" s="270"/>
      <c r="D2" s="270"/>
      <c r="E2" s="270"/>
      <c r="F2" s="271"/>
    </row>
    <row r="3" spans="1:6" ht="18">
      <c r="A3" s="273" t="s">
        <v>79</v>
      </c>
      <c r="B3" s="274"/>
      <c r="C3" s="274"/>
      <c r="D3" s="274"/>
      <c r="E3" s="274"/>
      <c r="F3" s="275"/>
    </row>
    <row r="4" spans="1:6" ht="12.75">
      <c r="A4" s="261"/>
      <c r="B4" s="261"/>
      <c r="C4" s="261"/>
      <c r="D4" s="261"/>
      <c r="E4" s="261"/>
      <c r="F4" s="261"/>
    </row>
    <row r="5" spans="1:6" s="50" customFormat="1" ht="15.75">
      <c r="A5" s="260" t="s">
        <v>80</v>
      </c>
      <c r="B5" s="260"/>
      <c r="C5" s="260"/>
      <c r="D5" s="260"/>
      <c r="E5" s="260"/>
      <c r="F5" s="260"/>
    </row>
    <row r="6" spans="1:6" s="50" customFormat="1" ht="15.75">
      <c r="A6" s="272" t="s">
        <v>93</v>
      </c>
      <c r="B6" s="272"/>
      <c r="C6" s="272"/>
      <c r="D6" s="272"/>
      <c r="E6" s="272"/>
      <c r="F6" s="272"/>
    </row>
    <row r="7" spans="1:6" s="50" customFormat="1" ht="12.75">
      <c r="A7" s="157"/>
      <c r="B7" s="157"/>
      <c r="C7" s="157"/>
      <c r="D7" s="157"/>
      <c r="E7" s="157"/>
      <c r="F7" s="157"/>
    </row>
    <row r="8" spans="1:6" s="50" customFormat="1" ht="12.75">
      <c r="A8" s="157"/>
      <c r="B8" s="139" t="s">
        <v>198</v>
      </c>
      <c r="C8" s="172"/>
      <c r="D8" s="172"/>
      <c r="E8" s="172"/>
      <c r="F8" s="157"/>
    </row>
    <row r="9" spans="1:6" s="50" customFormat="1" ht="15" customHeight="1">
      <c r="A9" s="268"/>
      <c r="B9" s="261"/>
      <c r="C9" s="261"/>
      <c r="D9" s="261"/>
      <c r="E9" s="261"/>
      <c r="F9" s="261"/>
    </row>
    <row r="10" spans="1:6" s="65" customFormat="1" ht="15" customHeight="1">
      <c r="A10" s="67">
        <v>1</v>
      </c>
      <c r="B10" s="62" t="s">
        <v>81</v>
      </c>
      <c r="C10" s="62"/>
      <c r="D10" s="62"/>
      <c r="E10" s="204"/>
      <c r="F10" s="204"/>
    </row>
    <row r="11" spans="1:6" s="65" customFormat="1" ht="15" customHeight="1">
      <c r="A11" s="66"/>
      <c r="E11" s="204"/>
      <c r="F11" s="204"/>
    </row>
    <row r="12" spans="1:6" s="65" customFormat="1" ht="15" customHeight="1">
      <c r="A12" s="66"/>
      <c r="B12" s="65" t="s">
        <v>70</v>
      </c>
      <c r="E12" s="204"/>
      <c r="F12" s="204"/>
    </row>
    <row r="13" spans="1:6" s="65" customFormat="1" ht="15" customHeight="1">
      <c r="A13" s="66"/>
      <c r="B13" s="65" t="s">
        <v>253</v>
      </c>
      <c r="E13" s="204"/>
      <c r="F13" s="204"/>
    </row>
    <row r="14" spans="1:6" s="65" customFormat="1" ht="15" customHeight="1">
      <c r="A14" s="66"/>
      <c r="B14" s="65" t="s">
        <v>254</v>
      </c>
      <c r="E14" s="204"/>
      <c r="F14" s="204"/>
    </row>
    <row r="15" spans="1:6" s="65" customFormat="1" ht="15" customHeight="1">
      <c r="A15" s="66"/>
      <c r="B15" s="65" t="s">
        <v>255</v>
      </c>
      <c r="E15" s="204"/>
      <c r="F15" s="204"/>
    </row>
    <row r="16" spans="1:6" s="65" customFormat="1" ht="15" customHeight="1">
      <c r="A16" s="66"/>
      <c r="B16" s="65" t="s">
        <v>256</v>
      </c>
      <c r="E16" s="204"/>
      <c r="F16" s="204"/>
    </row>
    <row r="17" spans="1:6" s="65" customFormat="1" ht="15" customHeight="1">
      <c r="A17" s="67"/>
      <c r="B17" s="62"/>
      <c r="C17" s="62"/>
      <c r="D17" s="62"/>
      <c r="E17" s="204"/>
      <c r="F17" s="204"/>
    </row>
    <row r="18" spans="1:6" s="65" customFormat="1" ht="15" customHeight="1">
      <c r="A18" s="67"/>
      <c r="B18" s="65" t="s">
        <v>257</v>
      </c>
      <c r="C18" s="62"/>
      <c r="D18" s="62"/>
      <c r="E18" s="204"/>
      <c r="F18" s="204"/>
    </row>
    <row r="19" spans="1:6" s="65" customFormat="1" ht="15" customHeight="1">
      <c r="A19" s="67"/>
      <c r="B19" s="62"/>
      <c r="C19" s="62"/>
      <c r="D19" s="62"/>
      <c r="E19" s="204"/>
      <c r="F19" s="204"/>
    </row>
    <row r="20" spans="1:6" s="65" customFormat="1" ht="15" customHeight="1">
      <c r="A20" s="67">
        <v>2</v>
      </c>
      <c r="B20" s="62" t="s">
        <v>195</v>
      </c>
      <c r="C20" s="62"/>
      <c r="D20" s="62"/>
      <c r="E20" s="204"/>
      <c r="F20" s="204"/>
    </row>
    <row r="21" spans="1:6" s="65" customFormat="1" ht="15" customHeight="1">
      <c r="A21" s="67"/>
      <c r="B21" s="62"/>
      <c r="C21" s="62"/>
      <c r="D21" s="62"/>
      <c r="E21" s="204"/>
      <c r="F21" s="204"/>
    </row>
    <row r="22" spans="1:6" s="65" customFormat="1" ht="15" customHeight="1">
      <c r="A22" s="67"/>
      <c r="B22" s="65" t="s">
        <v>284</v>
      </c>
      <c r="C22" s="62"/>
      <c r="D22" s="62"/>
      <c r="E22" s="204"/>
      <c r="F22" s="204"/>
    </row>
    <row r="23" spans="1:6" s="65" customFormat="1" ht="15" customHeight="1">
      <c r="A23" s="67"/>
      <c r="B23" s="65" t="s">
        <v>74</v>
      </c>
      <c r="C23" s="62"/>
      <c r="D23" s="62"/>
      <c r="E23" s="204"/>
      <c r="F23" s="204"/>
    </row>
    <row r="24" spans="1:6" s="65" customFormat="1" ht="15" customHeight="1">
      <c r="A24" s="67"/>
      <c r="B24" s="62"/>
      <c r="C24" s="62"/>
      <c r="D24" s="62"/>
      <c r="E24" s="204"/>
      <c r="F24" s="204"/>
    </row>
    <row r="25" spans="1:6" s="65" customFormat="1" ht="15" customHeight="1">
      <c r="A25" s="67">
        <v>3</v>
      </c>
      <c r="B25" s="141" t="s">
        <v>297</v>
      </c>
      <c r="C25" s="62"/>
      <c r="D25" s="62"/>
      <c r="E25" s="204"/>
      <c r="F25" s="204"/>
    </row>
    <row r="26" spans="1:6" s="65" customFormat="1" ht="15" customHeight="1">
      <c r="A26" s="67"/>
      <c r="B26" s="130"/>
      <c r="C26" s="62"/>
      <c r="D26" s="62"/>
      <c r="E26" s="204"/>
      <c r="F26" s="204"/>
    </row>
    <row r="27" spans="1:6" s="65" customFormat="1" ht="15" customHeight="1">
      <c r="A27" s="67"/>
      <c r="B27" s="142" t="s">
        <v>91</v>
      </c>
      <c r="C27" s="62"/>
      <c r="D27" s="62"/>
      <c r="E27" s="204"/>
      <c r="F27" s="204"/>
    </row>
    <row r="28" spans="1:6" s="65" customFormat="1" ht="15" customHeight="1">
      <c r="A28" s="67"/>
      <c r="B28" s="142" t="s">
        <v>275</v>
      </c>
      <c r="C28" s="62"/>
      <c r="D28" s="62"/>
      <c r="E28" s="204"/>
      <c r="F28" s="204"/>
    </row>
    <row r="29" spans="1:6" s="65" customFormat="1" ht="15" customHeight="1">
      <c r="A29" s="67"/>
      <c r="B29" s="62"/>
      <c r="C29" s="62"/>
      <c r="D29" s="62"/>
      <c r="E29" s="204"/>
      <c r="F29" s="204"/>
    </row>
    <row r="30" spans="1:6" s="65" customFormat="1" ht="15" customHeight="1">
      <c r="A30" s="67">
        <v>4</v>
      </c>
      <c r="B30" s="62" t="s">
        <v>71</v>
      </c>
      <c r="C30" s="62"/>
      <c r="D30" s="62"/>
      <c r="E30" s="204"/>
      <c r="F30" s="204"/>
    </row>
    <row r="31" spans="1:6" s="65" customFormat="1" ht="15" customHeight="1">
      <c r="A31" s="67"/>
      <c r="B31" s="62"/>
      <c r="C31" s="62"/>
      <c r="D31" s="62"/>
      <c r="E31" s="204"/>
      <c r="F31" s="204"/>
    </row>
    <row r="32" spans="1:6" s="65" customFormat="1" ht="15" customHeight="1">
      <c r="A32" s="67"/>
      <c r="B32" s="65" t="s">
        <v>258</v>
      </c>
      <c r="E32" s="204"/>
      <c r="F32" s="204"/>
    </row>
    <row r="33" spans="1:6" s="65" customFormat="1" ht="15" customHeight="1">
      <c r="A33" s="67"/>
      <c r="B33" s="65" t="s">
        <v>259</v>
      </c>
      <c r="E33" s="204"/>
      <c r="F33" s="204"/>
    </row>
    <row r="34" spans="1:6" s="65" customFormat="1" ht="15" customHeight="1">
      <c r="A34" s="67"/>
      <c r="B34" s="65" t="s">
        <v>92</v>
      </c>
      <c r="E34" s="204"/>
      <c r="F34" s="204"/>
    </row>
    <row r="35" spans="1:6" s="65" customFormat="1" ht="15" customHeight="1">
      <c r="A35" s="67"/>
      <c r="B35" s="62"/>
      <c r="C35" s="62"/>
      <c r="D35" s="62"/>
      <c r="E35" s="204"/>
      <c r="F35" s="204"/>
    </row>
    <row r="36" spans="1:6" s="65" customFormat="1" ht="15" customHeight="1">
      <c r="A36" s="67">
        <v>5</v>
      </c>
      <c r="B36" s="62" t="s">
        <v>72</v>
      </c>
      <c r="C36" s="62"/>
      <c r="D36" s="62"/>
      <c r="E36" s="204"/>
      <c r="F36" s="204"/>
    </row>
    <row r="37" spans="1:6" s="65" customFormat="1" ht="15" customHeight="1">
      <c r="A37" s="67"/>
      <c r="B37" s="62"/>
      <c r="C37" s="62"/>
      <c r="D37" s="62"/>
      <c r="E37" s="204"/>
      <c r="F37" s="204"/>
    </row>
    <row r="38" spans="1:6" s="65" customFormat="1" ht="15" customHeight="1">
      <c r="A38" s="67"/>
      <c r="B38" s="65" t="s">
        <v>48</v>
      </c>
      <c r="C38" s="170"/>
      <c r="D38" s="170"/>
      <c r="E38" s="202"/>
      <c r="F38" s="202"/>
    </row>
    <row r="39" spans="1:6" s="65" customFormat="1" ht="15" customHeight="1">
      <c r="A39" s="67"/>
      <c r="B39" s="65" t="s">
        <v>333</v>
      </c>
      <c r="C39" s="170"/>
      <c r="D39" s="170"/>
      <c r="E39" s="202"/>
      <c r="F39" s="202"/>
    </row>
    <row r="40" spans="1:6" s="65" customFormat="1" ht="15" customHeight="1">
      <c r="A40" s="67"/>
      <c r="B40" s="62"/>
      <c r="C40" s="62"/>
      <c r="D40" s="62"/>
      <c r="E40" s="204"/>
      <c r="F40" s="204"/>
    </row>
    <row r="41" spans="1:6" s="65" customFormat="1" ht="15" customHeight="1">
      <c r="A41" s="67">
        <v>6</v>
      </c>
      <c r="B41" s="62" t="s">
        <v>86</v>
      </c>
      <c r="C41" s="62"/>
      <c r="D41" s="62"/>
      <c r="E41" s="204"/>
      <c r="F41" s="204"/>
    </row>
    <row r="42" spans="1:6" s="65" customFormat="1" ht="15" customHeight="1">
      <c r="A42" s="67"/>
      <c r="C42" s="62"/>
      <c r="D42" s="62"/>
      <c r="E42" s="204"/>
      <c r="F42" s="204"/>
    </row>
    <row r="43" spans="1:6" s="65" customFormat="1" ht="15" customHeight="1">
      <c r="A43" s="67"/>
      <c r="B43" s="65" t="s">
        <v>306</v>
      </c>
      <c r="C43" s="62"/>
      <c r="D43" s="62"/>
      <c r="E43" s="204"/>
      <c r="F43" s="204"/>
    </row>
    <row r="44" spans="1:6" s="65" customFormat="1" ht="15" customHeight="1">
      <c r="A44" s="67"/>
      <c r="B44" s="65" t="s">
        <v>157</v>
      </c>
      <c r="C44" s="62"/>
      <c r="D44" s="62"/>
      <c r="E44" s="204"/>
      <c r="F44" s="204"/>
    </row>
    <row r="45" spans="1:6" s="65" customFormat="1" ht="15" customHeight="1">
      <c r="A45" s="67"/>
      <c r="B45" s="65" t="s">
        <v>243</v>
      </c>
      <c r="C45" s="62"/>
      <c r="D45" s="62"/>
      <c r="E45" s="204"/>
      <c r="F45" s="204"/>
    </row>
    <row r="46" spans="1:6" s="65" customFormat="1" ht="12.75">
      <c r="A46" s="67"/>
      <c r="C46" s="62"/>
      <c r="D46" s="62"/>
      <c r="E46" s="204"/>
      <c r="F46" s="204"/>
    </row>
    <row r="47" spans="1:6" s="65" customFormat="1" ht="13.5" customHeight="1">
      <c r="A47" s="67">
        <v>7</v>
      </c>
      <c r="B47" s="62" t="s">
        <v>16</v>
      </c>
      <c r="C47" s="62"/>
      <c r="D47" s="62"/>
      <c r="E47" s="204"/>
      <c r="F47" s="204"/>
    </row>
    <row r="48" spans="1:6" s="65" customFormat="1" ht="13.5" customHeight="1">
      <c r="A48" s="67"/>
      <c r="B48" s="62"/>
      <c r="C48" s="62"/>
      <c r="D48" s="62"/>
      <c r="E48" s="204"/>
      <c r="F48" s="204"/>
    </row>
    <row r="49" spans="1:6" s="65" customFormat="1" ht="13.5" customHeight="1">
      <c r="A49" s="66"/>
      <c r="B49" t="s">
        <v>244</v>
      </c>
      <c r="E49" s="204"/>
      <c r="F49" s="204"/>
    </row>
    <row r="50" spans="1:6" s="65" customFormat="1" ht="12.75">
      <c r="A50" s="267"/>
      <c r="B50" s="267"/>
      <c r="C50" s="267"/>
      <c r="D50" s="267"/>
      <c r="E50" s="267"/>
      <c r="F50" s="267"/>
    </row>
    <row r="51" spans="1:6" s="65" customFormat="1" ht="12.75">
      <c r="A51" s="130"/>
      <c r="B51" s="130"/>
      <c r="C51" s="130"/>
      <c r="D51" s="130"/>
      <c r="E51" s="130"/>
      <c r="F51" s="130"/>
    </row>
    <row r="52" spans="1:6" s="65" customFormat="1" ht="12.75">
      <c r="A52" s="67"/>
      <c r="B52" s="62"/>
      <c r="C52" s="62"/>
      <c r="D52" s="62"/>
      <c r="E52" s="204"/>
      <c r="F52" s="204"/>
    </row>
    <row r="53" spans="1:6" s="65" customFormat="1" ht="19.5" customHeight="1">
      <c r="A53" s="67">
        <v>8</v>
      </c>
      <c r="B53" s="62" t="s">
        <v>144</v>
      </c>
      <c r="C53" s="62"/>
      <c r="D53" s="62"/>
      <c r="E53" s="204"/>
      <c r="F53" s="204"/>
    </row>
    <row r="54" spans="1:6" s="65" customFormat="1" ht="19.5" customHeight="1">
      <c r="A54" s="67"/>
      <c r="B54" s="62"/>
      <c r="C54" s="62"/>
      <c r="D54" s="62"/>
      <c r="E54" s="204"/>
      <c r="F54" s="204"/>
    </row>
    <row r="55" spans="1:6" s="65" customFormat="1" ht="19.5" customHeight="1">
      <c r="A55" s="67"/>
      <c r="B55" s="62" t="s">
        <v>161</v>
      </c>
      <c r="C55" s="62"/>
      <c r="D55"/>
      <c r="E55"/>
      <c r="F55"/>
    </row>
    <row r="56" spans="1:6" s="65" customFormat="1" ht="19.5" customHeight="1">
      <c r="A56" s="67"/>
      <c r="B56" s="52"/>
      <c r="C56" s="225"/>
      <c r="D56" s="226"/>
      <c r="E56" s="227" t="s">
        <v>1</v>
      </c>
      <c r="F56" s="75" t="s">
        <v>285</v>
      </c>
    </row>
    <row r="57" spans="1:6" s="65" customFormat="1" ht="19.5" customHeight="1">
      <c r="A57" s="67"/>
      <c r="B57" s="55"/>
      <c r="C57" s="14"/>
      <c r="D57" s="228"/>
      <c r="E57" s="139"/>
      <c r="F57" s="79" t="s">
        <v>286</v>
      </c>
    </row>
    <row r="58" spans="1:6" s="65" customFormat="1" ht="19.5" customHeight="1">
      <c r="A58" s="67"/>
      <c r="B58" s="55"/>
      <c r="C58" s="14"/>
      <c r="D58" s="228"/>
      <c r="E58" s="139"/>
      <c r="F58" s="79" t="s">
        <v>329</v>
      </c>
    </row>
    <row r="59" spans="1:6" s="65" customFormat="1" ht="19.5" customHeight="1">
      <c r="A59" s="67"/>
      <c r="B59" s="53"/>
      <c r="C59" s="14"/>
      <c r="D59" s="228"/>
      <c r="E59" s="229" t="s">
        <v>94</v>
      </c>
      <c r="F59" s="78" t="s">
        <v>94</v>
      </c>
    </row>
    <row r="60" spans="1:6" s="65" customFormat="1" ht="19.5" customHeight="1">
      <c r="A60" s="67"/>
      <c r="B60" s="76" t="s">
        <v>76</v>
      </c>
      <c r="C60" s="230"/>
      <c r="D60" s="226"/>
      <c r="E60" s="205">
        <v>5065</v>
      </c>
      <c r="F60" s="205">
        <v>409</v>
      </c>
    </row>
    <row r="61" spans="1:6" s="65" customFormat="1" ht="19.5" customHeight="1">
      <c r="A61" s="67"/>
      <c r="B61" s="76" t="s">
        <v>77</v>
      </c>
      <c r="C61" s="77"/>
      <c r="D61" s="228"/>
      <c r="E61" s="205">
        <v>19287</v>
      </c>
      <c r="F61" s="205">
        <v>17160</v>
      </c>
    </row>
    <row r="62" spans="1:6" s="65" customFormat="1" ht="19.5" customHeight="1">
      <c r="A62" s="67"/>
      <c r="B62" s="76" t="s">
        <v>75</v>
      </c>
      <c r="C62" s="77"/>
      <c r="D62" s="228"/>
      <c r="E62" s="205">
        <f>2719</f>
        <v>2719</v>
      </c>
      <c r="F62" s="205">
        <v>1896</v>
      </c>
    </row>
    <row r="63" spans="1:6" s="65" customFormat="1" ht="19.5" customHeight="1">
      <c r="A63" s="67"/>
      <c r="B63" s="76" t="s">
        <v>294</v>
      </c>
      <c r="C63" s="77"/>
      <c r="D63" s="228"/>
      <c r="E63" s="205">
        <v>326627</v>
      </c>
      <c r="F63" s="205">
        <v>16386</v>
      </c>
    </row>
    <row r="64" spans="1:6" s="65" customFormat="1" ht="19.5" customHeight="1">
      <c r="A64" s="67"/>
      <c r="B64" s="231" t="s">
        <v>291</v>
      </c>
      <c r="C64" s="77"/>
      <c r="D64" s="228"/>
      <c r="E64" s="205">
        <v>42</v>
      </c>
      <c r="F64" s="206">
        <v>9173</v>
      </c>
    </row>
    <row r="65" spans="1:6" s="65" customFormat="1" ht="19.5" customHeight="1">
      <c r="A65" s="67"/>
      <c r="B65" s="68"/>
      <c r="C65" s="230"/>
      <c r="D65" s="226"/>
      <c r="E65" s="207">
        <f>SUM(E60:E64)</f>
        <v>353740</v>
      </c>
      <c r="F65" s="207">
        <f>SUM(F60:F64)</f>
        <v>45024</v>
      </c>
    </row>
    <row r="66" spans="1:6" s="65" customFormat="1" ht="19.5" customHeight="1">
      <c r="A66" s="67"/>
      <c r="B66" s="70" t="s">
        <v>290</v>
      </c>
      <c r="C66" s="197"/>
      <c r="D66" s="228"/>
      <c r="E66" s="208">
        <v>-14730</v>
      </c>
      <c r="F66" s="210">
        <v>0</v>
      </c>
    </row>
    <row r="67" spans="1:6" s="65" customFormat="1" ht="19.5" customHeight="1">
      <c r="A67" s="67"/>
      <c r="B67" s="70"/>
      <c r="C67" s="197"/>
      <c r="D67" s="71"/>
      <c r="E67" s="249"/>
      <c r="F67" s="247">
        <f>F65+F66</f>
        <v>45024</v>
      </c>
    </row>
    <row r="68" spans="1:6" s="65" customFormat="1" ht="19.5" customHeight="1">
      <c r="A68" s="67"/>
      <c r="B68" s="70" t="s">
        <v>304</v>
      </c>
      <c r="C68" s="197"/>
      <c r="D68" s="228"/>
      <c r="E68" s="208">
        <v>0</v>
      </c>
      <c r="F68" s="208">
        <v>-650</v>
      </c>
    </row>
    <row r="69" spans="1:6" s="65" customFormat="1" ht="19.5" customHeight="1">
      <c r="A69" s="67"/>
      <c r="B69" s="70"/>
      <c r="C69" s="197"/>
      <c r="D69" s="228"/>
      <c r="E69" s="208"/>
      <c r="F69" s="207">
        <f>F67+F68</f>
        <v>44374</v>
      </c>
    </row>
    <row r="70" spans="1:6" s="65" customFormat="1" ht="19.5" customHeight="1">
      <c r="A70" s="67"/>
      <c r="B70" s="70" t="s">
        <v>234</v>
      </c>
      <c r="C70" s="197"/>
      <c r="D70" s="228"/>
      <c r="E70" s="208">
        <v>0</v>
      </c>
      <c r="F70" s="208">
        <v>2701</v>
      </c>
    </row>
    <row r="71" spans="1:6" s="65" customFormat="1" ht="19.5" customHeight="1">
      <c r="A71" s="67"/>
      <c r="B71" s="70" t="s">
        <v>305</v>
      </c>
      <c r="C71" s="197"/>
      <c r="D71" s="228"/>
      <c r="E71" s="208">
        <v>0</v>
      </c>
      <c r="F71" s="208">
        <v>-27906</v>
      </c>
    </row>
    <row r="72" spans="1:6" s="65" customFormat="1" ht="19.5" customHeight="1" thickBot="1">
      <c r="A72" s="67"/>
      <c r="B72" s="198"/>
      <c r="C72" s="195"/>
      <c r="D72" s="232"/>
      <c r="E72" s="209">
        <f>+E65+E66</f>
        <v>339010</v>
      </c>
      <c r="F72" s="209">
        <f>F69+F70+F71</f>
        <v>19169</v>
      </c>
    </row>
    <row r="73" spans="1:6" s="65" customFormat="1" ht="19.5" customHeight="1" thickTop="1">
      <c r="A73" s="67"/>
      <c r="B73" s="197"/>
      <c r="C73" s="197"/>
      <c r="D73" s="211"/>
      <c r="E73" s="211"/>
      <c r="F73"/>
    </row>
    <row r="74" spans="1:6" s="65" customFormat="1" ht="19.5" customHeight="1">
      <c r="A74" s="67"/>
      <c r="B74" s="62" t="s">
        <v>162</v>
      </c>
      <c r="C74" s="197"/>
      <c r="D74" s="211"/>
      <c r="E74" s="211"/>
      <c r="F74"/>
    </row>
    <row r="75" spans="1:6" s="65" customFormat="1" ht="19.5" customHeight="1">
      <c r="A75" s="67"/>
      <c r="B75" s="52"/>
      <c r="C75" s="225"/>
      <c r="D75" s="226"/>
      <c r="E75" s="227" t="s">
        <v>1</v>
      </c>
      <c r="F75" s="75" t="s">
        <v>285</v>
      </c>
    </row>
    <row r="76" spans="1:6" s="65" customFormat="1" ht="19.5" customHeight="1">
      <c r="A76" s="67"/>
      <c r="B76" s="55"/>
      <c r="C76" s="14"/>
      <c r="D76" s="228"/>
      <c r="E76" s="139"/>
      <c r="F76" s="79" t="s">
        <v>286</v>
      </c>
    </row>
    <row r="77" spans="1:6" s="65" customFormat="1" ht="19.5" customHeight="1">
      <c r="A77" s="67"/>
      <c r="B77" s="55"/>
      <c r="C77" s="14"/>
      <c r="D77" s="228"/>
      <c r="E77" s="139"/>
      <c r="F77" s="79" t="s">
        <v>329</v>
      </c>
    </row>
    <row r="78" spans="1:6" s="65" customFormat="1" ht="19.5" customHeight="1">
      <c r="A78" s="67"/>
      <c r="B78" s="55"/>
      <c r="C78" s="14"/>
      <c r="D78" s="228"/>
      <c r="E78" s="229" t="s">
        <v>94</v>
      </c>
      <c r="F78" s="78" t="s">
        <v>94</v>
      </c>
    </row>
    <row r="79" spans="1:6" s="65" customFormat="1" ht="19.5" customHeight="1">
      <c r="A79" s="67"/>
      <c r="B79" s="150" t="s">
        <v>163</v>
      </c>
      <c r="C79" s="230"/>
      <c r="D79" s="226"/>
      <c r="E79" s="203">
        <v>334002</v>
      </c>
      <c r="F79" s="203">
        <v>28724</v>
      </c>
    </row>
    <row r="80" spans="1:6" s="65" customFormat="1" ht="19.5" customHeight="1">
      <c r="A80" s="67"/>
      <c r="B80" s="76" t="s">
        <v>164</v>
      </c>
      <c r="C80" s="77"/>
      <c r="D80" s="228"/>
      <c r="E80" s="205">
        <f>386</f>
        <v>386</v>
      </c>
      <c r="F80" s="205">
        <v>-10267</v>
      </c>
    </row>
    <row r="81" spans="1:6" s="65" customFormat="1" ht="19.5" customHeight="1">
      <c r="A81" s="67"/>
      <c r="B81" s="76" t="s">
        <v>165</v>
      </c>
      <c r="C81" s="77"/>
      <c r="D81" s="228"/>
      <c r="E81" s="205">
        <f>4622</f>
        <v>4622</v>
      </c>
      <c r="F81" s="205">
        <v>712</v>
      </c>
    </row>
    <row r="82" spans="1:6" s="65" customFormat="1" ht="19.5" customHeight="1">
      <c r="A82" s="67"/>
      <c r="B82" s="80" t="s">
        <v>323</v>
      </c>
      <c r="C82" s="233"/>
      <c r="D82" s="234"/>
      <c r="E82" s="235">
        <f>SUM(E77:E81)</f>
        <v>339010</v>
      </c>
      <c r="F82" s="212">
        <f>SUM(F77:F81)</f>
        <v>19169</v>
      </c>
    </row>
    <row r="83" spans="1:6" s="65" customFormat="1" ht="15" customHeight="1">
      <c r="A83" s="130"/>
      <c r="B83" s="130"/>
      <c r="C83" s="130"/>
      <c r="D83" s="130"/>
      <c r="E83" s="130"/>
      <c r="F83" s="130"/>
    </row>
    <row r="84" spans="1:6" s="65" customFormat="1" ht="15" customHeight="1">
      <c r="A84" s="130"/>
      <c r="B84" s="130"/>
      <c r="C84" s="130"/>
      <c r="D84" s="130"/>
      <c r="E84" s="130"/>
      <c r="F84" s="130"/>
    </row>
    <row r="85" spans="1:6" s="65" customFormat="1" ht="15" customHeight="1">
      <c r="A85" s="130"/>
      <c r="B85" s="130"/>
      <c r="C85" s="130"/>
      <c r="D85" s="130"/>
      <c r="E85" s="130"/>
      <c r="F85" s="130"/>
    </row>
    <row r="86" spans="1:6" s="65" customFormat="1" ht="18" customHeight="1">
      <c r="A86" s="67">
        <v>9</v>
      </c>
      <c r="B86" s="62" t="s">
        <v>17</v>
      </c>
      <c r="C86" s="62"/>
      <c r="D86" s="62"/>
      <c r="E86" s="204"/>
      <c r="F86" s="204"/>
    </row>
    <row r="87" spans="1:6" s="65" customFormat="1" ht="18" customHeight="1">
      <c r="A87" s="67"/>
      <c r="B87" s="62"/>
      <c r="C87" s="62"/>
      <c r="D87" s="62"/>
      <c r="E87" s="204"/>
      <c r="F87" s="204"/>
    </row>
    <row r="88" spans="1:6" s="65" customFormat="1" ht="18" customHeight="1">
      <c r="A88" s="67"/>
      <c r="B88" s="65" t="s">
        <v>196</v>
      </c>
      <c r="C88" s="62"/>
      <c r="D88" s="62"/>
      <c r="E88" s="204"/>
      <c r="F88" s="204"/>
    </row>
    <row r="89" spans="1:6" s="65" customFormat="1" ht="18" customHeight="1">
      <c r="A89" s="67"/>
      <c r="B89" s="65" t="s">
        <v>260</v>
      </c>
      <c r="C89" s="62"/>
      <c r="D89" s="62"/>
      <c r="E89" s="204"/>
      <c r="F89" s="204"/>
    </row>
    <row r="90" spans="1:6" s="65" customFormat="1" ht="18" customHeight="1">
      <c r="A90" s="67"/>
      <c r="C90" s="62"/>
      <c r="D90" s="62"/>
      <c r="E90" s="204"/>
      <c r="F90" s="204"/>
    </row>
    <row r="91" spans="1:6" s="65" customFormat="1" ht="18" customHeight="1">
      <c r="A91" s="67"/>
      <c r="C91" s="62"/>
      <c r="D91" s="62"/>
      <c r="E91" s="204"/>
      <c r="F91" s="204"/>
    </row>
    <row r="92" spans="1:6" s="65" customFormat="1" ht="18" customHeight="1">
      <c r="A92" s="67"/>
      <c r="C92" s="62"/>
      <c r="D92" s="62"/>
      <c r="E92" s="204"/>
      <c r="F92" s="204"/>
    </row>
    <row r="93" spans="1:6" s="65" customFormat="1" ht="18" customHeight="1">
      <c r="A93" s="130"/>
      <c r="B93" s="130"/>
      <c r="C93" s="130"/>
      <c r="D93" s="130"/>
      <c r="E93" s="130"/>
      <c r="F93" s="130"/>
    </row>
    <row r="94" spans="1:6" s="65" customFormat="1" ht="18" customHeight="1">
      <c r="A94" s="67">
        <v>10</v>
      </c>
      <c r="B94" s="141" t="s">
        <v>296</v>
      </c>
      <c r="C94" s="62"/>
      <c r="D94" s="62"/>
      <c r="E94" s="204"/>
      <c r="F94" s="204"/>
    </row>
    <row r="95" spans="1:6" s="65" customFormat="1" ht="18" customHeight="1">
      <c r="A95" s="67"/>
      <c r="B95" s="141"/>
      <c r="C95" s="62"/>
      <c r="D95" s="62"/>
      <c r="E95" s="204"/>
      <c r="F95" s="204"/>
    </row>
    <row r="96" spans="1:6" s="65" customFormat="1" ht="18" customHeight="1">
      <c r="A96" s="67"/>
      <c r="B96" s="65" t="s">
        <v>330</v>
      </c>
      <c r="C96" s="62"/>
      <c r="D96" s="62"/>
      <c r="E96" s="204"/>
      <c r="F96" s="204"/>
    </row>
    <row r="97" spans="1:6" s="65" customFormat="1" ht="18" customHeight="1">
      <c r="A97" s="67"/>
      <c r="B97" s="66" t="s">
        <v>331</v>
      </c>
      <c r="C97" s="62"/>
      <c r="D97" s="62"/>
      <c r="E97" s="204"/>
      <c r="F97" s="204"/>
    </row>
    <row r="98" spans="1:6" s="65" customFormat="1" ht="18" customHeight="1">
      <c r="A98" s="67"/>
      <c r="B98" s="66"/>
      <c r="C98" s="62"/>
      <c r="D98" s="62"/>
      <c r="E98" s="204"/>
      <c r="F98" s="204"/>
    </row>
    <row r="99" spans="1:6" s="65" customFormat="1" ht="18" customHeight="1">
      <c r="A99" s="67">
        <v>11</v>
      </c>
      <c r="B99" s="62" t="s">
        <v>84</v>
      </c>
      <c r="C99" s="62"/>
      <c r="D99" s="62"/>
      <c r="E99" s="204"/>
      <c r="F99" s="204"/>
    </row>
    <row r="100" spans="1:6" s="65" customFormat="1" ht="18" customHeight="1">
      <c r="A100" s="67"/>
      <c r="B100" s="62"/>
      <c r="C100" s="62"/>
      <c r="D100" s="62"/>
      <c r="E100" s="204"/>
      <c r="F100" s="204"/>
    </row>
    <row r="101" spans="1:6" s="65" customFormat="1" ht="18" customHeight="1">
      <c r="A101" s="67"/>
      <c r="B101" s="65" t="s">
        <v>245</v>
      </c>
      <c r="C101" s="62"/>
      <c r="D101" s="62"/>
      <c r="E101" s="204"/>
      <c r="F101" s="204"/>
    </row>
    <row r="102" spans="1:6" s="65" customFormat="1" ht="18" customHeight="1">
      <c r="A102" s="67"/>
      <c r="B102" s="142" t="s">
        <v>359</v>
      </c>
      <c r="C102" s="62"/>
      <c r="D102" s="62"/>
      <c r="E102" s="204"/>
      <c r="F102" s="204"/>
    </row>
    <row r="103" spans="1:6" s="65" customFormat="1" ht="18" customHeight="1">
      <c r="A103" s="67"/>
      <c r="B103" s="224" t="s">
        <v>247</v>
      </c>
      <c r="C103" s="62"/>
      <c r="D103" s="62"/>
      <c r="E103" s="204"/>
      <c r="F103" s="204"/>
    </row>
    <row r="104" spans="1:6" s="65" customFormat="1" ht="18" customHeight="1">
      <c r="A104" s="67"/>
      <c r="B104" s="239" t="s">
        <v>248</v>
      </c>
      <c r="C104" s="62"/>
      <c r="D104" s="62"/>
      <c r="E104" s="204"/>
      <c r="F104" s="204"/>
    </row>
    <row r="105" spans="1:6" s="65" customFormat="1" ht="18" customHeight="1">
      <c r="A105" s="67"/>
      <c r="B105" s="62"/>
      <c r="C105" s="62"/>
      <c r="D105" s="62"/>
      <c r="E105" s="204"/>
      <c r="F105" s="204"/>
    </row>
    <row r="106" spans="1:6" s="65" customFormat="1" ht="18" customHeight="1">
      <c r="A106" s="67"/>
      <c r="B106" s="65" t="s">
        <v>246</v>
      </c>
      <c r="C106" s="62"/>
      <c r="D106" s="62"/>
      <c r="E106" s="204"/>
      <c r="F106" s="204"/>
    </row>
    <row r="107" spans="1:6" s="65" customFormat="1" ht="18" customHeight="1">
      <c r="A107" s="67"/>
      <c r="B107" s="142" t="s">
        <v>360</v>
      </c>
      <c r="C107" s="62"/>
      <c r="D107" s="62"/>
      <c r="E107" s="204"/>
      <c r="F107" s="204"/>
    </row>
    <row r="108" spans="1:6" s="65" customFormat="1" ht="18" customHeight="1">
      <c r="A108" s="67"/>
      <c r="B108" s="224" t="s">
        <v>353</v>
      </c>
      <c r="C108" s="62"/>
      <c r="D108" s="62"/>
      <c r="E108" s="204"/>
      <c r="F108" s="204"/>
    </row>
    <row r="109" spans="1:6" s="65" customFormat="1" ht="18" customHeight="1">
      <c r="A109" s="67"/>
      <c r="B109" s="239" t="s">
        <v>354</v>
      </c>
      <c r="C109" s="62"/>
      <c r="D109" s="62"/>
      <c r="E109" s="204"/>
      <c r="F109" s="204"/>
    </row>
    <row r="110" spans="1:6" s="65" customFormat="1" ht="18" customHeight="1">
      <c r="A110" s="67"/>
      <c r="B110" s="239"/>
      <c r="C110" s="62"/>
      <c r="D110" s="62"/>
      <c r="E110" s="204"/>
      <c r="F110" s="204"/>
    </row>
    <row r="111" spans="1:6" s="65" customFormat="1" ht="18" customHeight="1">
      <c r="A111" s="67"/>
      <c r="B111" s="65" t="s">
        <v>352</v>
      </c>
      <c r="C111" s="62"/>
      <c r="D111" s="62"/>
      <c r="E111" s="204"/>
      <c r="F111" s="204"/>
    </row>
    <row r="112" spans="1:6" s="65" customFormat="1" ht="18" customHeight="1">
      <c r="A112" s="67"/>
      <c r="B112" s="142" t="s">
        <v>361</v>
      </c>
      <c r="C112" s="62"/>
      <c r="D112" s="62"/>
      <c r="E112" s="204"/>
      <c r="F112" s="204"/>
    </row>
    <row r="113" spans="1:6" s="65" customFormat="1" ht="18" customHeight="1">
      <c r="A113" s="67"/>
      <c r="B113" s="224" t="s">
        <v>351</v>
      </c>
      <c r="C113" s="62"/>
      <c r="D113" s="62"/>
      <c r="E113" s="204"/>
      <c r="F113" s="204"/>
    </row>
    <row r="114" spans="1:6" s="65" customFormat="1" ht="18" customHeight="1">
      <c r="A114" s="67"/>
      <c r="B114" s="239"/>
      <c r="C114" s="62"/>
      <c r="D114" s="62"/>
      <c r="E114" s="204"/>
      <c r="F114" s="204"/>
    </row>
    <row r="115" spans="1:6" s="65" customFormat="1" ht="18" customHeight="1">
      <c r="A115" s="67"/>
      <c r="B115" s="142" t="s">
        <v>249</v>
      </c>
      <c r="C115" s="83"/>
      <c r="D115" s="83"/>
      <c r="E115" s="204"/>
      <c r="F115" s="204"/>
    </row>
    <row r="116" spans="1:6" s="65" customFormat="1" ht="18" customHeight="1">
      <c r="A116" s="67"/>
      <c r="B116" s="142" t="s">
        <v>250</v>
      </c>
      <c r="C116" s="83"/>
      <c r="D116" s="83"/>
      <c r="E116" s="204"/>
      <c r="F116" s="204"/>
    </row>
    <row r="117" spans="1:6" s="65" customFormat="1" ht="18" customHeight="1">
      <c r="A117" s="67"/>
      <c r="B117" s="62"/>
      <c r="C117" s="62"/>
      <c r="D117" s="62"/>
      <c r="E117" s="204"/>
      <c r="F117" s="204"/>
    </row>
    <row r="118" spans="1:6" s="65" customFormat="1" ht="18" customHeight="1">
      <c r="A118" s="67">
        <v>12</v>
      </c>
      <c r="B118" s="62" t="s">
        <v>18</v>
      </c>
      <c r="C118" s="62"/>
      <c r="D118" s="62"/>
      <c r="E118" s="204"/>
      <c r="F118" s="204"/>
    </row>
    <row r="119" spans="1:6" s="65" customFormat="1" ht="18" customHeight="1">
      <c r="A119" s="67"/>
      <c r="C119" s="62"/>
      <c r="D119" s="62"/>
      <c r="E119" s="204"/>
      <c r="F119" s="204"/>
    </row>
    <row r="120" spans="1:6" s="65" customFormat="1" ht="18" customHeight="1">
      <c r="A120" s="67"/>
      <c r="B120" s="65" t="s">
        <v>154</v>
      </c>
      <c r="C120" s="62"/>
      <c r="D120" s="62"/>
      <c r="E120" s="204"/>
      <c r="F120" s="204"/>
    </row>
    <row r="121" spans="1:6" s="65" customFormat="1" ht="18" customHeight="1">
      <c r="A121" s="67"/>
      <c r="B121" s="62"/>
      <c r="C121" s="62"/>
      <c r="D121" s="62"/>
      <c r="E121" s="204"/>
      <c r="F121" s="204"/>
    </row>
    <row r="122" spans="1:6" s="65" customFormat="1" ht="18" customHeight="1">
      <c r="A122" s="67"/>
      <c r="B122" s="62"/>
      <c r="C122" s="62"/>
      <c r="D122" s="62"/>
      <c r="E122" s="204"/>
      <c r="F122" s="204"/>
    </row>
    <row r="123" spans="1:6" s="65" customFormat="1" ht="18" customHeight="1">
      <c r="A123" s="62" t="s">
        <v>261</v>
      </c>
      <c r="C123" s="62"/>
      <c r="D123" s="62"/>
      <c r="E123" s="204"/>
      <c r="F123" s="204"/>
    </row>
    <row r="124" spans="1:6" s="65" customFormat="1" ht="18" customHeight="1">
      <c r="A124" s="62" t="s">
        <v>262</v>
      </c>
      <c r="C124" s="62"/>
      <c r="D124" s="62"/>
      <c r="E124" s="204"/>
      <c r="F124" s="204"/>
    </row>
    <row r="125" spans="1:6" s="65" customFormat="1" ht="18" customHeight="1">
      <c r="A125" s="67"/>
      <c r="B125" s="62"/>
      <c r="C125" s="62"/>
      <c r="D125" s="62"/>
      <c r="E125" s="204"/>
      <c r="F125" s="204"/>
    </row>
    <row r="126" spans="1:6" s="65" customFormat="1" ht="18" customHeight="1">
      <c r="A126" s="67">
        <v>13</v>
      </c>
      <c r="B126" s="62" t="s">
        <v>145</v>
      </c>
      <c r="C126" s="62"/>
      <c r="D126" s="62"/>
      <c r="E126" s="204"/>
      <c r="F126" s="204"/>
    </row>
    <row r="127" spans="1:6" s="65" customFormat="1" ht="18" customHeight="1">
      <c r="A127" s="67"/>
      <c r="B127"/>
      <c r="C127" s="62"/>
      <c r="D127" s="62"/>
      <c r="E127" s="204"/>
      <c r="F127" s="204"/>
    </row>
    <row r="128" spans="1:6" s="65" customFormat="1" ht="18" customHeight="1">
      <c r="A128" s="67"/>
      <c r="B128" t="s">
        <v>343</v>
      </c>
      <c r="C128" s="62"/>
      <c r="D128" s="62"/>
      <c r="E128" s="204"/>
      <c r="F128" s="204"/>
    </row>
    <row r="129" spans="1:6" s="65" customFormat="1" ht="18" customHeight="1">
      <c r="A129" s="67"/>
      <c r="B129" t="s">
        <v>332</v>
      </c>
      <c r="C129" s="62"/>
      <c r="D129" s="62"/>
      <c r="E129" s="204"/>
      <c r="F129" s="204"/>
    </row>
    <row r="130" spans="1:6" s="65" customFormat="1" ht="18" customHeight="1">
      <c r="A130" s="67"/>
      <c r="B130" t="s">
        <v>312</v>
      </c>
      <c r="C130" s="62"/>
      <c r="D130" s="62"/>
      <c r="E130" s="204"/>
      <c r="F130" s="204"/>
    </row>
    <row r="131" spans="1:6" s="65" customFormat="1" ht="18" customHeight="1">
      <c r="A131" s="67"/>
      <c r="B131" s="62"/>
      <c r="C131" s="62"/>
      <c r="D131" s="62"/>
      <c r="E131" s="204"/>
      <c r="F131" s="204"/>
    </row>
    <row r="132" spans="1:6" s="65" customFormat="1" ht="18" customHeight="1">
      <c r="A132" s="67"/>
      <c r="B132" s="62"/>
      <c r="C132" s="62"/>
      <c r="D132" s="62"/>
      <c r="E132" s="204"/>
      <c r="F132" s="204"/>
    </row>
    <row r="133" spans="1:6" s="65" customFormat="1" ht="18" customHeight="1">
      <c r="A133" s="67"/>
      <c r="B133" s="62"/>
      <c r="C133" s="62"/>
      <c r="D133" s="62"/>
      <c r="E133" s="204"/>
      <c r="F133" s="204"/>
    </row>
    <row r="134" spans="1:6" s="65" customFormat="1" ht="18" customHeight="1">
      <c r="A134" s="67"/>
      <c r="B134" s="62"/>
      <c r="C134" s="62"/>
      <c r="D134" s="62"/>
      <c r="E134" s="204"/>
      <c r="F134" s="204"/>
    </row>
    <row r="135" s="65" customFormat="1" ht="18" customHeight="1">
      <c r="F135" s="204"/>
    </row>
    <row r="136" spans="1:6" s="65" customFormat="1" ht="18" customHeight="1">
      <c r="A136" s="67">
        <v>14</v>
      </c>
      <c r="B136" s="62" t="s">
        <v>232</v>
      </c>
      <c r="C136" s="62"/>
      <c r="D136" s="62"/>
      <c r="E136" s="204"/>
      <c r="F136" s="204"/>
    </row>
    <row r="137" spans="1:6" s="65" customFormat="1" ht="18" customHeight="1">
      <c r="A137"/>
      <c r="B137"/>
      <c r="C137" s="62"/>
      <c r="D137" s="62"/>
      <c r="E137" s="204"/>
      <c r="F137" s="204"/>
    </row>
    <row r="138" spans="1:6" s="65" customFormat="1" ht="18" customHeight="1">
      <c r="A138"/>
      <c r="B138" t="s">
        <v>344</v>
      </c>
      <c r="C138" s="62"/>
      <c r="D138" s="62"/>
      <c r="E138" s="204"/>
      <c r="F138" s="204"/>
    </row>
    <row r="139" spans="1:6" s="65" customFormat="1" ht="18" customHeight="1">
      <c r="A139"/>
      <c r="B139" t="s">
        <v>345</v>
      </c>
      <c r="C139" s="62"/>
      <c r="D139" s="62"/>
      <c r="E139" s="204"/>
      <c r="F139" s="204"/>
    </row>
    <row r="140" spans="1:6" s="65" customFormat="1" ht="18" customHeight="1">
      <c r="A140"/>
      <c r="B140" t="s">
        <v>346</v>
      </c>
      <c r="C140" s="62"/>
      <c r="D140" s="62"/>
      <c r="E140" s="204"/>
      <c r="F140" s="204"/>
    </row>
    <row r="141" spans="1:6" s="65" customFormat="1" ht="27" customHeight="1">
      <c r="A141" s="67"/>
      <c r="B141" s="62"/>
      <c r="C141" s="62"/>
      <c r="D141" s="62"/>
      <c r="E141" s="204"/>
      <c r="F141" s="204"/>
    </row>
    <row r="142" spans="1:6" s="65" customFormat="1" ht="15" customHeight="1">
      <c r="A142" s="67">
        <v>15</v>
      </c>
      <c r="B142" s="62" t="s">
        <v>146</v>
      </c>
      <c r="C142" s="62"/>
      <c r="D142" s="62"/>
      <c r="E142" s="204"/>
      <c r="F142" s="204"/>
    </row>
    <row r="143" spans="1:6" s="65" customFormat="1" ht="15" customHeight="1">
      <c r="A143" s="67"/>
      <c r="B143" s="62"/>
      <c r="C143" s="62"/>
      <c r="D143" s="62"/>
      <c r="E143" s="204"/>
      <c r="F143" s="204"/>
    </row>
    <row r="144" spans="1:6" s="65" customFormat="1" ht="15" customHeight="1">
      <c r="A144" s="67"/>
      <c r="B144" s="65" t="s">
        <v>263</v>
      </c>
      <c r="C144" s="62"/>
      <c r="D144" s="62"/>
      <c r="E144" s="204"/>
      <c r="F144" s="204"/>
    </row>
    <row r="145" spans="1:6" s="65" customFormat="1" ht="15" customHeight="1">
      <c r="A145" s="67"/>
      <c r="B145" s="65" t="s">
        <v>264</v>
      </c>
      <c r="D145" s="62"/>
      <c r="E145" s="204"/>
      <c r="F145" s="204"/>
    </row>
    <row r="146" spans="1:6" s="65" customFormat="1" ht="15" customHeight="1">
      <c r="A146" s="67"/>
      <c r="B146" s="65" t="s">
        <v>265</v>
      </c>
      <c r="D146" s="62"/>
      <c r="E146" s="204"/>
      <c r="F146" s="204"/>
    </row>
    <row r="147" spans="1:6" s="65" customFormat="1" ht="15" customHeight="1">
      <c r="A147" s="67"/>
      <c r="B147" s="65" t="s">
        <v>334</v>
      </c>
      <c r="D147" s="62"/>
      <c r="E147" s="204"/>
      <c r="F147" s="204"/>
    </row>
    <row r="148" spans="1:6" s="65" customFormat="1" ht="15" customHeight="1">
      <c r="A148" s="67"/>
      <c r="B148" s="65" t="s">
        <v>357</v>
      </c>
      <c r="D148" s="62"/>
      <c r="E148" s="204"/>
      <c r="F148" s="204"/>
    </row>
    <row r="149" spans="1:6" s="65" customFormat="1" ht="15" customHeight="1">
      <c r="A149" s="67"/>
      <c r="C149"/>
      <c r="D149"/>
      <c r="E149"/>
      <c r="F149"/>
    </row>
    <row r="150" spans="1:6" s="65" customFormat="1" ht="15" customHeight="1">
      <c r="A150" s="67"/>
      <c r="B150" s="65" t="s">
        <v>303</v>
      </c>
      <c r="C150"/>
      <c r="D150"/>
      <c r="E150"/>
      <c r="F150"/>
    </row>
    <row r="151" spans="1:6" s="65" customFormat="1" ht="15" customHeight="1">
      <c r="A151" s="67"/>
      <c r="B151" s="65" t="s">
        <v>233</v>
      </c>
      <c r="C151"/>
      <c r="D151"/>
      <c r="E151"/>
      <c r="F151"/>
    </row>
    <row r="152" spans="1:6" s="65" customFormat="1" ht="15" customHeight="1">
      <c r="A152" s="67"/>
      <c r="B152" s="65" t="s">
        <v>49</v>
      </c>
      <c r="C152"/>
      <c r="D152"/>
      <c r="E152"/>
      <c r="F152"/>
    </row>
    <row r="153" spans="1:6" s="65" customFormat="1" ht="15" customHeight="1">
      <c r="A153" s="67"/>
      <c r="B153" s="65" t="s">
        <v>335</v>
      </c>
      <c r="C153"/>
      <c r="D153"/>
      <c r="E153"/>
      <c r="F153"/>
    </row>
    <row r="154" spans="1:6" s="65" customFormat="1" ht="15" customHeight="1">
      <c r="A154" s="67"/>
      <c r="C154"/>
      <c r="D154"/>
      <c r="E154"/>
      <c r="F154"/>
    </row>
    <row r="155" spans="1:6" s="65" customFormat="1" ht="15" customHeight="1">
      <c r="A155" s="67">
        <v>16</v>
      </c>
      <c r="B155" s="62" t="s">
        <v>147</v>
      </c>
      <c r="C155"/>
      <c r="D155"/>
      <c r="E155"/>
      <c r="F155"/>
    </row>
    <row r="156" spans="1:6" s="65" customFormat="1" ht="15" customHeight="1">
      <c r="A156" s="67"/>
      <c r="B156"/>
      <c r="C156"/>
      <c r="D156"/>
      <c r="E156"/>
      <c r="F156"/>
    </row>
    <row r="157" spans="1:6" s="65" customFormat="1" ht="15" customHeight="1">
      <c r="A157" s="67"/>
      <c r="B157" t="s">
        <v>276</v>
      </c>
      <c r="C157"/>
      <c r="D157"/>
      <c r="E157"/>
      <c r="F157"/>
    </row>
    <row r="158" spans="1:6" s="65" customFormat="1" ht="15" customHeight="1">
      <c r="A158" s="67"/>
      <c r="C158"/>
      <c r="D158"/>
      <c r="E158"/>
      <c r="F158"/>
    </row>
    <row r="159" spans="1:6" s="65" customFormat="1" ht="15" customHeight="1">
      <c r="A159" s="66"/>
      <c r="E159" s="204"/>
      <c r="F159" s="204"/>
    </row>
    <row r="160" spans="1:6" s="65" customFormat="1" ht="15" customHeight="1">
      <c r="A160" s="67">
        <v>17</v>
      </c>
      <c r="B160" s="62" t="s">
        <v>329</v>
      </c>
      <c r="C160" s="62" t="s">
        <v>302</v>
      </c>
      <c r="D160" s="62"/>
      <c r="E160" s="213" t="s">
        <v>301</v>
      </c>
      <c r="F160" s="204"/>
    </row>
    <row r="161" spans="1:6" s="65" customFormat="1" ht="15" customHeight="1">
      <c r="A161" s="66"/>
      <c r="C161" s="173">
        <v>38168</v>
      </c>
      <c r="D161" s="173">
        <v>37802</v>
      </c>
      <c r="E161" s="173">
        <v>38168</v>
      </c>
      <c r="F161" s="173">
        <v>37802</v>
      </c>
    </row>
    <row r="162" spans="1:6" s="65" customFormat="1" ht="15" customHeight="1">
      <c r="A162" s="66"/>
      <c r="C162" s="213" t="s">
        <v>24</v>
      </c>
      <c r="D162" s="213" t="s">
        <v>24</v>
      </c>
      <c r="E162" s="213" t="s">
        <v>24</v>
      </c>
      <c r="F162" s="213" t="s">
        <v>24</v>
      </c>
    </row>
    <row r="163" spans="1:6" s="65" customFormat="1" ht="15" customHeight="1">
      <c r="A163" s="66"/>
      <c r="D163"/>
      <c r="E163" s="214"/>
      <c r="F163" s="204"/>
    </row>
    <row r="164" spans="1:6" s="65" customFormat="1" ht="15" customHeight="1">
      <c r="A164" s="66"/>
      <c r="B164" s="65" t="s">
        <v>153</v>
      </c>
      <c r="C164" s="215">
        <f>E164+180</f>
        <v>-666</v>
      </c>
      <c r="D164" s="215">
        <v>-569</v>
      </c>
      <c r="E164" s="193">
        <v>-846</v>
      </c>
      <c r="F164" s="216">
        <v>-613</v>
      </c>
    </row>
    <row r="165" spans="1:6" s="65" customFormat="1" ht="15" customHeight="1">
      <c r="A165" s="66"/>
      <c r="B165" s="65" t="s">
        <v>288</v>
      </c>
      <c r="C165" s="215">
        <f>E165</f>
        <v>12000</v>
      </c>
      <c r="D165" s="191">
        <v>0</v>
      </c>
      <c r="E165" s="217">
        <v>12000</v>
      </c>
      <c r="F165" s="216">
        <v>0</v>
      </c>
    </row>
    <row r="166" spans="1:6" s="65" customFormat="1" ht="15" customHeight="1">
      <c r="A166" s="66"/>
      <c r="B166" s="65" t="s">
        <v>289</v>
      </c>
      <c r="C166" s="215"/>
      <c r="D166" s="191"/>
      <c r="E166" s="217"/>
      <c r="F166" s="216"/>
    </row>
    <row r="167" spans="1:6" s="65" customFormat="1" ht="15" customHeight="1" thickBot="1">
      <c r="A167" s="66"/>
      <c r="C167" s="218">
        <f>C164+C165</f>
        <v>11334</v>
      </c>
      <c r="D167" s="218">
        <f>D164</f>
        <v>-569</v>
      </c>
      <c r="E167" s="218">
        <f>E164+E165</f>
        <v>11154</v>
      </c>
      <c r="F167" s="218">
        <f>F164</f>
        <v>-613</v>
      </c>
    </row>
    <row r="168" spans="1:6" s="65" customFormat="1" ht="15" customHeight="1" thickTop="1">
      <c r="A168" s="66"/>
      <c r="D168" s="83"/>
      <c r="E168" s="213"/>
      <c r="F168" s="204"/>
    </row>
    <row r="169" spans="1:6" s="65" customFormat="1" ht="15" customHeight="1">
      <c r="A169" s="66"/>
      <c r="B169" s="65" t="s">
        <v>347</v>
      </c>
      <c r="D169" s="83"/>
      <c r="E169" s="213"/>
      <c r="F169" s="204"/>
    </row>
    <row r="170" spans="1:6" s="65" customFormat="1" ht="15" customHeight="1">
      <c r="A170" s="66"/>
      <c r="B170" s="65" t="s">
        <v>355</v>
      </c>
      <c r="D170" s="83"/>
      <c r="E170" s="213"/>
      <c r="F170" s="204"/>
    </row>
    <row r="171" spans="1:6" s="65" customFormat="1" ht="15" customHeight="1">
      <c r="A171" s="66"/>
      <c r="B171" s="65" t="s">
        <v>356</v>
      </c>
      <c r="D171" s="83"/>
      <c r="E171" s="213"/>
      <c r="F171" s="204"/>
    </row>
    <row r="172" spans="1:6" s="65" customFormat="1" ht="15" customHeight="1">
      <c r="A172" s="66"/>
      <c r="B172" s="65" t="s">
        <v>358</v>
      </c>
      <c r="D172" s="83"/>
      <c r="E172" s="213"/>
      <c r="F172" s="204"/>
    </row>
    <row r="173" spans="1:6" s="65" customFormat="1" ht="15" customHeight="1">
      <c r="A173" s="66"/>
      <c r="D173" s="83"/>
      <c r="E173" s="213"/>
      <c r="F173" s="204"/>
    </row>
    <row r="174" s="65" customFormat="1" ht="13.5" customHeight="1"/>
    <row r="175" spans="1:6" s="65" customFormat="1" ht="15" customHeight="1">
      <c r="A175" s="67">
        <v>18</v>
      </c>
      <c r="B175" s="62" t="s">
        <v>82</v>
      </c>
      <c r="C175" s="62"/>
      <c r="D175" s="62"/>
      <c r="E175" s="204"/>
      <c r="F175" s="204"/>
    </row>
    <row r="176" ht="15" customHeight="1"/>
    <row r="177" spans="2:6" ht="13.5" customHeight="1">
      <c r="B177" t="s">
        <v>272</v>
      </c>
      <c r="E177" s="64"/>
      <c r="F177" s="64"/>
    </row>
    <row r="178" spans="2:6" ht="13.5" customHeight="1">
      <c r="B178" t="s">
        <v>92</v>
      </c>
      <c r="E178" s="64"/>
      <c r="F178" s="64"/>
    </row>
    <row r="179" spans="5:6" ht="13.5" customHeight="1">
      <c r="E179" s="64"/>
      <c r="F179" s="64"/>
    </row>
    <row r="180" spans="5:6" ht="13.5" customHeight="1">
      <c r="E180" s="64"/>
      <c r="F180" s="64"/>
    </row>
    <row r="181" spans="5:6" ht="13.5" customHeight="1">
      <c r="E181" s="64"/>
      <c r="F181" s="64"/>
    </row>
    <row r="182" spans="5:6" ht="13.5" customHeight="1">
      <c r="E182" s="64"/>
      <c r="F182" s="64"/>
    </row>
    <row r="183" spans="5:6" ht="13.5" customHeight="1">
      <c r="E183" s="64"/>
      <c r="F183" s="64"/>
    </row>
    <row r="184" spans="5:6" ht="13.5" customHeight="1">
      <c r="E184" s="64"/>
      <c r="F184" s="64"/>
    </row>
    <row r="185" spans="5:6" ht="13.5" customHeight="1">
      <c r="E185" s="64"/>
      <c r="F185" s="64"/>
    </row>
    <row r="186" spans="1:6" ht="13.5" customHeight="1">
      <c r="A186" s="50"/>
      <c r="B186" s="63"/>
      <c r="C186" s="63"/>
      <c r="D186" s="63"/>
      <c r="E186" s="219"/>
      <c r="F186" s="219"/>
    </row>
    <row r="187" spans="1:6" ht="13.5" customHeight="1">
      <c r="A187" s="67">
        <v>19</v>
      </c>
      <c r="B187" s="62" t="s">
        <v>83</v>
      </c>
      <c r="C187" s="62"/>
      <c r="D187" s="62"/>
      <c r="E187" s="204"/>
      <c r="F187" s="219"/>
    </row>
    <row r="188" spans="1:6" ht="13.5" customHeight="1">
      <c r="A188" s="66"/>
      <c r="B188" s="62"/>
      <c r="C188" s="62"/>
      <c r="D188" s="62"/>
      <c r="E188" s="204"/>
      <c r="F188" s="219"/>
    </row>
    <row r="189" spans="1:6" ht="13.5" customHeight="1">
      <c r="A189" s="66"/>
      <c r="B189" s="65" t="s">
        <v>160</v>
      </c>
      <c r="C189" s="65"/>
      <c r="D189" s="65"/>
      <c r="E189" s="204"/>
      <c r="F189" s="219"/>
    </row>
    <row r="190" spans="1:6" ht="13.5" customHeight="1">
      <c r="A190" s="66"/>
      <c r="B190" t="s">
        <v>92</v>
      </c>
      <c r="D190" s="65"/>
      <c r="E190" s="204"/>
      <c r="F190" s="219"/>
    </row>
    <row r="191" spans="1:6" ht="19.5" customHeight="1">
      <c r="A191" s="66"/>
      <c r="B191" s="65"/>
      <c r="C191" s="65"/>
      <c r="D191" s="65"/>
      <c r="E191" s="204"/>
      <c r="F191" s="219"/>
    </row>
    <row r="192" spans="1:6" ht="13.5" customHeight="1">
      <c r="A192" s="67">
        <v>20</v>
      </c>
      <c r="B192" s="62" t="s">
        <v>85</v>
      </c>
      <c r="C192" s="62"/>
      <c r="D192" s="62"/>
      <c r="E192" s="204"/>
      <c r="F192" s="219"/>
    </row>
    <row r="193" spans="1:6" ht="13.5" customHeight="1">
      <c r="A193" s="67"/>
      <c r="B193" s="62"/>
      <c r="C193" s="62"/>
      <c r="D193" s="62"/>
      <c r="E193" s="204"/>
      <c r="F193" s="219"/>
    </row>
    <row r="194" spans="1:6" ht="13.5" customHeight="1">
      <c r="A194" s="67"/>
      <c r="B194" s="62" t="s">
        <v>338</v>
      </c>
      <c r="C194" s="62"/>
      <c r="D194" s="62"/>
      <c r="E194" s="204"/>
      <c r="F194" s="219"/>
    </row>
    <row r="195" spans="1:6" ht="13.5" customHeight="1">
      <c r="A195" s="50"/>
      <c r="B195" s="153"/>
      <c r="C195" s="65"/>
      <c r="D195" s="65"/>
      <c r="E195" s="219"/>
      <c r="F195" s="219"/>
    </row>
    <row r="196" spans="1:6" ht="13.5" customHeight="1">
      <c r="A196" s="50"/>
      <c r="B196" s="153" t="s">
        <v>337</v>
      </c>
      <c r="C196" s="65"/>
      <c r="D196" s="65"/>
      <c r="E196" s="219"/>
      <c r="F196" s="219"/>
    </row>
    <row r="197" spans="1:6" ht="13.5" customHeight="1">
      <c r="A197" s="50"/>
      <c r="B197" s="153" t="s">
        <v>336</v>
      </c>
      <c r="C197" s="65"/>
      <c r="D197" s="65"/>
      <c r="E197" s="219"/>
      <c r="F197" s="219"/>
    </row>
    <row r="198" spans="1:6" ht="13.5" customHeight="1">
      <c r="A198" s="50"/>
      <c r="B198" s="153" t="s">
        <v>363</v>
      </c>
      <c r="C198" s="65"/>
      <c r="D198" s="65"/>
      <c r="E198" s="219"/>
      <c r="F198" s="219"/>
    </row>
    <row r="199" spans="1:6" ht="13.5" customHeight="1">
      <c r="A199" s="50"/>
      <c r="B199" s="153" t="s">
        <v>362</v>
      </c>
      <c r="C199" s="65"/>
      <c r="D199" s="65"/>
      <c r="E199" s="219"/>
      <c r="F199" s="219"/>
    </row>
    <row r="200" spans="1:6" ht="13.5" customHeight="1">
      <c r="A200" s="50"/>
      <c r="B200" s="153"/>
      <c r="C200" s="65"/>
      <c r="D200" s="65"/>
      <c r="E200" s="219"/>
      <c r="F200" s="219"/>
    </row>
    <row r="201" spans="1:6" ht="13.5" customHeight="1">
      <c r="A201" s="50"/>
      <c r="B201" s="153"/>
      <c r="C201" s="65"/>
      <c r="D201" s="65"/>
      <c r="E201" s="219"/>
      <c r="F201" s="219"/>
    </row>
    <row r="202" spans="1:6" ht="13.5" customHeight="1">
      <c r="A202" s="50"/>
      <c r="B202" s="250" t="s">
        <v>348</v>
      </c>
      <c r="C202" s="65"/>
      <c r="D202" s="65"/>
      <c r="E202" s="219"/>
      <c r="F202" s="219"/>
    </row>
    <row r="203" spans="1:6" ht="13.5" customHeight="1">
      <c r="A203" s="50"/>
      <c r="B203" s="250" t="s">
        <v>349</v>
      </c>
      <c r="C203" s="65"/>
      <c r="D203" s="65"/>
      <c r="E203" s="219"/>
      <c r="F203" s="219"/>
    </row>
    <row r="204" spans="1:6" ht="13.5" customHeight="1">
      <c r="A204" s="50"/>
      <c r="B204" s="240"/>
      <c r="C204" s="65"/>
      <c r="D204" s="65"/>
      <c r="E204" s="219"/>
      <c r="F204" s="219"/>
    </row>
    <row r="205" spans="1:6" ht="13.5" customHeight="1">
      <c r="A205" s="50"/>
      <c r="B205" s="248" t="s">
        <v>339</v>
      </c>
      <c r="C205" s="65"/>
      <c r="D205" s="65"/>
      <c r="E205" s="219"/>
      <c r="F205" s="219"/>
    </row>
    <row r="206" spans="1:6" ht="13.5" customHeight="1">
      <c r="A206" s="50"/>
      <c r="B206" s="248" t="s">
        <v>340</v>
      </c>
      <c r="C206" s="65"/>
      <c r="D206" s="65"/>
      <c r="E206" s="219"/>
      <c r="F206" s="219"/>
    </row>
    <row r="207" spans="1:6" ht="13.5" customHeight="1">
      <c r="A207" s="50"/>
      <c r="B207" s="248" t="s">
        <v>341</v>
      </c>
      <c r="C207" s="65"/>
      <c r="D207" s="65"/>
      <c r="E207" s="219"/>
      <c r="F207" s="219"/>
    </row>
    <row r="208" spans="1:6" ht="13.5" customHeight="1">
      <c r="A208" s="50"/>
      <c r="B208" s="153"/>
      <c r="C208" s="65"/>
      <c r="D208" s="65"/>
      <c r="E208" s="219"/>
      <c r="F208" s="219"/>
    </row>
    <row r="209" spans="1:6" ht="13.5" customHeight="1">
      <c r="A209" s="50"/>
      <c r="B209" s="153"/>
      <c r="C209" s="65"/>
      <c r="D209" s="65"/>
      <c r="E209" s="219"/>
      <c r="F209" s="219"/>
    </row>
    <row r="210" spans="1:6" ht="17.25" customHeight="1">
      <c r="A210" s="67">
        <v>21</v>
      </c>
      <c r="B210" s="62" t="s">
        <v>87</v>
      </c>
      <c r="C210" s="62"/>
      <c r="D210" s="62"/>
      <c r="E210" s="65"/>
      <c r="F210" s="65"/>
    </row>
    <row r="211" spans="1:6" ht="17.25" customHeight="1">
      <c r="A211" s="65"/>
      <c r="B211" s="65"/>
      <c r="C211" s="65"/>
      <c r="D211" s="65"/>
      <c r="E211" s="65"/>
      <c r="F211" s="65"/>
    </row>
    <row r="212" spans="1:6" ht="16.5" customHeight="1">
      <c r="A212" s="65"/>
      <c r="B212" s="65" t="s">
        <v>327</v>
      </c>
      <c r="C212" s="65"/>
      <c r="D212" s="65"/>
      <c r="E212" s="65"/>
      <c r="F212" s="65"/>
    </row>
    <row r="213" spans="1:6" ht="16.5" customHeight="1">
      <c r="A213" s="65"/>
      <c r="B213" s="68"/>
      <c r="C213" s="69"/>
      <c r="D213" s="69"/>
      <c r="E213" s="145" t="s">
        <v>298</v>
      </c>
      <c r="F213" s="59"/>
    </row>
    <row r="214" spans="1:6" ht="16.5" customHeight="1">
      <c r="A214" s="65"/>
      <c r="B214" s="148"/>
      <c r="C214" s="149"/>
      <c r="D214" s="149"/>
      <c r="E214" s="78" t="s">
        <v>300</v>
      </c>
      <c r="F214" s="78" t="s">
        <v>94</v>
      </c>
    </row>
    <row r="215" spans="1:6" ht="16.5" customHeight="1">
      <c r="A215" s="65"/>
      <c r="B215" s="76" t="s">
        <v>99</v>
      </c>
      <c r="C215" s="77"/>
      <c r="D215" s="77"/>
      <c r="E215" s="146"/>
      <c r="F215" s="72"/>
    </row>
    <row r="216" spans="1:6" ht="16.5" customHeight="1">
      <c r="A216" s="65"/>
      <c r="B216" s="70" t="s">
        <v>95</v>
      </c>
      <c r="C216" s="71"/>
      <c r="D216" s="71"/>
      <c r="E216" s="151" t="s">
        <v>299</v>
      </c>
      <c r="F216" s="220">
        <f>513943</f>
        <v>513943</v>
      </c>
    </row>
    <row r="217" spans="1:6" ht="16.5" customHeight="1">
      <c r="A217" s="65"/>
      <c r="B217" s="70" t="s">
        <v>96</v>
      </c>
      <c r="C217" s="71"/>
      <c r="D217" s="71"/>
      <c r="E217" s="72" t="s">
        <v>299</v>
      </c>
      <c r="F217" s="220">
        <f>14915</f>
        <v>14915</v>
      </c>
    </row>
    <row r="218" spans="1:6" ht="16.5" customHeight="1">
      <c r="A218" s="65"/>
      <c r="B218" s="70"/>
      <c r="C218" s="71"/>
      <c r="D218" s="71"/>
      <c r="E218" s="72"/>
      <c r="F218" s="220"/>
    </row>
    <row r="219" spans="1:6" ht="16.5" customHeight="1">
      <c r="A219" s="65"/>
      <c r="B219" s="70" t="s">
        <v>97</v>
      </c>
      <c r="C219" s="71"/>
      <c r="D219" s="71"/>
      <c r="E219" s="72"/>
      <c r="F219" s="221">
        <f>+F216+F217</f>
        <v>528858</v>
      </c>
    </row>
    <row r="220" spans="1:6" ht="16.5" customHeight="1">
      <c r="A220" s="65"/>
      <c r="B220" s="70"/>
      <c r="C220" s="71"/>
      <c r="D220" s="71"/>
      <c r="E220" s="72"/>
      <c r="F220" s="221"/>
    </row>
    <row r="221" spans="1:6" ht="16.5" customHeight="1">
      <c r="A221" s="65"/>
      <c r="B221" s="76" t="s">
        <v>98</v>
      </c>
      <c r="C221" s="77"/>
      <c r="D221" s="77"/>
      <c r="E221" s="72"/>
      <c r="F221" s="220"/>
    </row>
    <row r="222" spans="1:6" ht="16.5" customHeight="1">
      <c r="A222" s="65"/>
      <c r="B222" s="70" t="s">
        <v>95</v>
      </c>
      <c r="C222" s="71"/>
      <c r="D222" s="71"/>
      <c r="E222" s="72" t="s">
        <v>299</v>
      </c>
      <c r="F222" s="220">
        <v>386223</v>
      </c>
    </row>
    <row r="223" spans="1:6" ht="16.5" customHeight="1">
      <c r="A223" s="65"/>
      <c r="B223" s="70"/>
      <c r="C223" s="71"/>
      <c r="D223" s="71"/>
      <c r="E223" s="72" t="s">
        <v>62</v>
      </c>
      <c r="F223" s="220">
        <v>2621</v>
      </c>
    </row>
    <row r="224" spans="1:6" ht="16.5" customHeight="1">
      <c r="A224" s="65"/>
      <c r="B224" s="70"/>
      <c r="C224" s="71"/>
      <c r="D224" s="71"/>
      <c r="E224" s="72" t="s">
        <v>313</v>
      </c>
      <c r="F224" s="220">
        <f>120000</f>
        <v>120000</v>
      </c>
    </row>
    <row r="225" spans="1:6" ht="16.5" customHeight="1">
      <c r="A225" s="65"/>
      <c r="B225" s="70"/>
      <c r="C225" s="71"/>
      <c r="D225" s="71"/>
      <c r="E225" s="72" t="s">
        <v>63</v>
      </c>
      <c r="F225" s="220">
        <f>70118</f>
        <v>70118</v>
      </c>
    </row>
    <row r="226" spans="1:6" ht="16.5" customHeight="1">
      <c r="A226" s="65"/>
      <c r="B226" s="70" t="s">
        <v>96</v>
      </c>
      <c r="C226" s="71"/>
      <c r="D226" s="71"/>
      <c r="E226" s="72" t="s">
        <v>299</v>
      </c>
      <c r="F226" s="220">
        <v>56645</v>
      </c>
    </row>
    <row r="227" spans="1:6" ht="16.5" customHeight="1">
      <c r="A227" s="65"/>
      <c r="B227" s="70"/>
      <c r="C227" s="71"/>
      <c r="D227" s="71"/>
      <c r="E227" s="72" t="s">
        <v>64</v>
      </c>
      <c r="F227" s="220">
        <v>70</v>
      </c>
    </row>
    <row r="228" spans="1:6" ht="16.5" customHeight="1" thickBot="1">
      <c r="A228" s="65"/>
      <c r="B228" s="70" t="s">
        <v>97</v>
      </c>
      <c r="C228" s="71"/>
      <c r="D228" s="71"/>
      <c r="E228" s="147"/>
      <c r="F228" s="222">
        <f>SUM(F222:F227)</f>
        <v>635677</v>
      </c>
    </row>
    <row r="229" spans="1:6" ht="16.5" customHeight="1" thickBot="1">
      <c r="A229" s="65"/>
      <c r="B229" s="73" t="s">
        <v>323</v>
      </c>
      <c r="C229" s="74"/>
      <c r="D229" s="74"/>
      <c r="E229" s="74"/>
      <c r="F229" s="223">
        <f>F219+F228</f>
        <v>1164535</v>
      </c>
    </row>
    <row r="230" spans="1:6" ht="16.5" customHeight="1">
      <c r="A230" s="65"/>
      <c r="B230" s="197"/>
      <c r="C230" s="197"/>
      <c r="D230" s="197"/>
      <c r="E230" s="197"/>
      <c r="F230" s="236"/>
    </row>
    <row r="231" spans="1:6" ht="16.5" customHeight="1">
      <c r="A231" s="65"/>
      <c r="B231" s="197"/>
      <c r="C231" s="197"/>
      <c r="D231" s="197"/>
      <c r="E231" s="197"/>
      <c r="F231" s="236"/>
    </row>
    <row r="232" spans="1:6" ht="13.5" customHeight="1">
      <c r="A232" s="130"/>
      <c r="B232" s="130"/>
      <c r="C232" s="130"/>
      <c r="D232" s="130"/>
      <c r="E232" s="130"/>
      <c r="F232" s="130"/>
    </row>
    <row r="233" spans="3:6" ht="15" customHeight="1">
      <c r="C233" s="62"/>
      <c r="D233" s="65"/>
      <c r="E233" s="65"/>
      <c r="F233" s="65"/>
    </row>
    <row r="234" spans="1:6" ht="15" customHeight="1">
      <c r="A234" s="67">
        <v>22</v>
      </c>
      <c r="B234" s="62" t="s">
        <v>100</v>
      </c>
      <c r="C234" s="62"/>
      <c r="D234" s="65"/>
      <c r="E234" s="65"/>
      <c r="F234" s="65"/>
    </row>
    <row r="235" spans="1:6" ht="15" customHeight="1">
      <c r="A235" s="66"/>
      <c r="B235" s="65"/>
      <c r="C235" s="65"/>
      <c r="D235" s="65"/>
      <c r="E235" s="65"/>
      <c r="F235" s="65"/>
    </row>
    <row r="236" spans="1:6" ht="15" customHeight="1">
      <c r="A236" s="66"/>
      <c r="B236" s="65" t="s">
        <v>50</v>
      </c>
      <c r="C236" s="65"/>
      <c r="D236" s="65"/>
      <c r="E236" s="65"/>
      <c r="F236" s="65"/>
    </row>
    <row r="237" spans="1:6" ht="15" customHeight="1">
      <c r="A237" s="66"/>
      <c r="B237" s="65" t="s">
        <v>251</v>
      </c>
      <c r="C237" s="65"/>
      <c r="D237" s="65"/>
      <c r="E237" s="65"/>
      <c r="F237" s="65"/>
    </row>
    <row r="238" spans="1:6" ht="15" customHeight="1">
      <c r="A238" s="66"/>
      <c r="B238" s="65"/>
      <c r="C238" s="65"/>
      <c r="D238" s="65"/>
      <c r="E238" s="65"/>
      <c r="F238" s="65"/>
    </row>
    <row r="239" spans="1:6" ht="15" customHeight="1">
      <c r="A239" s="66"/>
      <c r="B239" s="65"/>
      <c r="C239" s="65"/>
      <c r="D239" s="65"/>
      <c r="E239" s="65"/>
      <c r="F239" s="65"/>
    </row>
    <row r="240" spans="1:6" ht="15" customHeight="1">
      <c r="A240" s="67">
        <v>23</v>
      </c>
      <c r="B240" s="62" t="s">
        <v>101</v>
      </c>
      <c r="C240" s="62"/>
      <c r="D240" s="65"/>
      <c r="E240" s="65"/>
      <c r="F240" s="65"/>
    </row>
    <row r="241" spans="1:6" ht="15" customHeight="1">
      <c r="A241" s="66"/>
      <c r="B241" s="65"/>
      <c r="C241" s="65"/>
      <c r="D241" s="65"/>
      <c r="E241" s="65"/>
      <c r="F241" s="65"/>
    </row>
    <row r="242" spans="1:6" ht="15" customHeight="1">
      <c r="A242" s="66"/>
      <c r="B242" s="65" t="s">
        <v>143</v>
      </c>
      <c r="C242" s="65"/>
      <c r="D242" s="65"/>
      <c r="E242" s="65"/>
      <c r="F242" s="65"/>
    </row>
    <row r="243" spans="1:6" ht="15" customHeight="1">
      <c r="A243" s="66"/>
      <c r="B243" s="65" t="s">
        <v>159</v>
      </c>
      <c r="C243" s="65"/>
      <c r="D243" s="65"/>
      <c r="E243" s="65"/>
      <c r="F243" s="65"/>
    </row>
    <row r="244" ht="15" customHeight="1">
      <c r="A244" s="67"/>
    </row>
    <row r="245" spans="1:6" ht="12.75">
      <c r="A245" s="83"/>
      <c r="B245" s="83"/>
      <c r="C245" s="83"/>
      <c r="D245" s="83"/>
      <c r="E245" s="83"/>
      <c r="F245" s="83"/>
    </row>
    <row r="246" spans="1:3" ht="15" customHeight="1">
      <c r="A246" s="67">
        <v>24</v>
      </c>
      <c r="B246" s="62" t="s">
        <v>148</v>
      </c>
      <c r="C246" s="62"/>
    </row>
    <row r="247" ht="15" customHeight="1">
      <c r="A247" s="67"/>
    </row>
    <row r="248" spans="1:2" ht="15" customHeight="1">
      <c r="A248" s="67"/>
      <c r="B248" t="s">
        <v>328</v>
      </c>
    </row>
    <row r="249" spans="1:2" ht="15" customHeight="1">
      <c r="A249" s="67"/>
      <c r="B249" s="196" t="s">
        <v>273</v>
      </c>
    </row>
    <row r="250" spans="1:6" ht="15" customHeight="1">
      <c r="A250" s="83"/>
      <c r="B250" s="83"/>
      <c r="C250" s="83"/>
      <c r="D250" s="83"/>
      <c r="E250" s="83"/>
      <c r="F250" s="83"/>
    </row>
    <row r="251" spans="1:2" ht="15" customHeight="1">
      <c r="A251" s="67">
        <v>25</v>
      </c>
      <c r="B251" s="62" t="s">
        <v>19</v>
      </c>
    </row>
    <row r="252" spans="1:2" ht="15" customHeight="1">
      <c r="A252" s="67"/>
      <c r="B252" s="62"/>
    </row>
    <row r="253" ht="15" customHeight="1">
      <c r="B253" t="s">
        <v>252</v>
      </c>
    </row>
    <row r="254" ht="15" customHeight="1">
      <c r="B254" t="s">
        <v>350</v>
      </c>
    </row>
    <row r="255" ht="15" customHeight="1">
      <c r="B255" s="237" t="s">
        <v>65</v>
      </c>
    </row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>
      <c r="A262" s="62" t="s">
        <v>149</v>
      </c>
    </row>
    <row r="263" ht="15" customHeight="1">
      <c r="A263" s="62" t="s">
        <v>197</v>
      </c>
    </row>
    <row r="264" ht="15" customHeight="1">
      <c r="A264" s="62"/>
    </row>
    <row r="265" ht="15" customHeight="1">
      <c r="A265" s="62" t="s">
        <v>150</v>
      </c>
    </row>
    <row r="269" spans="1:6" ht="12.75">
      <c r="A269" s="267"/>
      <c r="B269" s="267"/>
      <c r="C269" s="267"/>
      <c r="D269" s="267"/>
      <c r="E269" s="267"/>
      <c r="F269" s="267"/>
    </row>
    <row r="287" spans="1:6" ht="12.75">
      <c r="A287" s="267"/>
      <c r="B287" s="267"/>
      <c r="C287" s="267"/>
      <c r="D287" s="267"/>
      <c r="E287" s="267"/>
      <c r="F287" s="267"/>
    </row>
    <row r="297" spans="2:7" ht="12.75">
      <c r="B297" s="267"/>
      <c r="C297" s="267"/>
      <c r="D297" s="267"/>
      <c r="E297" s="267"/>
      <c r="F297" s="267"/>
      <c r="G297" s="267"/>
    </row>
    <row r="298" spans="1:6" ht="12.75">
      <c r="A298" s="267"/>
      <c r="B298" s="267"/>
      <c r="C298" s="267"/>
      <c r="D298" s="267"/>
      <c r="E298" s="267"/>
      <c r="F298" s="267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  <row r="307" ht="12.75">
      <c r="A307" s="62"/>
    </row>
    <row r="308" ht="12.75">
      <c r="A308" s="62"/>
    </row>
    <row r="309" ht="12.75">
      <c r="A309" s="62"/>
    </row>
    <row r="310" ht="12.75">
      <c r="A310" s="62"/>
    </row>
    <row r="311" ht="12.75">
      <c r="A311" s="62"/>
    </row>
    <row r="312" ht="12.75">
      <c r="A312" s="62"/>
    </row>
    <row r="313" ht="12.75">
      <c r="A313" s="62"/>
    </row>
    <row r="314" spans="1:6" ht="12.75">
      <c r="A314" s="267"/>
      <c r="B314" s="267"/>
      <c r="C314" s="267"/>
      <c r="D314" s="267"/>
      <c r="E314" s="267"/>
      <c r="F314" s="267"/>
    </row>
    <row r="315" ht="12.75">
      <c r="A315" s="62"/>
    </row>
    <row r="316" ht="12.75">
      <c r="A316" s="62"/>
    </row>
    <row r="317" ht="12.75">
      <c r="A317" s="62"/>
    </row>
    <row r="318" ht="12.75">
      <c r="A318" s="62"/>
    </row>
    <row r="319" spans="1:6" ht="12.75">
      <c r="A319" s="267"/>
      <c r="B319" s="267"/>
      <c r="C319" s="267"/>
      <c r="D319" s="267"/>
      <c r="E319" s="267"/>
      <c r="F319" s="267"/>
    </row>
    <row r="320" ht="12.75">
      <c r="A320" s="62"/>
    </row>
    <row r="321" ht="12.75">
      <c r="A321" s="62"/>
    </row>
    <row r="322" ht="12.75">
      <c r="A322" s="62"/>
    </row>
    <row r="323" ht="12.75">
      <c r="A323" s="62"/>
    </row>
    <row r="324" ht="12.75">
      <c r="A324" s="62"/>
    </row>
    <row r="325" ht="12.75">
      <c r="A325" s="62"/>
    </row>
    <row r="326" ht="12.75">
      <c r="A326" s="62"/>
    </row>
    <row r="327" ht="12.75">
      <c r="A327" s="62"/>
    </row>
    <row r="328" ht="12.75">
      <c r="A328" s="62"/>
    </row>
    <row r="329" ht="12.75">
      <c r="A329" s="62"/>
    </row>
    <row r="330" ht="12.75">
      <c r="A330" s="62"/>
    </row>
    <row r="331" ht="12.75">
      <c r="A331" s="62"/>
    </row>
    <row r="332" ht="12.75">
      <c r="A332" s="62"/>
    </row>
    <row r="333" ht="12.75">
      <c r="A333" s="62"/>
    </row>
    <row r="335" spans="1:6" ht="12.75">
      <c r="A335" s="267"/>
      <c r="B335" s="267"/>
      <c r="C335" s="267"/>
      <c r="D335" s="267"/>
      <c r="E335" s="267"/>
      <c r="F335" s="267"/>
    </row>
    <row r="336" ht="12.75">
      <c r="A336" s="62"/>
    </row>
    <row r="337" ht="12.75">
      <c r="A337" s="62"/>
    </row>
    <row r="338" ht="12.75">
      <c r="A338" s="62"/>
    </row>
    <row r="339" ht="12.75">
      <c r="A339" s="62"/>
    </row>
    <row r="340" spans="1:7" ht="12.75">
      <c r="A340" s="62"/>
      <c r="B340" s="267"/>
      <c r="C340" s="267"/>
      <c r="D340" s="267"/>
      <c r="E340" s="267"/>
      <c r="F340" s="267"/>
      <c r="G340" s="267"/>
    </row>
    <row r="341" spans="1:6" ht="12.75">
      <c r="A341" s="267"/>
      <c r="B341" s="267"/>
      <c r="C341" s="267"/>
      <c r="D341" s="267"/>
      <c r="E341" s="267"/>
      <c r="F341" s="267"/>
    </row>
    <row r="342" ht="12.75">
      <c r="F342">
        <v>7</v>
      </c>
    </row>
  </sheetData>
  <mergeCells count="16">
    <mergeCell ref="A9:F9"/>
    <mergeCell ref="A4:F4"/>
    <mergeCell ref="A50:F50"/>
    <mergeCell ref="A2:F2"/>
    <mergeCell ref="A5:F5"/>
    <mergeCell ref="A6:F6"/>
    <mergeCell ref="A3:F3"/>
    <mergeCell ref="A341:F341"/>
    <mergeCell ref="B340:G340"/>
    <mergeCell ref="A335:F335"/>
    <mergeCell ref="A319:F319"/>
    <mergeCell ref="A287:F287"/>
    <mergeCell ref="A269:F269"/>
    <mergeCell ref="A314:F314"/>
    <mergeCell ref="B297:G297"/>
    <mergeCell ref="A298:F298"/>
  </mergeCells>
  <printOptions horizontalCentered="1"/>
  <pageMargins left="0.4330708661417323" right="0.25" top="0.4724409448818898" bottom="0.6299212598425197" header="0.5118110236220472" footer="0.5118110236220472"/>
  <pageSetup horizontalDpi="300" verticalDpi="300" orientation="portrait" scale="88" r:id="rId1"/>
  <headerFooter alignWithMargins="0">
    <oddFooter>&amp;CPage &amp;P</oddFooter>
  </headerFooter>
  <rowBreaks count="4" manualBreakCount="4">
    <brk id="49" max="6" man="1"/>
    <brk id="133" max="5" man="1"/>
    <brk id="184" max="5" man="1"/>
    <brk id="23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314</v>
      </c>
      <c r="V1" s="2" t="s">
        <v>13</v>
      </c>
    </row>
    <row r="2" spans="1:22" ht="15.75">
      <c r="A2" s="2" t="s">
        <v>158</v>
      </c>
      <c r="V2" s="2" t="s">
        <v>158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316</v>
      </c>
      <c r="C4" s="17" t="s">
        <v>317</v>
      </c>
      <c r="D4" s="17" t="s">
        <v>318</v>
      </c>
      <c r="E4" s="17" t="s">
        <v>319</v>
      </c>
      <c r="F4" s="17" t="s">
        <v>320</v>
      </c>
      <c r="G4" s="17" t="s">
        <v>321</v>
      </c>
      <c r="H4" s="17" t="s">
        <v>322</v>
      </c>
      <c r="I4" s="93" t="s">
        <v>31</v>
      </c>
      <c r="J4" s="18"/>
      <c r="K4" s="19" t="s">
        <v>32</v>
      </c>
      <c r="L4" s="20" t="s">
        <v>33</v>
      </c>
      <c r="M4" s="20"/>
      <c r="N4" s="19" t="s">
        <v>32</v>
      </c>
      <c r="O4" s="18"/>
      <c r="P4" s="18"/>
      <c r="Q4" s="19" t="s">
        <v>4</v>
      </c>
      <c r="R4" s="18"/>
      <c r="S4" s="21" t="s">
        <v>3</v>
      </c>
      <c r="T4" s="19" t="s">
        <v>34</v>
      </c>
      <c r="V4" s="15" t="s">
        <v>0</v>
      </c>
      <c r="W4" s="16" t="s">
        <v>315</v>
      </c>
      <c r="X4" s="17" t="s">
        <v>167</v>
      </c>
      <c r="Y4" s="17" t="s">
        <v>8</v>
      </c>
      <c r="Z4" s="17" t="s">
        <v>9</v>
      </c>
      <c r="AA4" s="17" t="s">
        <v>10</v>
      </c>
      <c r="AB4" s="17" t="s">
        <v>35</v>
      </c>
      <c r="AC4" s="17" t="s">
        <v>12</v>
      </c>
      <c r="AD4" s="17" t="s">
        <v>11</v>
      </c>
      <c r="AE4" s="17" t="s">
        <v>14</v>
      </c>
      <c r="AF4" s="17" t="s">
        <v>36</v>
      </c>
      <c r="AG4" s="18"/>
      <c r="AH4" s="19" t="s">
        <v>37</v>
      </c>
      <c r="AJ4" s="19" t="s">
        <v>4</v>
      </c>
      <c r="AK4" s="18"/>
      <c r="AL4" s="21" t="s">
        <v>3</v>
      </c>
      <c r="AM4" s="19" t="s">
        <v>34</v>
      </c>
    </row>
    <row r="5" spans="1:39" ht="13.5" thickBot="1">
      <c r="A5" s="90" t="s">
        <v>38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324</v>
      </c>
      <c r="M5" s="18" t="s">
        <v>325</v>
      </c>
      <c r="N5" s="19" t="s">
        <v>47</v>
      </c>
      <c r="O5" s="18"/>
      <c r="P5" s="26"/>
      <c r="Q5" s="27"/>
      <c r="R5" s="26"/>
      <c r="S5" s="27"/>
      <c r="T5" s="28"/>
      <c r="V5" s="22" t="s">
        <v>38</v>
      </c>
      <c r="W5" s="23">
        <v>1</v>
      </c>
      <c r="X5" s="29" t="s">
        <v>166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</v>
      </c>
      <c r="B7" s="33">
        <v>11717171</v>
      </c>
      <c r="C7" s="34">
        <v>15709428</v>
      </c>
      <c r="D7" s="34">
        <v>669901.26</v>
      </c>
      <c r="E7" s="34">
        <v>1868706.49</v>
      </c>
      <c r="F7" s="34">
        <f>5734855.64</f>
        <v>5734855.64</v>
      </c>
      <c r="G7" s="34">
        <v>0</v>
      </c>
      <c r="H7" s="34">
        <v>0</v>
      </c>
      <c r="I7" s="95">
        <f>AH7</f>
        <v>557525865.65</v>
      </c>
      <c r="J7" s="9"/>
      <c r="K7" s="35">
        <f>SUM(B7:I7)-B7</f>
        <v>581508757.04</v>
      </c>
      <c r="L7" s="10"/>
      <c r="M7" s="10"/>
      <c r="N7" s="35">
        <f>K7-L7</f>
        <v>581508757.04</v>
      </c>
      <c r="O7" s="10"/>
      <c r="P7" s="10"/>
      <c r="Q7" s="35">
        <v>358674721</v>
      </c>
      <c r="R7" s="10"/>
      <c r="S7" s="35">
        <f>K7-Q7</f>
        <v>222834036.03999996</v>
      </c>
      <c r="T7" s="36">
        <f>S7/Q7</f>
        <v>0.6212705356506013</v>
      </c>
      <c r="V7" s="25" t="s">
        <v>1</v>
      </c>
      <c r="W7" s="33">
        <v>43235894.67</v>
      </c>
      <c r="X7" s="34">
        <v>41749389</v>
      </c>
      <c r="Y7" s="34">
        <f>2070000*3.8</f>
        <v>7866000</v>
      </c>
      <c r="Z7" s="34">
        <v>460650027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557525865.65</v>
      </c>
      <c r="AJ7" s="35">
        <v>346259892</v>
      </c>
      <c r="AK7" s="10"/>
      <c r="AL7" s="35">
        <f>AH7-AJ7</f>
        <v>211265973.64999998</v>
      </c>
      <c r="AM7" s="36">
        <f>AL7/AJ7</f>
        <v>0.6101370055588188</v>
      </c>
    </row>
    <row r="8" spans="1:39" ht="21" customHeight="1" thickTop="1">
      <c r="A8" s="88" t="s">
        <v>5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5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39</v>
      </c>
      <c r="B9" s="37">
        <f>107286+69.32+9.73</f>
        <v>107365.05</v>
      </c>
      <c r="C9" s="38">
        <v>137175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35317885.6</v>
      </c>
      <c r="J9" s="9"/>
      <c r="K9" s="39">
        <f>SUM(B9:I9)</f>
        <v>36006551.34</v>
      </c>
      <c r="L9" s="10"/>
      <c r="M9" s="10"/>
      <c r="N9" s="39">
        <f>K9</f>
        <v>36006551.34</v>
      </c>
      <c r="O9" s="10"/>
      <c r="P9" s="10"/>
      <c r="Q9" s="39">
        <v>17007728</v>
      </c>
      <c r="R9" s="10"/>
      <c r="S9" s="39">
        <f>K9-Q9</f>
        <v>18998823.340000004</v>
      </c>
      <c r="T9" s="36">
        <f>S9/Q9</f>
        <v>1.117070036632759</v>
      </c>
      <c r="V9" s="25" t="s">
        <v>39</v>
      </c>
      <c r="W9" s="37">
        <v>14351063.11</v>
      </c>
      <c r="X9" s="38">
        <v>143805</v>
      </c>
      <c r="Y9" s="38">
        <f>8000*3.8</f>
        <v>30400</v>
      </c>
      <c r="Z9" s="38">
        <v>20390000</v>
      </c>
      <c r="AA9" s="38">
        <v>210211.49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35317885.6</v>
      </c>
      <c r="AJ9" s="39">
        <v>11263550</v>
      </c>
      <c r="AK9" s="10"/>
      <c r="AL9" s="39">
        <f>AH9-AJ9</f>
        <v>24054335.6</v>
      </c>
      <c r="AM9" s="36">
        <f>AL9/AJ9</f>
        <v>2.135590963772523</v>
      </c>
    </row>
    <row r="10" spans="1:39" ht="33" customHeight="1">
      <c r="A10" s="88" t="s">
        <v>40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40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41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41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42</v>
      </c>
      <c r="B12" s="37">
        <f aca="true" t="shared" si="0" ref="B12:I12">B15+B13+B14</f>
        <v>15485854.44</v>
      </c>
      <c r="C12" s="38">
        <f t="shared" si="0"/>
        <v>-310053.85999999987</v>
      </c>
      <c r="D12" s="38">
        <f t="shared" si="0"/>
        <v>106238.92</v>
      </c>
      <c r="E12" s="38">
        <f t="shared" si="0"/>
        <v>25638.399999999998</v>
      </c>
      <c r="F12" s="38">
        <f t="shared" si="0"/>
        <v>3047939.4099999997</v>
      </c>
      <c r="G12" s="38">
        <f t="shared" si="0"/>
        <v>-78682</v>
      </c>
      <c r="H12" s="38">
        <f t="shared" si="0"/>
        <v>-1582466.69</v>
      </c>
      <c r="I12" s="96">
        <f t="shared" si="0"/>
        <v>47200822.41</v>
      </c>
      <c r="J12" s="9"/>
      <c r="K12" s="39">
        <f aca="true" t="shared" si="1" ref="K12:K19">SUM(B12:I12)</f>
        <v>63895291.029999994</v>
      </c>
      <c r="L12" s="10"/>
      <c r="M12" s="10"/>
      <c r="N12" s="39">
        <f>K12-L12</f>
        <v>63895291.029999994</v>
      </c>
      <c r="O12" s="10"/>
      <c r="P12" s="10"/>
      <c r="Q12" s="39">
        <f>Q15+Q13</f>
        <v>64240257</v>
      </c>
      <c r="R12" s="10"/>
      <c r="S12" s="39">
        <f>K12-Q12</f>
        <v>-344965.97000000626</v>
      </c>
      <c r="T12" s="36">
        <f>S12/Q12</f>
        <v>-0.0053699344633693835</v>
      </c>
      <c r="V12" s="25" t="s">
        <v>42</v>
      </c>
      <c r="W12" s="38">
        <f aca="true" t="shared" si="2" ref="W12:AF12">W15+W13+W14</f>
        <v>-28751025.660000004</v>
      </c>
      <c r="X12" s="38">
        <f t="shared" si="2"/>
        <v>-3408807.5</v>
      </c>
      <c r="Y12" s="38">
        <f t="shared" si="2"/>
        <v>729560</v>
      </c>
      <c r="Z12" s="38">
        <f t="shared" si="2"/>
        <v>78247983</v>
      </c>
      <c r="AA12" s="38">
        <f t="shared" si="2"/>
        <v>428212.75</v>
      </c>
      <c r="AB12" s="38">
        <f t="shared" si="2"/>
        <v>390590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47200822.41</v>
      </c>
      <c r="AJ12" s="39">
        <f>AJ15+AJ13</f>
        <v>58840816</v>
      </c>
      <c r="AK12" s="10"/>
      <c r="AL12" s="39">
        <f>AH12-AJ12</f>
        <v>-11639993.590000004</v>
      </c>
      <c r="AM12" s="36">
        <f>AL12/AJ12</f>
        <v>-0.19782175675469904</v>
      </c>
    </row>
    <row r="13" spans="1:39" ht="36" customHeight="1">
      <c r="A13" s="88" t="s">
        <v>6</v>
      </c>
      <c r="B13" s="6">
        <f>19423154.56+70213.7</f>
        <v>19493368.259999998</v>
      </c>
      <c r="C13" s="7">
        <f>109180+504889</f>
        <v>614069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27108834.56</v>
      </c>
      <c r="J13" s="9"/>
      <c r="K13" s="42">
        <f t="shared" si="1"/>
        <v>50572869.78999999</v>
      </c>
      <c r="L13" s="10"/>
      <c r="M13" s="10"/>
      <c r="N13" s="42">
        <f>K13</f>
        <v>50572869.78999999</v>
      </c>
      <c r="O13" s="10"/>
      <c r="P13" s="10"/>
      <c r="Q13" s="42">
        <v>29135318</v>
      </c>
      <c r="R13" s="10"/>
      <c r="S13" s="42">
        <f>K13-Q13</f>
        <v>21437551.78999999</v>
      </c>
      <c r="T13" s="36">
        <f>S13/Q13</f>
        <v>0.7357926139676935</v>
      </c>
      <c r="V13" s="25" t="s">
        <v>6</v>
      </c>
      <c r="W13" s="40">
        <v>25304583.4</v>
      </c>
      <c r="X13" s="41">
        <v>85037.5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27108834.56</v>
      </c>
      <c r="AJ13" s="42">
        <v>16915356</v>
      </c>
      <c r="AK13" s="10"/>
      <c r="AL13" s="42">
        <f>AH13-AJ13</f>
        <v>10193478.559999999</v>
      </c>
      <c r="AM13" s="36">
        <f>AL13/AJ13</f>
        <v>0.6026168506296881</v>
      </c>
    </row>
    <row r="14" spans="1:39" ht="36" customHeight="1">
      <c r="A14" s="88" t="s">
        <v>43</v>
      </c>
      <c r="B14" s="40">
        <v>96365.72</v>
      </c>
      <c r="C14" s="41">
        <v>923227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14336895.65</v>
      </c>
      <c r="J14" s="9"/>
      <c r="K14" s="42">
        <f t="shared" si="1"/>
        <v>15481215.38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43</v>
      </c>
      <c r="W14" s="37">
        <v>4780909</v>
      </c>
      <c r="X14" s="38">
        <v>1547030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14336895.65</v>
      </c>
      <c r="AJ14" s="39"/>
      <c r="AK14" s="10"/>
      <c r="AL14" s="39"/>
      <c r="AM14" s="36"/>
    </row>
    <row r="15" spans="1:39" ht="41.25" customHeight="1">
      <c r="A15" s="88" t="s">
        <v>44</v>
      </c>
      <c r="B15" s="37">
        <f>-3736200.1-367679.44</f>
        <v>-4103879.54</v>
      </c>
      <c r="C15" s="38">
        <f>-388743-504889-953717.86</f>
        <v>-1847349.8599999999</v>
      </c>
      <c r="D15" s="38">
        <v>37462.75</v>
      </c>
      <c r="E15" s="38">
        <v>-3008.86</v>
      </c>
      <c r="F15" s="38">
        <f>479118.93-815081.07</f>
        <v>-335962.13999999996</v>
      </c>
      <c r="G15" s="38">
        <v>-78682</v>
      </c>
      <c r="H15" s="38">
        <f>-59225-1523241.69</f>
        <v>-1582466.69</v>
      </c>
      <c r="I15" s="96">
        <f t="shared" si="4"/>
        <v>5755092.199999998</v>
      </c>
      <c r="J15" s="9"/>
      <c r="K15" s="39">
        <f t="shared" si="1"/>
        <v>-2158794.1400000015</v>
      </c>
      <c r="L15" s="10"/>
      <c r="M15" s="10"/>
      <c r="N15" s="39">
        <f>K15-L15</f>
        <v>-2158794.1400000015</v>
      </c>
      <c r="O15" s="10"/>
      <c r="P15" s="10"/>
      <c r="Q15" s="39">
        <v>35104939</v>
      </c>
      <c r="R15" s="10"/>
      <c r="S15" s="39">
        <f>K15-Q15</f>
        <v>-37263733.14</v>
      </c>
      <c r="T15" s="36">
        <f>S15/Q15</f>
        <v>-1.0614954533890517</v>
      </c>
      <c r="V15" s="25" t="s">
        <v>44</v>
      </c>
      <c r="W15" s="43">
        <f>-57411387.68-8425130.38+7000000</f>
        <v>-58836518.06</v>
      </c>
      <c r="X15" s="38">
        <v>-5040875</v>
      </c>
      <c r="Y15" s="38">
        <f>-80000*3.8</f>
        <v>-304000</v>
      </c>
      <c r="Z15" s="38">
        <v>70614983</v>
      </c>
      <c r="AA15" s="38">
        <v>334895.44</v>
      </c>
      <c r="AB15" s="38">
        <v>-534196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5755092.199999998</v>
      </c>
      <c r="AJ15" s="39">
        <v>41925460</v>
      </c>
      <c r="AK15" s="10"/>
      <c r="AL15" s="39">
        <f>AH15-AJ15</f>
        <v>-36170367.800000004</v>
      </c>
      <c r="AM15" s="36">
        <f>AL15/AJ15</f>
        <v>-0.8627303743357856</v>
      </c>
    </row>
    <row r="16" spans="1:39" ht="34.5" customHeight="1">
      <c r="A16" s="88" t="s">
        <v>329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329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2</v>
      </c>
      <c r="B17" s="37">
        <f>B15+B16</f>
        <v>-3736200.1</v>
      </c>
      <c r="C17" s="38">
        <f aca="true" t="shared" si="5" ref="C17:H17">C15</f>
        <v>-1847349.8599999999</v>
      </c>
      <c r="D17" s="38">
        <f t="shared" si="5"/>
        <v>37462.75</v>
      </c>
      <c r="E17" s="38">
        <f t="shared" si="5"/>
        <v>-3008.86</v>
      </c>
      <c r="F17" s="38">
        <f t="shared" si="5"/>
        <v>-335962.13999999996</v>
      </c>
      <c r="G17" s="38">
        <f t="shared" si="5"/>
        <v>-78682</v>
      </c>
      <c r="H17" s="38">
        <f t="shared" si="5"/>
        <v>-1582466.69</v>
      </c>
      <c r="I17" s="96">
        <f t="shared" si="4"/>
        <v>5755092.199999998</v>
      </c>
      <c r="J17" s="9"/>
      <c r="K17" s="39">
        <f t="shared" si="1"/>
        <v>-1791114.700000002</v>
      </c>
      <c r="L17" s="10"/>
      <c r="M17" s="10"/>
      <c r="N17" s="39">
        <f>N15-N16</f>
        <v>-2158794.1400000015</v>
      </c>
      <c r="O17" s="10"/>
      <c r="P17" s="10"/>
      <c r="Q17" s="39">
        <f>Q15-Q16</f>
        <v>35104939</v>
      </c>
      <c r="R17" s="10"/>
      <c r="S17" s="39">
        <f>K17-Q17</f>
        <v>-36896053.7</v>
      </c>
      <c r="T17" s="36">
        <f>S17/Q17</f>
        <v>-1.0510217294495228</v>
      </c>
      <c r="V17" s="25" t="s">
        <v>2</v>
      </c>
      <c r="W17" s="37">
        <f aca="true" t="shared" si="6" ref="W17:AF17">W15-W16</f>
        <v>-58836518.06</v>
      </c>
      <c r="X17" s="38">
        <f t="shared" si="6"/>
        <v>-5040875</v>
      </c>
      <c r="Y17" s="38">
        <f t="shared" si="6"/>
        <v>-304000</v>
      </c>
      <c r="Z17" s="38">
        <f t="shared" si="6"/>
        <v>70614983</v>
      </c>
      <c r="AA17" s="38">
        <f t="shared" si="6"/>
        <v>334895.44</v>
      </c>
      <c r="AB17" s="38">
        <f t="shared" si="6"/>
        <v>-534196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5755092.199999998</v>
      </c>
      <c r="AJ17" s="39">
        <f>AJ15-AJ16</f>
        <v>41925460</v>
      </c>
      <c r="AK17" s="10"/>
      <c r="AL17" s="39">
        <f>AH17-AJ17</f>
        <v>-36170367.800000004</v>
      </c>
      <c r="AM17" s="36">
        <f>AL17/AJ17</f>
        <v>-0.8627303743357856</v>
      </c>
    </row>
    <row r="18" spans="1:39" ht="35.25" customHeight="1">
      <c r="A18" s="88" t="s">
        <v>45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41514882.396753415</v>
      </c>
      <c r="J18" s="9"/>
      <c r="K18" s="42">
        <f t="shared" si="1"/>
        <v>41528663.95275342</v>
      </c>
      <c r="L18" s="10"/>
      <c r="M18" s="10"/>
      <c r="N18" s="42">
        <f>K18</f>
        <v>41528663.95275342</v>
      </c>
      <c r="O18" s="10"/>
      <c r="P18" s="10"/>
      <c r="Q18" s="42">
        <v>28609038</v>
      </c>
      <c r="R18" s="10"/>
      <c r="S18" s="42">
        <f>K18-Q18</f>
        <v>12919625.952753417</v>
      </c>
      <c r="T18" s="36">
        <f>S18/Q18</f>
        <v>0.4515924636387081</v>
      </c>
      <c r="V18" s="25" t="s">
        <v>45</v>
      </c>
      <c r="W18" s="40">
        <v>0</v>
      </c>
      <c r="X18" s="100">
        <f>X17*0.1193*298/365</f>
        <v>-490986.7492465754</v>
      </c>
      <c r="Y18" s="41">
        <f>Y17*0.4</f>
        <v>-121600</v>
      </c>
      <c r="Z18" s="41">
        <f>Z17*0.6</f>
        <v>42368989.8</v>
      </c>
      <c r="AA18" s="41">
        <v>0</v>
      </c>
      <c r="AB18" s="41">
        <f>AB17*0.2</f>
        <v>-106839.20000000001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41514882.396753415</v>
      </c>
      <c r="AJ18" s="42">
        <v>28592382</v>
      </c>
      <c r="AK18" s="10"/>
      <c r="AL18" s="42">
        <f>AH18-AJ18</f>
        <v>12922500.396753415</v>
      </c>
      <c r="AM18" s="36">
        <f>AL18/AJ18</f>
        <v>0.4519560628685436</v>
      </c>
    </row>
    <row r="19" spans="1:39" ht="42" customHeight="1" thickBot="1">
      <c r="A19" s="92" t="s">
        <v>46</v>
      </c>
      <c r="B19" s="46">
        <f>B17</f>
        <v>-3736200.1</v>
      </c>
      <c r="C19" s="47">
        <f>C17</f>
        <v>-1847349.8599999999</v>
      </c>
      <c r="D19" s="47">
        <f>D17-D18</f>
        <v>22477.65</v>
      </c>
      <c r="E19" s="47">
        <f>E17-E18</f>
        <v>-1805.316</v>
      </c>
      <c r="F19" s="47">
        <f>F17</f>
        <v>-335962.13999999996</v>
      </c>
      <c r="G19" s="47">
        <f>G17</f>
        <v>-78682</v>
      </c>
      <c r="H19" s="47">
        <f>H17</f>
        <v>-1582466.69</v>
      </c>
      <c r="I19" s="99">
        <f t="shared" si="4"/>
        <v>-35759790.19675343</v>
      </c>
      <c r="J19" s="9"/>
      <c r="K19" s="48">
        <f t="shared" si="1"/>
        <v>-43319778.65275343</v>
      </c>
      <c r="L19" s="10"/>
      <c r="M19" s="10"/>
      <c r="N19" s="48">
        <f>N17-N18</f>
        <v>-43687458.09275342</v>
      </c>
      <c r="O19" s="10"/>
      <c r="P19" s="10"/>
      <c r="Q19" s="48">
        <f>Q17-Q18</f>
        <v>6495901</v>
      </c>
      <c r="R19" s="10"/>
      <c r="S19" s="48">
        <f>K19-Q19</f>
        <v>-49815679.65275343</v>
      </c>
      <c r="T19" s="49">
        <f>S19/Q19</f>
        <v>-7.668786770727175</v>
      </c>
      <c r="V19" s="45" t="s">
        <v>46</v>
      </c>
      <c r="W19" s="46">
        <f aca="true" t="shared" si="7" ref="W19:AF19">W17-W18</f>
        <v>-58836518.06</v>
      </c>
      <c r="X19" s="47">
        <f t="shared" si="7"/>
        <v>-4549888.250753425</v>
      </c>
      <c r="Y19" s="47">
        <f t="shared" si="7"/>
        <v>-182400</v>
      </c>
      <c r="Z19" s="47">
        <f t="shared" si="7"/>
        <v>28245993.200000003</v>
      </c>
      <c r="AA19" s="47">
        <f t="shared" si="7"/>
        <v>334895.44</v>
      </c>
      <c r="AB19" s="47">
        <f t="shared" si="7"/>
        <v>-427356.8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-35759790.19675343</v>
      </c>
      <c r="AJ19" s="48">
        <f>AJ17-AJ18</f>
        <v>13333078</v>
      </c>
      <c r="AK19" s="10"/>
      <c r="AL19" s="48">
        <f>AH19-AJ19</f>
        <v>-49092868.19675343</v>
      </c>
      <c r="AM19" s="49">
        <f>AL19/AJ19</f>
        <v>-3.68203562573874</v>
      </c>
    </row>
    <row r="20" spans="1:33" ht="26.25" customHeight="1">
      <c r="A20" s="50"/>
      <c r="V20" t="s">
        <v>168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PSCI</cp:lastModifiedBy>
  <cp:lastPrinted>2004-08-27T09:30:01Z</cp:lastPrinted>
  <dcterms:created xsi:type="dcterms:W3CDTF">1999-11-26T07:09:59Z</dcterms:created>
  <dcterms:modified xsi:type="dcterms:W3CDTF">2004-08-27T09:30:10Z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