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435" windowHeight="2655" tabRatio="608" firstSheet="2" activeTab="5"/>
  </bookViews>
  <sheets>
    <sheet name="D1" sheetId="1" state="hidden" r:id="rId1"/>
    <sheet name="Sheet1" sheetId="2" state="hidden" r:id="rId2"/>
    <sheet name="profit&amp;loss" sheetId="3" r:id="rId3"/>
    <sheet name="Balance Sheet" sheetId="4" r:id="rId4"/>
    <sheet name="equitystatement" sheetId="5" r:id="rId5"/>
    <sheet name="cashflowklse" sheetId="6" r:id="rId6"/>
    <sheet name="Notes" sheetId="7" r:id="rId7"/>
    <sheet name="D2" sheetId="8" state="hidden" r:id="rId8"/>
  </sheets>
  <externalReferences>
    <externalReference r:id="rId11"/>
  </externalReferences>
  <definedNames>
    <definedName name="_xlnm.Print_Area" localSheetId="6">'Notes'!$A$1:$F$335</definedName>
  </definedNames>
  <calcPr fullCalcOnLoad="1"/>
</workbook>
</file>

<file path=xl/sharedStrings.xml><?xml version="1.0" encoding="utf-8"?>
<sst xmlns="http://schemas.openxmlformats.org/spreadsheetml/2006/main" count="517" uniqueCount="357">
  <si>
    <t xml:space="preserve">Authorities and further subject to the shareholders approval. </t>
  </si>
  <si>
    <t xml:space="preserve">         report prepared in accordance with MASB 26 Interim Financial Reporting</t>
  </si>
  <si>
    <t xml:space="preserve">(Company No. : 11106-V) </t>
  </si>
  <si>
    <t>not materially affected by any seasonal or cyclical factors.</t>
  </si>
  <si>
    <t>Not Applicable.</t>
  </si>
  <si>
    <t>of the current financial period or last financial year.</t>
  </si>
  <si>
    <t>2003.</t>
  </si>
  <si>
    <t>CONDENSED CONSOLIDATED INCOME STATEMENTS</t>
  </si>
  <si>
    <t>CONDENSED CONSOLIDATED BALANCE SHEETS</t>
  </si>
  <si>
    <t>(UNAUDITED)</t>
  </si>
  <si>
    <t>(AUDITED)</t>
  </si>
  <si>
    <t xml:space="preserve">Net Current Assets </t>
  </si>
  <si>
    <t>(The condensed Balance Sheets should be read in conjunction with the Annual  Financial</t>
  </si>
  <si>
    <t>Deposits, bank and cash balances</t>
  </si>
  <si>
    <t xml:space="preserve">Balance as at </t>
  </si>
  <si>
    <t>The auditor's report of the preceding annual financial statements of the Company and of the Group</t>
  </si>
  <si>
    <t>Profit/(loss)</t>
  </si>
  <si>
    <t>Before</t>
  </si>
  <si>
    <t xml:space="preserve">(The condensed Consolidated Statements of Changes in Equity  should be read in conjunction with the </t>
  </si>
  <si>
    <t>of the Directors, to affect substantially the results of the operation of the company and of the Group</t>
  </si>
  <si>
    <t>Transfer (to)/from deferred taxation</t>
  </si>
  <si>
    <t>Page 3</t>
  </si>
  <si>
    <t xml:space="preserve">                                                                                                                                                         Page 4</t>
  </si>
  <si>
    <t>Page 6</t>
  </si>
  <si>
    <t xml:space="preserve">                                       For the period ended 30 June 2003</t>
  </si>
  <si>
    <t>6 months ended</t>
  </si>
  <si>
    <t>30 .6.2003</t>
  </si>
  <si>
    <t>Balance as at 30.6.03</t>
  </si>
  <si>
    <t xml:space="preserve">Bonus issue </t>
  </si>
  <si>
    <t xml:space="preserve">The business operations of the Group for the current financial period  ended  30 June 2003 were </t>
  </si>
  <si>
    <t>are unusual because of their nature, size or incidence for the current financial period ended 30 June</t>
  </si>
  <si>
    <t>current financial period ended  30 June 2003.</t>
  </si>
  <si>
    <t xml:space="preserve">There was no dividend paid for the current financial period ended 30 June 2003. </t>
  </si>
  <si>
    <t xml:space="preserve">There were no other issuances or repayment of debts and equity securities, share buy-backs, </t>
  </si>
  <si>
    <t>Intersegment elimination</t>
  </si>
  <si>
    <t>Other operations</t>
  </si>
  <si>
    <t xml:space="preserve">There were no material events subsequent to the end of the financial period reported on that have not been </t>
  </si>
  <si>
    <t>reflected in the financial statements for the said period.</t>
  </si>
  <si>
    <t>During the current quarter:-</t>
  </si>
  <si>
    <t xml:space="preserve">   in SFT.</t>
  </si>
  <si>
    <t>for the second quarter ended 30 June 2003 in respect of which this announcement is made.</t>
  </si>
  <si>
    <t>Distributable</t>
  </si>
  <si>
    <t>Revenue</t>
  </si>
  <si>
    <t>Shipbuilding and shiprepair related activities</t>
  </si>
  <si>
    <t>Property, plant and equipment</t>
  </si>
  <si>
    <t>of RM24.6 million in the preceding quarter. The higher profit in the current quarter is mainly due to higher</t>
  </si>
  <si>
    <t xml:space="preserve"> turnover generated from projects undertaken by the Group during the quarter.</t>
  </si>
  <si>
    <t>company pursuant to S127 of the Inland Revenue Act, 1967 under a special package for the offshore patrol</t>
  </si>
  <si>
    <t xml:space="preserve">The proposed Bonus Issue was approved by the shareholders through Extraordinary General Meeting on </t>
  </si>
  <si>
    <t>29 April 2003 and was listed on 23 June 2003.</t>
  </si>
  <si>
    <t>Condensed Consolidated Cash Flow Statements</t>
  </si>
  <si>
    <t>For the period ended 30 June 2003</t>
  </si>
  <si>
    <t>6 months</t>
  </si>
  <si>
    <t xml:space="preserve">ended </t>
  </si>
  <si>
    <t>(RM)</t>
  </si>
  <si>
    <t>Net Profit before tax</t>
  </si>
  <si>
    <t xml:space="preserve">  Adjustments for:-</t>
  </si>
  <si>
    <t xml:space="preserve">   Non-cash items</t>
  </si>
  <si>
    <t xml:space="preserve">   Non-operating items (which are investing/financing)</t>
  </si>
  <si>
    <t>Operating profit before changes in working capital</t>
  </si>
  <si>
    <t>Changes in working capital:-</t>
  </si>
  <si>
    <t xml:space="preserve">  Net change in current assets</t>
  </si>
  <si>
    <t xml:space="preserve">  Net change in current liabilities</t>
  </si>
  <si>
    <t xml:space="preserve">  Net cash flows from operating activities</t>
  </si>
  <si>
    <t>Investing activities</t>
  </si>
  <si>
    <t xml:space="preserve">  Other investments</t>
  </si>
  <si>
    <t xml:space="preserve">  Net cash used in investing activities</t>
  </si>
  <si>
    <t>Financing activities</t>
  </si>
  <si>
    <t xml:space="preserve">  Bank borrowings</t>
  </si>
  <si>
    <t xml:space="preserve">  Dividends paid to minority interests of a subsidiary company</t>
  </si>
  <si>
    <t xml:space="preserve">  Net cash used in financing activities</t>
  </si>
  <si>
    <t>Net change in Cash &amp; Cash Equivalents</t>
  </si>
  <si>
    <t>Cash &amp; Cash equivalents at beginning of period</t>
  </si>
  <si>
    <t>Effect of foreign exchange rate changes</t>
  </si>
  <si>
    <t>Cash &amp; Cash equivalents at end of period</t>
  </si>
  <si>
    <t>Note: There are no comparative figures for the preceding financial period as this is the</t>
  </si>
  <si>
    <t xml:space="preserve">         fourth interim financial report prepared in accordance with MASB 26  Interim</t>
  </si>
  <si>
    <t xml:space="preserve">         Financial Reporting</t>
  </si>
  <si>
    <t>(The condensed Consolidated Cash Flow Statements should be read in conjunction with the</t>
  </si>
  <si>
    <t>Annual Financial Report for the year ended 31 December 2002)</t>
  </si>
  <si>
    <t>Material events subsequent to the reporting period</t>
  </si>
  <si>
    <t>Seasonal or cyclical factors</t>
  </si>
  <si>
    <t>Foreign currrency</t>
  </si>
  <si>
    <t>-</t>
  </si>
  <si>
    <t>('000)</t>
  </si>
  <si>
    <t xml:space="preserve">                         CUMULATIVE QUARTER</t>
  </si>
  <si>
    <t xml:space="preserve">       INDIVIDUAL QUARTER</t>
  </si>
  <si>
    <t xml:space="preserve">There has not arisen in the interval between the end of the current quarter  and the date of this </t>
  </si>
  <si>
    <t>Unallocated expenses</t>
  </si>
  <si>
    <t>Finance cost</t>
  </si>
  <si>
    <t>INDIVIDUAL QUARTER</t>
  </si>
  <si>
    <t>CUMULATIVE QUARTER</t>
  </si>
  <si>
    <t>TO DATE</t>
  </si>
  <si>
    <t>PERIOD</t>
  </si>
  <si>
    <t xml:space="preserve">YEAR </t>
  </si>
  <si>
    <t>Page 5</t>
  </si>
  <si>
    <t>USD31,579</t>
  </si>
  <si>
    <t>31/12/2002</t>
  </si>
  <si>
    <t>PSC INDUSTRIES BERHAD</t>
  </si>
  <si>
    <t>PSC</t>
  </si>
  <si>
    <t>PSCI</t>
  </si>
  <si>
    <t>SFI</t>
  </si>
  <si>
    <t>SFS</t>
  </si>
  <si>
    <t>SMS</t>
  </si>
  <si>
    <t>PSCA</t>
  </si>
  <si>
    <t>STSB</t>
  </si>
  <si>
    <t>SDSB</t>
  </si>
  <si>
    <t>TOTAL</t>
  </si>
  <si>
    <t>DR</t>
  </si>
  <si>
    <t>CR</t>
  </si>
  <si>
    <t>MINORITY INTEREST</t>
  </si>
  <si>
    <t xml:space="preserve"> for the quarter ended 30/6/2003.</t>
  </si>
  <si>
    <t>30/6/2003</t>
  </si>
  <si>
    <t>30/6/2002</t>
  </si>
  <si>
    <t>Taxation</t>
  </si>
  <si>
    <t>PSC GROUP</t>
  </si>
  <si>
    <t>Turnover</t>
  </si>
  <si>
    <t>Profit after taxation</t>
  </si>
  <si>
    <t>VARIANCE</t>
  </si>
  <si>
    <t>BUDGET</t>
  </si>
  <si>
    <t>Investment income</t>
  </si>
  <si>
    <t>Interest on borrowings</t>
  </si>
  <si>
    <t>WMI</t>
  </si>
  <si>
    <t>PSCT</t>
  </si>
  <si>
    <t>PSCND</t>
  </si>
  <si>
    <t>DDI</t>
  </si>
  <si>
    <t>UMC</t>
  </si>
  <si>
    <t>PSCM</t>
  </si>
  <si>
    <t>PENANG SHIPBUILDING &amp; CONSTRUCTION SDN BHD</t>
  </si>
  <si>
    <t>PSC-STN</t>
  </si>
  <si>
    <t>Inventories</t>
  </si>
  <si>
    <t>Dividends paid</t>
  </si>
  <si>
    <t>Valuation of property, plant and equipment</t>
  </si>
  <si>
    <t>Contingent Liabilities/ Assets</t>
  </si>
  <si>
    <t>Earnings Per Share</t>
  </si>
  <si>
    <t>CURRENT</t>
  </si>
  <si>
    <t>PRECEDING YEAR</t>
  </si>
  <si>
    <t>YEAR</t>
  </si>
  <si>
    <t>CORRESPONDING</t>
  </si>
  <si>
    <t>RM'000</t>
  </si>
  <si>
    <t>AS AT</t>
  </si>
  <si>
    <t>Current Liabilities</t>
  </si>
  <si>
    <t>Shareholders' Funds</t>
  </si>
  <si>
    <t>Share Capital</t>
  </si>
  <si>
    <t>Reserves</t>
  </si>
  <si>
    <t>Minority Interests</t>
  </si>
  <si>
    <t>PSC G</t>
  </si>
  <si>
    <t>PSCI G</t>
  </si>
  <si>
    <t>Adjustment</t>
  </si>
  <si>
    <t>%</t>
  </si>
  <si>
    <t>HSC</t>
  </si>
  <si>
    <t>AERO</t>
  </si>
  <si>
    <t>PSCG</t>
  </si>
  <si>
    <t>Shareholding</t>
  </si>
  <si>
    <t>Other Income</t>
  </si>
  <si>
    <t>Operating Profit before</t>
  </si>
  <si>
    <t xml:space="preserve">  interest on borrowings,</t>
  </si>
  <si>
    <t xml:space="preserve">  depn &amp; amortn</t>
  </si>
  <si>
    <t>Depreciation &amp; Amort'n</t>
  </si>
  <si>
    <t>Profit before tax &amp; MI</t>
  </si>
  <si>
    <t>Minority Interest</t>
  </si>
  <si>
    <t>Profit After Tax &amp; MI</t>
  </si>
  <si>
    <t>30/6/99</t>
  </si>
  <si>
    <t>There were no material changes in estimates in respect of amounts reported in  the prior interim periods</t>
  </si>
  <si>
    <t xml:space="preserve">The proposals which was announced on 6th December 2000 have been approved by the relevant </t>
  </si>
  <si>
    <t>The interim financial report is to be read in conjunction with the most recent annual financial</t>
  </si>
  <si>
    <t>report.</t>
  </si>
  <si>
    <t>Intangible Assets</t>
  </si>
  <si>
    <t>Other investments</t>
  </si>
  <si>
    <t>Overdraft &amp; Short Term Borrowings</t>
  </si>
  <si>
    <t>Net tangible assets per share (RM)</t>
  </si>
  <si>
    <t>Long Term Liabilties</t>
  </si>
  <si>
    <t>Borrowings</t>
  </si>
  <si>
    <t>Other deferred liabilities</t>
  </si>
  <si>
    <t>Retained</t>
  </si>
  <si>
    <t>Profits</t>
  </si>
  <si>
    <t xml:space="preserve">                                          Condensed Consolidated Statements of Changes in Equity</t>
  </si>
  <si>
    <t>Reporting and Chapter 9 part K of the Listing Requirements of Kuala Lumpur Stock Exchange. The</t>
  </si>
  <si>
    <t>Offshore Patrol vessels expenditure</t>
  </si>
  <si>
    <t>30 June 2003.</t>
  </si>
  <si>
    <t>Total Group Borrowings as at 30 June 2003 are as follows:-</t>
  </si>
  <si>
    <t>AUD217</t>
  </si>
  <si>
    <t>CEDIS332,399</t>
  </si>
  <si>
    <t>period ended 30 June 2003.</t>
  </si>
  <si>
    <t xml:space="preserve">There was no dividend declared or recommended for the current financial period ended 30 June </t>
  </si>
  <si>
    <t>PSC  INDUSTRIES BERHAD</t>
  </si>
  <si>
    <t xml:space="preserve">Basic earnings per </t>
  </si>
  <si>
    <t>ordinary share (sen)</t>
  </si>
  <si>
    <t>The interim financial report has been prepared in accordance with MASB 26 Interim Financial</t>
  </si>
  <si>
    <t>same accounting policies and methods of computation are followed in the interim financial statements</t>
  </si>
  <si>
    <t>Items of unusual nature, size or incidence</t>
  </si>
  <si>
    <t>There were no items affecting the assets, liabilities, equity, net income or cash flows of the Group that</t>
  </si>
  <si>
    <t>Changes in estimates  of amounts</t>
  </si>
  <si>
    <t>ADDITIONAL INFORMATION AS REQUIRED BY KLSE LISTING REQUIREMENTS (PART A OF</t>
  </si>
  <si>
    <t>APPENDIX 9B)</t>
  </si>
  <si>
    <t>(The condensed Consolidated Income Statements Should be read in conjunction with the Annual</t>
  </si>
  <si>
    <t>was not subjected to any qualification.</t>
  </si>
  <si>
    <t>Investment Properties</t>
  </si>
  <si>
    <t>Manufacturing</t>
  </si>
  <si>
    <t>Trading</t>
  </si>
  <si>
    <t>Construction</t>
  </si>
  <si>
    <t>Total</t>
  </si>
  <si>
    <t>(Company No.: 11106-V)</t>
  </si>
  <si>
    <t>NOTES TO THE UNAUDITED FINANCIAL STATEMENTS</t>
  </si>
  <si>
    <t>Accounting Policies</t>
  </si>
  <si>
    <t>Profits / (Losses) on Sale of Investment and/or Properties</t>
  </si>
  <si>
    <t>Quoted Securities</t>
  </si>
  <si>
    <t>Changes in the Composition of the Group</t>
  </si>
  <si>
    <t>Status of Corporate Proposals</t>
  </si>
  <si>
    <t>Page 1</t>
  </si>
  <si>
    <t>Details of Issuances and Repayment of Debt</t>
  </si>
  <si>
    <t>Group Borrowings and Debt Securities</t>
  </si>
  <si>
    <t>RM '000</t>
  </si>
  <si>
    <t xml:space="preserve">     Secured</t>
  </si>
  <si>
    <t xml:space="preserve">     Unsecured</t>
  </si>
  <si>
    <t>Sub - Total</t>
  </si>
  <si>
    <t>B) Short Term Borrowings:</t>
  </si>
  <si>
    <t>A) Long Term Borrowings:</t>
  </si>
  <si>
    <t>Off Balance Sheet Financial Instruments</t>
  </si>
  <si>
    <t>There were no material financial instruments with off balance sheet risk during the current financial</t>
  </si>
  <si>
    <t>Material Litigation</t>
  </si>
  <si>
    <t>Operating expenses</t>
  </si>
  <si>
    <t>Other operating income</t>
  </si>
  <si>
    <t>Profit from Operations</t>
  </si>
  <si>
    <t>Finance costs</t>
  </si>
  <si>
    <t>Profit before tax</t>
  </si>
  <si>
    <t>Profit after tax</t>
  </si>
  <si>
    <t>Minority interest</t>
  </si>
  <si>
    <t>Net profit for the period</t>
  </si>
  <si>
    <t>The Group is not engaged in any material litigation as at the date of this announcement.</t>
  </si>
  <si>
    <t>Segmental Reporting</t>
  </si>
  <si>
    <t>Page 2</t>
  </si>
  <si>
    <t>Review of Performance</t>
  </si>
  <si>
    <t>Current Year Prospects</t>
  </si>
  <si>
    <t>Variance of Actual Profit from Forecast Profit</t>
  </si>
  <si>
    <t>Dividend</t>
  </si>
  <si>
    <t>Company Secretary</t>
  </si>
  <si>
    <t>Kuala Lumpur</t>
  </si>
  <si>
    <t>9 months</t>
  </si>
  <si>
    <t>(The figures have not been audited)</t>
  </si>
  <si>
    <t>Current Taxation</t>
  </si>
  <si>
    <t>There were no material  changes in contingent liabilities/assets  since the last annual balance sheet date.</t>
  </si>
  <si>
    <t>QUARTER</t>
  </si>
  <si>
    <t>Current Assets</t>
  </si>
  <si>
    <t>share cancellations, shares held as treasury shares and resale of treasury shares during the</t>
  </si>
  <si>
    <t>Consolidated Profit &amp; Loss Account as at 31st December 1999</t>
  </si>
  <si>
    <t xml:space="preserve"> Report for the year ended 31 December 2002)</t>
  </si>
  <si>
    <t>Financial Report for the year ended 31 December 2002)</t>
  </si>
  <si>
    <t xml:space="preserve"> Annual Financial Report for the year ended 31 December 2002)</t>
  </si>
  <si>
    <t>as compared with the annual financial statements for the financial year ended 31 December 2002.</t>
  </si>
  <si>
    <t>annual financial statements for the financial year ended 31 December 2002.</t>
  </si>
  <si>
    <t>There were no profits on sale of Investments and/or Properties for the current financial period ended</t>
  </si>
  <si>
    <t xml:space="preserve">01.01.2003 </t>
  </si>
  <si>
    <t>FOR THE 2ND QUARTER ENDED 30 JUNE 2003</t>
  </si>
  <si>
    <t xml:space="preserve">The group recorded a turnover of RM561.1 million and pre-tax profit of RM54.8 million during </t>
  </si>
  <si>
    <t xml:space="preserve">The Group achieved a pre-tax profit of RM30.2 million for the quarter under review as compared to profit </t>
  </si>
  <si>
    <t>of  RM38,555,000 over the number of ordinary shares of 158,258,348 in issue during the financial period.</t>
  </si>
  <si>
    <t>Note: There are no comparative figures for the preceding financial period as this is the fourth interim financial</t>
  </si>
  <si>
    <t xml:space="preserve">   Trading Sdn Bhd (SFT) for a total consideration of RM2 which result in SFI holding 100% equity interest</t>
  </si>
  <si>
    <t xml:space="preserve">  shares in PSCND Shiprepair Sdn Bhd (PSCND-SR) for a total consideration of RM1 million which result</t>
  </si>
  <si>
    <t xml:space="preserve">  in PSCND holding a 100% equity interest in  PSCND-SR.</t>
  </si>
  <si>
    <t>Nevertheless, there are legal summons which in the opinion of the Board of Directors are immaterial.</t>
  </si>
  <si>
    <t>There were no purchase or disposal of quoted securities for the current financial quarter  ended</t>
  </si>
  <si>
    <t>A) By business segment</t>
  </si>
  <si>
    <t>B) By geographical segment</t>
  </si>
  <si>
    <t>Malaysia</t>
  </si>
  <si>
    <t>Australia</t>
  </si>
  <si>
    <t>Republic of Ghana</t>
  </si>
  <si>
    <t>88.07%/100%</t>
  </si>
  <si>
    <t>WMI%</t>
  </si>
  <si>
    <t>*100% Owned by PSC effective 26/10/1999</t>
  </si>
  <si>
    <t>PROFIT &amp; LOSS ACCOUNTS</t>
  </si>
  <si>
    <t>PSC INDUSTRIES BERHAD (THE GROUP)</t>
  </si>
  <si>
    <t>TURNOVER</t>
  </si>
  <si>
    <t>OPERATING PROFIT</t>
  </si>
  <si>
    <t>EXCEPTIONAL ITEM</t>
  </si>
  <si>
    <t>PROFIT BEFORE TAX</t>
  </si>
  <si>
    <t>TAXATION</t>
  </si>
  <si>
    <t>PROFIT AFTER TAX</t>
  </si>
  <si>
    <t>PROFIT AFTER TAX &amp; MI</t>
  </si>
  <si>
    <t>AUDITED</t>
  </si>
  <si>
    <t>UNAUDITED</t>
  </si>
  <si>
    <t>SCENARIO 1</t>
  </si>
  <si>
    <t>SCENARIO 2</t>
  </si>
  <si>
    <t>SCENARIO 3</t>
  </si>
  <si>
    <t>SCENARIO 4</t>
  </si>
  <si>
    <t>SCENARIO 5</t>
  </si>
  <si>
    <t>b) RM35,618,690 attributable profit recognised from Albania project which need to be written off</t>
  </si>
  <si>
    <t xml:space="preserve">    and should be charged to profit &amp; loss account instead of expenditure carried forward</t>
  </si>
  <si>
    <t>d) RM2,900,000 due from Tohwa Sedap Sdn Bhd shown in PSCI's account which need to be written off</t>
  </si>
  <si>
    <t>a) RM21,495,200 long overdue debtors in PSC's account which need to be written off.</t>
  </si>
  <si>
    <t xml:space="preserve">c) RM3,206,576 expenses carried forward since 1998 for the intended projects which PSC failed to secure in 1999 </t>
  </si>
  <si>
    <t>In total, RM63,220,466 could be add up to the Group losses if the above issues can't be resolved</t>
  </si>
  <si>
    <t xml:space="preserve">With assumption that Business Focus will guarantee profit of 10% for all EPMI project on the ground that this is the </t>
  </si>
  <si>
    <t>1st retrofit project carried out by PSC</t>
  </si>
  <si>
    <t>Trade and other receivables</t>
  </si>
  <si>
    <t>Trade  &amp; other payable</t>
  </si>
  <si>
    <t>Declaration of audit qualification</t>
  </si>
  <si>
    <t>The valuation of property, plant and equipment have been brought forward, without amendment from the</t>
  </si>
  <si>
    <t>DATO' R. RAJAKUMARAN A/L M. RAJADURAI (MAICSA 7003699)</t>
  </si>
  <si>
    <t xml:space="preserve">                                                                                 SELECTED EXPLANATORY NOTES TO THE INTERIM FINANCIAL REPORT - MASB 26</t>
  </si>
  <si>
    <t xml:space="preserve">                          Non distributable</t>
  </si>
  <si>
    <t>Revaluation reserve,</t>
  </si>
  <si>
    <t>exchange fuctuation</t>
  </si>
  <si>
    <t>reserve, capital reserve</t>
  </si>
  <si>
    <t>Share</t>
  </si>
  <si>
    <t>Premium</t>
  </si>
  <si>
    <t>currency translations</t>
  </si>
  <si>
    <t>ground that the Group will award the OPV infrastructure work to them.</t>
  </si>
  <si>
    <t>With assumption that Business Focus will absorb the interest on RM105 million loan from PAB.</t>
  </si>
  <si>
    <t>(cost saving = RM10,932,652)</t>
  </si>
  <si>
    <t>Long overdue debtors in PSC's account which need to be written off:</t>
  </si>
  <si>
    <t>Usaha Hebat Sdn Bhd (under liquidation)</t>
  </si>
  <si>
    <t>Lenser Automation Sdn Bhd</t>
  </si>
  <si>
    <t>Lada Langkawi Sdn Bhd</t>
  </si>
  <si>
    <t>Lembaga Tabung Angkatan Tentera</t>
  </si>
  <si>
    <t>Permodalan Perak Berhad</t>
  </si>
  <si>
    <t>Suria Barisan Sdn Bhd</t>
  </si>
  <si>
    <t>UIA project</t>
  </si>
  <si>
    <t>PSC Navitalia</t>
  </si>
  <si>
    <t>MARA Shipyard</t>
  </si>
  <si>
    <t>Penang Marine Club</t>
  </si>
  <si>
    <t>Expenditure carried forward which need to be charged to profit &amp; loss in view of failure to secure the project</t>
  </si>
  <si>
    <t>Shell Sarawak Berhad</t>
  </si>
  <si>
    <t>TOTAL Thailand</t>
  </si>
  <si>
    <t>IPC</t>
  </si>
  <si>
    <t>World Trade Center Tirana, Albania</t>
  </si>
  <si>
    <t>With recognition of forex gain of RM76,510,478 by PSC-Naval Dockyard Sdn Bhd</t>
  </si>
  <si>
    <t>(profit@cost saving = RM27,967,161)</t>
  </si>
  <si>
    <t>(profit@cost saving = RM4,265,361)</t>
  </si>
  <si>
    <t xml:space="preserve"> - a 100% owned subsidiary Sedap Food Industries Sdn Bhd (SFI) subscribed 2 shares in SFI</t>
  </si>
  <si>
    <t>With OPV profit assumed of RM65,801,368 and on the assumptions that the following issues can be resolved:-</t>
  </si>
  <si>
    <t>With assumption that Magnani will guarantee profit of 10% for all UDA project, Bayan Lepas and TAT 1,2&amp;3 on the</t>
  </si>
  <si>
    <t>Comment on Financial Results (current quarter compared with the preceding quarter)</t>
  </si>
  <si>
    <t>announcement, any item, transaction or event of a material and unusual nature likely, in the opinion</t>
  </si>
  <si>
    <t>30/6/03</t>
  </si>
  <si>
    <t>Interest income</t>
  </si>
  <si>
    <t>The disproportionate tax rate is mainly due  to  tax exemption obtained by a subsidiary</t>
  </si>
  <si>
    <t xml:space="preserve">On 13 June 2003, the Company issued 79,129,174 new ordinary shares of RM1 each under the </t>
  </si>
  <si>
    <t xml:space="preserve">Bonus Issue exercise of one for one which was approved by the shareholders through the Extraordinary </t>
  </si>
  <si>
    <t>Net profit  for the period</t>
  </si>
  <si>
    <t>General Meeting on 29 April 2003. The newly issued shares was listed on 23 June 203.</t>
  </si>
  <si>
    <t>vessel project and no chargeable income for certain companies within the Group.</t>
  </si>
  <si>
    <t xml:space="preserve">On 19 August 2003 the Securities Comission approved the extension of time for the implementation </t>
  </si>
  <si>
    <t>of the proposals until 15 April 2004.</t>
  </si>
  <si>
    <t>The basic earnings per share has been calculated based on the Group's net profit for the financial period</t>
  </si>
  <si>
    <t xml:space="preserve">- a 79% owned subsidiary company, PSC-Naval Dockyard Sdn Bhd (PSCND)  subscribed 1million </t>
  </si>
  <si>
    <t>shipbuilding and shiprepair activities.</t>
  </si>
  <si>
    <t xml:space="preserve">year corresponding period respectively. The major contribution to the profit for the Group is derived from </t>
  </si>
  <si>
    <t xml:space="preserve">financial period ended 30 June 2003 as compared to RM493.9 million and RM41.7 million in the preceding   </t>
  </si>
  <si>
    <t>Barring any unforeseen circumstances, the Board of Directors expects the Group's performance</t>
  </si>
  <si>
    <t>and shiprepairs activities.</t>
  </si>
  <si>
    <t>to be better in the current year. The major contribution would be from the offshore patrol vessel project</t>
  </si>
  <si>
    <t>The earnings per share for the preceding year corresponding quarter &amp; period is adjusted for Bonus Issue</t>
  </si>
  <si>
    <t>of one for one made during the quarter ended 30 June 2003</t>
  </si>
  <si>
    <t>Net tangible asset per share for the preceding year  is adjusted for Bonus Issue of  one for one</t>
  </si>
  <si>
    <t>made during the quarter ended 30 June 2003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</si>
</sst>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.00_ ;_ * \-#,##0.00_ ;_ * &quot;-&quot;??_ ;_ @_ 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_ * #,##0_ ;_ * \-#,##0_ ;_ * &quot;-&quot;??_ ;_ @_ "/>
    <numFmt numFmtId="177" formatCode="_(* #,##0.0000_);_(* \(#,##0.0000\);_(* &quot;-&quot;??_);_(@_)"/>
    <numFmt numFmtId="178" formatCode="_(* #,##0.000000_);_(* \(#,##0.000000\);_(* &quot;-&quot;??_);_(@_)"/>
    <numFmt numFmtId="179" formatCode="&quot;$&quot;#,##0\ ;\(&quot;$&quot;#,##0\)"/>
    <numFmt numFmtId="180" formatCode="m/d"/>
    <numFmt numFmtId="181" formatCode="0.000%"/>
    <numFmt numFmtId="182" formatCode="#,##0.000_);[Red]\(#,##0.000\)"/>
    <numFmt numFmtId="183" formatCode="#,##0.0_);[Red]\(#,##0.0\)"/>
    <numFmt numFmtId="184" formatCode="_(* #,##0.0_);_(* \(#,##0.0\);_(* &quot;-&quot;?_);_(@_)"/>
    <numFmt numFmtId="185" formatCode="_(* #,##0.0000_);_(* \(#,##0.0000\);_(* &quot;-&quot;????_);_(@_)"/>
    <numFmt numFmtId="186" formatCode="_(* #,##0.00000_);_(* \(#,##0.00000\);_(* &quot;-&quot;?????_);_(@_)"/>
    <numFmt numFmtId="187" formatCode="0.00_);[Red]\(0.00\)"/>
    <numFmt numFmtId="188" formatCode="0.0_);[Red]\(0.0\)"/>
    <numFmt numFmtId="189" formatCode="#,##0.0_);\(#,##0.0\)"/>
    <numFmt numFmtId="190" formatCode="#,##0.000_);\(#,##0.000\)"/>
    <numFmt numFmtId="191" formatCode="#,##0_ ;[Red]\-#,##0\ "/>
    <numFmt numFmtId="192" formatCode="#,##0.0_ ;[Red]\-#,##0.0\ "/>
    <numFmt numFmtId="193" formatCode="_-* #,##0.0000_-;\-* #,##0.0000_-;_-* &quot;-&quot;????_-;_-@_-"/>
    <numFmt numFmtId="194" formatCode="#,##0.00_ ;[Red]\-#,##0.00\ "/>
    <numFmt numFmtId="195" formatCode="_(* #,##0.000_);_(* \(#,##0.000\);_(* &quot;-&quot;??_);_(@_)"/>
    <numFmt numFmtId="196" formatCode="dd\-mmm\-yy"/>
    <numFmt numFmtId="197" formatCode="d\-mmm\-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4" fontId="0" fillId="0" borderId="0" xfId="15" applyNumberFormat="1" applyAlignment="1">
      <alignment/>
    </xf>
    <xf numFmtId="174" fontId="0" fillId="0" borderId="2" xfId="15" applyNumberFormat="1" applyBorder="1" applyAlignment="1">
      <alignment/>
    </xf>
    <xf numFmtId="174" fontId="0" fillId="0" borderId="3" xfId="15" applyNumberFormat="1" applyBorder="1" applyAlignment="1">
      <alignment/>
    </xf>
    <xf numFmtId="174" fontId="0" fillId="0" borderId="4" xfId="15" applyNumberFormat="1" applyBorder="1" applyAlignment="1">
      <alignment/>
    </xf>
    <xf numFmtId="174" fontId="1" fillId="0" borderId="0" xfId="15" applyNumberFormat="1" applyFont="1" applyBorder="1" applyAlignment="1">
      <alignment/>
    </xf>
    <xf numFmtId="174" fontId="0" fillId="0" borderId="0" xfId="15" applyNumberFormat="1" applyBorder="1" applyAlignment="1">
      <alignment/>
    </xf>
    <xf numFmtId="174" fontId="1" fillId="0" borderId="0" xfId="15" applyNumberFormat="1" applyFont="1" applyBorder="1" applyAlignment="1">
      <alignment/>
    </xf>
    <xf numFmtId="174" fontId="1" fillId="0" borderId="5" xfId="15" applyNumberFormat="1" applyFont="1" applyBorder="1" applyAlignment="1">
      <alignment/>
    </xf>
    <xf numFmtId="38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6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right"/>
    </xf>
    <xf numFmtId="9" fontId="0" fillId="0" borderId="13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4" fontId="0" fillId="0" borderId="14" xfId="15" applyNumberFormat="1" applyBorder="1" applyAlignment="1">
      <alignment/>
    </xf>
    <xf numFmtId="174" fontId="0" fillId="0" borderId="15" xfId="15" applyNumberFormat="1" applyBorder="1" applyAlignment="1">
      <alignment/>
    </xf>
    <xf numFmtId="174" fontId="1" fillId="0" borderId="16" xfId="15" applyNumberFormat="1" applyFont="1" applyBorder="1" applyAlignment="1">
      <alignment/>
    </xf>
    <xf numFmtId="9" fontId="1" fillId="0" borderId="12" xfId="28" applyFont="1" applyBorder="1" applyAlignment="1">
      <alignment horizontal="center"/>
    </xf>
    <xf numFmtId="174" fontId="0" fillId="0" borderId="13" xfId="15" applyNumberFormat="1" applyBorder="1" applyAlignment="1">
      <alignment/>
    </xf>
    <xf numFmtId="174" fontId="0" fillId="0" borderId="6" xfId="15" applyNumberFormat="1" applyBorder="1" applyAlignment="1">
      <alignment/>
    </xf>
    <xf numFmtId="174" fontId="1" fillId="0" borderId="12" xfId="15" applyNumberFormat="1" applyFont="1" applyBorder="1" applyAlignment="1">
      <alignment/>
    </xf>
    <xf numFmtId="174" fontId="0" fillId="0" borderId="17" xfId="15" applyNumberFormat="1" applyBorder="1" applyAlignment="1">
      <alignment/>
    </xf>
    <xf numFmtId="174" fontId="0" fillId="0" borderId="18" xfId="15" applyNumberFormat="1" applyBorder="1" applyAlignment="1">
      <alignment/>
    </xf>
    <xf numFmtId="174" fontId="1" fillId="0" borderId="19" xfId="15" applyNumberFormat="1" applyFont="1" applyBorder="1" applyAlignment="1">
      <alignment/>
    </xf>
    <xf numFmtId="174" fontId="0" fillId="0" borderId="13" xfId="15" applyNumberFormat="1" applyFill="1" applyBorder="1" applyAlignment="1">
      <alignment/>
    </xf>
    <xf numFmtId="174" fontId="0" fillId="0" borderId="18" xfId="15" applyNumberFormat="1" applyFont="1" applyBorder="1" applyAlignment="1">
      <alignment/>
    </xf>
    <xf numFmtId="0" fontId="1" fillId="0" borderId="20" xfId="0" applyFont="1" applyBorder="1" applyAlignment="1">
      <alignment/>
    </xf>
    <xf numFmtId="174" fontId="0" fillId="0" borderId="21" xfId="15" applyNumberFormat="1" applyBorder="1" applyAlignment="1">
      <alignment/>
    </xf>
    <xf numFmtId="174" fontId="0" fillId="0" borderId="22" xfId="15" applyNumberFormat="1" applyBorder="1" applyAlignment="1">
      <alignment/>
    </xf>
    <xf numFmtId="174" fontId="1" fillId="0" borderId="20" xfId="15" applyNumberFormat="1" applyFont="1" applyBorder="1" applyAlignment="1">
      <alignment/>
    </xf>
    <xf numFmtId="9" fontId="1" fillId="0" borderId="20" xfId="28" applyFont="1" applyBorder="1" applyAlignment="1">
      <alignment horizontal="center"/>
    </xf>
    <xf numFmtId="0" fontId="7" fillId="0" borderId="0" xfId="0" applyFont="1" applyAlignment="1">
      <alignment/>
    </xf>
    <xf numFmtId="174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38" fontId="7" fillId="0" borderId="0" xfId="15" applyNumberFormat="1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/>
    </xf>
    <xf numFmtId="38" fontId="0" fillId="0" borderId="0" xfId="15" applyNumberFormat="1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2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174" fontId="0" fillId="0" borderId="3" xfId="15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9" xfId="0" applyFont="1" applyBorder="1" applyAlignment="1">
      <alignment/>
    </xf>
    <xf numFmtId="174" fontId="1" fillId="0" borderId="10" xfId="15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/>
    </xf>
    <xf numFmtId="174" fontId="1" fillId="0" borderId="31" xfId="15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74" fontId="0" fillId="0" borderId="27" xfId="15" applyNumberFormat="1" applyBorder="1" applyAlignment="1">
      <alignment/>
    </xf>
    <xf numFmtId="174" fontId="0" fillId="0" borderId="0" xfId="0" applyNumberFormat="1" applyAlignment="1">
      <alignment/>
    </xf>
    <xf numFmtId="49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6" fillId="0" borderId="32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174" fontId="0" fillId="0" borderId="36" xfId="15" applyNumberFormat="1" applyBorder="1" applyAlignment="1">
      <alignment/>
    </xf>
    <xf numFmtId="174" fontId="0" fillId="0" borderId="35" xfId="15" applyNumberFormat="1" applyBorder="1" applyAlignment="1">
      <alignment/>
    </xf>
    <xf numFmtId="174" fontId="0" fillId="0" borderId="37" xfId="15" applyNumberFormat="1" applyBorder="1" applyAlignment="1">
      <alignment/>
    </xf>
    <xf numFmtId="174" fontId="0" fillId="0" borderId="38" xfId="15" applyNumberFormat="1" applyBorder="1" applyAlignment="1">
      <alignment/>
    </xf>
    <xf numFmtId="174" fontId="0" fillId="0" borderId="39" xfId="15" applyNumberFormat="1" applyBorder="1" applyAlignment="1">
      <alignment/>
    </xf>
    <xf numFmtId="41" fontId="0" fillId="0" borderId="18" xfId="15" applyNumberForma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32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74" fontId="7" fillId="0" borderId="35" xfId="15" applyNumberFormat="1" applyFont="1" applyBorder="1" applyAlignment="1">
      <alignment/>
    </xf>
    <xf numFmtId="0" fontId="7" fillId="0" borderId="33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12" xfId="0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74" fontId="7" fillId="0" borderId="12" xfId="15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4" fontId="7" fillId="0" borderId="0" xfId="15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29" xfId="0" applyFont="1" applyBorder="1" applyAlignment="1">
      <alignment/>
    </xf>
    <xf numFmtId="174" fontId="8" fillId="0" borderId="34" xfId="0" applyNumberFormat="1" applyFont="1" applyBorder="1" applyAlignment="1">
      <alignment/>
    </xf>
    <xf numFmtId="0" fontId="7" fillId="0" borderId="32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34" xfId="0" applyFont="1" applyBorder="1" applyAlignment="1">
      <alignment/>
    </xf>
    <xf numFmtId="174" fontId="7" fillId="0" borderId="42" xfId="15" applyNumberFormat="1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4" xfId="0" applyFont="1" applyBorder="1" applyAlignment="1">
      <alignment/>
    </xf>
    <xf numFmtId="174" fontId="8" fillId="0" borderId="34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38" fontId="0" fillId="0" borderId="43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74" fontId="0" fillId="0" borderId="28" xfId="15" applyNumberFormat="1" applyBorder="1" applyAlignment="1">
      <alignment/>
    </xf>
    <xf numFmtId="38" fontId="1" fillId="0" borderId="0" xfId="15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8" fontId="0" fillId="0" borderId="0" xfId="15" applyNumberFormat="1" applyFont="1" applyAlignment="1">
      <alignment horizontal="center"/>
    </xf>
    <xf numFmtId="174" fontId="0" fillId="0" borderId="27" xfId="15" applyNumberFormat="1" applyFont="1" applyBorder="1" applyAlignment="1">
      <alignment/>
    </xf>
    <xf numFmtId="0" fontId="0" fillId="0" borderId="0" xfId="0" applyAlignment="1">
      <alignment horizontal="left"/>
    </xf>
    <xf numFmtId="174" fontId="3" fillId="0" borderId="3" xfId="15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45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8" xfId="0" applyBorder="1" applyAlignment="1">
      <alignment/>
    </xf>
    <xf numFmtId="0" fontId="2" fillId="0" borderId="2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46" xfId="0" applyFont="1" applyBorder="1" applyAlignment="1">
      <alignment/>
    </xf>
    <xf numFmtId="3" fontId="0" fillId="0" borderId="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38" fontId="0" fillId="0" borderId="28" xfId="0" applyNumberFormat="1" applyBorder="1" applyAlignment="1">
      <alignment/>
    </xf>
    <xf numFmtId="174" fontId="1" fillId="0" borderId="3" xfId="1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8" fontId="0" fillId="0" borderId="0" xfId="0" applyNumberFormat="1" applyFont="1" applyAlignment="1">
      <alignment horizontal="right"/>
    </xf>
    <xf numFmtId="191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4" xfId="0" applyBorder="1" applyAlignment="1">
      <alignment/>
    </xf>
    <xf numFmtId="0" fontId="10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191" fontId="0" fillId="0" borderId="5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0" xfId="0" applyFont="1" applyAlignment="1">
      <alignment/>
    </xf>
    <xf numFmtId="38" fontId="3" fillId="0" borderId="0" xfId="15" applyNumberFormat="1" applyFont="1" applyAlignment="1">
      <alignment/>
    </xf>
    <xf numFmtId="174" fontId="0" fillId="0" borderId="3" xfId="15" applyNumberFormat="1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45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192" fontId="0" fillId="0" borderId="0" xfId="0" applyNumberFormat="1" applyFill="1" applyAlignment="1">
      <alignment/>
    </xf>
    <xf numFmtId="192" fontId="0" fillId="0" borderId="0" xfId="0" applyNumberFormat="1" applyAlignment="1">
      <alignment/>
    </xf>
    <xf numFmtId="174" fontId="0" fillId="0" borderId="3" xfId="0" applyNumberFormat="1" applyFill="1" applyBorder="1" applyAlignment="1">
      <alignment/>
    </xf>
    <xf numFmtId="174" fontId="0" fillId="0" borderId="6" xfId="0" applyNumberFormat="1" applyBorder="1" applyAlignment="1">
      <alignment/>
    </xf>
    <xf numFmtId="174" fontId="0" fillId="0" borderId="3" xfId="0" applyNumberFormat="1" applyBorder="1" applyAlignment="1">
      <alignment/>
    </xf>
    <xf numFmtId="174" fontId="0" fillId="0" borderId="28" xfId="0" applyNumberFormat="1" applyFill="1" applyBorder="1" applyAlignment="1">
      <alignment/>
    </xf>
    <xf numFmtId="174" fontId="0" fillId="0" borderId="27" xfId="0" applyNumberFormat="1" applyFill="1" applyBorder="1" applyAlignment="1">
      <alignment/>
    </xf>
    <xf numFmtId="174" fontId="0" fillId="0" borderId="25" xfId="0" applyNumberFormat="1" applyFill="1" applyBorder="1" applyAlignment="1">
      <alignment/>
    </xf>
    <xf numFmtId="174" fontId="0" fillId="0" borderId="4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174" fontId="0" fillId="0" borderId="45" xfId="0" applyNumberFormat="1" applyBorder="1" applyAlignment="1">
      <alignment/>
    </xf>
    <xf numFmtId="174" fontId="0" fillId="0" borderId="46" xfId="0" applyNumberFormat="1" applyFill="1" applyBorder="1" applyAlignment="1">
      <alignment/>
    </xf>
    <xf numFmtId="174" fontId="0" fillId="0" borderId="4" xfId="0" applyNumberFormat="1" applyBorder="1" applyAlignment="1">
      <alignment/>
    </xf>
    <xf numFmtId="174" fontId="0" fillId="0" borderId="31" xfId="0" applyNumberFormat="1" applyFill="1" applyBorder="1" applyAlignment="1">
      <alignment/>
    </xf>
    <xf numFmtId="15" fontId="10" fillId="0" borderId="0" xfId="0" applyNumberFormat="1" applyFont="1" applyAlignment="1" quotePrefix="1">
      <alignment horizontal="left"/>
    </xf>
    <xf numFmtId="174" fontId="0" fillId="0" borderId="0" xfId="15" applyNumberFormat="1" applyFont="1" applyAlignment="1">
      <alignment horizontal="right"/>
    </xf>
    <xf numFmtId="174" fontId="0" fillId="0" borderId="0" xfId="15" applyNumberFormat="1" applyFont="1" applyBorder="1" applyAlignment="1">
      <alignment horizontal="right"/>
    </xf>
    <xf numFmtId="174" fontId="0" fillId="0" borderId="0" xfId="0" applyNumberFormat="1" applyAlignment="1">
      <alignment horizontal="right"/>
    </xf>
    <xf numFmtId="0" fontId="1" fillId="0" borderId="31" xfId="0" applyFont="1" applyBorder="1" applyAlignment="1">
      <alignment/>
    </xf>
    <xf numFmtId="174" fontId="0" fillId="0" borderId="0" xfId="0" applyNumberFormat="1" applyFont="1" applyAlignment="1">
      <alignment horizontal="center"/>
    </xf>
    <xf numFmtId="174" fontId="0" fillId="0" borderId="0" xfId="0" applyNumberFormat="1" applyFont="1" applyAlignment="1">
      <alignment/>
    </xf>
    <xf numFmtId="174" fontId="0" fillId="0" borderId="0" xfId="15" applyNumberFormat="1" applyFont="1" applyAlignment="1">
      <alignment/>
    </xf>
    <xf numFmtId="174" fontId="0" fillId="0" borderId="0" xfId="15" applyNumberFormat="1" applyFont="1" applyBorder="1" applyAlignment="1">
      <alignment/>
    </xf>
    <xf numFmtId="174" fontId="0" fillId="0" borderId="5" xfId="15" applyNumberFormat="1" applyFont="1" applyBorder="1" applyAlignment="1">
      <alignment/>
    </xf>
    <xf numFmtId="19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45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 quotePrefix="1">
      <alignment horizontal="left"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174" fontId="0" fillId="0" borderId="27" xfId="15" applyNumberFormat="1" applyFont="1" applyBorder="1" applyAlignment="1">
      <alignment/>
    </xf>
    <xf numFmtId="174" fontId="0" fillId="0" borderId="3" xfId="15" applyNumberFormat="1" applyFont="1" applyBorder="1" applyAlignment="1">
      <alignment/>
    </xf>
    <xf numFmtId="174" fontId="0" fillId="0" borderId="47" xfId="15" applyNumberFormat="1" applyFont="1" applyBorder="1" applyAlignment="1">
      <alignment/>
    </xf>
    <xf numFmtId="174" fontId="0" fillId="0" borderId="4" xfId="15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/>
    </xf>
    <xf numFmtId="174" fontId="0" fillId="0" borderId="0" xfId="17" applyNumberFormat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Border="1" applyAlignment="1">
      <alignment/>
    </xf>
    <xf numFmtId="16" fontId="0" fillId="0" borderId="0" xfId="0" applyNumberFormat="1" applyAlignment="1">
      <alignment horizontal="right"/>
    </xf>
    <xf numFmtId="197" fontId="6" fillId="0" borderId="0" xfId="0" applyNumberFormat="1" applyFont="1" applyAlignment="1" quotePrefix="1">
      <alignment horizontal="right"/>
    </xf>
    <xf numFmtId="174" fontId="0" fillId="0" borderId="28" xfId="0" applyNumberFormat="1" applyBorder="1" applyAlignment="1">
      <alignment/>
    </xf>
    <xf numFmtId="38" fontId="0" fillId="0" borderId="5" xfId="0" applyNumberFormat="1" applyBorder="1" applyAlignment="1">
      <alignment/>
    </xf>
    <xf numFmtId="174" fontId="0" fillId="0" borderId="43" xfId="0" applyNumberFormat="1" applyBorder="1" applyAlignment="1">
      <alignment/>
    </xf>
    <xf numFmtId="174" fontId="0" fillId="0" borderId="5" xfId="0" applyNumberFormat="1" applyBorder="1" applyAlignment="1">
      <alignment/>
    </xf>
    <xf numFmtId="49" fontId="1" fillId="0" borderId="43" xfId="0" applyNumberFormat="1" applyFont="1" applyFill="1" applyBorder="1" applyAlignment="1">
      <alignment horizontal="center"/>
    </xf>
    <xf numFmtId="49" fontId="0" fillId="0" borderId="43" xfId="0" applyNumberFormat="1" applyFill="1" applyBorder="1" applyAlignment="1">
      <alignment/>
    </xf>
    <xf numFmtId="49" fontId="0" fillId="0" borderId="46" xfId="0" applyNumberForma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6" xfId="0" applyFill="1" applyBorder="1" applyAlignment="1">
      <alignment/>
    </xf>
    <xf numFmtId="0" fontId="4" fillId="0" borderId="23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0" xfId="0" applyFont="1" applyAlignment="1">
      <alignment horizontal="center"/>
    </xf>
  </cellXfs>
  <cellStyles count="16">
    <cellStyle name="Normal" xfId="0"/>
    <cellStyle name="Comma" xfId="15"/>
    <cellStyle name="Comma [0]" xfId="16"/>
    <cellStyle name="Comma_KLSEQR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flowpscijune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shflow"/>
      <sheetName val="cashflowklse"/>
      <sheetName val="fixed asset"/>
      <sheetName val="exc reserve"/>
      <sheetName val="taxation"/>
      <sheetName val="borrowings"/>
      <sheetName val="hp"/>
      <sheetName val="deferred expenditure"/>
      <sheetName val="gwmiacq"/>
    </sheetNames>
    <sheetDataSet>
      <sheetData sheetId="1">
        <row r="8">
          <cell r="E8">
            <v>54824743.685</v>
          </cell>
        </row>
        <row r="11">
          <cell r="E11">
            <v>28978170.084851332</v>
          </cell>
        </row>
        <row r="12">
          <cell r="E12">
            <v>-4916280.096277418</v>
          </cell>
        </row>
        <row r="13">
          <cell r="E13">
            <v>0</v>
          </cell>
        </row>
        <row r="14">
          <cell r="E14">
            <v>2206618.1625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3628121.6071295505</v>
          </cell>
        </row>
        <row r="23">
          <cell r="E23">
            <v>-3959</v>
          </cell>
        </row>
        <row r="24">
          <cell r="E24">
            <v>92773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3">
          <cell r="E33">
            <v>-1024970.5672615899</v>
          </cell>
        </row>
        <row r="34">
          <cell r="E34">
            <v>-65360100.780834526</v>
          </cell>
        </row>
        <row r="35">
          <cell r="E35">
            <v>-292526679.17862713</v>
          </cell>
        </row>
        <row r="37">
          <cell r="E37">
            <v>-4235810.21866348</v>
          </cell>
        </row>
        <row r="38">
          <cell r="E38">
            <v>361277378</v>
          </cell>
        </row>
        <row r="50">
          <cell r="E50">
            <v>4916280.096277418</v>
          </cell>
        </row>
        <row r="51">
          <cell r="E51" t="e">
            <v>#REF!</v>
          </cell>
        </row>
        <row r="53">
          <cell r="E53">
            <v>-2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50416206</v>
          </cell>
        </row>
        <row r="57">
          <cell r="E57">
            <v>-16448358.49829968</v>
          </cell>
        </row>
        <row r="62">
          <cell r="E62">
            <v>0</v>
          </cell>
        </row>
        <row r="63">
          <cell r="E63" t="e">
            <v>#REF!</v>
          </cell>
        </row>
        <row r="64">
          <cell r="E64">
            <v>-33118109</v>
          </cell>
        </row>
        <row r="65">
          <cell r="E65">
            <v>-1482783</v>
          </cell>
        </row>
        <row r="73">
          <cell r="E73">
            <v>-15593379</v>
          </cell>
        </row>
        <row r="74">
          <cell r="E74">
            <v>-348019.4933422956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7"/>
  <sheetViews>
    <sheetView zoomScale="75" zoomScaleNormal="75" workbookViewId="0" topLeftCell="A6">
      <selection activeCell="H16" sqref="H16"/>
    </sheetView>
  </sheetViews>
  <sheetFormatPr defaultColWidth="9.140625" defaultRowHeight="12.75"/>
  <cols>
    <col min="1" max="1" width="25.00390625" style="0" customWidth="1"/>
    <col min="2" max="2" width="12.7109375" style="0" customWidth="1"/>
    <col min="3" max="3" width="11.7109375" style="0" customWidth="1"/>
    <col min="4" max="4" width="11.28125" style="0" customWidth="1"/>
    <col min="5" max="5" width="12.00390625" style="0" customWidth="1"/>
    <col min="6" max="6" width="11.00390625" style="0" customWidth="1"/>
    <col min="7" max="7" width="11.57421875" style="0" customWidth="1"/>
    <col min="8" max="8" width="12.00390625" style="0" customWidth="1"/>
    <col min="9" max="9" width="13.140625" style="0" customWidth="1"/>
    <col min="10" max="10" width="0.9921875" style="15" customWidth="1"/>
    <col min="11" max="11" width="14.421875" style="0" customWidth="1"/>
    <col min="12" max="14" width="14.421875" style="0" hidden="1" customWidth="1"/>
    <col min="15" max="15" width="3.421875" style="15" customWidth="1"/>
    <col min="16" max="16" width="0.9921875" style="0" customWidth="1"/>
    <col min="17" max="17" width="14.421875" style="0" hidden="1" customWidth="1"/>
    <col min="18" max="18" width="0.9921875" style="0" hidden="1" customWidth="1"/>
    <col min="19" max="19" width="14.421875" style="0" hidden="1" customWidth="1"/>
    <col min="20" max="20" width="7.140625" style="3" hidden="1" customWidth="1"/>
    <col min="21" max="21" width="0" style="0" hidden="1" customWidth="1"/>
    <col min="22" max="22" width="24.421875" style="0" customWidth="1"/>
    <col min="23" max="23" width="12.28125" style="0" customWidth="1"/>
    <col min="24" max="24" width="11.8515625" style="0" customWidth="1"/>
    <col min="25" max="25" width="11.00390625" style="0" customWidth="1"/>
    <col min="26" max="26" width="12.57421875" style="0" customWidth="1"/>
    <col min="27" max="32" width="12.421875" style="0" customWidth="1"/>
    <col min="33" max="33" width="0.9921875" style="15" customWidth="1"/>
    <col min="34" max="34" width="15.00390625" style="0" customWidth="1"/>
    <col min="35" max="35" width="0.9921875" style="0" customWidth="1"/>
    <col min="36" max="36" width="14.57421875" style="0" hidden="1" customWidth="1"/>
    <col min="37" max="37" width="0.9921875" style="0" hidden="1" customWidth="1"/>
    <col min="38" max="38" width="14.8515625" style="0" hidden="1" customWidth="1"/>
    <col min="39" max="39" width="0" style="0" hidden="1" customWidth="1"/>
  </cols>
  <sheetData>
    <row r="1" spans="1:22" ht="15.75">
      <c r="A1" s="2" t="s">
        <v>98</v>
      </c>
      <c r="V1" s="2" t="s">
        <v>128</v>
      </c>
    </row>
    <row r="2" spans="1:22" ht="15.75">
      <c r="A2" s="2" t="s">
        <v>245</v>
      </c>
      <c r="V2" s="2" t="s">
        <v>245</v>
      </c>
    </row>
    <row r="3" spans="36:39" ht="13.5" thickBot="1">
      <c r="AJ3" s="1"/>
      <c r="AK3" s="1"/>
      <c r="AL3" s="1"/>
      <c r="AM3" s="1"/>
    </row>
    <row r="4" spans="1:39" s="1" customFormat="1" ht="13.5" thickBot="1">
      <c r="A4" s="98"/>
      <c r="B4" s="17" t="s">
        <v>100</v>
      </c>
      <c r="C4" s="18" t="s">
        <v>101</v>
      </c>
      <c r="D4" s="18" t="s">
        <v>102</v>
      </c>
      <c r="E4" s="18" t="s">
        <v>103</v>
      </c>
      <c r="F4" s="18" t="s">
        <v>104</v>
      </c>
      <c r="G4" s="18" t="s">
        <v>105</v>
      </c>
      <c r="H4" s="18" t="s">
        <v>106</v>
      </c>
      <c r="I4" s="102" t="s">
        <v>146</v>
      </c>
      <c r="J4" s="19"/>
      <c r="K4" s="20" t="s">
        <v>147</v>
      </c>
      <c r="L4" s="21" t="s">
        <v>148</v>
      </c>
      <c r="M4" s="21"/>
      <c r="N4" s="20" t="s">
        <v>147</v>
      </c>
      <c r="O4" s="19"/>
      <c r="P4" s="19"/>
      <c r="Q4" s="20" t="s">
        <v>119</v>
      </c>
      <c r="R4" s="19"/>
      <c r="S4" s="22" t="s">
        <v>118</v>
      </c>
      <c r="T4" s="20" t="s">
        <v>149</v>
      </c>
      <c r="V4" s="16" t="s">
        <v>115</v>
      </c>
      <c r="W4" s="17" t="s">
        <v>99</v>
      </c>
      <c r="X4" s="18" t="s">
        <v>122</v>
      </c>
      <c r="Y4" s="18" t="s">
        <v>123</v>
      </c>
      <c r="Z4" s="18" t="s">
        <v>124</v>
      </c>
      <c r="AA4" s="18" t="s">
        <v>125</v>
      </c>
      <c r="AB4" s="18" t="s">
        <v>150</v>
      </c>
      <c r="AC4" s="18" t="s">
        <v>127</v>
      </c>
      <c r="AD4" s="18" t="s">
        <v>126</v>
      </c>
      <c r="AE4" s="18" t="s">
        <v>129</v>
      </c>
      <c r="AF4" s="18" t="s">
        <v>151</v>
      </c>
      <c r="AG4" s="19"/>
      <c r="AH4" s="20" t="s">
        <v>152</v>
      </c>
      <c r="AJ4" s="20" t="s">
        <v>119</v>
      </c>
      <c r="AK4" s="19"/>
      <c r="AL4" s="22" t="s">
        <v>118</v>
      </c>
      <c r="AM4" s="20" t="s">
        <v>149</v>
      </c>
    </row>
    <row r="5" spans="1:39" ht="13.5" thickBot="1">
      <c r="A5" s="99" t="s">
        <v>153</v>
      </c>
      <c r="B5" s="24">
        <v>1</v>
      </c>
      <c r="C5" s="25">
        <v>1</v>
      </c>
      <c r="D5" s="25">
        <v>0.6</v>
      </c>
      <c r="E5" s="25">
        <v>0.6</v>
      </c>
      <c r="F5" s="25">
        <v>1</v>
      </c>
      <c r="G5" s="25">
        <v>1</v>
      </c>
      <c r="H5" s="25">
        <v>1</v>
      </c>
      <c r="I5" s="103"/>
      <c r="K5" s="26"/>
      <c r="L5" s="19" t="s">
        <v>108</v>
      </c>
      <c r="M5" s="19" t="s">
        <v>109</v>
      </c>
      <c r="N5" s="20" t="s">
        <v>162</v>
      </c>
      <c r="O5" s="19"/>
      <c r="P5" s="27"/>
      <c r="Q5" s="28"/>
      <c r="R5" s="27"/>
      <c r="S5" s="28"/>
      <c r="T5" s="29"/>
      <c r="V5" s="23" t="s">
        <v>153</v>
      </c>
      <c r="W5" s="24">
        <v>1</v>
      </c>
      <c r="X5" s="30">
        <v>0.8807</v>
      </c>
      <c r="Y5" s="25">
        <v>0.6</v>
      </c>
      <c r="Z5" s="25">
        <v>0.4</v>
      </c>
      <c r="AA5" s="25">
        <v>1</v>
      </c>
      <c r="AB5" s="25">
        <v>0.8</v>
      </c>
      <c r="AC5" s="25">
        <v>1</v>
      </c>
      <c r="AD5" s="25">
        <v>1</v>
      </c>
      <c r="AE5" s="25">
        <v>0.7</v>
      </c>
      <c r="AF5" s="25">
        <v>0.7</v>
      </c>
      <c r="AG5" s="31"/>
      <c r="AH5" s="26"/>
      <c r="AJ5" s="28"/>
      <c r="AK5" s="27"/>
      <c r="AL5" s="28"/>
      <c r="AM5" s="29"/>
    </row>
    <row r="6" spans="1:39" ht="12.75">
      <c r="A6" s="100"/>
      <c r="B6" s="33"/>
      <c r="C6" s="14"/>
      <c r="D6" s="14"/>
      <c r="E6" s="14"/>
      <c r="F6" s="14"/>
      <c r="G6" s="14"/>
      <c r="H6" s="14"/>
      <c r="I6" s="103"/>
      <c r="K6" s="26"/>
      <c r="L6" s="27"/>
      <c r="M6" s="27"/>
      <c r="N6" s="26"/>
      <c r="O6" s="27"/>
      <c r="P6" s="27"/>
      <c r="Q6" s="26"/>
      <c r="R6" s="27"/>
      <c r="S6" s="26"/>
      <c r="T6" s="29"/>
      <c r="V6" s="32"/>
      <c r="W6" s="33"/>
      <c r="X6" s="14"/>
      <c r="Y6" s="14"/>
      <c r="Z6" s="14"/>
      <c r="AA6" s="14"/>
      <c r="AB6" s="14"/>
      <c r="AC6" s="14"/>
      <c r="AD6" s="14"/>
      <c r="AE6" s="14"/>
      <c r="AF6" s="14"/>
      <c r="AH6" s="26"/>
      <c r="AJ6" s="26"/>
      <c r="AK6" s="27"/>
      <c r="AL6" s="26"/>
      <c r="AM6" s="29"/>
    </row>
    <row r="7" spans="1:39" ht="21" customHeight="1" thickBot="1">
      <c r="A7" s="97" t="s">
        <v>116</v>
      </c>
      <c r="B7" s="34">
        <v>0</v>
      </c>
      <c r="C7" s="35">
        <v>15709428</v>
      </c>
      <c r="D7" s="35">
        <v>669901.26</v>
      </c>
      <c r="E7" s="35">
        <v>1868706.49</v>
      </c>
      <c r="F7" s="35">
        <v>5734855.64</v>
      </c>
      <c r="G7" s="35">
        <v>0</v>
      </c>
      <c r="H7" s="35">
        <v>0</v>
      </c>
      <c r="I7" s="104">
        <f>AH7</f>
        <v>543779171.4833333</v>
      </c>
      <c r="J7" s="10"/>
      <c r="K7" s="36">
        <f>SUM(B7:I7)</f>
        <v>567762062.8733333</v>
      </c>
      <c r="L7" s="11"/>
      <c r="M7" s="11"/>
      <c r="N7" s="36">
        <f>K7-L7</f>
        <v>567762062.8733333</v>
      </c>
      <c r="O7" s="11"/>
      <c r="P7" s="11"/>
      <c r="Q7" s="36">
        <v>358674721</v>
      </c>
      <c r="R7" s="11"/>
      <c r="S7" s="36">
        <f>K7-Q7</f>
        <v>209087341.87333333</v>
      </c>
      <c r="T7" s="37">
        <f>S7/Q7</f>
        <v>0.5829441821001189</v>
      </c>
      <c r="V7" s="26" t="s">
        <v>116</v>
      </c>
      <c r="W7" s="34">
        <v>43235894.67</v>
      </c>
      <c r="X7" s="35">
        <v>41695852</v>
      </c>
      <c r="Y7" s="35">
        <f>8842498000/2400*3.8</f>
        <v>14000621.833333332</v>
      </c>
      <c r="Z7" s="35">
        <v>440822248</v>
      </c>
      <c r="AA7" s="35">
        <v>3780645.98</v>
      </c>
      <c r="AB7" s="35">
        <v>0</v>
      </c>
      <c r="AC7" s="35">
        <v>0</v>
      </c>
      <c r="AD7" s="35">
        <v>0</v>
      </c>
      <c r="AE7" s="35">
        <v>56480</v>
      </c>
      <c r="AF7" s="35">
        <v>187429</v>
      </c>
      <c r="AG7" s="10"/>
      <c r="AH7" s="36">
        <f>SUM(W7:AF7)</f>
        <v>543779171.4833333</v>
      </c>
      <c r="AJ7" s="36">
        <v>346259892</v>
      </c>
      <c r="AK7" s="11"/>
      <c r="AL7" s="36">
        <f>AH7-AJ7</f>
        <v>197519279.48333335</v>
      </c>
      <c r="AM7" s="37">
        <f>AL7/AJ7</f>
        <v>0.570436495958167</v>
      </c>
    </row>
    <row r="8" spans="1:39" ht="21" customHeight="1" thickTop="1">
      <c r="A8" s="97" t="s">
        <v>120</v>
      </c>
      <c r="B8" s="38">
        <v>0</v>
      </c>
      <c r="C8" s="39">
        <v>0</v>
      </c>
      <c r="D8" s="39">
        <v>0</v>
      </c>
      <c r="E8" s="39">
        <v>0</v>
      </c>
      <c r="F8" s="39">
        <v>0</v>
      </c>
      <c r="G8" s="39"/>
      <c r="H8" s="39"/>
      <c r="I8" s="105"/>
      <c r="J8" s="10"/>
      <c r="K8" s="40"/>
      <c r="L8" s="11"/>
      <c r="M8" s="11"/>
      <c r="N8" s="40"/>
      <c r="O8" s="11"/>
      <c r="P8" s="11"/>
      <c r="Q8" s="40"/>
      <c r="R8" s="11"/>
      <c r="S8" s="40"/>
      <c r="T8" s="37"/>
      <c r="V8" s="26" t="s">
        <v>120</v>
      </c>
      <c r="W8" s="38">
        <v>-4171.18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10"/>
      <c r="AH8" s="40">
        <f>SUM(W8:AG8)</f>
        <v>-4171.18</v>
      </c>
      <c r="AJ8" s="40"/>
      <c r="AK8" s="11"/>
      <c r="AL8" s="40"/>
      <c r="AM8" s="37"/>
    </row>
    <row r="9" spans="1:39" ht="34.5" customHeight="1">
      <c r="A9" s="97" t="s">
        <v>154</v>
      </c>
      <c r="B9" s="38">
        <v>107365.05</v>
      </c>
      <c r="C9" s="39">
        <v>79842</v>
      </c>
      <c r="D9" s="39">
        <f>41389+837.96+1470.69</f>
        <v>43697.65</v>
      </c>
      <c r="E9" s="39">
        <f>18568.63+677.12</f>
        <v>19245.75</v>
      </c>
      <c r="F9" s="39">
        <v>318182.29</v>
      </c>
      <c r="G9" s="39">
        <v>0</v>
      </c>
      <c r="H9" s="39">
        <v>63000</v>
      </c>
      <c r="I9" s="105">
        <f>AH9</f>
        <v>39623680.6</v>
      </c>
      <c r="J9" s="10"/>
      <c r="K9" s="40">
        <f>SUM(B9:I9)</f>
        <v>40255013.34</v>
      </c>
      <c r="L9" s="11"/>
      <c r="M9" s="11"/>
      <c r="N9" s="40">
        <f>K9</f>
        <v>40255013.34</v>
      </c>
      <c r="O9" s="11"/>
      <c r="P9" s="11"/>
      <c r="Q9" s="40">
        <v>17007728</v>
      </c>
      <c r="R9" s="11"/>
      <c r="S9" s="40">
        <f>K9-Q9</f>
        <v>23247285.340000004</v>
      </c>
      <c r="T9" s="37">
        <f>S9/Q9</f>
        <v>1.3668660117330194</v>
      </c>
      <c r="V9" s="26" t="s">
        <v>154</v>
      </c>
      <c r="W9" s="38">
        <v>14351063.11</v>
      </c>
      <c r="X9" s="39">
        <v>0</v>
      </c>
      <c r="Y9" s="39">
        <v>0</v>
      </c>
      <c r="Z9" s="39">
        <v>25000000</v>
      </c>
      <c r="AA9" s="39">
        <v>80211.49</v>
      </c>
      <c r="AB9" s="39">
        <v>9302</v>
      </c>
      <c r="AC9" s="39"/>
      <c r="AD9" s="39"/>
      <c r="AE9" s="39">
        <v>0</v>
      </c>
      <c r="AF9" s="39">
        <v>183104</v>
      </c>
      <c r="AG9" s="10"/>
      <c r="AH9" s="40">
        <f>SUM(W9:AF9)</f>
        <v>39623680.6</v>
      </c>
      <c r="AJ9" s="40">
        <v>11263550</v>
      </c>
      <c r="AK9" s="11"/>
      <c r="AL9" s="40">
        <f>AH9-AJ9</f>
        <v>28360130.6</v>
      </c>
      <c r="AM9" s="37">
        <f>AL9/AJ9</f>
        <v>2.517867865814952</v>
      </c>
    </row>
    <row r="10" spans="1:39" ht="33" customHeight="1">
      <c r="A10" s="97" t="s">
        <v>155</v>
      </c>
      <c r="B10" s="38"/>
      <c r="C10" s="39"/>
      <c r="D10" s="39"/>
      <c r="E10" s="39"/>
      <c r="F10" s="39"/>
      <c r="G10" s="39"/>
      <c r="H10" s="39"/>
      <c r="I10" s="105"/>
      <c r="J10" s="10"/>
      <c r="K10" s="40"/>
      <c r="L10" s="11"/>
      <c r="M10" s="11"/>
      <c r="N10" s="40"/>
      <c r="O10" s="11"/>
      <c r="P10" s="11"/>
      <c r="Q10" s="40"/>
      <c r="R10" s="11"/>
      <c r="S10" s="40"/>
      <c r="T10" s="29"/>
      <c r="V10" s="26" t="s">
        <v>155</v>
      </c>
      <c r="W10" s="38"/>
      <c r="X10" s="39"/>
      <c r="Y10" s="39"/>
      <c r="Z10" s="39"/>
      <c r="AA10" s="39"/>
      <c r="AB10" s="39"/>
      <c r="AC10" s="39"/>
      <c r="AD10" s="39"/>
      <c r="AE10" s="39"/>
      <c r="AF10" s="39"/>
      <c r="AG10" s="10"/>
      <c r="AH10" s="40"/>
      <c r="AJ10" s="40"/>
      <c r="AK10" s="11"/>
      <c r="AL10" s="40"/>
      <c r="AM10" s="29"/>
    </row>
    <row r="11" spans="1:39" ht="12.75" customHeight="1">
      <c r="A11" s="97" t="s">
        <v>156</v>
      </c>
      <c r="B11" s="38"/>
      <c r="C11" s="39"/>
      <c r="D11" s="39"/>
      <c r="E11" s="39"/>
      <c r="F11" s="39"/>
      <c r="G11" s="39"/>
      <c r="H11" s="39"/>
      <c r="I11" s="105"/>
      <c r="J11" s="10"/>
      <c r="K11" s="40"/>
      <c r="L11" s="11"/>
      <c r="M11" s="11"/>
      <c r="N11" s="40"/>
      <c r="O11" s="11"/>
      <c r="P11" s="11"/>
      <c r="Q11" s="40"/>
      <c r="R11" s="11"/>
      <c r="S11" s="40"/>
      <c r="T11" s="29"/>
      <c r="V11" s="26" t="s">
        <v>156</v>
      </c>
      <c r="W11" s="38"/>
      <c r="X11" s="39"/>
      <c r="Y11" s="39"/>
      <c r="Z11" s="39"/>
      <c r="AA11" s="39"/>
      <c r="AB11" s="39"/>
      <c r="AC11" s="39"/>
      <c r="AD11" s="39"/>
      <c r="AE11" s="39"/>
      <c r="AF11" s="39"/>
      <c r="AG11" s="10"/>
      <c r="AH11" s="40"/>
      <c r="AJ11" s="40"/>
      <c r="AK11" s="11"/>
      <c r="AL11" s="40"/>
      <c r="AM11" s="29"/>
    </row>
    <row r="12" spans="1:39" ht="13.5" customHeight="1">
      <c r="A12" s="97" t="s">
        <v>157</v>
      </c>
      <c r="B12" s="38">
        <f aca="true" t="shared" si="0" ref="B12:I12">B15+B13+B14</f>
        <v>3501325.439999999</v>
      </c>
      <c r="C12" s="39">
        <f t="shared" si="0"/>
        <v>1059772</v>
      </c>
      <c r="D12" s="39">
        <f t="shared" si="0"/>
        <v>106238.92</v>
      </c>
      <c r="E12" s="39">
        <f t="shared" si="0"/>
        <v>25638.399999999998</v>
      </c>
      <c r="F12" s="39">
        <f t="shared" si="0"/>
        <v>3863020.48</v>
      </c>
      <c r="G12" s="39">
        <f t="shared" si="0"/>
        <v>-78682</v>
      </c>
      <c r="H12" s="39">
        <f t="shared" si="0"/>
        <v>-59225</v>
      </c>
      <c r="I12" s="105">
        <f t="shared" si="0"/>
        <v>57889898.38666666</v>
      </c>
      <c r="J12" s="10"/>
      <c r="K12" s="40">
        <f aca="true" t="shared" si="1" ref="K12:K19">SUM(B12:I12)</f>
        <v>66307986.626666665</v>
      </c>
      <c r="L12" s="11"/>
      <c r="M12" s="11"/>
      <c r="N12" s="40">
        <f>K12-L12</f>
        <v>66307986.626666665</v>
      </c>
      <c r="O12" s="11"/>
      <c r="P12" s="11"/>
      <c r="Q12" s="40">
        <f>Q15+Q13</f>
        <v>64240257</v>
      </c>
      <c r="R12" s="11"/>
      <c r="S12" s="40">
        <f>K12-Q12</f>
        <v>2067729.626666665</v>
      </c>
      <c r="T12" s="37">
        <f>S12/Q12</f>
        <v>0.03218744325177069</v>
      </c>
      <c r="V12" s="26" t="s">
        <v>157</v>
      </c>
      <c r="W12" s="39">
        <f aca="true" t="shared" si="2" ref="W12:AF12">W15+W13+W14</f>
        <v>-27325895.28</v>
      </c>
      <c r="X12" s="39">
        <f t="shared" si="2"/>
        <v>-3541640.5</v>
      </c>
      <c r="Y12" s="39">
        <f t="shared" si="2"/>
        <v>-50956.833333333256</v>
      </c>
      <c r="Z12" s="39">
        <f t="shared" si="2"/>
        <v>89779444</v>
      </c>
      <c r="AA12" s="39">
        <f t="shared" si="2"/>
        <v>296212.18000000005</v>
      </c>
      <c r="AB12" s="39">
        <f t="shared" si="2"/>
        <v>-831575</v>
      </c>
      <c r="AC12" s="39">
        <f t="shared" si="2"/>
        <v>-1333</v>
      </c>
      <c r="AD12" s="39">
        <f t="shared" si="2"/>
        <v>-24261</v>
      </c>
      <c r="AE12" s="39">
        <f t="shared" si="2"/>
        <v>-126518.18</v>
      </c>
      <c r="AF12" s="39">
        <f t="shared" si="2"/>
        <v>-283578</v>
      </c>
      <c r="AG12" s="10"/>
      <c r="AH12" s="40">
        <f aca="true" t="shared" si="3" ref="AH12:AH19">SUM(W12:AF12)</f>
        <v>57889898.38666667</v>
      </c>
      <c r="AJ12" s="40">
        <f>AJ15+AJ13</f>
        <v>58840816</v>
      </c>
      <c r="AK12" s="11"/>
      <c r="AL12" s="40">
        <f>AH12-AJ12</f>
        <v>-950917.6133333296</v>
      </c>
      <c r="AM12" s="37">
        <f>AL12/AJ12</f>
        <v>-0.016160850205295074</v>
      </c>
    </row>
    <row r="13" spans="1:39" ht="36" customHeight="1">
      <c r="A13" s="97" t="s">
        <v>121</v>
      </c>
      <c r="B13" s="6">
        <f>18598507.79+70213.7</f>
        <v>18668721.49</v>
      </c>
      <c r="C13" s="7">
        <v>108388</v>
      </c>
      <c r="D13" s="10">
        <v>15632.83</v>
      </c>
      <c r="E13" s="7">
        <v>19453.1</v>
      </c>
      <c r="F13" s="10">
        <v>3321512.04</v>
      </c>
      <c r="G13" s="7">
        <v>0</v>
      </c>
      <c r="H13" s="10">
        <v>0</v>
      </c>
      <c r="I13" s="106">
        <f aca="true" t="shared" si="4" ref="I13:I19">AH13</f>
        <v>27023797.06</v>
      </c>
      <c r="J13" s="10"/>
      <c r="K13" s="43">
        <f t="shared" si="1"/>
        <v>49157504.519999996</v>
      </c>
      <c r="L13" s="11"/>
      <c r="M13" s="11"/>
      <c r="N13" s="43">
        <f>K13</f>
        <v>49157504.519999996</v>
      </c>
      <c r="O13" s="11"/>
      <c r="P13" s="11"/>
      <c r="Q13" s="43">
        <v>29135318</v>
      </c>
      <c r="R13" s="11"/>
      <c r="S13" s="43">
        <f>K13-Q13</f>
        <v>20022186.519999996</v>
      </c>
      <c r="T13" s="37">
        <f>S13/Q13</f>
        <v>0.6872135914219297</v>
      </c>
      <c r="V13" s="26" t="s">
        <v>121</v>
      </c>
      <c r="W13" s="41">
        <v>25304583.4</v>
      </c>
      <c r="X13" s="42">
        <v>0</v>
      </c>
      <c r="Y13" s="42">
        <v>0</v>
      </c>
      <c r="Z13" s="42">
        <v>1133000</v>
      </c>
      <c r="AA13" s="42">
        <v>72633.66</v>
      </c>
      <c r="AB13" s="42">
        <v>513580</v>
      </c>
      <c r="AC13" s="42">
        <v>0</v>
      </c>
      <c r="AD13" s="42"/>
      <c r="AE13" s="42">
        <v>0</v>
      </c>
      <c r="AF13" s="42">
        <v>0</v>
      </c>
      <c r="AG13" s="10"/>
      <c r="AH13" s="43">
        <f t="shared" si="3"/>
        <v>27023797.06</v>
      </c>
      <c r="AJ13" s="43">
        <v>16915356</v>
      </c>
      <c r="AK13" s="11"/>
      <c r="AL13" s="43">
        <f>AH13-AJ13</f>
        <v>10108441.059999999</v>
      </c>
      <c r="AM13" s="37">
        <f>AL13/AJ13</f>
        <v>0.5975896138396377</v>
      </c>
    </row>
    <row r="14" spans="1:39" ht="36" customHeight="1">
      <c r="A14" s="97" t="s">
        <v>158</v>
      </c>
      <c r="B14" s="41">
        <v>96365.72</v>
      </c>
      <c r="C14" s="42">
        <v>908224</v>
      </c>
      <c r="D14" s="42">
        <v>53143.34</v>
      </c>
      <c r="E14" s="42">
        <v>9194.16</v>
      </c>
      <c r="F14" s="42">
        <v>62389.51</v>
      </c>
      <c r="G14" s="42">
        <v>0</v>
      </c>
      <c r="H14" s="42">
        <v>0</v>
      </c>
      <c r="I14" s="107">
        <f t="shared" si="4"/>
        <v>14488172.65</v>
      </c>
      <c r="J14" s="10"/>
      <c r="K14" s="43">
        <f t="shared" si="1"/>
        <v>15617489.38</v>
      </c>
      <c r="L14" s="11"/>
      <c r="M14" s="11"/>
      <c r="N14" s="40"/>
      <c r="O14" s="11"/>
      <c r="P14" s="11"/>
      <c r="Q14" s="40"/>
      <c r="R14" s="11"/>
      <c r="S14" s="40"/>
      <c r="T14" s="37"/>
      <c r="V14" s="26" t="s">
        <v>158</v>
      </c>
      <c r="W14" s="38">
        <v>4780909</v>
      </c>
      <c r="X14" s="39">
        <v>1698307</v>
      </c>
      <c r="Y14" s="39">
        <v>1033560</v>
      </c>
      <c r="Z14" s="39">
        <v>6500000</v>
      </c>
      <c r="AA14" s="39">
        <v>20683.65</v>
      </c>
      <c r="AB14" s="39">
        <v>411206</v>
      </c>
      <c r="AC14" s="39">
        <v>4665</v>
      </c>
      <c r="AD14" s="39"/>
      <c r="AE14" s="39">
        <v>0</v>
      </c>
      <c r="AF14" s="39">
        <v>38842</v>
      </c>
      <c r="AG14" s="10"/>
      <c r="AH14" s="43">
        <f t="shared" si="3"/>
        <v>14488172.65</v>
      </c>
      <c r="AJ14" s="40"/>
      <c r="AK14" s="11"/>
      <c r="AL14" s="40"/>
      <c r="AM14" s="37"/>
    </row>
    <row r="15" spans="1:39" ht="41.25" customHeight="1">
      <c r="A15" s="97" t="s">
        <v>159</v>
      </c>
      <c r="B15" s="38">
        <f>-19685813.95+4422052.18</f>
        <v>-15263761.77</v>
      </c>
      <c r="C15" s="39">
        <v>43160</v>
      </c>
      <c r="D15" s="39">
        <v>37462.75</v>
      </c>
      <c r="E15" s="39">
        <v>-3008.86</v>
      </c>
      <c r="F15" s="39">
        <v>479118.93</v>
      </c>
      <c r="G15" s="39">
        <v>-78682</v>
      </c>
      <c r="H15" s="39">
        <v>-59225</v>
      </c>
      <c r="I15" s="105">
        <f t="shared" si="4"/>
        <v>16377928.676666666</v>
      </c>
      <c r="J15" s="10"/>
      <c r="K15" s="40">
        <f t="shared" si="1"/>
        <v>1532992.7266666666</v>
      </c>
      <c r="L15" s="11"/>
      <c r="M15" s="11"/>
      <c r="N15" s="40">
        <f>K15-L15</f>
        <v>1532992.7266666666</v>
      </c>
      <c r="O15" s="11"/>
      <c r="P15" s="11"/>
      <c r="Q15" s="40">
        <v>35104939</v>
      </c>
      <c r="R15" s="11"/>
      <c r="S15" s="40">
        <f>K15-Q15</f>
        <v>-33571946.27333333</v>
      </c>
      <c r="T15" s="37">
        <f>S15/Q15</f>
        <v>-0.9563311382860781</v>
      </c>
      <c r="V15" s="26" t="s">
        <v>159</v>
      </c>
      <c r="W15" s="44">
        <v>-57411387.68</v>
      </c>
      <c r="X15" s="39">
        <f>-2095979*2.5</f>
        <v>-5239947.5</v>
      </c>
      <c r="Y15" s="39">
        <f>-684958000/2400*3.8</f>
        <v>-1084516.8333333333</v>
      </c>
      <c r="Z15" s="39">
        <v>82146444</v>
      </c>
      <c r="AA15" s="39">
        <v>202894.87</v>
      </c>
      <c r="AB15" s="39">
        <v>-1756361</v>
      </c>
      <c r="AC15" s="39">
        <v>-5998</v>
      </c>
      <c r="AD15" s="39">
        <v>-24261</v>
      </c>
      <c r="AE15" s="39">
        <v>-126518.18</v>
      </c>
      <c r="AF15" s="39">
        <v>-322420</v>
      </c>
      <c r="AG15" s="10"/>
      <c r="AH15" s="40">
        <f t="shared" si="3"/>
        <v>16377928.676666666</v>
      </c>
      <c r="AJ15" s="40">
        <v>41925460</v>
      </c>
      <c r="AK15" s="11"/>
      <c r="AL15" s="40">
        <f>AH15-AJ15</f>
        <v>-25547531.323333334</v>
      </c>
      <c r="AM15" s="37">
        <f>AL15/AJ15</f>
        <v>-0.6093560171631589</v>
      </c>
    </row>
    <row r="16" spans="1:39" ht="34.5" customHeight="1">
      <c r="A16" s="97" t="s">
        <v>114</v>
      </c>
      <c r="B16" s="41">
        <v>367679.44</v>
      </c>
      <c r="C16" s="45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107">
        <f t="shared" si="4"/>
        <v>0</v>
      </c>
      <c r="J16" s="10"/>
      <c r="K16" s="43">
        <f t="shared" si="1"/>
        <v>367679.44</v>
      </c>
      <c r="L16" s="11"/>
      <c r="M16" s="11"/>
      <c r="N16" s="43">
        <v>0</v>
      </c>
      <c r="O16" s="11"/>
      <c r="P16" s="11"/>
      <c r="Q16" s="43">
        <v>0</v>
      </c>
      <c r="R16" s="11"/>
      <c r="S16" s="43"/>
      <c r="T16" s="29"/>
      <c r="V16" s="26" t="s">
        <v>114</v>
      </c>
      <c r="W16" s="41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10"/>
      <c r="AH16" s="43">
        <f t="shared" si="3"/>
        <v>0</v>
      </c>
      <c r="AJ16" s="43">
        <v>0</v>
      </c>
      <c r="AK16" s="11"/>
      <c r="AL16" s="43">
        <v>0</v>
      </c>
      <c r="AM16" s="29"/>
    </row>
    <row r="17" spans="1:39" ht="37.5" customHeight="1">
      <c r="A17" s="97" t="s">
        <v>117</v>
      </c>
      <c r="B17" s="38">
        <f>B15+B16</f>
        <v>-14896082.33</v>
      </c>
      <c r="C17" s="39">
        <f aca="true" t="shared" si="5" ref="C17:H17">C15</f>
        <v>43160</v>
      </c>
      <c r="D17" s="39">
        <f t="shared" si="5"/>
        <v>37462.75</v>
      </c>
      <c r="E17" s="39">
        <f t="shared" si="5"/>
        <v>-3008.86</v>
      </c>
      <c r="F17" s="39">
        <f t="shared" si="5"/>
        <v>479118.93</v>
      </c>
      <c r="G17" s="39">
        <f t="shared" si="5"/>
        <v>-78682</v>
      </c>
      <c r="H17" s="39">
        <f t="shared" si="5"/>
        <v>-59225</v>
      </c>
      <c r="I17" s="105">
        <f t="shared" si="4"/>
        <v>16377928.676666666</v>
      </c>
      <c r="J17" s="10"/>
      <c r="K17" s="40">
        <f t="shared" si="1"/>
        <v>1900672.166666666</v>
      </c>
      <c r="L17" s="11"/>
      <c r="M17" s="11"/>
      <c r="N17" s="40">
        <f>N15-N16</f>
        <v>1532992.7266666666</v>
      </c>
      <c r="O17" s="11"/>
      <c r="P17" s="11"/>
      <c r="Q17" s="40">
        <f>Q15-Q16</f>
        <v>35104939</v>
      </c>
      <c r="R17" s="11"/>
      <c r="S17" s="40">
        <f>K17-Q17</f>
        <v>-33204266.833333336</v>
      </c>
      <c r="T17" s="37">
        <f>S17/Q17</f>
        <v>-0.9458574143465492</v>
      </c>
      <c r="V17" s="26" t="s">
        <v>117</v>
      </c>
      <c r="W17" s="38">
        <f aca="true" t="shared" si="6" ref="W17:AF17">W15-W16</f>
        <v>-57411387.68</v>
      </c>
      <c r="X17" s="39">
        <f t="shared" si="6"/>
        <v>-5239947.5</v>
      </c>
      <c r="Y17" s="39">
        <f t="shared" si="6"/>
        <v>-1084516.8333333333</v>
      </c>
      <c r="Z17" s="39">
        <f t="shared" si="6"/>
        <v>82146444</v>
      </c>
      <c r="AA17" s="39">
        <f t="shared" si="6"/>
        <v>202894.87</v>
      </c>
      <c r="AB17" s="39">
        <f t="shared" si="6"/>
        <v>-1756361</v>
      </c>
      <c r="AC17" s="39">
        <f t="shared" si="6"/>
        <v>-5998</v>
      </c>
      <c r="AD17" s="39">
        <f t="shared" si="6"/>
        <v>-24261</v>
      </c>
      <c r="AE17" s="39">
        <f t="shared" si="6"/>
        <v>-126518.18</v>
      </c>
      <c r="AF17" s="39">
        <f t="shared" si="6"/>
        <v>-322420</v>
      </c>
      <c r="AG17" s="10"/>
      <c r="AH17" s="40">
        <f t="shared" si="3"/>
        <v>16377928.676666666</v>
      </c>
      <c r="AJ17" s="40">
        <f>AJ15-AJ16</f>
        <v>41925460</v>
      </c>
      <c r="AK17" s="11"/>
      <c r="AL17" s="40">
        <f>AH17-AJ17</f>
        <v>-25547531.323333334</v>
      </c>
      <c r="AM17" s="37">
        <f>AL17/AJ17</f>
        <v>-0.6093560171631589</v>
      </c>
    </row>
    <row r="18" spans="1:39" ht="35.25" customHeight="1">
      <c r="A18" s="97" t="s">
        <v>160</v>
      </c>
      <c r="B18" s="41">
        <v>0</v>
      </c>
      <c r="C18" s="42">
        <v>0</v>
      </c>
      <c r="D18" s="42">
        <f>D17*0.4</f>
        <v>14985.1</v>
      </c>
      <c r="E18" s="42">
        <f>E17*0.4</f>
        <v>-1203.544</v>
      </c>
      <c r="F18" s="42">
        <v>0</v>
      </c>
      <c r="G18" s="42">
        <v>0</v>
      </c>
      <c r="H18" s="42">
        <v>0</v>
      </c>
      <c r="I18" s="107">
        <f t="shared" si="4"/>
        <v>47742980.27591666</v>
      </c>
      <c r="J18" s="10"/>
      <c r="K18" s="43">
        <f t="shared" si="1"/>
        <v>47756761.83191666</v>
      </c>
      <c r="L18" s="11"/>
      <c r="M18" s="11"/>
      <c r="N18" s="43">
        <f>K18</f>
        <v>47756761.83191666</v>
      </c>
      <c r="O18" s="11"/>
      <c r="P18" s="11"/>
      <c r="Q18" s="43">
        <v>28609038</v>
      </c>
      <c r="R18" s="11"/>
      <c r="S18" s="43">
        <f>K18-Q18</f>
        <v>19147723.83191666</v>
      </c>
      <c r="T18" s="37">
        <f>S18/Q18</f>
        <v>0.6692893284953049</v>
      </c>
      <c r="V18" s="26" t="s">
        <v>160</v>
      </c>
      <c r="W18" s="41">
        <v>0</v>
      </c>
      <c r="X18" s="42">
        <f>X17*0.1193</f>
        <v>-625125.73675</v>
      </c>
      <c r="Y18" s="42">
        <f>Y17*0.4</f>
        <v>-433806.73333333334</v>
      </c>
      <c r="Z18" s="42">
        <f>Z17*0.6</f>
        <v>49287866.4</v>
      </c>
      <c r="AA18" s="42">
        <v>0</v>
      </c>
      <c r="AB18" s="42">
        <f>AB17*0.2</f>
        <v>-351272.2</v>
      </c>
      <c r="AC18" s="42">
        <v>0</v>
      </c>
      <c r="AD18" s="42">
        <v>0</v>
      </c>
      <c r="AE18" s="42">
        <f>AE17*0.3</f>
        <v>-37955.454</v>
      </c>
      <c r="AF18" s="42">
        <f>AF17*0.3</f>
        <v>-96726</v>
      </c>
      <c r="AG18" s="10"/>
      <c r="AH18" s="43">
        <f t="shared" si="3"/>
        <v>47742980.27591666</v>
      </c>
      <c r="AJ18" s="43">
        <v>28592382</v>
      </c>
      <c r="AK18" s="11"/>
      <c r="AL18" s="43">
        <f>AH18-AJ18</f>
        <v>19150598.27591666</v>
      </c>
      <c r="AM18" s="37">
        <f>AL18/AJ18</f>
        <v>0.6697797432867488</v>
      </c>
    </row>
    <row r="19" spans="1:39" ht="42" customHeight="1" thickBot="1">
      <c r="A19" s="101" t="s">
        <v>161</v>
      </c>
      <c r="B19" s="47">
        <f>B17</f>
        <v>-14896082.33</v>
      </c>
      <c r="C19" s="48">
        <f>C17</f>
        <v>43160</v>
      </c>
      <c r="D19" s="48">
        <f>D17-D18</f>
        <v>22477.65</v>
      </c>
      <c r="E19" s="48">
        <f>E17-E18</f>
        <v>-1805.316</v>
      </c>
      <c r="F19" s="48">
        <f>F17</f>
        <v>479118.93</v>
      </c>
      <c r="G19" s="48">
        <f>G17</f>
        <v>-78682</v>
      </c>
      <c r="H19" s="48">
        <f>H17</f>
        <v>-59225</v>
      </c>
      <c r="I19" s="108">
        <f t="shared" si="4"/>
        <v>-31365051.59925</v>
      </c>
      <c r="J19" s="10"/>
      <c r="K19" s="49">
        <f t="shared" si="1"/>
        <v>-45856089.66525</v>
      </c>
      <c r="L19" s="11"/>
      <c r="M19" s="11"/>
      <c r="N19" s="49">
        <f>N17-N18</f>
        <v>-46223769.10524999</v>
      </c>
      <c r="O19" s="11"/>
      <c r="P19" s="11"/>
      <c r="Q19" s="49">
        <f>Q17-Q18</f>
        <v>6495901</v>
      </c>
      <c r="R19" s="11"/>
      <c r="S19" s="49">
        <f>K19-Q19</f>
        <v>-52351990.66525</v>
      </c>
      <c r="T19" s="50">
        <f>S19/Q19</f>
        <v>-8.059234687420576</v>
      </c>
      <c r="V19" s="46" t="s">
        <v>161</v>
      </c>
      <c r="W19" s="47">
        <f aca="true" t="shared" si="7" ref="W19:AF19">W17-W18</f>
        <v>-57411387.68</v>
      </c>
      <c r="X19" s="48">
        <f t="shared" si="7"/>
        <v>-4614821.76325</v>
      </c>
      <c r="Y19" s="48">
        <f t="shared" si="7"/>
        <v>-650710.0999999999</v>
      </c>
      <c r="Z19" s="48">
        <f t="shared" si="7"/>
        <v>32858577.6</v>
      </c>
      <c r="AA19" s="48">
        <f t="shared" si="7"/>
        <v>202894.87</v>
      </c>
      <c r="AB19" s="48">
        <f t="shared" si="7"/>
        <v>-1405088.8</v>
      </c>
      <c r="AC19" s="48">
        <f t="shared" si="7"/>
        <v>-5998</v>
      </c>
      <c r="AD19" s="48">
        <f t="shared" si="7"/>
        <v>-24261</v>
      </c>
      <c r="AE19" s="48">
        <f t="shared" si="7"/>
        <v>-88562.726</v>
      </c>
      <c r="AF19" s="48">
        <f t="shared" si="7"/>
        <v>-225694</v>
      </c>
      <c r="AG19" s="10"/>
      <c r="AH19" s="49">
        <f t="shared" si="3"/>
        <v>-31365051.59925</v>
      </c>
      <c r="AJ19" s="49">
        <f>AJ17-AJ18</f>
        <v>13333078</v>
      </c>
      <c r="AK19" s="11"/>
      <c r="AL19" s="49">
        <f>AH19-AJ19</f>
        <v>-44698129.59925</v>
      </c>
      <c r="AM19" s="50">
        <f>AL19/AJ19</f>
        <v>-3.3524239188617964</v>
      </c>
    </row>
    <row r="20" spans="1:33" ht="26.25" customHeight="1">
      <c r="A20" s="51"/>
      <c r="AG20"/>
    </row>
    <row r="25" spans="1:33" s="1" customFormat="1" ht="12.75">
      <c r="A25"/>
      <c r="B25"/>
      <c r="C25"/>
      <c r="D25"/>
      <c r="E25"/>
      <c r="F25"/>
      <c r="G25"/>
      <c r="H25"/>
      <c r="I25"/>
      <c r="J25" s="15"/>
      <c r="K25"/>
      <c r="L25"/>
      <c r="M25"/>
      <c r="N25"/>
      <c r="O25" s="15"/>
      <c r="P25"/>
      <c r="Q25"/>
      <c r="R25"/>
      <c r="S25"/>
      <c r="T25" s="3"/>
      <c r="U25"/>
      <c r="AG25" s="27"/>
    </row>
    <row r="28" ht="18.75" customHeight="1"/>
    <row r="29" ht="18.75" customHeight="1"/>
    <row r="30" ht="18.75" customHeight="1"/>
    <row r="31" ht="18.75" customHeight="1"/>
    <row r="32" ht="12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43" ht="19.5" customHeight="1"/>
    <row r="44" ht="19.5" customHeight="1"/>
    <row r="45" ht="19.5" customHeight="1"/>
    <row r="46" ht="19.5" customHeight="1"/>
    <row r="47" ht="13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spans="1:2" ht="12.75">
      <c r="A54" s="15"/>
      <c r="B54" s="52"/>
    </row>
    <row r="55" spans="1:2" ht="12.75">
      <c r="A55" s="15"/>
      <c r="B55" s="52"/>
    </row>
    <row r="56" spans="1:2" ht="12.75">
      <c r="A56" s="15"/>
      <c r="B56" s="52"/>
    </row>
    <row r="57" spans="1:2" ht="12.75">
      <c r="A57" s="15"/>
      <c r="B57" s="52"/>
    </row>
  </sheetData>
  <printOptions horizontalCentered="1"/>
  <pageMargins left="0.21" right="0.33" top="1.18" bottom="1" header="0.5" footer="0.5"/>
  <pageSetup horizontalDpi="300" verticalDpi="300" orientation="landscape" paperSize="9" scale="82" r:id="rId1"/>
  <headerFooter alignWithMargins="0">
    <oddHeader>&amp;RDRAFT&amp;D&amp;T</oddHeader>
    <oddFooter>&amp;LMM&amp;F</oddFooter>
  </headerFooter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8"/>
  <sheetViews>
    <sheetView workbookViewId="0" topLeftCell="A28">
      <selection activeCell="L24" sqref="L24"/>
    </sheetView>
  </sheetViews>
  <sheetFormatPr defaultColWidth="9.140625" defaultRowHeight="12.75"/>
  <cols>
    <col min="1" max="1" width="14.7109375" style="51" customWidth="1"/>
    <col min="2" max="2" width="12.28125" style="51" customWidth="1"/>
    <col min="3" max="3" width="1.28515625" style="51" customWidth="1"/>
    <col min="4" max="4" width="12.28125" style="51" customWidth="1"/>
    <col min="5" max="5" width="1.28515625" style="51" customWidth="1"/>
    <col min="6" max="6" width="12.28125" style="51" customWidth="1"/>
    <col min="7" max="7" width="1.28515625" style="51" customWidth="1"/>
    <col min="8" max="8" width="12.28125" style="51" customWidth="1"/>
    <col min="9" max="9" width="1.28515625" style="51" customWidth="1"/>
    <col min="10" max="10" width="12.28125" style="51" customWidth="1"/>
    <col min="11" max="11" width="1.28515625" style="51" customWidth="1"/>
    <col min="12" max="12" width="12.28125" style="51" customWidth="1"/>
    <col min="13" max="255" width="9.140625" style="51" customWidth="1"/>
    <col min="256" max="16384" width="9.140625" style="67" customWidth="1"/>
  </cols>
  <sheetData>
    <row r="1" ht="12.75">
      <c r="A1" s="110" t="s">
        <v>272</v>
      </c>
    </row>
    <row r="2" ht="12.75">
      <c r="A2" s="110" t="s">
        <v>271</v>
      </c>
    </row>
    <row r="3" ht="13.5" thickBot="1">
      <c r="A3" s="110"/>
    </row>
    <row r="4" spans="1:12" ht="12.75">
      <c r="A4" s="112"/>
      <c r="B4" s="118"/>
      <c r="C4" s="113"/>
      <c r="D4" s="121" t="s">
        <v>282</v>
      </c>
      <c r="E4" s="113"/>
      <c r="F4" s="121" t="s">
        <v>283</v>
      </c>
      <c r="G4" s="113"/>
      <c r="H4" s="121" t="s">
        <v>284</v>
      </c>
      <c r="I4" s="113"/>
      <c r="J4" s="121" t="s">
        <v>285</v>
      </c>
      <c r="K4" s="113"/>
      <c r="L4" s="121" t="s">
        <v>286</v>
      </c>
    </row>
    <row r="5" spans="1:12" ht="12.75">
      <c r="A5" s="114"/>
      <c r="B5" s="119" t="s">
        <v>280</v>
      </c>
      <c r="C5" s="115"/>
      <c r="D5" s="119" t="s">
        <v>281</v>
      </c>
      <c r="E5" s="115"/>
      <c r="F5" s="119" t="s">
        <v>281</v>
      </c>
      <c r="G5" s="115"/>
      <c r="H5" s="119" t="s">
        <v>281</v>
      </c>
      <c r="I5" s="115"/>
      <c r="J5" s="119" t="s">
        <v>281</v>
      </c>
      <c r="K5" s="115"/>
      <c r="L5" s="119" t="s">
        <v>281</v>
      </c>
    </row>
    <row r="6" spans="1:12" ht="12.75">
      <c r="A6" s="114"/>
      <c r="B6" s="120">
        <v>36160</v>
      </c>
      <c r="C6" s="115"/>
      <c r="D6" s="120">
        <v>36525</v>
      </c>
      <c r="E6" s="115"/>
      <c r="F6" s="120">
        <v>36525</v>
      </c>
      <c r="G6" s="115"/>
      <c r="H6" s="120">
        <v>36525</v>
      </c>
      <c r="I6" s="115"/>
      <c r="J6" s="120">
        <v>36525</v>
      </c>
      <c r="K6" s="115"/>
      <c r="L6" s="120">
        <v>36525</v>
      </c>
    </row>
    <row r="7" spans="1:12" ht="12.75">
      <c r="A7" s="114" t="s">
        <v>273</v>
      </c>
      <c r="B7" s="122">
        <v>435757801</v>
      </c>
      <c r="C7" s="123"/>
      <c r="D7" s="122">
        <v>580297757</v>
      </c>
      <c r="E7" s="124"/>
      <c r="F7" s="122">
        <f>D7</f>
        <v>580297757</v>
      </c>
      <c r="G7" s="124"/>
      <c r="H7" s="122">
        <f>F7</f>
        <v>580297757</v>
      </c>
      <c r="I7" s="124"/>
      <c r="J7" s="122">
        <f>H7</f>
        <v>580297757</v>
      </c>
      <c r="K7" s="123"/>
      <c r="L7" s="122">
        <f>J7</f>
        <v>580297757</v>
      </c>
    </row>
    <row r="8" spans="1:12" ht="12.75">
      <c r="A8" s="114"/>
      <c r="B8" s="122"/>
      <c r="C8" s="123"/>
      <c r="D8" s="122"/>
      <c r="E8" s="124"/>
      <c r="F8" s="122"/>
      <c r="G8" s="124"/>
      <c r="H8" s="122"/>
      <c r="I8" s="124"/>
      <c r="J8" s="122"/>
      <c r="K8" s="123"/>
      <c r="L8" s="122"/>
    </row>
    <row r="9" spans="1:12" ht="12.75">
      <c r="A9" s="114" t="s">
        <v>274</v>
      </c>
      <c r="B9" s="122">
        <v>5188949</v>
      </c>
      <c r="C9" s="123"/>
      <c r="D9" s="122">
        <v>-11122409</v>
      </c>
      <c r="E9" s="124"/>
      <c r="F9" s="122">
        <f>D9</f>
        <v>-11122409</v>
      </c>
      <c r="G9" s="124"/>
      <c r="H9" s="122">
        <f>F9+27967161.26</f>
        <v>16844752.26</v>
      </c>
      <c r="I9" s="124"/>
      <c r="J9" s="122">
        <f>H9+10932652</f>
        <v>27777404.26</v>
      </c>
      <c r="K9" s="123"/>
      <c r="L9" s="122">
        <f>J9+4265361</f>
        <v>32042765.26</v>
      </c>
    </row>
    <row r="10" spans="1:12" ht="12.75">
      <c r="A10" s="114"/>
      <c r="B10" s="122"/>
      <c r="C10" s="123"/>
      <c r="D10" s="122"/>
      <c r="E10" s="124"/>
      <c r="F10" s="122"/>
      <c r="G10" s="124"/>
      <c r="H10" s="122"/>
      <c r="I10" s="124"/>
      <c r="J10" s="122"/>
      <c r="K10" s="123"/>
      <c r="L10" s="122"/>
    </row>
    <row r="11" spans="1:12" ht="12.75">
      <c r="A11" s="114" t="s">
        <v>275</v>
      </c>
      <c r="B11" s="122">
        <v>52203714</v>
      </c>
      <c r="C11" s="123"/>
      <c r="D11" s="122">
        <v>0</v>
      </c>
      <c r="E11" s="124"/>
      <c r="F11" s="122">
        <v>76510478</v>
      </c>
      <c r="G11" s="124"/>
      <c r="H11" s="122">
        <f>F11</f>
        <v>76510478</v>
      </c>
      <c r="I11" s="124"/>
      <c r="J11" s="122">
        <f>H11</f>
        <v>76510478</v>
      </c>
      <c r="K11" s="123"/>
      <c r="L11" s="122">
        <f>J11</f>
        <v>76510478</v>
      </c>
    </row>
    <row r="12" spans="1:12" ht="12.75">
      <c r="A12" s="114"/>
      <c r="B12" s="122"/>
      <c r="C12" s="123"/>
      <c r="D12" s="122"/>
      <c r="E12" s="124"/>
      <c r="F12" s="122"/>
      <c r="G12" s="124"/>
      <c r="H12" s="122"/>
      <c r="I12" s="124"/>
      <c r="J12" s="122"/>
      <c r="K12" s="123"/>
      <c r="L12" s="122"/>
    </row>
    <row r="13" spans="1:12" ht="12.75">
      <c r="A13" s="114" t="s">
        <v>276</v>
      </c>
      <c r="B13" s="122">
        <v>57392663</v>
      </c>
      <c r="C13" s="123"/>
      <c r="D13" s="122">
        <f>D9+D11</f>
        <v>-11122409</v>
      </c>
      <c r="E13" s="124"/>
      <c r="F13" s="122">
        <f>F9+F11</f>
        <v>65388069</v>
      </c>
      <c r="G13" s="124"/>
      <c r="H13" s="122">
        <f>H9+H11</f>
        <v>93355230.26</v>
      </c>
      <c r="I13" s="124"/>
      <c r="J13" s="122">
        <f>J9+J11</f>
        <v>104287882.26</v>
      </c>
      <c r="K13" s="123"/>
      <c r="L13" s="122">
        <f>L9+L11</f>
        <v>108553243.26</v>
      </c>
    </row>
    <row r="14" spans="1:12" ht="12.75">
      <c r="A14" s="114"/>
      <c r="B14" s="122"/>
      <c r="C14" s="123"/>
      <c r="D14" s="122"/>
      <c r="E14" s="124"/>
      <c r="F14" s="122"/>
      <c r="G14" s="124"/>
      <c r="H14" s="122"/>
      <c r="I14" s="124"/>
      <c r="J14" s="122"/>
      <c r="K14" s="123"/>
      <c r="L14" s="122"/>
    </row>
    <row r="15" spans="1:12" ht="12.75">
      <c r="A15" s="114" t="s">
        <v>277</v>
      </c>
      <c r="B15" s="122">
        <v>-2374936</v>
      </c>
      <c r="C15" s="123"/>
      <c r="D15" s="122">
        <v>367679</v>
      </c>
      <c r="E15" s="124"/>
      <c r="F15" s="122">
        <v>367679</v>
      </c>
      <c r="G15" s="124"/>
      <c r="H15" s="122">
        <v>367679</v>
      </c>
      <c r="I15" s="124"/>
      <c r="J15" s="122">
        <v>367679</v>
      </c>
      <c r="K15" s="123"/>
      <c r="L15" s="122">
        <v>367679</v>
      </c>
    </row>
    <row r="16" spans="1:12" ht="12.75">
      <c r="A16" s="114"/>
      <c r="B16" s="122"/>
      <c r="C16" s="123"/>
      <c r="D16" s="122"/>
      <c r="E16" s="124"/>
      <c r="F16" s="122"/>
      <c r="G16" s="124"/>
      <c r="H16" s="122"/>
      <c r="I16" s="124"/>
      <c r="J16" s="122"/>
      <c r="K16" s="123"/>
      <c r="L16" s="122"/>
    </row>
    <row r="17" spans="1:12" ht="12.75">
      <c r="A17" s="114" t="s">
        <v>278</v>
      </c>
      <c r="B17" s="122">
        <v>55017727</v>
      </c>
      <c r="C17" s="123"/>
      <c r="D17" s="122">
        <f>D13+D15</f>
        <v>-10754730</v>
      </c>
      <c r="E17" s="124"/>
      <c r="F17" s="122">
        <f>F13+F15</f>
        <v>65755748</v>
      </c>
      <c r="G17" s="124"/>
      <c r="H17" s="122">
        <f>H13+H15</f>
        <v>93722909.26</v>
      </c>
      <c r="I17" s="124"/>
      <c r="J17" s="122">
        <f>J13+J15</f>
        <v>104655561.26</v>
      </c>
      <c r="K17" s="123"/>
      <c r="L17" s="122">
        <f>L13+L15</f>
        <v>108920922.26</v>
      </c>
    </row>
    <row r="18" spans="1:12" ht="12.75">
      <c r="A18" s="114"/>
      <c r="B18" s="122"/>
      <c r="C18" s="123"/>
      <c r="D18" s="122"/>
      <c r="E18" s="124"/>
      <c r="F18" s="122"/>
      <c r="G18" s="124"/>
      <c r="H18" s="122"/>
      <c r="I18" s="124"/>
      <c r="J18" s="122"/>
      <c r="K18" s="123"/>
      <c r="L18" s="122"/>
    </row>
    <row r="19" spans="1:12" ht="12.75">
      <c r="A19" s="114" t="s">
        <v>110</v>
      </c>
      <c r="B19" s="122">
        <v>-15147975</v>
      </c>
      <c r="C19" s="123"/>
      <c r="D19" s="122">
        <v>-40350495</v>
      </c>
      <c r="E19" s="124"/>
      <c r="F19" s="122">
        <f>D19-F11*0.6</f>
        <v>-86256781.8</v>
      </c>
      <c r="G19" s="124"/>
      <c r="H19" s="122">
        <f>F19</f>
        <v>-86256781.8</v>
      </c>
      <c r="I19" s="124"/>
      <c r="J19" s="122">
        <f>H19</f>
        <v>-86256781.8</v>
      </c>
      <c r="K19" s="123"/>
      <c r="L19" s="122">
        <f>J19</f>
        <v>-86256781.8</v>
      </c>
    </row>
    <row r="20" spans="1:12" ht="12.75">
      <c r="A20" s="114"/>
      <c r="B20" s="122"/>
      <c r="C20" s="123"/>
      <c r="D20" s="122"/>
      <c r="E20" s="124"/>
      <c r="F20" s="122"/>
      <c r="G20" s="124"/>
      <c r="H20" s="122"/>
      <c r="I20" s="124"/>
      <c r="J20" s="122"/>
      <c r="K20" s="123"/>
      <c r="L20" s="122"/>
    </row>
    <row r="21" spans="1:12" ht="12.75">
      <c r="A21" s="114" t="s">
        <v>279</v>
      </c>
      <c r="B21" s="122">
        <v>39869752</v>
      </c>
      <c r="C21" s="123"/>
      <c r="D21" s="122">
        <f>D17+D19</f>
        <v>-51105225</v>
      </c>
      <c r="E21" s="124"/>
      <c r="F21" s="122">
        <f>F17+F19</f>
        <v>-20501033.799999997</v>
      </c>
      <c r="G21" s="124"/>
      <c r="H21" s="122">
        <f>H17+H19</f>
        <v>7466127.460000008</v>
      </c>
      <c r="I21" s="124"/>
      <c r="J21" s="122">
        <f>J17+J19</f>
        <v>18398779.46000001</v>
      </c>
      <c r="K21" s="123"/>
      <c r="L21" s="122">
        <f>L17+L19</f>
        <v>22664140.46000001</v>
      </c>
    </row>
    <row r="22" spans="1:12" ht="13.5" thickBot="1">
      <c r="A22" s="117"/>
      <c r="B22" s="125"/>
      <c r="C22" s="126"/>
      <c r="D22" s="125"/>
      <c r="E22" s="126"/>
      <c r="F22" s="125"/>
      <c r="G22" s="126"/>
      <c r="H22" s="125"/>
      <c r="I22" s="126"/>
      <c r="J22" s="125"/>
      <c r="K22" s="126"/>
      <c r="L22" s="125"/>
    </row>
    <row r="24" ht="12.75">
      <c r="A24" s="111" t="s">
        <v>282</v>
      </c>
    </row>
    <row r="25" ht="12.75">
      <c r="A25" s="51" t="s">
        <v>331</v>
      </c>
    </row>
    <row r="26" ht="12.75">
      <c r="A26" s="51" t="s">
        <v>290</v>
      </c>
    </row>
    <row r="27" ht="12.75">
      <c r="A27" s="51" t="s">
        <v>287</v>
      </c>
    </row>
    <row r="28" ht="12.75">
      <c r="A28" s="51" t="s">
        <v>291</v>
      </c>
    </row>
    <row r="29" ht="12.75">
      <c r="A29" s="51" t="s">
        <v>288</v>
      </c>
    </row>
    <row r="30" ht="12.75">
      <c r="A30" s="51" t="s">
        <v>289</v>
      </c>
    </row>
    <row r="31" ht="12.75">
      <c r="A31" s="51" t="s">
        <v>292</v>
      </c>
    </row>
    <row r="33" ht="12.75">
      <c r="A33" s="111" t="s">
        <v>283</v>
      </c>
    </row>
    <row r="34" ht="12.75">
      <c r="A34" s="51" t="s">
        <v>327</v>
      </c>
    </row>
    <row r="36" ht="12.75">
      <c r="A36" s="111" t="s">
        <v>284</v>
      </c>
    </row>
    <row r="37" ht="12.75">
      <c r="A37" s="51" t="s">
        <v>332</v>
      </c>
    </row>
    <row r="38" ht="12.75">
      <c r="A38" s="51" t="s">
        <v>308</v>
      </c>
    </row>
    <row r="39" ht="12.75">
      <c r="A39" s="51" t="s">
        <v>328</v>
      </c>
    </row>
    <row r="41" ht="12.75">
      <c r="A41" s="111" t="s">
        <v>285</v>
      </c>
    </row>
    <row r="42" ht="12.75">
      <c r="A42" s="51" t="s">
        <v>309</v>
      </c>
    </row>
    <row r="43" ht="12.75">
      <c r="A43" s="51" t="s">
        <v>310</v>
      </c>
    </row>
    <row r="45" ht="12.75">
      <c r="A45" s="111" t="s">
        <v>286</v>
      </c>
    </row>
    <row r="46" ht="12.75">
      <c r="A46" s="51" t="s">
        <v>293</v>
      </c>
    </row>
    <row r="47" ht="12.75">
      <c r="A47" s="51" t="s">
        <v>294</v>
      </c>
    </row>
    <row r="48" ht="12.75">
      <c r="A48" s="51" t="s">
        <v>329</v>
      </c>
    </row>
    <row r="57" ht="12.75">
      <c r="A57" s="51" t="s">
        <v>311</v>
      </c>
    </row>
    <row r="58" ht="6.75" customHeight="1" thickBot="1"/>
    <row r="59" spans="1:6" ht="12.75">
      <c r="A59" s="130" t="s">
        <v>312</v>
      </c>
      <c r="B59" s="113"/>
      <c r="C59" s="113"/>
      <c r="D59" s="131"/>
      <c r="E59" s="130"/>
      <c r="F59" s="134">
        <v>3400000</v>
      </c>
    </row>
    <row r="60" spans="1:6" ht="12.75">
      <c r="A60" s="114" t="s">
        <v>313</v>
      </c>
      <c r="B60" s="115"/>
      <c r="C60" s="115"/>
      <c r="D60" s="132"/>
      <c r="E60" s="114"/>
      <c r="F60" s="116">
        <v>6000000</v>
      </c>
    </row>
    <row r="61" spans="1:6" ht="12.75">
      <c r="A61" s="114" t="s">
        <v>314</v>
      </c>
      <c r="B61" s="115"/>
      <c r="C61" s="115"/>
      <c r="D61" s="132"/>
      <c r="E61" s="114"/>
      <c r="F61" s="116">
        <v>981000</v>
      </c>
    </row>
    <row r="62" spans="1:6" ht="12.75">
      <c r="A62" s="114" t="s">
        <v>315</v>
      </c>
      <c r="B62" s="115"/>
      <c r="C62" s="115"/>
      <c r="D62" s="132"/>
      <c r="E62" s="114"/>
      <c r="F62" s="116">
        <v>1125000</v>
      </c>
    </row>
    <row r="63" spans="1:6" ht="12.75">
      <c r="A63" s="114" t="s">
        <v>316</v>
      </c>
      <c r="B63" s="115"/>
      <c r="C63" s="115"/>
      <c r="D63" s="132"/>
      <c r="E63" s="114"/>
      <c r="F63" s="116">
        <v>670068</v>
      </c>
    </row>
    <row r="64" spans="1:6" ht="12.75">
      <c r="A64" s="114" t="s">
        <v>317</v>
      </c>
      <c r="B64" s="115"/>
      <c r="C64" s="115"/>
      <c r="D64" s="132"/>
      <c r="E64" s="114"/>
      <c r="F64" s="116">
        <v>8431944</v>
      </c>
    </row>
    <row r="65" spans="1:6" ht="12.75">
      <c r="A65" s="114" t="s">
        <v>318</v>
      </c>
      <c r="B65" s="115"/>
      <c r="C65" s="115"/>
      <c r="D65" s="132"/>
      <c r="E65" s="114"/>
      <c r="F65" s="116">
        <v>455928</v>
      </c>
    </row>
    <row r="66" spans="1:6" ht="12.75">
      <c r="A66" s="114" t="s">
        <v>319</v>
      </c>
      <c r="B66" s="115"/>
      <c r="C66" s="115"/>
      <c r="D66" s="132"/>
      <c r="E66" s="114"/>
      <c r="F66" s="116">
        <v>245390</v>
      </c>
    </row>
    <row r="67" spans="1:6" ht="12.75">
      <c r="A67" s="114" t="s">
        <v>320</v>
      </c>
      <c r="B67" s="115"/>
      <c r="C67" s="115"/>
      <c r="D67" s="132"/>
      <c r="E67" s="114"/>
      <c r="F67" s="116">
        <v>76150</v>
      </c>
    </row>
    <row r="68" spans="1:6" ht="13.5" thickBot="1">
      <c r="A68" s="114" t="s">
        <v>321</v>
      </c>
      <c r="B68" s="115"/>
      <c r="C68" s="115"/>
      <c r="D68" s="132"/>
      <c r="E68" s="114"/>
      <c r="F68" s="116">
        <v>109720</v>
      </c>
    </row>
    <row r="69" spans="1:256" s="110" customFormat="1" ht="13.5" thickBot="1">
      <c r="A69" s="127" t="s">
        <v>107</v>
      </c>
      <c r="B69" s="128"/>
      <c r="C69" s="128"/>
      <c r="D69" s="133"/>
      <c r="E69" s="127"/>
      <c r="F69" s="129">
        <f>SUM(F59:F68)</f>
        <v>21495200</v>
      </c>
      <c r="IV69" s="63"/>
    </row>
    <row r="71" ht="12.75">
      <c r="A71" s="51" t="s">
        <v>322</v>
      </c>
    </row>
    <row r="72" ht="6.75" customHeight="1" thickBot="1"/>
    <row r="73" spans="1:6" ht="12.75">
      <c r="A73" s="130" t="s">
        <v>323</v>
      </c>
      <c r="B73" s="113"/>
      <c r="C73" s="113"/>
      <c r="D73" s="131"/>
      <c r="E73" s="130"/>
      <c r="F73" s="134">
        <v>523425</v>
      </c>
    </row>
    <row r="74" spans="1:6" ht="12.75">
      <c r="A74" s="114" t="s">
        <v>324</v>
      </c>
      <c r="B74" s="115"/>
      <c r="C74" s="115"/>
      <c r="D74" s="132"/>
      <c r="E74" s="114"/>
      <c r="F74" s="116">
        <v>594495</v>
      </c>
    </row>
    <row r="75" spans="1:6" ht="12.75">
      <c r="A75" s="114" t="s">
        <v>325</v>
      </c>
      <c r="B75" s="115"/>
      <c r="C75" s="115"/>
      <c r="D75" s="132"/>
      <c r="E75" s="114"/>
      <c r="F75" s="116">
        <v>518018</v>
      </c>
    </row>
    <row r="76" spans="1:6" ht="12.75">
      <c r="A76" s="114" t="s">
        <v>126</v>
      </c>
      <c r="B76" s="115"/>
      <c r="C76" s="115"/>
      <c r="D76" s="132"/>
      <c r="E76" s="114"/>
      <c r="F76" s="116">
        <v>473245</v>
      </c>
    </row>
    <row r="77" spans="1:6" ht="13.5" thickBot="1">
      <c r="A77" s="114" t="s">
        <v>326</v>
      </c>
      <c r="B77" s="115"/>
      <c r="C77" s="115"/>
      <c r="D77" s="132"/>
      <c r="E77" s="114"/>
      <c r="F77" s="116">
        <v>1097393</v>
      </c>
    </row>
    <row r="78" spans="1:6" ht="13.5" thickBot="1">
      <c r="A78" s="127" t="s">
        <v>107</v>
      </c>
      <c r="B78" s="135"/>
      <c r="C78" s="135"/>
      <c r="D78" s="137"/>
      <c r="E78" s="136"/>
      <c r="F78" s="138">
        <f>SUM(F73:F77)</f>
        <v>3206576</v>
      </c>
    </row>
  </sheetData>
  <printOptions horizontalCentered="1"/>
  <pageMargins left="0.35433070866141736" right="0.31496062992125984" top="0.984251968503937" bottom="0.984251968503937" header="0.5118110236220472" footer="0.5118110236220472"/>
  <pageSetup horizontalDpi="300" verticalDpi="300" orientation="portrait" r:id="rId1"/>
  <headerFooter alignWithMargins="0">
    <oddFooter>&amp;RMM&amp;F
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workbookViewId="0" topLeftCell="A10">
      <pane xSplit="1" ySplit="6" topLeftCell="B37" activePane="bottomRight" state="frozen"/>
      <selection pane="topLeft" activeCell="A10" sqref="A10"/>
      <selection pane="topRight" activeCell="B10" sqref="B10"/>
      <selection pane="bottomLeft" activeCell="A16" sqref="A16"/>
      <selection pane="bottomRight" activeCell="A51" sqref="A51"/>
    </sheetView>
  </sheetViews>
  <sheetFormatPr defaultColWidth="9.140625" defaultRowHeight="12.75"/>
  <cols>
    <col min="1" max="1" width="24.57421875" style="0" customWidth="1"/>
    <col min="2" max="2" width="20.140625" style="0" customWidth="1"/>
    <col min="3" max="3" width="3.7109375" style="0" hidden="1" customWidth="1"/>
    <col min="4" max="4" width="19.421875" style="143" customWidth="1"/>
    <col min="5" max="5" width="19.7109375" style="0" customWidth="1"/>
    <col min="6" max="6" width="3.7109375" style="0" hidden="1" customWidth="1"/>
    <col min="7" max="7" width="19.28125" style="143" customWidth="1"/>
  </cols>
  <sheetData>
    <row r="1" ht="15.75">
      <c r="A1" s="2" t="s">
        <v>185</v>
      </c>
    </row>
    <row r="2" ht="12.75">
      <c r="A2" s="67" t="s">
        <v>2</v>
      </c>
    </row>
    <row r="4" ht="15.75">
      <c r="A4" s="2" t="s">
        <v>7</v>
      </c>
    </row>
    <row r="5" spans="1:2" ht="15.75">
      <c r="A5" s="2" t="s">
        <v>111</v>
      </c>
      <c r="B5" s="193"/>
    </row>
    <row r="6" spans="1:2" ht="15">
      <c r="A6" s="63" t="s">
        <v>239</v>
      </c>
      <c r="B6" s="193"/>
    </row>
    <row r="8" ht="15.75">
      <c r="A8" s="2"/>
    </row>
    <row r="10" spans="1:7" ht="12.75">
      <c r="A10" s="60"/>
      <c r="B10" s="246" t="s">
        <v>90</v>
      </c>
      <c r="C10" s="247"/>
      <c r="D10" s="248"/>
      <c r="E10" s="249" t="s">
        <v>91</v>
      </c>
      <c r="F10" s="250"/>
      <c r="G10" s="251"/>
    </row>
    <row r="11" spans="1:7" ht="12.75">
      <c r="A11" s="61"/>
      <c r="B11" s="57" t="s">
        <v>135</v>
      </c>
      <c r="C11" s="3"/>
      <c r="D11" s="144" t="s">
        <v>136</v>
      </c>
      <c r="E11" s="57" t="s">
        <v>135</v>
      </c>
      <c r="F11" s="60"/>
      <c r="G11" s="144" t="s">
        <v>136</v>
      </c>
    </row>
    <row r="12" spans="1:7" ht="12.75">
      <c r="A12" s="61"/>
      <c r="B12" s="58" t="s">
        <v>94</v>
      </c>
      <c r="C12" s="3"/>
      <c r="D12" s="145" t="s">
        <v>138</v>
      </c>
      <c r="E12" s="58" t="s">
        <v>137</v>
      </c>
      <c r="F12" s="61"/>
      <c r="G12" s="145" t="s">
        <v>138</v>
      </c>
    </row>
    <row r="13" spans="1:7" ht="12.75">
      <c r="A13" s="61"/>
      <c r="B13" s="58" t="s">
        <v>242</v>
      </c>
      <c r="C13" s="3"/>
      <c r="D13" s="145" t="s">
        <v>242</v>
      </c>
      <c r="E13" s="58" t="s">
        <v>92</v>
      </c>
      <c r="F13" s="61"/>
      <c r="G13" s="145" t="s">
        <v>93</v>
      </c>
    </row>
    <row r="14" spans="1:7" ht="12.75">
      <c r="A14" s="61"/>
      <c r="B14" s="96" t="s">
        <v>112</v>
      </c>
      <c r="C14" s="3"/>
      <c r="D14" s="146" t="s">
        <v>113</v>
      </c>
      <c r="E14" s="96" t="s">
        <v>112</v>
      </c>
      <c r="F14" s="58"/>
      <c r="G14" s="146" t="s">
        <v>113</v>
      </c>
    </row>
    <row r="15" spans="1:7" ht="12.75">
      <c r="A15" s="182"/>
      <c r="B15" s="59" t="s">
        <v>139</v>
      </c>
      <c r="C15" s="3"/>
      <c r="D15" s="147" t="s">
        <v>139</v>
      </c>
      <c r="E15" s="59" t="s">
        <v>139</v>
      </c>
      <c r="F15" s="58"/>
      <c r="G15" s="147" t="s">
        <v>139</v>
      </c>
    </row>
    <row r="16" spans="1:7" ht="12.75">
      <c r="A16" s="60"/>
      <c r="B16" s="15"/>
      <c r="C16" s="15"/>
      <c r="D16" s="181"/>
      <c r="E16" s="55"/>
      <c r="F16" s="61"/>
      <c r="G16" s="181"/>
    </row>
    <row r="17" spans="1:7" ht="12.75">
      <c r="A17" s="179" t="s">
        <v>42</v>
      </c>
      <c r="B17" s="52">
        <f>E17-253407</f>
        <v>307702</v>
      </c>
      <c r="C17" s="52"/>
      <c r="D17" s="200">
        <f>G17-250659</f>
        <v>243257</v>
      </c>
      <c r="E17" s="201">
        <v>561109</v>
      </c>
      <c r="F17" s="202"/>
      <c r="G17" s="200">
        <v>493916</v>
      </c>
    </row>
    <row r="18" spans="1:7" ht="15.75">
      <c r="A18" s="180"/>
      <c r="B18" s="52"/>
      <c r="C18" s="52"/>
      <c r="D18" s="200"/>
      <c r="E18" s="201"/>
      <c r="F18" s="202"/>
      <c r="G18" s="200"/>
    </row>
    <row r="19" spans="1:7" ht="12.75">
      <c r="A19" s="179"/>
      <c r="B19" s="52"/>
      <c r="C19" s="52"/>
      <c r="D19" s="200"/>
      <c r="E19" s="201"/>
      <c r="F19" s="202"/>
      <c r="G19" s="200"/>
    </row>
    <row r="20" spans="1:7" ht="12.75">
      <c r="A20" s="179" t="s">
        <v>221</v>
      </c>
      <c r="B20" s="52">
        <v>-267681</v>
      </c>
      <c r="C20" s="52"/>
      <c r="D20" s="200">
        <f>G20+221359</f>
        <v>-225429</v>
      </c>
      <c r="E20" s="201">
        <f>-484030</f>
        <v>-484030</v>
      </c>
      <c r="F20" s="202"/>
      <c r="G20" s="200">
        <v>-446788</v>
      </c>
    </row>
    <row r="21" spans="1:7" ht="12.75">
      <c r="A21" s="179"/>
      <c r="B21" s="52"/>
      <c r="C21" s="52"/>
      <c r="D21" s="200"/>
      <c r="E21" s="201"/>
      <c r="F21" s="202"/>
      <c r="G21" s="200"/>
    </row>
    <row r="22" spans="1:7" ht="12.75">
      <c r="A22" s="179"/>
      <c r="B22" s="52"/>
      <c r="C22" s="52"/>
      <c r="D22" s="200"/>
      <c r="E22" s="201"/>
      <c r="F22" s="202"/>
      <c r="G22" s="200"/>
    </row>
    <row r="23" spans="1:7" ht="12.75">
      <c r="A23" s="179" t="s">
        <v>222</v>
      </c>
      <c r="B23" s="52">
        <v>3479</v>
      </c>
      <c r="C23" s="52"/>
      <c r="D23" s="200">
        <f>G23-12375</f>
        <v>11447</v>
      </c>
      <c r="E23" s="201">
        <v>6724</v>
      </c>
      <c r="F23" s="202"/>
      <c r="G23" s="200">
        <v>23822</v>
      </c>
    </row>
    <row r="24" spans="1:7" ht="12.75">
      <c r="A24" s="179"/>
      <c r="B24" s="52"/>
      <c r="C24" s="52"/>
      <c r="D24" s="200"/>
      <c r="E24" s="201"/>
      <c r="F24" s="202"/>
      <c r="G24" s="200"/>
    </row>
    <row r="25" spans="1:7" ht="12.75">
      <c r="A25" s="179"/>
      <c r="B25" s="52"/>
      <c r="C25" s="52"/>
      <c r="D25" s="200"/>
      <c r="E25" s="201"/>
      <c r="F25" s="202"/>
      <c r="G25" s="200"/>
    </row>
    <row r="26" spans="1:7" ht="12.75">
      <c r="A26" s="179" t="s">
        <v>223</v>
      </c>
      <c r="B26" s="203">
        <f>SUM(B17:B23)</f>
        <v>43500</v>
      </c>
      <c r="C26" s="203">
        <f>SUM(C17:C23)</f>
        <v>0</v>
      </c>
      <c r="D26" s="204">
        <f>SUM(D17:D23)</f>
        <v>29275</v>
      </c>
      <c r="E26" s="205">
        <f>SUM(E17:E23)</f>
        <v>83803</v>
      </c>
      <c r="F26" s="202"/>
      <c r="G26" s="204">
        <f>SUM(G17:G23)</f>
        <v>70950</v>
      </c>
    </row>
    <row r="27" spans="1:7" ht="12.75">
      <c r="A27" s="179"/>
      <c r="B27" s="52"/>
      <c r="C27" s="52"/>
      <c r="D27" s="200"/>
      <c r="E27" s="201"/>
      <c r="F27" s="202"/>
      <c r="G27" s="200"/>
    </row>
    <row r="28" spans="1:7" ht="12.75">
      <c r="A28" s="179"/>
      <c r="B28" s="52"/>
      <c r="C28" s="52"/>
      <c r="D28" s="200"/>
      <c r="E28" s="201"/>
      <c r="F28" s="202"/>
      <c r="G28" s="200"/>
    </row>
    <row r="29" spans="1:7" ht="12.75">
      <c r="A29" s="179" t="s">
        <v>224</v>
      </c>
      <c r="B29" s="52">
        <v>-13307</v>
      </c>
      <c r="C29" s="52"/>
      <c r="D29" s="200">
        <f>G29+13840</f>
        <v>-15389</v>
      </c>
      <c r="E29" s="201">
        <v>-28978</v>
      </c>
      <c r="F29" s="202"/>
      <c r="G29" s="200">
        <v>-29229</v>
      </c>
    </row>
    <row r="30" spans="1:7" ht="12.75">
      <c r="A30" s="179"/>
      <c r="B30" s="52"/>
      <c r="C30" s="52"/>
      <c r="D30" s="200"/>
      <c r="E30" s="201"/>
      <c r="F30" s="202"/>
      <c r="G30" s="200"/>
    </row>
    <row r="31" spans="1:7" ht="12.75">
      <c r="A31" s="179"/>
      <c r="B31" s="52"/>
      <c r="C31" s="52"/>
      <c r="D31" s="200"/>
      <c r="E31" s="201"/>
      <c r="F31" s="202"/>
      <c r="G31" s="200"/>
    </row>
    <row r="32" spans="1:7" ht="12.75">
      <c r="A32" s="179" t="s">
        <v>225</v>
      </c>
      <c r="B32" s="203">
        <f>SUM(B26:B31)</f>
        <v>30193</v>
      </c>
      <c r="C32" s="203">
        <f>SUM(C26:C29)</f>
        <v>0</v>
      </c>
      <c r="D32" s="204">
        <f>SUM(D26:D31)</f>
        <v>13886</v>
      </c>
      <c r="E32" s="205">
        <f>SUM(E26:E31)</f>
        <v>54825</v>
      </c>
      <c r="F32" s="202"/>
      <c r="G32" s="204">
        <f>SUM(G26:G31)</f>
        <v>41721</v>
      </c>
    </row>
    <row r="33" spans="1:7" ht="12.75">
      <c r="A33" s="179"/>
      <c r="B33" s="52"/>
      <c r="C33" s="52"/>
      <c r="D33" s="200"/>
      <c r="E33" s="201"/>
      <c r="F33" s="202"/>
      <c r="G33" s="200"/>
    </row>
    <row r="34" spans="1:7" ht="12.75">
      <c r="A34" s="179"/>
      <c r="B34" s="52"/>
      <c r="C34" s="52"/>
      <c r="D34" s="200"/>
      <c r="E34" s="201"/>
      <c r="F34" s="202"/>
      <c r="G34" s="200"/>
    </row>
    <row r="35" spans="1:7" ht="12.75">
      <c r="A35" s="179" t="s">
        <v>114</v>
      </c>
      <c r="B35" s="52">
        <v>-569</v>
      </c>
      <c r="C35" s="52"/>
      <c r="D35" s="200">
        <f>G35+9864</f>
        <v>8679</v>
      </c>
      <c r="E35" s="201">
        <v>-613</v>
      </c>
      <c r="F35" s="202"/>
      <c r="G35" s="200">
        <v>-1185</v>
      </c>
    </row>
    <row r="36" spans="1:7" ht="12.75">
      <c r="A36" s="179"/>
      <c r="B36" s="52"/>
      <c r="C36" s="52"/>
      <c r="D36" s="200"/>
      <c r="E36" s="201"/>
      <c r="F36" s="202"/>
      <c r="G36" s="200">
        <v>0</v>
      </c>
    </row>
    <row r="37" spans="1:7" ht="12.75">
      <c r="A37" s="179"/>
      <c r="B37" s="52"/>
      <c r="C37" s="52"/>
      <c r="D37" s="200"/>
      <c r="E37" s="201"/>
      <c r="F37" s="202"/>
      <c r="G37" s="200"/>
    </row>
    <row r="38" spans="1:7" ht="12.75">
      <c r="A38" s="179" t="s">
        <v>226</v>
      </c>
      <c r="B38" s="203">
        <f>SUM(B32:B35)</f>
        <v>29624</v>
      </c>
      <c r="C38" s="52"/>
      <c r="D38" s="204">
        <f>SUM(D32:D35)</f>
        <v>22565</v>
      </c>
      <c r="E38" s="205">
        <f>SUM(E32:E35)</f>
        <v>54212</v>
      </c>
      <c r="F38" s="202"/>
      <c r="G38" s="204">
        <f>SUM(G32:G35)</f>
        <v>40536</v>
      </c>
    </row>
    <row r="39" spans="1:7" ht="12.75">
      <c r="A39" s="179"/>
      <c r="B39" s="52"/>
      <c r="C39" s="52"/>
      <c r="D39" s="200"/>
      <c r="E39" s="201"/>
      <c r="F39" s="202"/>
      <c r="G39" s="200"/>
    </row>
    <row r="40" spans="1:7" ht="12.75">
      <c r="A40" s="179"/>
      <c r="B40" s="52"/>
      <c r="C40" s="52"/>
      <c r="D40" s="200"/>
      <c r="E40" s="201"/>
      <c r="F40" s="202"/>
      <c r="G40" s="200"/>
    </row>
    <row r="41" spans="1:7" ht="12.75">
      <c r="A41" s="179" t="s">
        <v>227</v>
      </c>
      <c r="B41" s="52">
        <v>-5808</v>
      </c>
      <c r="C41" s="52"/>
      <c r="D41" s="200">
        <f>G41+8041</f>
        <v>-11401</v>
      </c>
      <c r="E41" s="201">
        <v>-15657</v>
      </c>
      <c r="F41" s="202"/>
      <c r="G41" s="200">
        <v>-19442</v>
      </c>
    </row>
    <row r="42" spans="1:7" ht="12.75">
      <c r="A42" s="179"/>
      <c r="B42" s="52"/>
      <c r="C42" s="52"/>
      <c r="D42" s="206"/>
      <c r="E42" s="201"/>
      <c r="F42" s="202"/>
      <c r="G42" s="200"/>
    </row>
    <row r="43" spans="1:7" ht="22.5" customHeight="1">
      <c r="A43" s="216" t="s">
        <v>228</v>
      </c>
      <c r="B43" s="207">
        <f>SUM(B38:B41)</f>
        <v>23816</v>
      </c>
      <c r="C43" s="208"/>
      <c r="D43" s="209">
        <f>SUM(D38:D41)</f>
        <v>11164</v>
      </c>
      <c r="E43" s="209">
        <f>SUM(E38:E41)</f>
        <v>38555</v>
      </c>
      <c r="F43" s="210"/>
      <c r="G43" s="211">
        <f>SUM(G38:G41)</f>
        <v>21094</v>
      </c>
    </row>
    <row r="44" ht="12.75">
      <c r="A44" s="63"/>
    </row>
    <row r="45" ht="12.75">
      <c r="A45" s="63"/>
    </row>
    <row r="46" ht="12.75">
      <c r="A46" s="63" t="s">
        <v>186</v>
      </c>
    </row>
    <row r="47" spans="1:7" ht="12.75">
      <c r="A47" s="63" t="s">
        <v>187</v>
      </c>
      <c r="B47" s="198">
        <f>B43/158258*100</f>
        <v>15.048844292231673</v>
      </c>
      <c r="C47" s="198">
        <f>C43/79130*100</f>
        <v>0</v>
      </c>
      <c r="D47" s="198">
        <f>D43/158258*100</f>
        <v>7.054303731880853</v>
      </c>
      <c r="E47" s="198">
        <f>E43/158258*100</f>
        <v>24.362117554878743</v>
      </c>
      <c r="F47" s="199"/>
      <c r="G47" s="198">
        <f>G43/158258*100</f>
        <v>13.32886805090422</v>
      </c>
    </row>
    <row r="49" spans="1:7" ht="12.75">
      <c r="A49" s="63" t="s">
        <v>353</v>
      </c>
      <c r="B49" s="63"/>
      <c r="C49" s="63"/>
      <c r="D49" s="238"/>
      <c r="E49" s="63"/>
      <c r="F49" s="63"/>
      <c r="G49" s="238"/>
    </row>
    <row r="50" spans="1:7" ht="12.75">
      <c r="A50" s="63" t="s">
        <v>354</v>
      </c>
      <c r="B50" s="63"/>
      <c r="C50" s="63"/>
      <c r="D50" s="238"/>
      <c r="E50" s="63"/>
      <c r="F50" s="63"/>
      <c r="G50" s="238"/>
    </row>
    <row r="52" ht="12.75">
      <c r="A52" s="63" t="s">
        <v>195</v>
      </c>
    </row>
    <row r="53" ht="12.75">
      <c r="A53" s="63" t="s">
        <v>247</v>
      </c>
    </row>
    <row r="55" ht="12.75">
      <c r="A55" s="63"/>
    </row>
  </sheetData>
  <mergeCells count="2">
    <mergeCell ref="B10:D10"/>
    <mergeCell ref="E10:G10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Header>&amp;C&amp;"Arial,Bold"&amp;12PSC INDUSTRIES BERHAD
(11106-V)</oddHead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4">
      <pane xSplit="3" ySplit="8" topLeftCell="D53" activePane="bottomRight" state="frozen"/>
      <selection pane="topLeft" activeCell="A4" sqref="A4"/>
      <selection pane="topRight" activeCell="D4" sqref="D4"/>
      <selection pane="bottomLeft" activeCell="A12" sqref="A12"/>
      <selection pane="bottomRight" activeCell="A56" sqref="A56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39.7109375" style="0" customWidth="1"/>
    <col min="4" max="4" width="16.57421875" style="0" customWidth="1"/>
    <col min="5" max="5" width="7.28125" style="0" customWidth="1"/>
    <col min="6" max="6" width="16.140625" style="0" customWidth="1"/>
  </cols>
  <sheetData>
    <row r="1" spans="1:6" ht="15.75">
      <c r="A1" s="252" t="s">
        <v>98</v>
      </c>
      <c r="B1" s="253"/>
      <c r="C1" s="253"/>
      <c r="D1" s="253"/>
      <c r="E1" s="253"/>
      <c r="F1" s="254"/>
    </row>
    <row r="2" spans="1:6" ht="12.75">
      <c r="A2" s="259" t="s">
        <v>202</v>
      </c>
      <c r="B2" s="260"/>
      <c r="C2" s="260"/>
      <c r="D2" s="260"/>
      <c r="E2" s="260"/>
      <c r="F2" s="261"/>
    </row>
    <row r="3" spans="1:6" ht="15.75">
      <c r="A3" s="91"/>
      <c r="B3" s="90"/>
      <c r="C3" s="90"/>
      <c r="D3" s="90"/>
      <c r="E3" s="90"/>
      <c r="F3" s="90"/>
    </row>
    <row r="4" spans="1:6" ht="15.75">
      <c r="A4" s="255" t="s">
        <v>8</v>
      </c>
      <c r="B4" s="256"/>
      <c r="C4" s="256"/>
      <c r="D4" s="256"/>
      <c r="E4" s="256"/>
      <c r="F4" s="256"/>
    </row>
    <row r="5" spans="1:6" ht="12.75">
      <c r="A5" s="257" t="s">
        <v>239</v>
      </c>
      <c r="B5" s="258"/>
      <c r="C5" s="258"/>
      <c r="D5" s="258"/>
      <c r="E5" s="258"/>
      <c r="F5" s="258"/>
    </row>
    <row r="8" spans="4:6" ht="12.75">
      <c r="D8" s="92" t="s">
        <v>9</v>
      </c>
      <c r="E8" s="92"/>
      <c r="F8" s="92" t="s">
        <v>10</v>
      </c>
    </row>
    <row r="9" spans="4:6" ht="12.75">
      <c r="D9" s="3" t="s">
        <v>140</v>
      </c>
      <c r="E9" s="3"/>
      <c r="F9" s="3" t="s">
        <v>140</v>
      </c>
    </row>
    <row r="10" spans="4:6" ht="12.75">
      <c r="D10" s="93" t="s">
        <v>112</v>
      </c>
      <c r="E10" s="3"/>
      <c r="F10" s="93" t="s">
        <v>97</v>
      </c>
    </row>
    <row r="11" spans="4:6" ht="12.75">
      <c r="D11" s="3" t="s">
        <v>139</v>
      </c>
      <c r="E11" s="3"/>
      <c r="F11" s="3" t="s">
        <v>139</v>
      </c>
    </row>
    <row r="13" spans="2:6" ht="12.75">
      <c r="B13" t="s">
        <v>44</v>
      </c>
      <c r="D13" s="5">
        <v>438853</v>
      </c>
      <c r="F13" s="5">
        <v>427754</v>
      </c>
    </row>
    <row r="14" spans="4:6" ht="6" customHeight="1">
      <c r="D14" s="5"/>
      <c r="F14" s="5"/>
    </row>
    <row r="15" spans="2:6" ht="12.75">
      <c r="B15" t="s">
        <v>167</v>
      </c>
      <c r="D15" s="5">
        <v>258785</v>
      </c>
      <c r="F15" s="5">
        <v>316511</v>
      </c>
    </row>
    <row r="16" spans="4:6" ht="6" customHeight="1">
      <c r="D16" s="5"/>
      <c r="F16" s="5"/>
    </row>
    <row r="17" spans="2:6" ht="12.75">
      <c r="B17" t="s">
        <v>168</v>
      </c>
      <c r="D17" s="5">
        <v>70916</v>
      </c>
      <c r="F17" s="5">
        <v>70916</v>
      </c>
    </row>
    <row r="18" spans="4:6" ht="6" customHeight="1">
      <c r="D18" s="5"/>
      <c r="F18" s="5"/>
    </row>
    <row r="19" spans="4:6" ht="12.75">
      <c r="D19" s="5"/>
      <c r="F19" s="5"/>
    </row>
    <row r="20" spans="2:6" ht="12.75">
      <c r="B20" s="67" t="s">
        <v>243</v>
      </c>
      <c r="D20" s="5"/>
      <c r="F20" s="5"/>
    </row>
    <row r="21" spans="3:6" ht="18.75" customHeight="1">
      <c r="C21" s="62" t="s">
        <v>130</v>
      </c>
      <c r="D21" s="94">
        <v>14651</v>
      </c>
      <c r="F21" s="94">
        <v>13548</v>
      </c>
    </row>
    <row r="22" spans="3:6" ht="12.75" customHeight="1">
      <c r="C22" s="62" t="s">
        <v>178</v>
      </c>
      <c r="D22" s="7">
        <v>569975</v>
      </c>
      <c r="F22" s="7">
        <v>923528</v>
      </c>
    </row>
    <row r="23" spans="3:6" ht="12.75" customHeight="1">
      <c r="C23" s="62" t="s">
        <v>295</v>
      </c>
      <c r="D23" s="7">
        <v>541155</v>
      </c>
      <c r="F23" s="7">
        <v>468236</v>
      </c>
    </row>
    <row r="24" spans="3:6" ht="12.75">
      <c r="C24" s="4" t="s">
        <v>13</v>
      </c>
      <c r="D24" s="7">
        <v>362082</v>
      </c>
      <c r="F24" s="7">
        <v>381597</v>
      </c>
    </row>
    <row r="25" spans="3:6" ht="4.5" customHeight="1">
      <c r="C25" s="4"/>
      <c r="D25" s="94"/>
      <c r="F25" s="94"/>
    </row>
    <row r="26" spans="3:6" ht="12.75">
      <c r="C26" s="4"/>
      <c r="D26" s="8">
        <f>SUM(D21:D25)</f>
        <v>1487863</v>
      </c>
      <c r="F26" s="8">
        <f>SUM(F21:F25)</f>
        <v>1786909</v>
      </c>
    </row>
    <row r="27" spans="3:6" ht="12.75">
      <c r="C27" s="95"/>
      <c r="D27" s="5"/>
      <c r="F27" s="5"/>
    </row>
    <row r="28" spans="2:6" ht="12.75">
      <c r="B28" s="67" t="s">
        <v>141</v>
      </c>
      <c r="D28" s="5"/>
      <c r="F28" s="5"/>
    </row>
    <row r="29" spans="3:6" ht="18.75" customHeight="1">
      <c r="C29" s="4" t="s">
        <v>296</v>
      </c>
      <c r="D29" s="154">
        <v>778452</v>
      </c>
      <c r="F29" s="94">
        <v>1067703</v>
      </c>
    </row>
    <row r="30" spans="3:6" ht="12.75">
      <c r="C30" s="4" t="s">
        <v>169</v>
      </c>
      <c r="D30" s="7">
        <v>509013</v>
      </c>
      <c r="F30" s="7">
        <v>526953</v>
      </c>
    </row>
    <row r="31" spans="3:6" ht="12.75">
      <c r="C31" s="4" t="s">
        <v>114</v>
      </c>
      <c r="D31" s="7">
        <v>35881</v>
      </c>
      <c r="F31" s="7">
        <v>35745</v>
      </c>
    </row>
    <row r="32" spans="3:6" ht="6" customHeight="1">
      <c r="C32" s="4"/>
      <c r="D32" s="94"/>
      <c r="F32" s="60"/>
    </row>
    <row r="33" spans="3:6" ht="12.75">
      <c r="C33" s="4"/>
      <c r="D33" s="8">
        <f>SUM(D29:D32)</f>
        <v>1323346</v>
      </c>
      <c r="F33" s="8">
        <f>SUM(F29:F32)</f>
        <v>1630401</v>
      </c>
    </row>
    <row r="34" spans="3:4" ht="12.75">
      <c r="C34" s="95"/>
      <c r="D34" s="5"/>
    </row>
    <row r="35" spans="2:6" ht="12.75">
      <c r="B35" s="67" t="s">
        <v>11</v>
      </c>
      <c r="D35" s="5">
        <f>D26-D33</f>
        <v>164517</v>
      </c>
      <c r="F35" s="5">
        <f>F26-F33</f>
        <v>156508</v>
      </c>
    </row>
    <row r="36" ht="9" customHeight="1">
      <c r="D36" s="5"/>
    </row>
    <row r="37" spans="4:6" ht="21.75" customHeight="1" thickBot="1">
      <c r="D37" s="12">
        <f>SUM(D13:D18)+D35</f>
        <v>933071</v>
      </c>
      <c r="F37" s="12">
        <f>SUM(F13:F18)+F35</f>
        <v>971689</v>
      </c>
    </row>
    <row r="38" ht="13.5" thickTop="1">
      <c r="D38" s="5"/>
    </row>
    <row r="39" spans="2:4" ht="12.75">
      <c r="B39" s="63"/>
      <c r="D39" s="5"/>
    </row>
    <row r="40" spans="2:6" ht="12.75">
      <c r="B40" t="s">
        <v>143</v>
      </c>
      <c r="D40" s="5">
        <v>158258</v>
      </c>
      <c r="F40" s="5">
        <v>79129</v>
      </c>
    </row>
    <row r="41" spans="2:6" ht="12.75">
      <c r="B41" s="67" t="s">
        <v>144</v>
      </c>
      <c r="D41" s="5">
        <v>258357</v>
      </c>
      <c r="F41" s="5">
        <v>298379</v>
      </c>
    </row>
    <row r="42" spans="2:6" ht="12.75">
      <c r="B42" s="67" t="s">
        <v>142</v>
      </c>
      <c r="C42" s="4"/>
      <c r="D42" s="149">
        <f>D40+D41</f>
        <v>416615</v>
      </c>
      <c r="F42" s="149">
        <f>F40+F41</f>
        <v>377508</v>
      </c>
    </row>
    <row r="43" spans="2:6" ht="12.75">
      <c r="B43" s="67"/>
      <c r="C43" s="4"/>
      <c r="D43" s="10"/>
      <c r="F43" s="10"/>
    </row>
    <row r="44" spans="2:6" ht="12.75">
      <c r="B44" t="s">
        <v>145</v>
      </c>
      <c r="D44" s="5">
        <v>167239</v>
      </c>
      <c r="F44" s="5">
        <v>209547</v>
      </c>
    </row>
    <row r="45" spans="4:6" ht="12.75">
      <c r="D45" s="5"/>
      <c r="F45" s="5"/>
    </row>
    <row r="46" spans="2:6" ht="12.75">
      <c r="B46" t="s">
        <v>171</v>
      </c>
      <c r="D46" s="5"/>
      <c r="F46" s="5"/>
    </row>
    <row r="47" spans="4:6" ht="12.75">
      <c r="D47" s="5"/>
      <c r="F47" s="5"/>
    </row>
    <row r="48" spans="3:6" ht="12.75">
      <c r="C48" s="62" t="s">
        <v>172</v>
      </c>
      <c r="D48" s="5">
        <v>323919</v>
      </c>
      <c r="F48" s="5">
        <v>360167</v>
      </c>
    </row>
    <row r="49" spans="3:6" ht="11.25" customHeight="1">
      <c r="C49" s="62" t="s">
        <v>173</v>
      </c>
      <c r="D49" s="5">
        <v>25298</v>
      </c>
      <c r="F49" s="5">
        <v>24467</v>
      </c>
    </row>
    <row r="50" spans="4:6" ht="21.75" customHeight="1" thickBot="1">
      <c r="D50" s="12">
        <f>SUM(D42:D49)</f>
        <v>933071</v>
      </c>
      <c r="F50" s="12">
        <f>SUM(F42:F49)</f>
        <v>971689</v>
      </c>
    </row>
    <row r="51" ht="13.5" thickTop="1"/>
    <row r="52" spans="2:6" ht="12.75">
      <c r="B52" t="s">
        <v>170</v>
      </c>
      <c r="D52" s="222">
        <f>(D42-D15)/158258</f>
        <v>0.9972955553589707</v>
      </c>
      <c r="E52" s="222"/>
      <c r="F52" s="222">
        <f>(F42-F15)/158258</f>
        <v>0.3854275929178936</v>
      </c>
    </row>
    <row r="54" spans="1:7" ht="12.75">
      <c r="A54" s="63" t="s">
        <v>355</v>
      </c>
      <c r="B54" s="63"/>
      <c r="C54" s="63"/>
      <c r="D54" s="238"/>
      <c r="E54" s="63"/>
      <c r="F54" s="63"/>
      <c r="G54" s="238"/>
    </row>
    <row r="55" spans="1:7" ht="12.75">
      <c r="A55" s="63" t="s">
        <v>356</v>
      </c>
      <c r="B55" s="63"/>
      <c r="C55" s="63"/>
      <c r="D55" s="238"/>
      <c r="E55" s="63"/>
      <c r="F55" s="63"/>
      <c r="G55" s="238"/>
    </row>
    <row r="57" ht="12.75">
      <c r="A57" s="63" t="s">
        <v>12</v>
      </c>
    </row>
    <row r="58" spans="1:4" ht="12.75">
      <c r="A58" s="63" t="s">
        <v>246</v>
      </c>
      <c r="D58" s="95"/>
    </row>
  </sheetData>
  <mergeCells count="4">
    <mergeCell ref="A1:F1"/>
    <mergeCell ref="A4:F4"/>
    <mergeCell ref="A5:F5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A1">
      <selection activeCell="B24" sqref="B24"/>
    </sheetView>
  </sheetViews>
  <sheetFormatPr defaultColWidth="9.140625" defaultRowHeight="12.75"/>
  <cols>
    <col min="1" max="1" width="25.7109375" style="0" customWidth="1"/>
    <col min="2" max="2" width="13.140625" style="0" customWidth="1"/>
    <col min="3" max="3" width="0.13671875" style="0" customWidth="1"/>
    <col min="4" max="4" width="1.28515625" style="0" customWidth="1"/>
    <col min="5" max="5" width="11.140625" style="0" customWidth="1"/>
    <col min="6" max="6" width="0.2890625" style="0" customWidth="1"/>
    <col min="7" max="7" width="19.57421875" style="0" customWidth="1"/>
    <col min="8" max="8" width="4.7109375" style="0" hidden="1" customWidth="1"/>
    <col min="9" max="9" width="2.00390625" style="0" customWidth="1"/>
    <col min="10" max="10" width="10.140625" style="0" customWidth="1"/>
    <col min="11" max="11" width="0.42578125" style="0" hidden="1" customWidth="1"/>
  </cols>
  <sheetData>
    <row r="1" spans="1:7" ht="15.75">
      <c r="A1" s="187"/>
      <c r="B1" s="188"/>
      <c r="C1" s="188"/>
      <c r="D1" s="188"/>
      <c r="E1" s="189" t="s">
        <v>98</v>
      </c>
      <c r="F1" s="188"/>
      <c r="G1" s="188"/>
    </row>
    <row r="2" spans="1:7" ht="12.75">
      <c r="A2" s="174"/>
      <c r="B2" s="174"/>
      <c r="C2" s="174"/>
      <c r="D2" s="174"/>
      <c r="E2" s="184" t="s">
        <v>202</v>
      </c>
      <c r="F2" s="174"/>
      <c r="G2" s="174"/>
    </row>
    <row r="3" spans="1:7" ht="15.75">
      <c r="A3" s="91"/>
      <c r="B3" s="90"/>
      <c r="C3" s="90"/>
      <c r="D3" s="90"/>
      <c r="E3" s="90"/>
      <c r="F3" s="90"/>
      <c r="G3" s="90"/>
    </row>
    <row r="4" spans="1:7" ht="15.75">
      <c r="A4" s="91"/>
      <c r="B4" s="90"/>
      <c r="C4" s="91" t="s">
        <v>176</v>
      </c>
      <c r="D4" s="91"/>
      <c r="E4" s="90"/>
      <c r="F4" s="90"/>
      <c r="G4" s="90"/>
    </row>
    <row r="5" spans="1:7" ht="15.75">
      <c r="A5" s="91"/>
      <c r="B5" s="90"/>
      <c r="C5" s="91" t="s">
        <v>24</v>
      </c>
      <c r="D5" s="91"/>
      <c r="E5" s="90"/>
      <c r="F5" s="90"/>
      <c r="G5" s="90"/>
    </row>
    <row r="6" spans="1:9" ht="12.75">
      <c r="A6" s="92"/>
      <c r="B6" s="92"/>
      <c r="C6" s="185"/>
      <c r="D6" s="185"/>
      <c r="E6" s="177" t="s">
        <v>239</v>
      </c>
      <c r="F6" s="185"/>
      <c r="G6" s="185"/>
      <c r="H6" s="67"/>
      <c r="I6" s="67"/>
    </row>
    <row r="7" spans="1:10" ht="12.75">
      <c r="A7" s="177"/>
      <c r="B7" s="178"/>
      <c r="C7" s="178"/>
      <c r="D7" s="178"/>
      <c r="E7" s="196" t="s">
        <v>301</v>
      </c>
      <c r="F7" s="197"/>
      <c r="G7" s="197"/>
      <c r="J7" s="163" t="s">
        <v>41</v>
      </c>
    </row>
    <row r="8" spans="1:6" ht="12.75">
      <c r="A8" s="177"/>
      <c r="B8" s="178"/>
      <c r="C8" s="178"/>
      <c r="D8" s="178"/>
      <c r="E8" s="178"/>
      <c r="F8" s="178"/>
    </row>
    <row r="9" spans="1:10" ht="12.75">
      <c r="A9" s="177"/>
      <c r="B9" s="178"/>
      <c r="C9" s="178"/>
      <c r="D9" s="178"/>
      <c r="E9" s="178"/>
      <c r="F9" s="178"/>
      <c r="G9" s="178" t="s">
        <v>302</v>
      </c>
      <c r="J9" s="183"/>
    </row>
    <row r="10" spans="1:10" ht="12.75">
      <c r="A10" s="177"/>
      <c r="B10" s="178"/>
      <c r="C10" s="178"/>
      <c r="D10" s="178"/>
      <c r="E10" s="178" t="s">
        <v>305</v>
      </c>
      <c r="F10" s="178"/>
      <c r="G10" s="178" t="s">
        <v>303</v>
      </c>
      <c r="J10" s="178" t="s">
        <v>174</v>
      </c>
    </row>
    <row r="11" spans="1:12" ht="12.75">
      <c r="A11" s="177"/>
      <c r="B11" s="178" t="s">
        <v>143</v>
      </c>
      <c r="C11" s="178"/>
      <c r="D11" s="178"/>
      <c r="E11" s="178" t="s">
        <v>306</v>
      </c>
      <c r="F11" s="178"/>
      <c r="G11" s="178" t="s">
        <v>304</v>
      </c>
      <c r="J11" s="178" t="s">
        <v>175</v>
      </c>
      <c r="L11" s="178" t="s">
        <v>201</v>
      </c>
    </row>
    <row r="12" spans="2:12" ht="12.75">
      <c r="B12" s="90" t="s">
        <v>139</v>
      </c>
      <c r="E12" s="90" t="s">
        <v>139</v>
      </c>
      <c r="G12" s="90" t="s">
        <v>139</v>
      </c>
      <c r="J12" s="90" t="s">
        <v>139</v>
      </c>
      <c r="L12" s="90" t="s">
        <v>139</v>
      </c>
    </row>
    <row r="13" spans="1:12" ht="12.75">
      <c r="A13" s="67" t="s">
        <v>25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</row>
    <row r="14" spans="1:12" ht="12.75">
      <c r="A14" s="212" t="s">
        <v>26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</row>
    <row r="15" spans="1:12" ht="12.75">
      <c r="A15" s="183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</row>
    <row r="16" spans="2:12" ht="12.75"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</row>
    <row r="17" spans="1:12" ht="12.75">
      <c r="A17" t="s">
        <v>14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</row>
    <row r="18" spans="1:12" ht="12.75">
      <c r="A18" t="s">
        <v>252</v>
      </c>
      <c r="B18" s="176">
        <v>79129</v>
      </c>
      <c r="C18" s="176"/>
      <c r="D18" s="176"/>
      <c r="E18" s="176">
        <v>81309</v>
      </c>
      <c r="F18" s="176"/>
      <c r="G18" s="176">
        <v>5155</v>
      </c>
      <c r="H18" s="176"/>
      <c r="I18" s="176"/>
      <c r="J18" s="176">
        <v>211915</v>
      </c>
      <c r="K18" s="176"/>
      <c r="L18" s="176">
        <f>SUM(B18:J18)</f>
        <v>377508</v>
      </c>
    </row>
    <row r="19" spans="2:12" ht="12.75"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</row>
    <row r="20" spans="1:12" ht="12.75">
      <c r="A20" t="s">
        <v>28</v>
      </c>
      <c r="B20" s="176">
        <v>79129</v>
      </c>
      <c r="C20" s="176"/>
      <c r="D20" s="176"/>
      <c r="E20" s="237">
        <f>-79129</f>
        <v>-79129</v>
      </c>
      <c r="F20" s="176"/>
      <c r="G20" s="176"/>
      <c r="H20" s="176"/>
      <c r="I20" s="176"/>
      <c r="J20" s="176"/>
      <c r="K20" s="176"/>
      <c r="L20" s="176">
        <f>SUM(B20:J20)</f>
        <v>0</v>
      </c>
    </row>
    <row r="21" spans="2:12" ht="12.75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</row>
    <row r="22" spans="2:12" ht="12.75"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</row>
    <row r="23" spans="1:12" ht="12.75">
      <c r="A23" t="s">
        <v>340</v>
      </c>
      <c r="B23" s="176"/>
      <c r="C23" s="176"/>
      <c r="D23" s="176"/>
      <c r="E23" s="176"/>
      <c r="F23" s="176"/>
      <c r="G23" s="176"/>
      <c r="H23" s="176"/>
      <c r="I23" s="176"/>
      <c r="J23" s="176">
        <v>38555</v>
      </c>
      <c r="K23" s="176"/>
      <c r="L23" s="176">
        <f>SUM(B23:J23)</f>
        <v>38555</v>
      </c>
    </row>
    <row r="24" spans="1:12" ht="12.75">
      <c r="A24" s="142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</row>
    <row r="25" spans="1:12" ht="12.75">
      <c r="A25" t="s">
        <v>307</v>
      </c>
      <c r="B25" s="176"/>
      <c r="C25" s="176"/>
      <c r="D25" s="176"/>
      <c r="E25" s="176"/>
      <c r="F25" s="176"/>
      <c r="G25" s="176">
        <v>552</v>
      </c>
      <c r="H25" s="176"/>
      <c r="I25" s="176"/>
      <c r="J25" s="176"/>
      <c r="K25" s="176"/>
      <c r="L25" s="176">
        <f>SUM(B25:J25)</f>
        <v>552</v>
      </c>
    </row>
    <row r="27" spans="2:12" ht="12.75"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</row>
    <row r="28" spans="1:12" ht="13.5" thickBot="1">
      <c r="A28" t="s">
        <v>27</v>
      </c>
      <c r="B28" s="186">
        <f>SUM(B17:B27)</f>
        <v>158258</v>
      </c>
      <c r="C28" s="186"/>
      <c r="D28" s="186"/>
      <c r="E28" s="186">
        <f>SUM(E17:E27)</f>
        <v>2180</v>
      </c>
      <c r="F28" s="176"/>
      <c r="G28" s="186">
        <f>SUM(G17:G27)</f>
        <v>5707</v>
      </c>
      <c r="H28" s="176"/>
      <c r="I28" s="186"/>
      <c r="J28" s="186">
        <f>SUM(J17:J27)</f>
        <v>250470</v>
      </c>
      <c r="K28" s="176"/>
      <c r="L28" s="186">
        <f>SUM(L17:L27)</f>
        <v>416615</v>
      </c>
    </row>
    <row r="29" spans="1:12" ht="13.5" thickTop="1">
      <c r="A29" s="155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</row>
    <row r="30" spans="1:12" ht="12.75">
      <c r="A30" t="s">
        <v>257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</row>
    <row r="31" spans="1:12" ht="12.75">
      <c r="A31" t="s">
        <v>1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</row>
    <row r="32" spans="1:12" ht="12.75">
      <c r="A32" s="183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</row>
    <row r="33" spans="2:12" ht="12.75"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</row>
    <row r="34" spans="2:12" ht="12.75"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</row>
    <row r="35" ht="12.75">
      <c r="A35" s="63" t="s">
        <v>18</v>
      </c>
    </row>
    <row r="36" spans="1:5" ht="12.75">
      <c r="A36" s="63" t="s">
        <v>248</v>
      </c>
      <c r="E36" s="95"/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4">
      <pane xSplit="7" ySplit="8" topLeftCell="H33" activePane="bottomRight" state="frozen"/>
      <selection pane="topLeft" activeCell="A4" sqref="A4"/>
      <selection pane="topRight" activeCell="H4" sqref="H4"/>
      <selection pane="bottomLeft" activeCell="A12" sqref="A12"/>
      <selection pane="bottomRight" activeCell="H42" sqref="H42"/>
    </sheetView>
  </sheetViews>
  <sheetFormatPr defaultColWidth="9.140625" defaultRowHeight="12.75"/>
  <cols>
    <col min="6" max="6" width="14.8515625" style="0" customWidth="1"/>
    <col min="7" max="7" width="11.7109375" style="0" hidden="1" customWidth="1"/>
    <col min="8" max="8" width="12.421875" style="0" customWidth="1"/>
    <col min="9" max="9" width="10.8515625" style="0" customWidth="1"/>
  </cols>
  <sheetData>
    <row r="1" ht="15.75">
      <c r="A1" s="2" t="s">
        <v>185</v>
      </c>
    </row>
    <row r="2" ht="12.75">
      <c r="A2" s="67" t="s">
        <v>2</v>
      </c>
    </row>
    <row r="3" ht="12.75">
      <c r="A3" s="67"/>
    </row>
    <row r="4" spans="1:5" ht="12.75">
      <c r="A4" s="63" t="s">
        <v>50</v>
      </c>
      <c r="B4" s="63"/>
      <c r="C4" s="63"/>
      <c r="D4" s="63"/>
      <c r="E4" s="63"/>
    </row>
    <row r="5" spans="1:5" ht="12.75">
      <c r="A5" s="63" t="s">
        <v>51</v>
      </c>
      <c r="B5" s="63"/>
      <c r="C5" s="63"/>
      <c r="D5" s="63"/>
      <c r="E5" s="63"/>
    </row>
    <row r="6" spans="1:5" ht="12.75">
      <c r="A6" s="63" t="s">
        <v>239</v>
      </c>
      <c r="B6" s="63"/>
      <c r="C6" s="63"/>
      <c r="D6" s="63"/>
      <c r="E6" s="63"/>
    </row>
    <row r="7" spans="7:10" ht="12.75">
      <c r="G7" s="239">
        <v>2002</v>
      </c>
      <c r="H7" s="92" t="s">
        <v>9</v>
      </c>
      <c r="J7" s="92"/>
    </row>
    <row r="8" spans="7:8" ht="12.75">
      <c r="G8" s="170" t="s">
        <v>238</v>
      </c>
      <c r="H8" s="223" t="s">
        <v>52</v>
      </c>
    </row>
    <row r="9" spans="7:8" ht="12.75">
      <c r="G9" s="170" t="s">
        <v>53</v>
      </c>
      <c r="H9" s="223" t="s">
        <v>53</v>
      </c>
    </row>
    <row r="10" spans="7:8" ht="12.75">
      <c r="G10" s="240">
        <v>37529</v>
      </c>
      <c r="H10" s="241" t="s">
        <v>335</v>
      </c>
    </row>
    <row r="11" spans="7:8" ht="12.75">
      <c r="G11" s="170" t="s">
        <v>54</v>
      </c>
      <c r="H11" s="223" t="s">
        <v>139</v>
      </c>
    </row>
    <row r="12" ht="12.75">
      <c r="H12" s="176"/>
    </row>
    <row r="13" spans="1:8" ht="12.75">
      <c r="A13" t="s">
        <v>55</v>
      </c>
      <c r="G13" s="13">
        <f>'[1]cashflow'!E8</f>
        <v>54824743.685</v>
      </c>
      <c r="H13" s="95">
        <v>54825</v>
      </c>
    </row>
    <row r="14" spans="1:8" ht="12.75">
      <c r="A14" t="s">
        <v>56</v>
      </c>
      <c r="H14" s="95"/>
    </row>
    <row r="15" ht="12.75">
      <c r="H15" s="95"/>
    </row>
    <row r="16" spans="1:8" ht="12.75">
      <c r="A16" t="s">
        <v>57</v>
      </c>
      <c r="G16" s="13">
        <f>'[1]cashflow'!E13+'[1]cashflow'!E14+'[1]cashflow'!E15+'[1]cashflow'!E16+'[1]cashflow'!E17+'[1]cashflow'!E18+'[1]cashflow'!E20+'[1]cashflow'!E21+'[1]cashflow'!E22+'[1]cashflow'!E23+'[1]cashflow'!E24+'[1]cashflow'!E25+'[1]cashflow'!E26+'[1]cashflow'!E27+'[1]cashflow'!E29</f>
        <v>5923553.769629551</v>
      </c>
      <c r="H16" s="95">
        <v>5923</v>
      </c>
    </row>
    <row r="17" spans="1:8" ht="12.75">
      <c r="A17" t="s">
        <v>58</v>
      </c>
      <c r="G17" s="13">
        <f>'[1]cashflow'!E11+'[1]cashflow'!E12</f>
        <v>24061889.988573916</v>
      </c>
      <c r="H17" s="95">
        <v>24062</v>
      </c>
    </row>
    <row r="18" ht="12.75">
      <c r="H18" s="95"/>
    </row>
    <row r="19" spans="1:8" ht="12.75">
      <c r="A19" t="s">
        <v>59</v>
      </c>
      <c r="G19" s="172">
        <f>SUM(G13:G17)</f>
        <v>84810187.44320348</v>
      </c>
      <c r="H19" s="242">
        <f>SUM(H13:H17)</f>
        <v>84810</v>
      </c>
    </row>
    <row r="20" ht="12.75">
      <c r="H20" s="95"/>
    </row>
    <row r="21" spans="1:8" ht="12.75">
      <c r="A21" t="s">
        <v>60</v>
      </c>
      <c r="H21" s="95"/>
    </row>
    <row r="22" spans="1:8" ht="12.75">
      <c r="A22" t="s">
        <v>61</v>
      </c>
      <c r="G22" s="13">
        <f>'[1]cashflow'!E33+'[1]cashflow'!E34+'[1]cashflow'!E37+'[1]cashflow'!E38+78</f>
        <v>290656574.4332404</v>
      </c>
      <c r="H22" s="95">
        <v>290553</v>
      </c>
    </row>
    <row r="23" spans="1:8" ht="12.75">
      <c r="A23" t="s">
        <v>62</v>
      </c>
      <c r="G23" s="13">
        <f>'[1]cashflow'!E35</f>
        <v>-292526679.17862713</v>
      </c>
      <c r="H23" s="95">
        <v>-293011</v>
      </c>
    </row>
    <row r="24" spans="7:8" ht="12.75">
      <c r="G24" s="13"/>
      <c r="H24" s="95"/>
    </row>
    <row r="25" spans="1:8" ht="13.5" thickBot="1">
      <c r="A25" t="s">
        <v>63</v>
      </c>
      <c r="G25" s="243">
        <f>SUM(G19:G23)</f>
        <v>82940082.69781673</v>
      </c>
      <c r="H25" s="244">
        <f>SUM(H19:H23)</f>
        <v>82352</v>
      </c>
    </row>
    <row r="26" ht="13.5" thickTop="1">
      <c r="H26" s="95"/>
    </row>
    <row r="27" spans="1:8" ht="12.75">
      <c r="A27" t="s">
        <v>64</v>
      </c>
      <c r="H27" s="95"/>
    </row>
    <row r="28" spans="1:8" ht="12.75">
      <c r="A28" t="s">
        <v>65</v>
      </c>
      <c r="B28" s="142"/>
      <c r="G28" s="13" t="e">
        <f>'[1]cashflow'!E50+'[1]cashflow'!E51+'[1]cashflow'!E53+'[1]cashflow'!E54+'[1]cashflow'!E55+'[1]cashflow'!E56+'[1]cashflow'!E57</f>
        <v>#REF!</v>
      </c>
      <c r="H28" s="95">
        <v>38959</v>
      </c>
    </row>
    <row r="29" spans="1:8" ht="12.75">
      <c r="A29" t="s">
        <v>66</v>
      </c>
      <c r="B29" s="142"/>
      <c r="G29" s="140" t="e">
        <f>#REF!+G28</f>
        <v>#REF!</v>
      </c>
      <c r="H29" s="244">
        <f>+H28</f>
        <v>38959</v>
      </c>
    </row>
    <row r="30" ht="12.75">
      <c r="H30" s="95"/>
    </row>
    <row r="31" spans="1:8" ht="12.75">
      <c r="A31" t="s">
        <v>67</v>
      </c>
      <c r="H31" s="95"/>
    </row>
    <row r="32" spans="1:8" ht="12.75">
      <c r="A32" t="s">
        <v>68</v>
      </c>
      <c r="B32" s="142"/>
      <c r="G32" s="13" t="e">
        <f>'[1]cashflow'!E62+'[1]cashflow'!E63+'[1]cashflow'!E64+'[1]cashflow'!E65+'[1]cashflow'!E66</f>
        <v>#REF!</v>
      </c>
      <c r="H32" s="95">
        <v>-80132</v>
      </c>
    </row>
    <row r="33" spans="1:8" ht="12.75">
      <c r="A33" t="s">
        <v>69</v>
      </c>
      <c r="B33" s="142"/>
      <c r="G33" s="13"/>
      <c r="H33" s="95">
        <v>-2025</v>
      </c>
    </row>
    <row r="34" spans="2:8" ht="12.75">
      <c r="B34" s="142"/>
      <c r="G34" s="13"/>
      <c r="H34" s="95"/>
    </row>
    <row r="35" spans="1:8" ht="12.75">
      <c r="A35" t="s">
        <v>70</v>
      </c>
      <c r="B35" s="142"/>
      <c r="G35" s="140" t="e">
        <f>SUM(G32:G32)</f>
        <v>#REF!</v>
      </c>
      <c r="H35" s="244">
        <f>SUM(H32:H33)</f>
        <v>-82157</v>
      </c>
    </row>
    <row r="36" ht="12.75">
      <c r="H36" s="95"/>
    </row>
    <row r="37" spans="1:8" ht="12.75">
      <c r="A37" t="s">
        <v>71</v>
      </c>
      <c r="G37" s="13" t="e">
        <f>G25+G29+G35</f>
        <v>#REF!</v>
      </c>
      <c r="H37" s="95">
        <f>H25+H29+H35</f>
        <v>39154</v>
      </c>
    </row>
    <row r="38" ht="12.75">
      <c r="H38" s="95"/>
    </row>
    <row r="39" ht="12.75">
      <c r="H39" s="95"/>
    </row>
    <row r="40" spans="1:8" ht="12.75">
      <c r="A40" t="s">
        <v>72</v>
      </c>
      <c r="G40" s="13">
        <f>'[1]cashflow'!E73</f>
        <v>-15593379</v>
      </c>
      <c r="H40" s="95">
        <v>-15593</v>
      </c>
    </row>
    <row r="41" spans="7:8" ht="12.75">
      <c r="G41" s="13"/>
      <c r="H41" s="95"/>
    </row>
    <row r="42" spans="1:8" ht="12.75">
      <c r="A42" t="s">
        <v>73</v>
      </c>
      <c r="G42" s="13">
        <f>'[1]cashflow'!E74</f>
        <v>-348019.4933422956</v>
      </c>
      <c r="H42" s="95">
        <f>-348</f>
        <v>-348</v>
      </c>
    </row>
    <row r="43" spans="7:8" ht="12.75">
      <c r="G43" s="141"/>
      <c r="H43" s="52"/>
    </row>
    <row r="44" spans="1:8" ht="13.5" thickBot="1">
      <c r="A44" t="s">
        <v>74</v>
      </c>
      <c r="G44" s="243" t="e">
        <f>G37+#REF!</f>
        <v>#REF!</v>
      </c>
      <c r="H44" s="245">
        <f>SUM(H37:H42)</f>
        <v>23213</v>
      </c>
    </row>
    <row r="45" ht="13.5" thickTop="1"/>
    <row r="46" spans="1:12" ht="12.75">
      <c r="A46" t="s">
        <v>75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</row>
    <row r="47" spans="1:12" ht="12.75">
      <c r="A47" s="67" t="s">
        <v>76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</row>
    <row r="48" spans="1:12" ht="12.75">
      <c r="A48" t="s">
        <v>77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</row>
    <row r="51" ht="12.75">
      <c r="A51" t="s">
        <v>78</v>
      </c>
    </row>
    <row r="52" ht="12.75">
      <c r="A52" t="s">
        <v>79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79"/>
  <sheetViews>
    <sheetView workbookViewId="0" topLeftCell="A117">
      <selection activeCell="B131" sqref="B131"/>
    </sheetView>
  </sheetViews>
  <sheetFormatPr defaultColWidth="9.140625" defaultRowHeight="12.75"/>
  <cols>
    <col min="1" max="1" width="3.57421875" style="0" customWidth="1"/>
    <col min="2" max="2" width="29.57421875" style="0" customWidth="1"/>
    <col min="3" max="3" width="14.28125" style="0" customWidth="1"/>
    <col min="4" max="4" width="15.00390625" style="0" customWidth="1"/>
    <col min="5" max="5" width="14.8515625" style="0" customWidth="1"/>
    <col min="6" max="6" width="14.57421875" style="0" customWidth="1"/>
  </cols>
  <sheetData>
    <row r="1" ht="3.75" customHeight="1"/>
    <row r="2" spans="1:6" ht="15.75">
      <c r="A2" s="252" t="s">
        <v>98</v>
      </c>
      <c r="B2" s="263"/>
      <c r="C2" s="263"/>
      <c r="D2" s="263"/>
      <c r="E2" s="263"/>
      <c r="F2" s="264"/>
    </row>
    <row r="3" spans="1:6" ht="12.75">
      <c r="A3" s="265" t="s">
        <v>202</v>
      </c>
      <c r="B3" s="266"/>
      <c r="C3" s="266"/>
      <c r="D3" s="266"/>
      <c r="E3" s="266"/>
      <c r="F3" s="267"/>
    </row>
    <row r="4" spans="1:6" ht="12.75">
      <c r="A4" s="256"/>
      <c r="B4" s="256"/>
      <c r="C4" s="256"/>
      <c r="D4" s="256"/>
      <c r="E4" s="256"/>
      <c r="F4" s="256"/>
    </row>
    <row r="5" spans="1:6" s="51" customFormat="1" ht="12.75">
      <c r="A5" s="262" t="s">
        <v>203</v>
      </c>
      <c r="B5" s="262"/>
      <c r="C5" s="262"/>
      <c r="D5" s="262"/>
      <c r="E5" s="262"/>
      <c r="F5" s="262"/>
    </row>
    <row r="6" spans="1:6" s="51" customFormat="1" ht="12.75">
      <c r="A6" s="257" t="s">
        <v>253</v>
      </c>
      <c r="B6" s="257"/>
      <c r="C6" s="257"/>
      <c r="D6" s="257"/>
      <c r="E6" s="257"/>
      <c r="F6" s="257"/>
    </row>
    <row r="7" spans="1:6" s="51" customFormat="1" ht="12.75">
      <c r="A7" s="177"/>
      <c r="B7" s="177"/>
      <c r="C7" s="177"/>
      <c r="D7" s="177"/>
      <c r="E7" s="177"/>
      <c r="F7" s="177"/>
    </row>
    <row r="8" spans="1:6" s="51" customFormat="1" ht="12.75">
      <c r="A8" s="177"/>
      <c r="B8" s="148" t="s">
        <v>300</v>
      </c>
      <c r="C8" s="194"/>
      <c r="D8" s="194"/>
      <c r="E8" s="194"/>
      <c r="F8" s="177"/>
    </row>
    <row r="9" spans="1:6" s="51" customFormat="1" ht="12.75">
      <c r="A9" s="268"/>
      <c r="B9" s="256"/>
      <c r="C9" s="256"/>
      <c r="D9" s="256"/>
      <c r="E9" s="256"/>
      <c r="F9" s="256"/>
    </row>
    <row r="10" spans="1:6" s="67" customFormat="1" ht="12.75">
      <c r="A10" s="70">
        <v>1</v>
      </c>
      <c r="B10" s="63" t="s">
        <v>204</v>
      </c>
      <c r="C10" s="63"/>
      <c r="D10" s="63"/>
      <c r="E10" s="68"/>
      <c r="F10" s="68"/>
    </row>
    <row r="11" spans="1:6" s="67" customFormat="1" ht="12" customHeight="1">
      <c r="A11" s="69"/>
      <c r="E11" s="68"/>
      <c r="F11" s="68"/>
    </row>
    <row r="12" spans="1:6" s="67" customFormat="1" ht="12.75">
      <c r="A12" s="69"/>
      <c r="B12" s="67" t="s">
        <v>188</v>
      </c>
      <c r="E12" s="68"/>
      <c r="F12" s="68"/>
    </row>
    <row r="13" spans="1:6" s="67" customFormat="1" ht="12.75">
      <c r="A13" s="69"/>
      <c r="B13" s="67" t="s">
        <v>177</v>
      </c>
      <c r="E13" s="68"/>
      <c r="F13" s="68"/>
    </row>
    <row r="14" spans="1:6" s="67" customFormat="1" ht="12.75">
      <c r="A14" s="69"/>
      <c r="B14" s="67" t="s">
        <v>189</v>
      </c>
      <c r="E14" s="68"/>
      <c r="F14" s="68"/>
    </row>
    <row r="15" spans="1:6" s="67" customFormat="1" ht="12.75">
      <c r="A15" s="69"/>
      <c r="B15" s="67" t="s">
        <v>249</v>
      </c>
      <c r="E15" s="68"/>
      <c r="F15" s="68"/>
    </row>
    <row r="16" spans="1:6" s="67" customFormat="1" ht="12.75">
      <c r="A16" s="70"/>
      <c r="B16" s="63"/>
      <c r="C16" s="63"/>
      <c r="D16" s="63"/>
      <c r="E16" s="68"/>
      <c r="F16" s="68"/>
    </row>
    <row r="17" spans="1:6" s="67" customFormat="1" ht="12.75">
      <c r="A17" s="70"/>
      <c r="B17" s="67" t="s">
        <v>165</v>
      </c>
      <c r="C17" s="63"/>
      <c r="D17" s="63"/>
      <c r="E17" s="68"/>
      <c r="F17" s="68"/>
    </row>
    <row r="18" spans="1:6" s="67" customFormat="1" ht="12.75">
      <c r="A18" s="70"/>
      <c r="B18" s="67" t="s">
        <v>166</v>
      </c>
      <c r="C18" s="63"/>
      <c r="D18" s="63"/>
      <c r="E18" s="68"/>
      <c r="F18" s="68"/>
    </row>
    <row r="19" spans="1:6" s="67" customFormat="1" ht="12.75">
      <c r="A19" s="70"/>
      <c r="B19" s="63"/>
      <c r="C19" s="63"/>
      <c r="D19" s="63"/>
      <c r="E19" s="68"/>
      <c r="F19" s="68"/>
    </row>
    <row r="20" spans="1:6" s="67" customFormat="1" ht="12.75">
      <c r="A20" s="70"/>
      <c r="B20" s="63"/>
      <c r="C20" s="63"/>
      <c r="D20" s="63"/>
      <c r="E20" s="68"/>
      <c r="F20" s="68"/>
    </row>
    <row r="21" spans="1:6" s="67" customFormat="1" ht="12.75">
      <c r="A21" s="70">
        <v>2</v>
      </c>
      <c r="B21" s="63" t="s">
        <v>297</v>
      </c>
      <c r="C21" s="63"/>
      <c r="D21" s="63"/>
      <c r="E21" s="68"/>
      <c r="F21" s="68"/>
    </row>
    <row r="22" spans="1:6" s="67" customFormat="1" ht="12.75">
      <c r="A22" s="70"/>
      <c r="B22" s="63"/>
      <c r="C22" s="63"/>
      <c r="D22" s="63"/>
      <c r="E22" s="68"/>
      <c r="F22" s="68"/>
    </row>
    <row r="23" spans="1:6" s="67" customFormat="1" ht="12.75">
      <c r="A23" s="70"/>
      <c r="B23" s="67" t="s">
        <v>15</v>
      </c>
      <c r="C23" s="63"/>
      <c r="D23" s="63"/>
      <c r="E23" s="68"/>
      <c r="F23" s="68"/>
    </row>
    <row r="24" spans="1:6" s="67" customFormat="1" ht="12.75">
      <c r="A24" s="70"/>
      <c r="B24" s="67" t="s">
        <v>196</v>
      </c>
      <c r="C24" s="63"/>
      <c r="D24" s="63"/>
      <c r="E24" s="68"/>
      <c r="F24" s="68"/>
    </row>
    <row r="25" spans="1:6" s="67" customFormat="1" ht="12.75">
      <c r="A25" s="70"/>
      <c r="B25" s="63"/>
      <c r="C25" s="63"/>
      <c r="D25" s="63"/>
      <c r="E25" s="68"/>
      <c r="F25" s="68"/>
    </row>
    <row r="26" spans="1:6" s="67" customFormat="1" ht="12.75">
      <c r="A26" s="70">
        <v>3</v>
      </c>
      <c r="B26" s="151" t="s">
        <v>81</v>
      </c>
      <c r="C26" s="63"/>
      <c r="D26" s="63"/>
      <c r="E26" s="68"/>
      <c r="F26" s="68"/>
    </row>
    <row r="27" spans="1:6" s="67" customFormat="1" ht="12.75">
      <c r="A27" s="70"/>
      <c r="B27" s="139"/>
      <c r="C27" s="63"/>
      <c r="D27" s="63"/>
      <c r="E27" s="68"/>
      <c r="F27" s="68"/>
    </row>
    <row r="28" spans="1:6" s="67" customFormat="1" ht="12.75">
      <c r="A28" s="70"/>
      <c r="B28" s="152" t="s">
        <v>29</v>
      </c>
      <c r="C28" s="63"/>
      <c r="D28" s="63"/>
      <c r="E28" s="68"/>
      <c r="F28" s="68"/>
    </row>
    <row r="29" spans="1:6" s="67" customFormat="1" ht="12.75">
      <c r="A29" s="70"/>
      <c r="B29" s="152" t="s">
        <v>3</v>
      </c>
      <c r="C29" s="63"/>
      <c r="D29" s="63"/>
      <c r="E29" s="68"/>
      <c r="F29" s="68"/>
    </row>
    <row r="30" spans="1:6" s="67" customFormat="1" ht="12.75">
      <c r="A30" s="70"/>
      <c r="B30" s="63"/>
      <c r="C30" s="63"/>
      <c r="D30" s="63"/>
      <c r="E30" s="68"/>
      <c r="F30" s="68"/>
    </row>
    <row r="31" spans="1:6" s="67" customFormat="1" ht="12.75">
      <c r="A31" s="70">
        <v>4</v>
      </c>
      <c r="B31" s="63" t="s">
        <v>190</v>
      </c>
      <c r="C31" s="63"/>
      <c r="D31" s="63"/>
      <c r="E31" s="68"/>
      <c r="F31" s="68"/>
    </row>
    <row r="32" spans="1:6" s="67" customFormat="1" ht="12.75">
      <c r="A32" s="70"/>
      <c r="B32" s="63"/>
      <c r="C32" s="63"/>
      <c r="D32" s="63"/>
      <c r="E32" s="68"/>
      <c r="F32" s="68"/>
    </row>
    <row r="33" spans="1:6" s="67" customFormat="1" ht="12.75">
      <c r="A33" s="70"/>
      <c r="B33" s="67" t="s">
        <v>191</v>
      </c>
      <c r="C33" s="63"/>
      <c r="D33" s="63"/>
      <c r="E33" s="68"/>
      <c r="F33" s="68"/>
    </row>
    <row r="34" spans="1:6" s="67" customFormat="1" ht="12.75">
      <c r="A34" s="70"/>
      <c r="B34" s="67" t="s">
        <v>30</v>
      </c>
      <c r="C34" s="63"/>
      <c r="D34" s="63"/>
      <c r="E34" s="68"/>
      <c r="F34" s="68"/>
    </row>
    <row r="35" spans="1:6" s="67" customFormat="1" ht="12.75">
      <c r="A35" s="70"/>
      <c r="B35" s="226" t="s">
        <v>6</v>
      </c>
      <c r="C35" s="63"/>
      <c r="D35" s="63"/>
      <c r="E35" s="68"/>
      <c r="F35" s="68"/>
    </row>
    <row r="36" spans="1:6" s="67" customFormat="1" ht="12.75">
      <c r="A36" s="70"/>
      <c r="B36" s="63"/>
      <c r="C36" s="63"/>
      <c r="D36" s="63"/>
      <c r="E36" s="68"/>
      <c r="F36" s="68"/>
    </row>
    <row r="37" spans="1:6" s="67" customFormat="1" ht="12.75">
      <c r="A37" s="70">
        <v>5</v>
      </c>
      <c r="B37" s="63" t="s">
        <v>192</v>
      </c>
      <c r="C37" s="63"/>
      <c r="D37" s="63"/>
      <c r="E37" s="68"/>
      <c r="F37" s="68"/>
    </row>
    <row r="38" spans="1:6" s="67" customFormat="1" ht="12.75">
      <c r="A38" s="70"/>
      <c r="B38" s="63"/>
      <c r="C38" s="63"/>
      <c r="D38" s="63"/>
      <c r="E38" s="68"/>
      <c r="F38" s="68"/>
    </row>
    <row r="39" spans="1:6" s="67" customFormat="1" ht="12.75">
      <c r="A39" s="70"/>
      <c r="B39" s="67" t="s">
        <v>163</v>
      </c>
      <c r="C39" s="190"/>
      <c r="D39" s="190"/>
      <c r="E39" s="191"/>
      <c r="F39" s="191"/>
    </row>
    <row r="40" spans="1:6" s="67" customFormat="1" ht="12.75">
      <c r="A40" s="70"/>
      <c r="B40" s="67" t="s">
        <v>5</v>
      </c>
      <c r="C40" s="190"/>
      <c r="D40" s="190"/>
      <c r="E40" s="191"/>
      <c r="F40" s="191"/>
    </row>
    <row r="41" spans="1:6" s="67" customFormat="1" ht="12.75">
      <c r="A41" s="70"/>
      <c r="B41" s="63"/>
      <c r="C41" s="63"/>
      <c r="D41" s="63"/>
      <c r="E41" s="68"/>
      <c r="F41" s="68"/>
    </row>
    <row r="42" spans="1:6" s="67" customFormat="1" ht="12.75">
      <c r="A42" s="70">
        <v>6</v>
      </c>
      <c r="B42" s="63" t="s">
        <v>210</v>
      </c>
      <c r="C42" s="63"/>
      <c r="D42" s="63"/>
      <c r="E42" s="68"/>
      <c r="F42" s="68"/>
    </row>
    <row r="43" spans="1:6" s="67" customFormat="1" ht="12.75">
      <c r="A43" s="70"/>
      <c r="C43" s="63"/>
      <c r="D43" s="63"/>
      <c r="E43" s="68"/>
      <c r="F43" s="68"/>
    </row>
    <row r="44" spans="1:6" s="67" customFormat="1" ht="12.75">
      <c r="A44" s="70"/>
      <c r="B44" s="67" t="s">
        <v>338</v>
      </c>
      <c r="C44" s="63"/>
      <c r="D44" s="63"/>
      <c r="E44" s="68"/>
      <c r="F44" s="68"/>
    </row>
    <row r="45" spans="1:6" s="67" customFormat="1" ht="12.75">
      <c r="A45" s="70"/>
      <c r="B45" s="67" t="s">
        <v>339</v>
      </c>
      <c r="C45" s="63"/>
      <c r="D45" s="63"/>
      <c r="E45" s="68"/>
      <c r="F45" s="68"/>
    </row>
    <row r="46" spans="1:6" s="67" customFormat="1" ht="12.75">
      <c r="A46" s="70"/>
      <c r="B46" s="67" t="s">
        <v>341</v>
      </c>
      <c r="C46" s="63"/>
      <c r="D46" s="63"/>
      <c r="E46" s="68"/>
      <c r="F46" s="68"/>
    </row>
    <row r="47" spans="1:6" s="67" customFormat="1" ht="12.75">
      <c r="A47" s="70"/>
      <c r="C47" s="63"/>
      <c r="D47" s="63"/>
      <c r="E47" s="68"/>
      <c r="F47" s="68"/>
    </row>
    <row r="48" spans="1:6" s="67" customFormat="1" ht="12.75">
      <c r="A48" s="70"/>
      <c r="B48" s="67" t="s">
        <v>33</v>
      </c>
      <c r="C48" s="63"/>
      <c r="D48" s="63"/>
      <c r="E48" s="68"/>
      <c r="F48" s="68"/>
    </row>
    <row r="49" spans="1:6" s="67" customFormat="1" ht="12.75">
      <c r="A49" s="70"/>
      <c r="B49" s="67" t="s">
        <v>244</v>
      </c>
      <c r="C49" s="63"/>
      <c r="D49" s="63"/>
      <c r="E49" s="68"/>
      <c r="F49" s="68"/>
    </row>
    <row r="50" spans="1:6" s="67" customFormat="1" ht="12.75">
      <c r="A50" s="70"/>
      <c r="B50" s="67" t="s">
        <v>31</v>
      </c>
      <c r="C50" s="63"/>
      <c r="D50" s="63"/>
      <c r="E50" s="68"/>
      <c r="F50" s="68"/>
    </row>
    <row r="51" spans="1:6" s="67" customFormat="1" ht="12.75">
      <c r="A51" s="70"/>
      <c r="B51" s="63"/>
      <c r="C51" s="63"/>
      <c r="D51" s="63"/>
      <c r="E51" s="68"/>
      <c r="F51" s="68"/>
    </row>
    <row r="52" spans="1:6" s="67" customFormat="1" ht="12.75">
      <c r="A52" s="70"/>
      <c r="B52" s="63"/>
      <c r="C52" s="63"/>
      <c r="D52" s="63"/>
      <c r="E52" s="68"/>
      <c r="F52" s="68"/>
    </row>
    <row r="53" spans="1:6" s="67" customFormat="1" ht="12.75">
      <c r="A53" s="70"/>
      <c r="B53" s="63"/>
      <c r="C53" s="63"/>
      <c r="D53" s="63"/>
      <c r="E53" s="68"/>
      <c r="F53" s="68"/>
    </row>
    <row r="54" spans="1:6" s="67" customFormat="1" ht="12.75">
      <c r="A54" s="262" t="s">
        <v>209</v>
      </c>
      <c r="B54" s="262"/>
      <c r="C54" s="262"/>
      <c r="D54" s="262"/>
      <c r="E54" s="262"/>
      <c r="F54" s="262"/>
    </row>
    <row r="55" spans="1:6" s="67" customFormat="1" ht="12.75">
      <c r="A55" s="262"/>
      <c r="B55" s="262"/>
      <c r="C55" s="262"/>
      <c r="D55" s="262"/>
      <c r="E55" s="262"/>
      <c r="F55" s="262"/>
    </row>
    <row r="56" spans="1:6" s="67" customFormat="1" ht="15.75">
      <c r="A56" s="252" t="s">
        <v>98</v>
      </c>
      <c r="B56" s="263"/>
      <c r="C56" s="263"/>
      <c r="D56" s="263"/>
      <c r="E56" s="263"/>
      <c r="F56" s="264"/>
    </row>
    <row r="57" spans="1:6" s="67" customFormat="1" ht="12.75">
      <c r="A57" s="265" t="s">
        <v>202</v>
      </c>
      <c r="B57" s="266"/>
      <c r="C57" s="266"/>
      <c r="D57" s="266"/>
      <c r="E57" s="266"/>
      <c r="F57" s="267"/>
    </row>
    <row r="58" spans="1:6" s="67" customFormat="1" ht="12.75">
      <c r="A58" s="139"/>
      <c r="B58" s="139"/>
      <c r="C58" s="139"/>
      <c r="D58" s="139"/>
      <c r="E58" s="139"/>
      <c r="F58" s="139"/>
    </row>
    <row r="59" spans="1:6" s="67" customFormat="1" ht="12.75">
      <c r="A59" s="70">
        <v>7</v>
      </c>
      <c r="B59" s="63" t="s">
        <v>131</v>
      </c>
      <c r="C59" s="63"/>
      <c r="D59" s="63"/>
      <c r="E59" s="68"/>
      <c r="F59" s="68"/>
    </row>
    <row r="60" spans="1:6" s="67" customFormat="1" ht="12.75">
      <c r="A60" s="70"/>
      <c r="B60" s="63"/>
      <c r="C60" s="63"/>
      <c r="D60" s="63"/>
      <c r="E60" s="68"/>
      <c r="F60" s="68"/>
    </row>
    <row r="61" spans="1:6" s="67" customFormat="1" ht="12.75">
      <c r="A61" s="69"/>
      <c r="B61" t="s">
        <v>32</v>
      </c>
      <c r="E61" s="68"/>
      <c r="F61" s="68"/>
    </row>
    <row r="62" spans="1:6" s="67" customFormat="1" ht="12.75">
      <c r="A62" s="70"/>
      <c r="B62" s="63"/>
      <c r="C62" s="63"/>
      <c r="D62" s="63"/>
      <c r="E62" s="68"/>
      <c r="F62" s="68"/>
    </row>
    <row r="63" spans="1:6" s="67" customFormat="1" ht="12.75">
      <c r="A63" s="70"/>
      <c r="B63" s="63"/>
      <c r="C63" s="63"/>
      <c r="D63" s="63"/>
      <c r="E63" s="68"/>
      <c r="F63" s="68"/>
    </row>
    <row r="64" spans="1:6" s="67" customFormat="1" ht="12.75">
      <c r="A64" s="70">
        <v>8</v>
      </c>
      <c r="B64" s="63" t="s">
        <v>230</v>
      </c>
      <c r="C64" s="63"/>
      <c r="D64" s="63"/>
      <c r="E64" s="68"/>
      <c r="F64" s="68"/>
    </row>
    <row r="65" spans="1:6" s="67" customFormat="1" ht="12.75">
      <c r="A65" s="70"/>
      <c r="B65" s="63"/>
      <c r="C65" s="63"/>
      <c r="D65" s="63"/>
      <c r="E65" s="68"/>
      <c r="F65" s="68"/>
    </row>
    <row r="66" spans="1:6" s="67" customFormat="1" ht="12.75">
      <c r="A66" s="70"/>
      <c r="B66" s="63" t="s">
        <v>263</v>
      </c>
      <c r="C66" s="63"/>
      <c r="D66"/>
      <c r="E66"/>
      <c r="F66"/>
    </row>
    <row r="67" spans="1:6" s="67" customFormat="1" ht="12.75">
      <c r="A67" s="70"/>
      <c r="B67" s="53"/>
      <c r="C67" s="55"/>
      <c r="D67" s="83" t="s">
        <v>116</v>
      </c>
      <c r="E67" s="80" t="s">
        <v>16</v>
      </c>
      <c r="F67"/>
    </row>
    <row r="68" spans="1:6" s="67" customFormat="1" ht="12.75">
      <c r="A68" s="70"/>
      <c r="B68" s="56"/>
      <c r="C68" s="14"/>
      <c r="D68" s="86"/>
      <c r="E68" s="87" t="s">
        <v>17</v>
      </c>
      <c r="F68"/>
    </row>
    <row r="69" spans="1:6" s="67" customFormat="1" ht="12.75">
      <c r="A69" s="70"/>
      <c r="B69" s="56"/>
      <c r="C69" s="14"/>
      <c r="D69" s="86"/>
      <c r="E69" s="87" t="s">
        <v>114</v>
      </c>
      <c r="F69"/>
    </row>
    <row r="70" spans="1:6" s="67" customFormat="1" ht="12.75">
      <c r="A70" s="70"/>
      <c r="B70" s="54"/>
      <c r="C70" s="165"/>
      <c r="D70" s="84" t="s">
        <v>212</v>
      </c>
      <c r="E70" s="85" t="s">
        <v>212</v>
      </c>
      <c r="F70"/>
    </row>
    <row r="71" spans="1:6" s="67" customFormat="1" ht="12.75">
      <c r="A71" s="70"/>
      <c r="B71" s="164" t="s">
        <v>198</v>
      </c>
      <c r="C71" s="166"/>
      <c r="D71" s="94">
        <v>7622</v>
      </c>
      <c r="E71" s="94">
        <v>-155</v>
      </c>
      <c r="F71"/>
    </row>
    <row r="72" spans="1:6" s="67" customFormat="1" ht="12.75">
      <c r="A72" s="70"/>
      <c r="B72" s="81" t="s">
        <v>199</v>
      </c>
      <c r="C72" s="167"/>
      <c r="D72" s="7">
        <v>3493</v>
      </c>
      <c r="E72" s="7">
        <v>504</v>
      </c>
      <c r="F72"/>
    </row>
    <row r="73" spans="1:6" s="67" customFormat="1" ht="12.75">
      <c r="A73" s="70"/>
      <c r="B73" s="81" t="s">
        <v>200</v>
      </c>
      <c r="C73" s="167"/>
      <c r="D73" s="7">
        <v>29585</v>
      </c>
      <c r="E73" s="7">
        <v>13399</v>
      </c>
      <c r="F73"/>
    </row>
    <row r="74" spans="1:6" s="67" customFormat="1" ht="12.75">
      <c r="A74" s="70"/>
      <c r="B74" s="81" t="s">
        <v>197</v>
      </c>
      <c r="C74" s="167"/>
      <c r="D74" s="7">
        <v>2890</v>
      </c>
      <c r="E74" s="7">
        <v>1937</v>
      </c>
      <c r="F74"/>
    </row>
    <row r="75" spans="1:6" s="67" customFormat="1" ht="12.75">
      <c r="A75" s="70"/>
      <c r="B75" s="81" t="s">
        <v>43</v>
      </c>
      <c r="C75" s="167"/>
      <c r="D75" s="7">
        <v>529203</v>
      </c>
      <c r="E75" s="7">
        <v>64045</v>
      </c>
      <c r="F75"/>
    </row>
    <row r="76" spans="1:6" s="67" customFormat="1" ht="12.75">
      <c r="A76" s="70"/>
      <c r="B76" s="81" t="s">
        <v>35</v>
      </c>
      <c r="C76" s="167"/>
      <c r="D76" s="7">
        <v>4645</v>
      </c>
      <c r="E76" s="192">
        <v>4618</v>
      </c>
      <c r="F76"/>
    </row>
    <row r="77" spans="1:6" s="67" customFormat="1" ht="12.75">
      <c r="A77" s="70"/>
      <c r="B77" s="227"/>
      <c r="C77" s="228"/>
      <c r="D77" s="231">
        <f>SUM(D71:D76)</f>
        <v>577438</v>
      </c>
      <c r="E77" s="231">
        <f>SUM(E71:E76)</f>
        <v>84348</v>
      </c>
      <c r="F77"/>
    </row>
    <row r="78" spans="1:6" s="67" customFormat="1" ht="12.75">
      <c r="A78" s="70"/>
      <c r="B78" s="73" t="s">
        <v>34</v>
      </c>
      <c r="C78" s="229"/>
      <c r="D78" s="232">
        <f>-16329</f>
        <v>-16329</v>
      </c>
      <c r="E78" s="232">
        <v>-4602</v>
      </c>
      <c r="F78"/>
    </row>
    <row r="79" spans="1:6" s="67" customFormat="1" ht="13.5" thickBot="1">
      <c r="A79" s="70"/>
      <c r="B79" s="73"/>
      <c r="C79" s="229"/>
      <c r="D79" s="233">
        <f>D77+D78</f>
        <v>561109</v>
      </c>
      <c r="E79" s="231">
        <f>E77+E78</f>
        <v>79746</v>
      </c>
      <c r="F79"/>
    </row>
    <row r="80" spans="1:6" s="67" customFormat="1" ht="13.5" thickTop="1">
      <c r="A80" s="70"/>
      <c r="B80" s="73" t="s">
        <v>88</v>
      </c>
      <c r="C80" s="229"/>
      <c r="D80" s="232"/>
      <c r="E80" s="232">
        <v>-859</v>
      </c>
      <c r="F80"/>
    </row>
    <row r="81" spans="1:6" s="67" customFormat="1" ht="12.75">
      <c r="A81" s="70"/>
      <c r="B81" s="73"/>
      <c r="C81" s="229"/>
      <c r="D81" s="232"/>
      <c r="E81" s="231">
        <f>E79+E80</f>
        <v>78887</v>
      </c>
      <c r="F81"/>
    </row>
    <row r="82" spans="1:6" s="67" customFormat="1" ht="12.75">
      <c r="A82" s="70"/>
      <c r="B82" s="73" t="s">
        <v>336</v>
      </c>
      <c r="C82" s="229"/>
      <c r="D82" s="232"/>
      <c r="E82" s="232">
        <v>4916</v>
      </c>
      <c r="F82"/>
    </row>
    <row r="83" spans="1:6" s="67" customFormat="1" ht="12.75">
      <c r="A83" s="70"/>
      <c r="B83" s="73" t="s">
        <v>89</v>
      </c>
      <c r="C83" s="229"/>
      <c r="D83" s="232"/>
      <c r="E83" s="232">
        <f>-28978</f>
        <v>-28978</v>
      </c>
      <c r="F83"/>
    </row>
    <row r="84" spans="1:6" s="67" customFormat="1" ht="13.5" thickBot="1">
      <c r="A84" s="70"/>
      <c r="B84" s="230"/>
      <c r="C84" s="224"/>
      <c r="D84" s="234"/>
      <c r="E84" s="233">
        <f>E81+E82+E83</f>
        <v>54825</v>
      </c>
      <c r="F84"/>
    </row>
    <row r="85" spans="1:6" s="67" customFormat="1" ht="13.5" thickTop="1">
      <c r="A85" s="70"/>
      <c r="B85" s="229"/>
      <c r="C85" s="229"/>
      <c r="D85" s="9"/>
      <c r="E85" s="9"/>
      <c r="F85"/>
    </row>
    <row r="86" spans="1:6" s="67" customFormat="1" ht="12.75">
      <c r="A86" s="70"/>
      <c r="B86" s="63" t="s">
        <v>264</v>
      </c>
      <c r="C86" s="229"/>
      <c r="D86" s="9"/>
      <c r="E86" s="9"/>
      <c r="F86"/>
    </row>
    <row r="87" spans="1:6" s="67" customFormat="1" ht="12.75">
      <c r="A87" s="70"/>
      <c r="B87" s="53"/>
      <c r="C87" s="55"/>
      <c r="D87" s="83" t="s">
        <v>116</v>
      </c>
      <c r="E87" s="80" t="s">
        <v>16</v>
      </c>
      <c r="F87"/>
    </row>
    <row r="88" spans="1:6" s="67" customFormat="1" ht="12.75">
      <c r="A88" s="70"/>
      <c r="B88" s="56"/>
      <c r="C88" s="14"/>
      <c r="D88" s="86"/>
      <c r="E88" s="87" t="s">
        <v>17</v>
      </c>
      <c r="F88"/>
    </row>
    <row r="89" spans="1:6" s="67" customFormat="1" ht="12.75">
      <c r="A89" s="70"/>
      <c r="B89" s="56"/>
      <c r="C89" s="14"/>
      <c r="D89" s="86"/>
      <c r="E89" s="87" t="s">
        <v>114</v>
      </c>
      <c r="F89"/>
    </row>
    <row r="90" spans="1:6" s="67" customFormat="1" ht="12.75">
      <c r="A90" s="70"/>
      <c r="B90" s="54"/>
      <c r="C90" s="165"/>
      <c r="D90" s="84" t="s">
        <v>212</v>
      </c>
      <c r="E90" s="85" t="s">
        <v>212</v>
      </c>
      <c r="F90"/>
    </row>
    <row r="91" spans="1:6" s="67" customFormat="1" ht="12.75">
      <c r="A91" s="70"/>
      <c r="B91" s="164" t="s">
        <v>265</v>
      </c>
      <c r="C91" s="166"/>
      <c r="D91" s="94">
        <v>547220</v>
      </c>
      <c r="E91" s="94">
        <v>61216</v>
      </c>
      <c r="F91"/>
    </row>
    <row r="92" spans="1:6" s="67" customFormat="1" ht="12.75">
      <c r="A92" s="70"/>
      <c r="B92" s="81" t="s">
        <v>266</v>
      </c>
      <c r="C92" s="167"/>
      <c r="D92" s="7">
        <v>12760</v>
      </c>
      <c r="E92" s="7">
        <v>-3783</v>
      </c>
      <c r="F92"/>
    </row>
    <row r="93" spans="1:6" s="67" customFormat="1" ht="12.75">
      <c r="A93" s="70"/>
      <c r="B93" s="81" t="s">
        <v>267</v>
      </c>
      <c r="C93" s="167"/>
      <c r="D93" s="7">
        <v>1129</v>
      </c>
      <c r="E93" s="7">
        <v>-2608</v>
      </c>
      <c r="F93"/>
    </row>
    <row r="94" spans="1:6" s="67" customFormat="1" ht="12.75">
      <c r="A94" s="70"/>
      <c r="B94" s="88" t="s">
        <v>107</v>
      </c>
      <c r="C94" s="168"/>
      <c r="D94" s="89">
        <f>SUM(D89:D93)</f>
        <v>561109</v>
      </c>
      <c r="E94" s="89">
        <f>SUM(E89:E93)</f>
        <v>54825</v>
      </c>
      <c r="F94"/>
    </row>
    <row r="95" spans="1:6" s="67" customFormat="1" ht="12.75">
      <c r="A95" s="70"/>
      <c r="B95" s="63"/>
      <c r="C95" s="63"/>
      <c r="D95" s="63"/>
      <c r="E95" s="68"/>
      <c r="F95" s="68"/>
    </row>
    <row r="96" spans="1:6" s="67" customFormat="1" ht="12.75">
      <c r="A96" s="70">
        <v>9</v>
      </c>
      <c r="B96" s="63" t="s">
        <v>132</v>
      </c>
      <c r="C96" s="63"/>
      <c r="D96" s="63"/>
      <c r="E96" s="68"/>
      <c r="F96" s="68"/>
    </row>
    <row r="97" spans="1:6" s="67" customFormat="1" ht="12.75">
      <c r="A97" s="70"/>
      <c r="B97" s="63"/>
      <c r="C97" s="63"/>
      <c r="D97" s="63"/>
      <c r="E97" s="68"/>
      <c r="F97" s="68"/>
    </row>
    <row r="98" spans="1:6" s="67" customFormat="1" ht="12.75">
      <c r="A98" s="70"/>
      <c r="B98" s="67" t="s">
        <v>298</v>
      </c>
      <c r="C98" s="63"/>
      <c r="D98" s="63"/>
      <c r="E98" s="68"/>
      <c r="F98" s="68"/>
    </row>
    <row r="99" spans="1:6" s="67" customFormat="1" ht="12.75">
      <c r="A99" s="70"/>
      <c r="B99" s="67" t="s">
        <v>250</v>
      </c>
      <c r="C99" s="63"/>
      <c r="D99" s="63"/>
      <c r="E99" s="68"/>
      <c r="F99" s="68"/>
    </row>
    <row r="100" spans="1:6" s="67" customFormat="1" ht="12.75">
      <c r="A100" s="70"/>
      <c r="B100" s="63"/>
      <c r="C100" s="63"/>
      <c r="D100" s="63"/>
      <c r="E100" s="68"/>
      <c r="F100" s="68"/>
    </row>
    <row r="101" spans="1:6" s="67" customFormat="1" ht="12.75">
      <c r="A101" s="70"/>
      <c r="B101" s="151"/>
      <c r="C101" s="63"/>
      <c r="D101" s="63"/>
      <c r="E101" s="68"/>
      <c r="F101" s="68"/>
    </row>
    <row r="102" spans="1:6" s="67" customFormat="1" ht="12.75">
      <c r="A102" s="70"/>
      <c r="B102" s="151"/>
      <c r="C102" s="63"/>
      <c r="D102" s="63"/>
      <c r="E102" s="68"/>
      <c r="F102" s="68"/>
    </row>
    <row r="103" spans="1:6" s="67" customFormat="1" ht="12.75">
      <c r="A103" s="70"/>
      <c r="C103" s="63"/>
      <c r="D103" s="63"/>
      <c r="E103" s="68"/>
      <c r="F103" s="68"/>
    </row>
    <row r="104" spans="1:6" s="67" customFormat="1" ht="12.75">
      <c r="A104" s="70"/>
      <c r="B104" s="69"/>
      <c r="C104" s="63"/>
      <c r="D104" s="63"/>
      <c r="E104" s="68"/>
      <c r="F104" s="68"/>
    </row>
    <row r="105" spans="1:6" s="67" customFormat="1" ht="12.75">
      <c r="A105" s="70"/>
      <c r="B105" s="63"/>
      <c r="C105" s="63"/>
      <c r="D105" s="63"/>
      <c r="E105" s="68"/>
      <c r="F105" s="68"/>
    </row>
    <row r="106" spans="1:6" s="67" customFormat="1" ht="12.75">
      <c r="A106" s="70"/>
      <c r="B106" s="63"/>
      <c r="C106" s="63"/>
      <c r="D106" s="63"/>
      <c r="E106" s="68"/>
      <c r="F106" s="68"/>
    </row>
    <row r="107" spans="1:6" s="67" customFormat="1" ht="12.75">
      <c r="A107" s="262" t="s">
        <v>231</v>
      </c>
      <c r="B107" s="262"/>
      <c r="C107" s="262"/>
      <c r="D107" s="262"/>
      <c r="E107" s="262"/>
      <c r="F107" s="262"/>
    </row>
    <row r="108" spans="1:6" s="67" customFormat="1" ht="12.75">
      <c r="A108" s="262"/>
      <c r="B108" s="262"/>
      <c r="C108" s="262"/>
      <c r="D108" s="262"/>
      <c r="E108" s="262"/>
      <c r="F108" s="262"/>
    </row>
    <row r="109" spans="1:6" s="67" customFormat="1" ht="15.75">
      <c r="A109" s="252" t="s">
        <v>98</v>
      </c>
      <c r="B109" s="263"/>
      <c r="C109" s="263"/>
      <c r="D109" s="263"/>
      <c r="E109" s="263"/>
      <c r="F109" s="264"/>
    </row>
    <row r="110" spans="1:6" s="67" customFormat="1" ht="12.75">
      <c r="A110" s="265" t="s">
        <v>202</v>
      </c>
      <c r="B110" s="266"/>
      <c r="C110" s="266"/>
      <c r="D110" s="266"/>
      <c r="E110" s="266"/>
      <c r="F110" s="267"/>
    </row>
    <row r="111" spans="1:6" s="67" customFormat="1" ht="12.75">
      <c r="A111" s="92"/>
      <c r="B111" s="92"/>
      <c r="C111" s="92"/>
      <c r="D111" s="92"/>
      <c r="E111" s="92"/>
      <c r="F111" s="92"/>
    </row>
    <row r="112" spans="1:6" s="67" customFormat="1" ht="12.75">
      <c r="A112" s="92"/>
      <c r="B112" s="92"/>
      <c r="C112" s="92"/>
      <c r="D112" s="92"/>
      <c r="E112" s="92"/>
      <c r="F112" s="92"/>
    </row>
    <row r="113" spans="1:6" s="67" customFormat="1" ht="12.75">
      <c r="A113" s="70">
        <v>10</v>
      </c>
      <c r="B113" s="151" t="s">
        <v>80</v>
      </c>
      <c r="C113" s="63"/>
      <c r="D113" s="63"/>
      <c r="E113" s="68"/>
      <c r="F113" s="68"/>
    </row>
    <row r="114" spans="1:6" s="67" customFormat="1" ht="12.75">
      <c r="A114" s="70"/>
      <c r="B114" s="151"/>
      <c r="C114" s="63"/>
      <c r="D114" s="63"/>
      <c r="E114" s="68"/>
      <c r="F114" s="68"/>
    </row>
    <row r="115" spans="1:6" s="67" customFormat="1" ht="12.75">
      <c r="A115" s="70"/>
      <c r="B115" s="67" t="s">
        <v>36</v>
      </c>
      <c r="C115" s="63"/>
      <c r="D115" s="63"/>
      <c r="E115" s="68"/>
      <c r="F115" s="68"/>
    </row>
    <row r="116" spans="1:6" s="67" customFormat="1" ht="12.75">
      <c r="A116" s="70"/>
      <c r="B116" s="69" t="s">
        <v>37</v>
      </c>
      <c r="C116" s="63"/>
      <c r="D116" s="63"/>
      <c r="E116" s="68"/>
      <c r="F116" s="68"/>
    </row>
    <row r="117" spans="1:6" s="67" customFormat="1" ht="12.75">
      <c r="A117" s="92"/>
      <c r="B117" s="92"/>
      <c r="C117" s="92"/>
      <c r="D117" s="92"/>
      <c r="E117" s="92"/>
      <c r="F117" s="92"/>
    </row>
    <row r="118" spans="1:6" s="67" customFormat="1" ht="12.75">
      <c r="A118" s="92"/>
      <c r="B118" s="92"/>
      <c r="C118" s="92"/>
      <c r="D118" s="92"/>
      <c r="E118" s="92"/>
      <c r="F118" s="92"/>
    </row>
    <row r="119" spans="1:6" s="67" customFormat="1" ht="12.75">
      <c r="A119" s="70">
        <v>11</v>
      </c>
      <c r="B119" s="63" t="s">
        <v>207</v>
      </c>
      <c r="C119" s="63"/>
      <c r="D119" s="63"/>
      <c r="E119" s="68"/>
      <c r="F119" s="68"/>
    </row>
    <row r="120" spans="1:6" s="67" customFormat="1" ht="12.75">
      <c r="A120" s="70"/>
      <c r="B120" s="63"/>
      <c r="C120" s="63"/>
      <c r="D120" s="63"/>
      <c r="E120" s="68"/>
      <c r="F120" s="68"/>
    </row>
    <row r="121" spans="1:6" s="67" customFormat="1" ht="12.75">
      <c r="A121" s="70"/>
      <c r="B121" s="152" t="s">
        <v>38</v>
      </c>
      <c r="C121" s="63"/>
      <c r="D121" s="63"/>
      <c r="E121" s="68"/>
      <c r="F121" s="68"/>
    </row>
    <row r="122" spans="1:6" s="67" customFormat="1" ht="12.75">
      <c r="A122" s="70"/>
      <c r="B122" s="152"/>
      <c r="C122" s="63"/>
      <c r="D122" s="63"/>
      <c r="E122" s="68"/>
      <c r="F122" s="68"/>
    </row>
    <row r="123" spans="1:6" s="67" customFormat="1" ht="12.75">
      <c r="A123" s="70"/>
      <c r="B123" s="152" t="s">
        <v>330</v>
      </c>
      <c r="C123" s="63"/>
      <c r="D123" s="63"/>
      <c r="E123" s="68"/>
      <c r="F123" s="68"/>
    </row>
    <row r="124" spans="1:6" s="67" customFormat="1" ht="12.75">
      <c r="A124" s="70"/>
      <c r="B124" s="67" t="s">
        <v>258</v>
      </c>
      <c r="C124" s="63"/>
      <c r="D124" s="63"/>
      <c r="E124" s="68"/>
      <c r="F124" s="68"/>
    </row>
    <row r="125" spans="1:6" s="67" customFormat="1" ht="12.75">
      <c r="A125" s="70"/>
      <c r="B125" s="67" t="s">
        <v>39</v>
      </c>
      <c r="C125" s="63"/>
      <c r="D125" s="63"/>
      <c r="E125" s="68"/>
      <c r="F125" s="68"/>
    </row>
    <row r="126" spans="1:6" s="67" customFormat="1" ht="12.75">
      <c r="A126" s="70"/>
      <c r="C126" s="63"/>
      <c r="D126" s="63"/>
      <c r="E126" s="68"/>
      <c r="F126" s="68"/>
    </row>
    <row r="127" spans="1:6" s="67" customFormat="1" ht="12.75">
      <c r="A127" s="70"/>
      <c r="B127" s="235" t="s">
        <v>346</v>
      </c>
      <c r="C127" s="63"/>
      <c r="D127" s="63"/>
      <c r="E127" s="68"/>
      <c r="F127" s="68"/>
    </row>
    <row r="128" spans="1:6" s="67" customFormat="1" ht="12.75">
      <c r="A128" s="70"/>
      <c r="B128" s="152" t="s">
        <v>259</v>
      </c>
      <c r="C128" s="63"/>
      <c r="D128" s="63"/>
      <c r="E128" s="68"/>
      <c r="F128" s="68"/>
    </row>
    <row r="129" spans="1:6" s="67" customFormat="1" ht="12.75">
      <c r="A129" s="70"/>
      <c r="B129" s="236" t="s">
        <v>260</v>
      </c>
      <c r="C129" s="63"/>
      <c r="D129" s="63"/>
      <c r="E129" s="68"/>
      <c r="F129" s="68"/>
    </row>
    <row r="130" spans="1:6" s="67" customFormat="1" ht="12.75">
      <c r="A130" s="70"/>
      <c r="B130" s="236"/>
      <c r="C130" s="63"/>
      <c r="D130" s="63"/>
      <c r="E130" s="68"/>
      <c r="F130" s="68"/>
    </row>
    <row r="131" spans="1:6" s="67" customFormat="1" ht="12.75">
      <c r="A131" s="70"/>
      <c r="B131" s="63"/>
      <c r="C131" s="63"/>
      <c r="D131" s="63"/>
      <c r="E131" s="68"/>
      <c r="F131" s="68"/>
    </row>
    <row r="132" spans="1:6" s="67" customFormat="1" ht="12.75">
      <c r="A132" s="70">
        <v>12</v>
      </c>
      <c r="B132" s="63" t="s">
        <v>133</v>
      </c>
      <c r="C132" s="63"/>
      <c r="D132" s="63"/>
      <c r="E132" s="68"/>
      <c r="F132" s="68"/>
    </row>
    <row r="133" spans="1:6" s="67" customFormat="1" ht="12.75">
      <c r="A133" s="70"/>
      <c r="C133" s="63"/>
      <c r="D133" s="63"/>
      <c r="E133" s="68"/>
      <c r="F133" s="68"/>
    </row>
    <row r="134" spans="1:6" s="67" customFormat="1" ht="12.75">
      <c r="A134" s="70"/>
      <c r="B134" s="67" t="s">
        <v>241</v>
      </c>
      <c r="C134" s="63"/>
      <c r="D134" s="63"/>
      <c r="E134" s="68"/>
      <c r="F134" s="68"/>
    </row>
    <row r="135" spans="1:6" s="67" customFormat="1" ht="12.75">
      <c r="A135" s="70"/>
      <c r="B135" s="63"/>
      <c r="C135" s="63"/>
      <c r="D135" s="63"/>
      <c r="E135" s="68"/>
      <c r="F135" s="68"/>
    </row>
    <row r="136" spans="1:6" s="67" customFormat="1" ht="12.75">
      <c r="A136" s="262"/>
      <c r="B136" s="262"/>
      <c r="C136" s="262"/>
      <c r="D136" s="262"/>
      <c r="E136" s="262"/>
      <c r="F136" s="262"/>
    </row>
    <row r="137" spans="1:6" s="67" customFormat="1" ht="12.75">
      <c r="A137" s="92"/>
      <c r="B137" s="92"/>
      <c r="C137" s="92"/>
      <c r="D137" s="92"/>
      <c r="E137" s="92"/>
      <c r="F137" s="92"/>
    </row>
    <row r="138" spans="1:6" s="67" customFormat="1" ht="12.75">
      <c r="A138" s="92"/>
      <c r="B138" s="92"/>
      <c r="C138" s="92"/>
      <c r="D138" s="92"/>
      <c r="E138" s="92"/>
      <c r="F138" s="92"/>
    </row>
    <row r="139" spans="1:6" s="67" customFormat="1" ht="12.75">
      <c r="A139" s="92"/>
      <c r="B139" s="92"/>
      <c r="C139" s="92"/>
      <c r="D139" s="92"/>
      <c r="E139" s="92"/>
      <c r="F139" s="92"/>
    </row>
    <row r="140" spans="1:6" s="67" customFormat="1" ht="12.75">
      <c r="A140" s="92"/>
      <c r="B140" s="92"/>
      <c r="C140" s="92"/>
      <c r="D140" s="92"/>
      <c r="E140" s="92"/>
      <c r="F140" s="92"/>
    </row>
    <row r="141" spans="1:6" s="67" customFormat="1" ht="12.75">
      <c r="A141" s="92"/>
      <c r="B141" s="92"/>
      <c r="C141" s="92"/>
      <c r="D141" s="92"/>
      <c r="E141" s="92"/>
      <c r="F141" s="92"/>
    </row>
    <row r="142" spans="1:6" s="67" customFormat="1" ht="12.75">
      <c r="A142" s="92"/>
      <c r="B142" s="92"/>
      <c r="C142" s="92"/>
      <c r="D142" s="92"/>
      <c r="E142" s="92"/>
      <c r="F142" s="92"/>
    </row>
    <row r="143" spans="1:6" s="67" customFormat="1" ht="12.75">
      <c r="A143" s="92"/>
      <c r="B143" s="92"/>
      <c r="C143" s="92"/>
      <c r="D143" s="92"/>
      <c r="E143" s="92"/>
      <c r="F143" s="92"/>
    </row>
    <row r="144" spans="1:6" s="67" customFormat="1" ht="12.75">
      <c r="A144" s="92"/>
      <c r="B144" s="92"/>
      <c r="C144" s="92"/>
      <c r="D144" s="92"/>
      <c r="E144" s="92"/>
      <c r="F144" s="92"/>
    </row>
    <row r="145" spans="1:6" s="67" customFormat="1" ht="12.75">
      <c r="A145" s="92"/>
      <c r="B145" s="92"/>
      <c r="C145" s="92"/>
      <c r="D145" s="92"/>
      <c r="E145" s="92"/>
      <c r="F145" s="92"/>
    </row>
    <row r="146" spans="1:6" s="67" customFormat="1" ht="12.75">
      <c r="A146" s="92"/>
      <c r="B146" s="92"/>
      <c r="C146" s="92"/>
      <c r="D146" s="92"/>
      <c r="E146" s="92"/>
      <c r="F146" s="92"/>
    </row>
    <row r="147" spans="1:6" s="67" customFormat="1" ht="12.75">
      <c r="A147" s="92"/>
      <c r="B147" s="92"/>
      <c r="C147" s="92"/>
      <c r="D147" s="92"/>
      <c r="E147" s="92"/>
      <c r="F147" s="92"/>
    </row>
    <row r="148" spans="1:6" s="67" customFormat="1" ht="12.75">
      <c r="A148" s="92"/>
      <c r="B148" s="92"/>
      <c r="C148" s="92"/>
      <c r="D148" s="92"/>
      <c r="E148" s="92"/>
      <c r="F148" s="92"/>
    </row>
    <row r="149" spans="1:6" s="67" customFormat="1" ht="12.75">
      <c r="A149" s="92"/>
      <c r="B149" s="92"/>
      <c r="C149" s="92"/>
      <c r="D149" s="92"/>
      <c r="E149" s="92"/>
      <c r="F149" s="92"/>
    </row>
    <row r="150" spans="1:6" s="67" customFormat="1" ht="12.75">
      <c r="A150" s="92"/>
      <c r="B150" s="92"/>
      <c r="C150" s="92"/>
      <c r="D150" s="92"/>
      <c r="E150" s="92"/>
      <c r="F150" s="92"/>
    </row>
    <row r="151" spans="1:6" s="67" customFormat="1" ht="12.75">
      <c r="A151" s="92"/>
      <c r="B151" s="92"/>
      <c r="C151" s="92"/>
      <c r="D151" s="92"/>
      <c r="E151" s="92"/>
      <c r="F151" s="92"/>
    </row>
    <row r="152" spans="1:6" s="67" customFormat="1" ht="12.75">
      <c r="A152" s="92"/>
      <c r="B152" s="92"/>
      <c r="C152" s="92"/>
      <c r="D152" s="92"/>
      <c r="E152" s="92"/>
      <c r="F152" s="92"/>
    </row>
    <row r="153" spans="1:6" s="67" customFormat="1" ht="12.75">
      <c r="A153" s="92"/>
      <c r="B153" s="92"/>
      <c r="C153" s="92"/>
      <c r="D153" s="92"/>
      <c r="E153" s="92"/>
      <c r="F153" s="92"/>
    </row>
    <row r="154" spans="1:6" s="67" customFormat="1" ht="12.75">
      <c r="A154" s="92"/>
      <c r="B154" s="92"/>
      <c r="C154" s="92"/>
      <c r="D154" s="92"/>
      <c r="E154" s="92"/>
      <c r="F154" s="92"/>
    </row>
    <row r="155" spans="1:6" s="67" customFormat="1" ht="12.75">
      <c r="A155" s="92"/>
      <c r="B155" s="92"/>
      <c r="C155" s="92"/>
      <c r="D155" s="92"/>
      <c r="E155" s="92"/>
      <c r="F155" s="92"/>
    </row>
    <row r="156" spans="1:6" s="67" customFormat="1" ht="12.75">
      <c r="A156" s="92"/>
      <c r="B156" s="92"/>
      <c r="C156" s="92"/>
      <c r="D156" s="92"/>
      <c r="E156" s="92"/>
      <c r="F156" s="92"/>
    </row>
    <row r="157" spans="1:6" s="67" customFormat="1" ht="12.75">
      <c r="A157" s="92"/>
      <c r="B157" s="92"/>
      <c r="C157" s="92"/>
      <c r="D157" s="92"/>
      <c r="E157" s="92"/>
      <c r="F157" s="92"/>
    </row>
    <row r="158" spans="1:6" s="67" customFormat="1" ht="12.75">
      <c r="A158" s="92"/>
      <c r="B158" s="92"/>
      <c r="C158" s="92"/>
      <c r="D158" s="92"/>
      <c r="E158" s="92"/>
      <c r="F158" s="92"/>
    </row>
    <row r="159" spans="1:6" s="67" customFormat="1" ht="12.75">
      <c r="A159" s="92"/>
      <c r="B159" s="92"/>
      <c r="C159" s="92"/>
      <c r="D159" s="92"/>
      <c r="E159" s="92"/>
      <c r="F159" s="92"/>
    </row>
    <row r="160" spans="1:6" s="67" customFormat="1" ht="12.75">
      <c r="A160" s="262" t="s">
        <v>21</v>
      </c>
      <c r="B160" s="262"/>
      <c r="C160" s="262"/>
      <c r="D160" s="262"/>
      <c r="E160" s="262"/>
      <c r="F160" s="262"/>
    </row>
    <row r="161" spans="1:6" s="67" customFormat="1" ht="12.75">
      <c r="A161" s="92"/>
      <c r="B161" s="92"/>
      <c r="C161" s="92"/>
      <c r="D161" s="92"/>
      <c r="E161" s="92"/>
      <c r="F161" s="92"/>
    </row>
    <row r="162" spans="1:6" s="67" customFormat="1" ht="15.75">
      <c r="A162" s="252" t="s">
        <v>98</v>
      </c>
      <c r="B162" s="263"/>
      <c r="C162" s="263"/>
      <c r="D162" s="263"/>
      <c r="E162" s="263"/>
      <c r="F162" s="264"/>
    </row>
    <row r="163" spans="1:6" s="67" customFormat="1" ht="12.75">
      <c r="A163" s="265" t="s">
        <v>202</v>
      </c>
      <c r="B163" s="266"/>
      <c r="C163" s="266"/>
      <c r="D163" s="266"/>
      <c r="E163" s="266"/>
      <c r="F163" s="267"/>
    </row>
    <row r="164" spans="1:6" s="67" customFormat="1" ht="12.75">
      <c r="A164" s="70"/>
      <c r="B164" s="63"/>
      <c r="C164" s="63"/>
      <c r="D164" s="63"/>
      <c r="E164" s="68"/>
      <c r="F164" s="68"/>
    </row>
    <row r="165" spans="1:6" s="67" customFormat="1" ht="12.75">
      <c r="A165" s="70"/>
      <c r="B165" s="63" t="s">
        <v>193</v>
      </c>
      <c r="C165" s="63"/>
      <c r="D165" s="63"/>
      <c r="E165" s="68"/>
      <c r="F165" s="68"/>
    </row>
    <row r="166" spans="1:6" s="67" customFormat="1" ht="12.75">
      <c r="A166" s="70"/>
      <c r="B166" s="63" t="s">
        <v>194</v>
      </c>
      <c r="C166" s="63"/>
      <c r="D166" s="63"/>
      <c r="E166" s="68"/>
      <c r="F166" s="68"/>
    </row>
    <row r="167" spans="1:6" s="67" customFormat="1" ht="12.75">
      <c r="A167" s="70"/>
      <c r="B167" s="63"/>
      <c r="C167" s="63"/>
      <c r="D167" s="63"/>
      <c r="E167" s="68"/>
      <c r="F167" s="68"/>
    </row>
    <row r="168" spans="1:6" s="67" customFormat="1" ht="12.75">
      <c r="A168" s="70">
        <v>13</v>
      </c>
      <c r="B168" s="63" t="s">
        <v>232</v>
      </c>
      <c r="C168" s="63"/>
      <c r="D168" s="63"/>
      <c r="E168" s="68"/>
      <c r="F168" s="68"/>
    </row>
    <row r="169" spans="1:6" s="67" customFormat="1" ht="12.75">
      <c r="A169" s="70"/>
      <c r="B169"/>
      <c r="C169" s="63"/>
      <c r="D169" s="63"/>
      <c r="E169" s="68"/>
      <c r="F169" s="68"/>
    </row>
    <row r="170" spans="1:6" s="67" customFormat="1" ht="12.75">
      <c r="A170" s="70"/>
      <c r="B170" t="s">
        <v>254</v>
      </c>
      <c r="C170" s="63"/>
      <c r="D170" s="63"/>
      <c r="E170" s="68"/>
      <c r="F170" s="68"/>
    </row>
    <row r="171" spans="1:6" s="67" customFormat="1" ht="12.75">
      <c r="A171" s="70"/>
      <c r="B171" t="s">
        <v>349</v>
      </c>
      <c r="C171" s="63"/>
      <c r="D171" s="63"/>
      <c r="E171" s="68"/>
      <c r="F171" s="68"/>
    </row>
    <row r="172" spans="1:6" s="67" customFormat="1" ht="12.75">
      <c r="A172" s="70"/>
      <c r="B172" t="s">
        <v>348</v>
      </c>
      <c r="C172" s="63"/>
      <c r="D172" s="63"/>
      <c r="E172" s="68"/>
      <c r="F172" s="68"/>
    </row>
    <row r="173" spans="1:6" s="67" customFormat="1" ht="12.75">
      <c r="A173" s="70"/>
      <c r="B173" t="s">
        <v>347</v>
      </c>
      <c r="C173" s="63"/>
      <c r="D173" s="63"/>
      <c r="E173" s="68"/>
      <c r="F173" s="68"/>
    </row>
    <row r="174" spans="1:6" s="67" customFormat="1" ht="12.75">
      <c r="A174" s="70"/>
      <c r="B174" s="63"/>
      <c r="C174" s="63"/>
      <c r="D174" s="63"/>
      <c r="E174" s="68"/>
      <c r="F174" s="68"/>
    </row>
    <row r="175" spans="1:6" s="67" customFormat="1" ht="12.75">
      <c r="A175" s="70">
        <v>14</v>
      </c>
      <c r="B175" s="63" t="s">
        <v>333</v>
      </c>
      <c r="C175" s="63"/>
      <c r="D175" s="63"/>
      <c r="E175" s="68"/>
      <c r="F175" s="68"/>
    </row>
    <row r="176" spans="1:6" s="67" customFormat="1" ht="12.75">
      <c r="A176"/>
      <c r="B176"/>
      <c r="C176" s="63"/>
      <c r="D176" s="63"/>
      <c r="E176" s="68"/>
      <c r="F176" s="68"/>
    </row>
    <row r="177" spans="1:6" s="67" customFormat="1" ht="12.75">
      <c r="A177"/>
      <c r="B177" t="s">
        <v>255</v>
      </c>
      <c r="C177" s="63"/>
      <c r="D177" s="63"/>
      <c r="E177" s="68"/>
      <c r="F177" s="68"/>
    </row>
    <row r="178" spans="1:6" s="67" customFormat="1" ht="12.75">
      <c r="A178"/>
      <c r="B178" t="s">
        <v>45</v>
      </c>
      <c r="C178" s="63"/>
      <c r="D178" s="63"/>
      <c r="E178" s="68"/>
      <c r="F178" s="68"/>
    </row>
    <row r="179" spans="1:6" s="67" customFormat="1" ht="12.75">
      <c r="A179"/>
      <c r="B179" t="s">
        <v>46</v>
      </c>
      <c r="C179" s="63"/>
      <c r="D179" s="63"/>
      <c r="E179" s="68"/>
      <c r="F179" s="68"/>
    </row>
    <row r="180" spans="1:6" s="67" customFormat="1" ht="12.75">
      <c r="A180" s="70"/>
      <c r="B180" s="63"/>
      <c r="C180" s="63"/>
      <c r="D180" s="63"/>
      <c r="E180" s="68"/>
      <c r="F180" s="68"/>
    </row>
    <row r="181" spans="1:6" s="67" customFormat="1" ht="12.75">
      <c r="A181" s="70">
        <v>15</v>
      </c>
      <c r="B181" s="63" t="s">
        <v>233</v>
      </c>
      <c r="C181" s="63"/>
      <c r="D181" s="63"/>
      <c r="E181" s="68"/>
      <c r="F181" s="68"/>
    </row>
    <row r="182" spans="1:6" s="67" customFormat="1" ht="12.75">
      <c r="A182" s="70"/>
      <c r="B182" s="63"/>
      <c r="C182" s="63"/>
      <c r="D182" s="63"/>
      <c r="E182" s="68"/>
      <c r="F182" s="68"/>
    </row>
    <row r="183" spans="1:6" s="67" customFormat="1" ht="12.75">
      <c r="A183" s="70"/>
      <c r="B183" s="67" t="s">
        <v>350</v>
      </c>
      <c r="C183" s="63"/>
      <c r="D183" s="63"/>
      <c r="E183" s="68"/>
      <c r="F183" s="68"/>
    </row>
    <row r="184" spans="1:6" s="67" customFormat="1" ht="12.75">
      <c r="A184" s="70"/>
      <c r="B184" s="67" t="s">
        <v>352</v>
      </c>
      <c r="D184" s="63"/>
      <c r="E184" s="68"/>
      <c r="F184" s="68"/>
    </row>
    <row r="185" spans="1:6" s="67" customFormat="1" ht="12.75">
      <c r="A185" s="70"/>
      <c r="B185" s="67" t="s">
        <v>351</v>
      </c>
      <c r="D185" s="63"/>
      <c r="E185" s="68"/>
      <c r="F185" s="68"/>
    </row>
    <row r="186" spans="1:6" s="67" customFormat="1" ht="12.75">
      <c r="A186" s="70"/>
      <c r="C186"/>
      <c r="D186"/>
      <c r="E186"/>
      <c r="F186"/>
    </row>
    <row r="187" spans="1:6" s="67" customFormat="1" ht="12.75">
      <c r="A187" s="70"/>
      <c r="B187" s="67" t="s">
        <v>87</v>
      </c>
      <c r="C187"/>
      <c r="D187"/>
      <c r="E187"/>
      <c r="F187"/>
    </row>
    <row r="188" spans="1:6" s="67" customFormat="1" ht="12.75">
      <c r="A188" s="70"/>
      <c r="B188" s="67" t="s">
        <v>334</v>
      </c>
      <c r="C188"/>
      <c r="D188"/>
      <c r="E188"/>
      <c r="F188"/>
    </row>
    <row r="189" spans="1:6" s="67" customFormat="1" ht="12.75">
      <c r="A189" s="70"/>
      <c r="B189" s="67" t="s">
        <v>19</v>
      </c>
      <c r="C189"/>
      <c r="D189"/>
      <c r="E189"/>
      <c r="F189"/>
    </row>
    <row r="190" spans="1:6" s="67" customFormat="1" ht="12.75">
      <c r="A190" s="70"/>
      <c r="B190" s="67" t="s">
        <v>40</v>
      </c>
      <c r="C190"/>
      <c r="D190"/>
      <c r="E190"/>
      <c r="F190"/>
    </row>
    <row r="191" spans="1:6" s="67" customFormat="1" ht="12.75">
      <c r="A191" s="70"/>
      <c r="C191"/>
      <c r="D191"/>
      <c r="E191"/>
      <c r="F191"/>
    </row>
    <row r="192" spans="1:6" s="67" customFormat="1" ht="12.75">
      <c r="A192" s="70">
        <v>16</v>
      </c>
      <c r="B192" s="63" t="s">
        <v>234</v>
      </c>
      <c r="C192"/>
      <c r="D192"/>
      <c r="E192"/>
      <c r="F192"/>
    </row>
    <row r="193" spans="1:6" s="67" customFormat="1" ht="12.75">
      <c r="A193" s="70"/>
      <c r="B193"/>
      <c r="C193"/>
      <c r="D193"/>
      <c r="E193"/>
      <c r="F193"/>
    </row>
    <row r="194" spans="1:6" s="67" customFormat="1" ht="12.75">
      <c r="A194" s="70"/>
      <c r="B194" t="s">
        <v>4</v>
      </c>
      <c r="C194"/>
      <c r="D194"/>
      <c r="E194"/>
      <c r="F194"/>
    </row>
    <row r="195" spans="1:6" s="67" customFormat="1" ht="12.75">
      <c r="A195" s="70"/>
      <c r="C195"/>
      <c r="D195"/>
      <c r="E195"/>
      <c r="F195"/>
    </row>
    <row r="196" spans="1:6" s="67" customFormat="1" ht="12.75">
      <c r="A196" s="69"/>
      <c r="E196" s="68"/>
      <c r="F196" s="68"/>
    </row>
    <row r="197" spans="1:6" s="63" customFormat="1" ht="12.75">
      <c r="A197" s="70">
        <v>17</v>
      </c>
      <c r="B197" s="63" t="s">
        <v>114</v>
      </c>
      <c r="C197" s="63" t="s">
        <v>86</v>
      </c>
      <c r="E197" s="150" t="s">
        <v>85</v>
      </c>
      <c r="F197" s="68"/>
    </row>
    <row r="198" spans="1:6" s="67" customFormat="1" ht="14.25" customHeight="1">
      <c r="A198" s="69"/>
      <c r="C198" s="195">
        <v>37802</v>
      </c>
      <c r="D198" s="195">
        <v>37437</v>
      </c>
      <c r="E198" s="195">
        <v>37802</v>
      </c>
      <c r="F198" s="195">
        <v>37437</v>
      </c>
    </row>
    <row r="199" spans="1:6" s="67" customFormat="1" ht="12.75">
      <c r="A199" s="69"/>
      <c r="C199" s="150" t="s">
        <v>139</v>
      </c>
      <c r="D199" s="150" t="s">
        <v>139</v>
      </c>
      <c r="E199" s="150" t="s">
        <v>139</v>
      </c>
      <c r="F199" s="150" t="s">
        <v>139</v>
      </c>
    </row>
    <row r="200" spans="1:6" s="67" customFormat="1" ht="12.75">
      <c r="A200" s="69"/>
      <c r="D200"/>
      <c r="E200" s="153"/>
      <c r="F200" s="68"/>
    </row>
    <row r="201" spans="1:6" s="67" customFormat="1" ht="12.75">
      <c r="A201" s="69"/>
      <c r="B201" s="67" t="s">
        <v>240</v>
      </c>
      <c r="C201" s="213">
        <f>E201+44</f>
        <v>-569</v>
      </c>
      <c r="D201" s="213">
        <v>3429</v>
      </c>
      <c r="E201" s="217">
        <v>-613</v>
      </c>
      <c r="F201" s="219">
        <v>-335</v>
      </c>
    </row>
    <row r="202" spans="1:6" s="67" customFormat="1" ht="12.75">
      <c r="A202" s="69"/>
      <c r="C202" s="175"/>
      <c r="D202" s="213"/>
      <c r="E202" s="217"/>
      <c r="F202" s="219"/>
    </row>
    <row r="203" spans="1:6" s="67" customFormat="1" ht="12.75">
      <c r="A203" s="69"/>
      <c r="C203" s="175"/>
      <c r="D203" s="213"/>
      <c r="E203" s="218"/>
      <c r="F203" s="219"/>
    </row>
    <row r="204" spans="1:6" s="67" customFormat="1" ht="12.75">
      <c r="A204" s="69"/>
      <c r="B204" s="67" t="s">
        <v>20</v>
      </c>
      <c r="C204" s="175">
        <f>E204</f>
        <v>0</v>
      </c>
      <c r="D204" s="214">
        <v>5250</v>
      </c>
      <c r="E204" s="218">
        <v>0</v>
      </c>
      <c r="F204" s="219">
        <v>-850</v>
      </c>
    </row>
    <row r="205" spans="1:6" s="67" customFormat="1" ht="12.75">
      <c r="A205" s="69"/>
      <c r="C205" s="175"/>
      <c r="D205" s="215"/>
      <c r="E205" s="220"/>
      <c r="F205" s="219"/>
    </row>
    <row r="206" spans="1:6" s="67" customFormat="1" ht="13.5" thickBot="1">
      <c r="A206" s="69"/>
      <c r="C206" s="221">
        <f>C201+C204</f>
        <v>-569</v>
      </c>
      <c r="D206" s="221">
        <f>D201+D204</f>
        <v>8679</v>
      </c>
      <c r="E206" s="221">
        <f>E201+E204</f>
        <v>-613</v>
      </c>
      <c r="F206" s="221">
        <f>F201+F204</f>
        <v>-1185</v>
      </c>
    </row>
    <row r="207" spans="1:6" s="67" customFormat="1" ht="13.5" thickTop="1">
      <c r="A207" s="69"/>
      <c r="D207" s="92"/>
      <c r="E207" s="150"/>
      <c r="F207" s="68"/>
    </row>
    <row r="208" spans="1:6" s="67" customFormat="1" ht="12.75">
      <c r="A208" s="69"/>
      <c r="B208" s="67" t="s">
        <v>337</v>
      </c>
      <c r="D208" s="92"/>
      <c r="E208" s="150"/>
      <c r="F208" s="68"/>
    </row>
    <row r="209" spans="1:6" s="67" customFormat="1" ht="12.75">
      <c r="A209" s="69"/>
      <c r="B209" s="67" t="s">
        <v>47</v>
      </c>
      <c r="D209" s="92"/>
      <c r="E209" s="150"/>
      <c r="F209" s="68"/>
    </row>
    <row r="210" spans="1:6" s="67" customFormat="1" ht="12.75">
      <c r="A210" s="69"/>
      <c r="B210" s="67" t="s">
        <v>342</v>
      </c>
      <c r="D210" s="92"/>
      <c r="E210" s="150"/>
      <c r="F210" s="68"/>
    </row>
    <row r="211" spans="1:6" s="67" customFormat="1" ht="12.75">
      <c r="A211" s="69"/>
      <c r="D211" s="92"/>
      <c r="E211" s="150"/>
      <c r="F211" s="68"/>
    </row>
    <row r="212" spans="1:6" s="67" customFormat="1" ht="12.75">
      <c r="A212" s="69"/>
      <c r="D212" s="92"/>
      <c r="E212" s="150"/>
      <c r="F212" s="68"/>
    </row>
    <row r="213" spans="1:6" s="67" customFormat="1" ht="12.75">
      <c r="A213" s="92" t="s">
        <v>22</v>
      </c>
      <c r="D213" s="92"/>
      <c r="E213" s="150"/>
      <c r="F213" s="68"/>
    </row>
    <row r="214" spans="1:6" s="67" customFormat="1" ht="12.75">
      <c r="A214" s="92"/>
      <c r="D214" s="92"/>
      <c r="E214" s="150"/>
      <c r="F214" s="68"/>
    </row>
    <row r="215" spans="1:6" s="67" customFormat="1" ht="12.75">
      <c r="A215" s="92"/>
      <c r="D215" s="92"/>
      <c r="E215" s="150"/>
      <c r="F215" s="68"/>
    </row>
    <row r="216" spans="1:6" s="67" customFormat="1" ht="15.75">
      <c r="A216" s="252" t="s">
        <v>98</v>
      </c>
      <c r="B216" s="263"/>
      <c r="C216" s="263"/>
      <c r="D216" s="263"/>
      <c r="E216" s="263"/>
      <c r="F216" s="264"/>
    </row>
    <row r="217" spans="1:6" s="67" customFormat="1" ht="12.75">
      <c r="A217" s="265" t="s">
        <v>202</v>
      </c>
      <c r="B217" s="266"/>
      <c r="C217" s="266"/>
      <c r="D217" s="266"/>
      <c r="E217" s="266"/>
      <c r="F217" s="267"/>
    </row>
    <row r="218" spans="1:6" s="67" customFormat="1" ht="12.75">
      <c r="A218" s="69"/>
      <c r="D218" s="92"/>
      <c r="E218" s="150"/>
      <c r="F218" s="68"/>
    </row>
    <row r="219" spans="1:6" s="67" customFormat="1" ht="12.75">
      <c r="A219" s="70">
        <v>18</v>
      </c>
      <c r="B219" s="63" t="s">
        <v>205</v>
      </c>
      <c r="C219" s="63"/>
      <c r="D219" s="63"/>
      <c r="E219" s="68"/>
      <c r="F219" s="68"/>
    </row>
    <row r="220" ht="6" customHeight="1"/>
    <row r="221" ht="12.75">
      <c r="B221" t="s">
        <v>251</v>
      </c>
    </row>
    <row r="222" spans="2:6" ht="12.75">
      <c r="B222" t="s">
        <v>179</v>
      </c>
      <c r="E222" s="66"/>
      <c r="F222" s="66"/>
    </row>
    <row r="223" spans="5:6" ht="12.75">
      <c r="E223" s="66"/>
      <c r="F223" s="66"/>
    </row>
    <row r="224" spans="1:6" ht="12.75">
      <c r="A224" s="51"/>
      <c r="B224" s="64"/>
      <c r="C224" s="64"/>
      <c r="D224" s="64"/>
      <c r="E224" s="65"/>
      <c r="F224" s="65"/>
    </row>
    <row r="225" spans="1:6" ht="12.75">
      <c r="A225" s="70">
        <v>19</v>
      </c>
      <c r="B225" s="63" t="s">
        <v>206</v>
      </c>
      <c r="C225" s="63"/>
      <c r="D225" s="63"/>
      <c r="E225" s="68"/>
      <c r="F225" s="65"/>
    </row>
    <row r="226" spans="1:6" ht="6" customHeight="1">
      <c r="A226" s="69"/>
      <c r="B226" s="63"/>
      <c r="C226" s="63"/>
      <c r="D226" s="63"/>
      <c r="E226" s="68"/>
      <c r="F226" s="65"/>
    </row>
    <row r="227" spans="1:6" ht="12.75">
      <c r="A227" s="69"/>
      <c r="B227" s="67" t="s">
        <v>262</v>
      </c>
      <c r="C227" s="67"/>
      <c r="D227" s="67"/>
      <c r="E227" s="68"/>
      <c r="F227" s="65"/>
    </row>
    <row r="228" spans="1:6" ht="12.75">
      <c r="A228" s="69"/>
      <c r="B228" t="s">
        <v>179</v>
      </c>
      <c r="D228" s="67"/>
      <c r="E228" s="68"/>
      <c r="F228" s="65"/>
    </row>
    <row r="229" spans="1:6" ht="12.75">
      <c r="A229" s="69"/>
      <c r="B229" s="67"/>
      <c r="C229" s="67"/>
      <c r="D229" s="67"/>
      <c r="E229" s="68"/>
      <c r="F229" s="65"/>
    </row>
    <row r="230" spans="1:6" ht="12.75">
      <c r="A230" s="69"/>
      <c r="B230" s="161"/>
      <c r="C230" s="67"/>
      <c r="D230" s="67"/>
      <c r="E230" s="68"/>
      <c r="F230" s="65"/>
    </row>
    <row r="231" spans="1:6" ht="12.75">
      <c r="A231" s="70">
        <v>20</v>
      </c>
      <c r="B231" s="63" t="s">
        <v>208</v>
      </c>
      <c r="C231" s="63"/>
      <c r="D231" s="63"/>
      <c r="E231" s="68"/>
      <c r="F231" s="65"/>
    </row>
    <row r="232" spans="1:6" ht="12.75">
      <c r="A232" s="69"/>
      <c r="B232" s="171" t="s">
        <v>164</v>
      </c>
      <c r="C232" s="67"/>
      <c r="D232" s="67"/>
      <c r="E232" s="68"/>
      <c r="F232" s="65"/>
    </row>
    <row r="233" spans="1:6" ht="12.75">
      <c r="A233" s="160"/>
      <c r="B233" s="171" t="s">
        <v>0</v>
      </c>
      <c r="C233" s="67"/>
      <c r="D233" s="67"/>
      <c r="E233" s="65"/>
      <c r="F233" s="65"/>
    </row>
    <row r="234" spans="1:6" ht="12.75">
      <c r="A234" s="160"/>
      <c r="B234" s="171"/>
      <c r="C234" s="67"/>
      <c r="D234" s="67"/>
      <c r="E234" s="65"/>
      <c r="F234" s="65"/>
    </row>
    <row r="235" spans="1:6" ht="12.75">
      <c r="A235" s="51"/>
      <c r="B235" s="171" t="s">
        <v>343</v>
      </c>
      <c r="C235" s="67"/>
      <c r="D235" s="67"/>
      <c r="E235" s="65"/>
      <c r="F235" s="65"/>
    </row>
    <row r="236" spans="1:6" ht="12.75">
      <c r="A236" s="51"/>
      <c r="B236" s="171" t="s">
        <v>344</v>
      </c>
      <c r="C236" s="67"/>
      <c r="D236" s="67"/>
      <c r="E236" s="65"/>
      <c r="F236" s="65"/>
    </row>
    <row r="237" spans="1:6" ht="12.75">
      <c r="A237" s="51"/>
      <c r="B237" s="171"/>
      <c r="C237" s="67"/>
      <c r="D237" s="67"/>
      <c r="E237" s="65"/>
      <c r="F237" s="65"/>
    </row>
    <row r="238" spans="1:6" ht="12.75">
      <c r="A238" s="51"/>
      <c r="B238" s="171" t="s">
        <v>48</v>
      </c>
      <c r="C238" s="67"/>
      <c r="D238" s="67"/>
      <c r="E238" s="65"/>
      <c r="F238" s="65"/>
    </row>
    <row r="239" spans="1:6" ht="12.75">
      <c r="A239" s="51"/>
      <c r="B239" s="171" t="s">
        <v>49</v>
      </c>
      <c r="C239" s="67"/>
      <c r="D239" s="67"/>
      <c r="E239" s="65"/>
      <c r="F239" s="65"/>
    </row>
    <row r="240" spans="1:6" ht="12.75">
      <c r="A240" s="51"/>
      <c r="B240" s="67"/>
      <c r="C240" s="67"/>
      <c r="D240" s="67"/>
      <c r="E240" s="65"/>
      <c r="F240" s="65"/>
    </row>
    <row r="241" spans="1:6" ht="9" customHeight="1">
      <c r="A241" s="51"/>
      <c r="B241" s="67"/>
      <c r="C241" s="67"/>
      <c r="D241" s="67"/>
      <c r="E241" s="65"/>
      <c r="F241" s="65"/>
    </row>
    <row r="242" spans="1:6" ht="12.75">
      <c r="A242" s="70">
        <v>21</v>
      </c>
      <c r="B242" s="63" t="s">
        <v>211</v>
      </c>
      <c r="C242" s="63"/>
      <c r="D242" s="63"/>
      <c r="E242" s="67"/>
      <c r="F242" s="67"/>
    </row>
    <row r="243" spans="1:6" ht="6.75" customHeight="1">
      <c r="A243" s="67"/>
      <c r="B243" s="67"/>
      <c r="C243" s="67"/>
      <c r="D243" s="67"/>
      <c r="E243" s="67"/>
      <c r="F243" s="67"/>
    </row>
    <row r="244" spans="1:6" ht="12.75">
      <c r="A244" s="67"/>
      <c r="B244" s="67" t="s">
        <v>180</v>
      </c>
      <c r="C244" s="67"/>
      <c r="D244" s="67"/>
      <c r="E244" s="67"/>
      <c r="F244" s="67"/>
    </row>
    <row r="245" spans="1:6" ht="12.75">
      <c r="A245" s="67"/>
      <c r="B245" s="71"/>
      <c r="C245" s="72"/>
      <c r="D245" s="72"/>
      <c r="E245" s="157" t="s">
        <v>82</v>
      </c>
      <c r="F245" s="60"/>
    </row>
    <row r="246" spans="1:6" ht="12.75">
      <c r="A246" s="67"/>
      <c r="B246" s="162"/>
      <c r="C246" s="163"/>
      <c r="D246" s="163"/>
      <c r="E246" s="85" t="s">
        <v>84</v>
      </c>
      <c r="F246" s="85" t="s">
        <v>212</v>
      </c>
    </row>
    <row r="247" spans="1:6" ht="12.75">
      <c r="A247" s="67"/>
      <c r="B247" s="81" t="s">
        <v>217</v>
      </c>
      <c r="C247" s="82"/>
      <c r="D247" s="82"/>
      <c r="E247" s="158"/>
      <c r="F247" s="75"/>
    </row>
    <row r="248" spans="1:6" ht="12.75">
      <c r="A248" s="67"/>
      <c r="B248" s="73" t="s">
        <v>213</v>
      </c>
      <c r="C248" s="74"/>
      <c r="D248" s="74"/>
      <c r="E248" s="169"/>
      <c r="F248" s="76">
        <v>285743</v>
      </c>
    </row>
    <row r="249" spans="1:6" ht="12" customHeight="1">
      <c r="A249" s="67"/>
      <c r="B249" s="73" t="s">
        <v>214</v>
      </c>
      <c r="C249" s="74"/>
      <c r="D249" s="74"/>
      <c r="E249" s="75"/>
      <c r="F249" s="76">
        <v>38176</v>
      </c>
    </row>
    <row r="250" spans="1:6" ht="12" customHeight="1">
      <c r="A250" s="67"/>
      <c r="B250" s="73"/>
      <c r="C250" s="74"/>
      <c r="D250" s="74"/>
      <c r="E250" s="75"/>
      <c r="F250" s="76"/>
    </row>
    <row r="251" spans="1:6" ht="14.25" customHeight="1">
      <c r="A251" s="67"/>
      <c r="B251" s="73" t="s">
        <v>215</v>
      </c>
      <c r="C251" s="74"/>
      <c r="D251" s="74"/>
      <c r="E251" s="75"/>
      <c r="F251" s="173">
        <f>+F248+F249</f>
        <v>323919</v>
      </c>
    </row>
    <row r="252" spans="1:6" ht="14.25" customHeight="1">
      <c r="A252" s="67"/>
      <c r="B252" s="73"/>
      <c r="C252" s="74"/>
      <c r="D252" s="74"/>
      <c r="E252" s="75"/>
      <c r="F252" s="173"/>
    </row>
    <row r="253" spans="1:6" ht="12.75">
      <c r="A253" s="67"/>
      <c r="B253" s="81" t="s">
        <v>216</v>
      </c>
      <c r="C253" s="82"/>
      <c r="D253" s="82"/>
      <c r="E253" s="75"/>
      <c r="F253" s="76"/>
    </row>
    <row r="254" spans="1:6" ht="12.75">
      <c r="A254" s="67"/>
      <c r="B254" s="73" t="s">
        <v>213</v>
      </c>
      <c r="C254" s="74"/>
      <c r="D254" s="74"/>
      <c r="E254" s="75" t="s">
        <v>83</v>
      </c>
      <c r="F254" s="76">
        <v>372700</v>
      </c>
    </row>
    <row r="255" spans="1:6" ht="12.75">
      <c r="A255" s="67"/>
      <c r="B255" s="73"/>
      <c r="C255" s="74"/>
      <c r="D255" s="74"/>
      <c r="E255" s="75" t="s">
        <v>181</v>
      </c>
      <c r="F255" s="76">
        <v>550</v>
      </c>
    </row>
    <row r="256" spans="1:6" ht="12.75">
      <c r="A256" s="67"/>
      <c r="B256" s="73"/>
      <c r="C256" s="74"/>
      <c r="D256" s="74"/>
      <c r="E256" s="75" t="s">
        <v>96</v>
      </c>
      <c r="F256" s="76">
        <f>120000</f>
        <v>120000</v>
      </c>
    </row>
    <row r="257" spans="1:6" ht="12.75">
      <c r="A257" s="67"/>
      <c r="B257" s="73"/>
      <c r="C257" s="74"/>
      <c r="D257" s="74"/>
      <c r="E257" s="75" t="s">
        <v>182</v>
      </c>
      <c r="F257" s="76">
        <v>147</v>
      </c>
    </row>
    <row r="258" spans="1:6" ht="12.75">
      <c r="A258" s="67"/>
      <c r="B258" s="73" t="s">
        <v>214</v>
      </c>
      <c r="C258" s="74"/>
      <c r="D258" s="74"/>
      <c r="E258" s="75" t="s">
        <v>83</v>
      </c>
      <c r="F258" s="76">
        <v>15616</v>
      </c>
    </row>
    <row r="259" spans="1:6" ht="12.75">
      <c r="A259" s="67"/>
      <c r="B259" s="73"/>
      <c r="C259" s="74"/>
      <c r="D259" s="74"/>
      <c r="E259" s="158"/>
      <c r="F259" s="76"/>
    </row>
    <row r="260" spans="1:6" ht="7.5" customHeight="1">
      <c r="A260" s="67"/>
      <c r="B260" s="73"/>
      <c r="C260" s="74"/>
      <c r="D260" s="74"/>
      <c r="E260" s="158"/>
      <c r="F260" s="76"/>
    </row>
    <row r="261" spans="1:6" ht="13.5" thickBot="1">
      <c r="A261" s="67"/>
      <c r="B261" s="73" t="s">
        <v>215</v>
      </c>
      <c r="C261" s="74"/>
      <c r="D261" s="74"/>
      <c r="E261" s="159"/>
      <c r="F261" s="156">
        <f>SUM(F254:F260)</f>
        <v>509013</v>
      </c>
    </row>
    <row r="262" spans="1:6" ht="21" customHeight="1" thickBot="1">
      <c r="A262" s="67"/>
      <c r="B262" s="77" t="s">
        <v>107</v>
      </c>
      <c r="C262" s="78"/>
      <c r="D262" s="78"/>
      <c r="E262" s="78"/>
      <c r="F262" s="79">
        <f>F251+F261</f>
        <v>832932</v>
      </c>
    </row>
    <row r="263" spans="1:6" ht="12.75">
      <c r="A263" s="262"/>
      <c r="B263" s="262"/>
      <c r="C263" s="262"/>
      <c r="D263" s="262"/>
      <c r="E263" s="262"/>
      <c r="F263" s="262"/>
    </row>
    <row r="264" spans="1:6" ht="12.75">
      <c r="A264" s="92"/>
      <c r="B264" s="92"/>
      <c r="C264" s="92"/>
      <c r="D264" s="92"/>
      <c r="E264" s="92"/>
      <c r="F264" s="92"/>
    </row>
    <row r="265" spans="1:6" ht="12.75">
      <c r="A265" s="92"/>
      <c r="B265" s="92"/>
      <c r="C265" s="92"/>
      <c r="D265" s="92"/>
      <c r="E265" s="92"/>
      <c r="F265" s="92"/>
    </row>
    <row r="266" spans="1:6" ht="12.75">
      <c r="A266" s="262" t="s">
        <v>95</v>
      </c>
      <c r="B266" s="262"/>
      <c r="C266" s="262"/>
      <c r="D266" s="262"/>
      <c r="E266" s="262"/>
      <c r="F266" s="262"/>
    </row>
    <row r="267" spans="1:8" ht="12.75">
      <c r="A267" s="92"/>
      <c r="B267" s="92"/>
      <c r="C267" s="262"/>
      <c r="D267" s="262"/>
      <c r="E267" s="262"/>
      <c r="F267" s="262"/>
      <c r="G267" s="262"/>
      <c r="H267" s="262"/>
    </row>
    <row r="269" spans="1:6" ht="15.75">
      <c r="A269" s="252" t="s">
        <v>98</v>
      </c>
      <c r="B269" s="263"/>
      <c r="C269" s="263"/>
      <c r="D269" s="263"/>
      <c r="E269" s="263"/>
      <c r="F269" s="264"/>
    </row>
    <row r="270" spans="1:6" ht="12.75">
      <c r="A270" s="265" t="s">
        <v>202</v>
      </c>
      <c r="B270" s="266"/>
      <c r="C270" s="266"/>
      <c r="D270" s="266"/>
      <c r="E270" s="266"/>
      <c r="F270" s="267"/>
    </row>
    <row r="272" spans="1:6" ht="12.75">
      <c r="A272" s="139"/>
      <c r="B272" s="139"/>
      <c r="C272" s="139"/>
      <c r="D272" s="139"/>
      <c r="E272" s="139"/>
      <c r="F272" s="139"/>
    </row>
    <row r="273" spans="1:6" ht="12.75">
      <c r="A273" s="70">
        <v>22</v>
      </c>
      <c r="B273" s="63" t="s">
        <v>218</v>
      </c>
      <c r="C273" s="63"/>
      <c r="D273" s="67"/>
      <c r="E273" s="67"/>
      <c r="F273" s="67"/>
    </row>
    <row r="274" spans="1:6" ht="12.75">
      <c r="A274" s="69"/>
      <c r="B274" s="67"/>
      <c r="C274" s="67"/>
      <c r="D274" s="67"/>
      <c r="E274" s="67"/>
      <c r="F274" s="67"/>
    </row>
    <row r="275" spans="1:6" ht="12.75">
      <c r="A275" s="69"/>
      <c r="B275" s="67" t="s">
        <v>219</v>
      </c>
      <c r="C275" s="67"/>
      <c r="D275" s="67"/>
      <c r="E275" s="67"/>
      <c r="F275" s="67"/>
    </row>
    <row r="276" spans="1:6" ht="12.75">
      <c r="A276" s="69"/>
      <c r="B276" s="67" t="s">
        <v>183</v>
      </c>
      <c r="C276" s="67"/>
      <c r="D276" s="67"/>
      <c r="E276" s="67"/>
      <c r="F276" s="67"/>
    </row>
    <row r="277" spans="1:6" ht="12.75">
      <c r="A277" s="69"/>
      <c r="B277" s="67"/>
      <c r="C277" s="67"/>
      <c r="D277" s="67"/>
      <c r="E277" s="67"/>
      <c r="F277" s="67"/>
    </row>
    <row r="278" spans="1:6" ht="12.75">
      <c r="A278" s="69"/>
      <c r="B278" s="67"/>
      <c r="C278" s="67"/>
      <c r="D278" s="67"/>
      <c r="E278" s="67"/>
      <c r="F278" s="67"/>
    </row>
    <row r="279" spans="1:6" ht="12.75">
      <c r="A279" s="70">
        <v>23</v>
      </c>
      <c r="B279" s="63" t="s">
        <v>220</v>
      </c>
      <c r="C279" s="63"/>
      <c r="D279" s="67"/>
      <c r="E279" s="67"/>
      <c r="F279" s="67"/>
    </row>
    <row r="280" spans="1:6" ht="12.75">
      <c r="A280" s="69"/>
      <c r="B280" s="67"/>
      <c r="C280" s="67"/>
      <c r="D280" s="67"/>
      <c r="E280" s="67"/>
      <c r="F280" s="67"/>
    </row>
    <row r="281" spans="1:6" ht="12.75">
      <c r="A281" s="69"/>
      <c r="B281" s="67" t="s">
        <v>229</v>
      </c>
      <c r="C281" s="67"/>
      <c r="D281" s="67"/>
      <c r="E281" s="67"/>
      <c r="F281" s="67"/>
    </row>
    <row r="282" spans="1:6" ht="12.75">
      <c r="A282" s="69"/>
      <c r="B282" s="67" t="s">
        <v>261</v>
      </c>
      <c r="C282" s="67"/>
      <c r="D282" s="67"/>
      <c r="E282" s="67"/>
      <c r="F282" s="67"/>
    </row>
    <row r="283" ht="12.75">
      <c r="A283" s="70"/>
    </row>
    <row r="284" spans="1:3" ht="12.75">
      <c r="A284" s="70">
        <v>24</v>
      </c>
      <c r="B284" s="63" t="s">
        <v>235</v>
      </c>
      <c r="C284" s="63"/>
    </row>
    <row r="285" ht="6" customHeight="1">
      <c r="A285" s="70"/>
    </row>
    <row r="286" spans="1:2" ht="12.75">
      <c r="A286" s="70"/>
      <c r="B286" t="s">
        <v>184</v>
      </c>
    </row>
    <row r="287" spans="1:2" ht="12.75">
      <c r="A287" s="70"/>
      <c r="B287" s="225" t="s">
        <v>6</v>
      </c>
    </row>
    <row r="288" ht="12.75">
      <c r="A288" s="70"/>
    </row>
    <row r="289" spans="1:2" ht="12.75">
      <c r="A289" s="70">
        <v>25</v>
      </c>
      <c r="B289" s="63" t="s">
        <v>134</v>
      </c>
    </row>
    <row r="290" spans="1:3" ht="12.75" hidden="1">
      <c r="A290" s="70">
        <v>22</v>
      </c>
      <c r="B290" s="63"/>
      <c r="C290" s="63"/>
    </row>
    <row r="291" ht="6" customHeight="1" hidden="1"/>
    <row r="292" ht="12.75" hidden="1"/>
    <row r="293" ht="12.75" hidden="1"/>
    <row r="294" ht="12.75" hidden="1"/>
    <row r="295" ht="12.75" hidden="1"/>
    <row r="296" ht="12.75" hidden="1"/>
    <row r="298" ht="12.75">
      <c r="B298" t="s">
        <v>345</v>
      </c>
    </row>
    <row r="299" ht="12.75">
      <c r="B299" t="s">
        <v>256</v>
      </c>
    </row>
    <row r="304" ht="15" customHeight="1">
      <c r="A304" s="63" t="s">
        <v>236</v>
      </c>
    </row>
    <row r="305" ht="12.75">
      <c r="A305" s="63" t="s">
        <v>299</v>
      </c>
    </row>
    <row r="306" ht="12.75">
      <c r="A306" s="63"/>
    </row>
    <row r="307" ht="12.75">
      <c r="A307" s="63" t="s">
        <v>237</v>
      </c>
    </row>
    <row r="310" spans="1:6" ht="12.75">
      <c r="A310" s="262"/>
      <c r="B310" s="262"/>
      <c r="C310" s="262"/>
      <c r="D310" s="262"/>
      <c r="E310" s="262"/>
      <c r="F310" s="262"/>
    </row>
    <row r="324" spans="1:6" ht="12.75">
      <c r="A324" s="262"/>
      <c r="B324" s="262"/>
      <c r="C324" s="262"/>
      <c r="D324" s="262"/>
      <c r="E324" s="262"/>
      <c r="F324" s="262"/>
    </row>
    <row r="327" spans="1:6" ht="12.75">
      <c r="A327" s="262" t="s">
        <v>23</v>
      </c>
      <c r="B327" s="262"/>
      <c r="C327" s="262"/>
      <c r="D327" s="262"/>
      <c r="E327" s="262"/>
      <c r="F327" s="262"/>
    </row>
    <row r="334" spans="2:7" ht="12.75">
      <c r="B334" s="262"/>
      <c r="C334" s="262"/>
      <c r="D334" s="262"/>
      <c r="E334" s="262"/>
      <c r="F334" s="262"/>
      <c r="G334" s="262"/>
    </row>
    <row r="335" spans="1:6" ht="12.75">
      <c r="A335" s="262"/>
      <c r="B335" s="262"/>
      <c r="C335" s="262"/>
      <c r="D335" s="262"/>
      <c r="E335" s="262"/>
      <c r="F335" s="262"/>
    </row>
    <row r="340" ht="12.75">
      <c r="A340" s="63"/>
    </row>
    <row r="341" ht="12.75">
      <c r="A341" s="63"/>
    </row>
    <row r="342" ht="12.75">
      <c r="A342" s="63"/>
    </row>
    <row r="343" ht="12.75">
      <c r="A343" s="63"/>
    </row>
    <row r="344" ht="12.75">
      <c r="A344" s="63"/>
    </row>
    <row r="345" ht="12.75">
      <c r="A345" s="63"/>
    </row>
    <row r="346" ht="12.75">
      <c r="A346" s="63"/>
    </row>
    <row r="347" ht="12.75">
      <c r="A347" s="63"/>
    </row>
    <row r="348" ht="12.75">
      <c r="A348" s="63"/>
    </row>
    <row r="349" ht="12.75">
      <c r="A349" s="63"/>
    </row>
    <row r="350" ht="12.75">
      <c r="A350" s="63"/>
    </row>
    <row r="351" spans="1:6" ht="12.75">
      <c r="A351" s="262"/>
      <c r="B351" s="262"/>
      <c r="C351" s="262"/>
      <c r="D351" s="262"/>
      <c r="E351" s="262"/>
      <c r="F351" s="262"/>
    </row>
    <row r="352" ht="12.75">
      <c r="A352" s="63"/>
    </row>
    <row r="353" ht="12.75">
      <c r="A353" s="63"/>
    </row>
    <row r="354" ht="12.75">
      <c r="A354" s="63"/>
    </row>
    <row r="355" ht="12.75">
      <c r="A355" s="63"/>
    </row>
    <row r="356" spans="1:6" ht="12.75">
      <c r="A356" s="262"/>
      <c r="B356" s="262"/>
      <c r="C356" s="262"/>
      <c r="D356" s="262"/>
      <c r="E356" s="262"/>
      <c r="F356" s="262"/>
    </row>
    <row r="357" ht="12.75">
      <c r="A357" s="63"/>
    </row>
    <row r="358" ht="12.75">
      <c r="A358" s="63"/>
    </row>
    <row r="359" ht="12.75">
      <c r="A359" s="63"/>
    </row>
    <row r="360" ht="12.75">
      <c r="A360" s="63"/>
    </row>
    <row r="361" ht="12.75">
      <c r="A361" s="63"/>
    </row>
    <row r="362" ht="12.75">
      <c r="A362" s="63"/>
    </row>
    <row r="363" ht="12.75">
      <c r="A363" s="63"/>
    </row>
    <row r="364" ht="12.75">
      <c r="A364" s="63"/>
    </row>
    <row r="365" ht="12.75">
      <c r="A365" s="63"/>
    </row>
    <row r="366" ht="12.75">
      <c r="A366" s="63"/>
    </row>
    <row r="367" ht="12.75">
      <c r="A367" s="63"/>
    </row>
    <row r="368" ht="12.75">
      <c r="A368" s="63"/>
    </row>
    <row r="369" ht="12.75">
      <c r="A369" s="63"/>
    </row>
    <row r="370" ht="12.75">
      <c r="A370" s="63"/>
    </row>
    <row r="372" spans="1:6" ht="12.75">
      <c r="A372" s="262"/>
      <c r="B372" s="262"/>
      <c r="C372" s="262"/>
      <c r="D372" s="262"/>
      <c r="E372" s="262"/>
      <c r="F372" s="262"/>
    </row>
    <row r="373" ht="12.75">
      <c r="A373" s="63"/>
    </row>
    <row r="374" ht="12.75">
      <c r="A374" s="63"/>
    </row>
    <row r="375" ht="12.75">
      <c r="A375" s="63"/>
    </row>
    <row r="376" ht="12.75">
      <c r="A376" s="63"/>
    </row>
    <row r="377" spans="1:7" ht="12.75">
      <c r="A377" s="63"/>
      <c r="B377" s="262"/>
      <c r="C377" s="262"/>
      <c r="D377" s="262"/>
      <c r="E377" s="262"/>
      <c r="F377" s="262"/>
      <c r="G377" s="262"/>
    </row>
    <row r="378" spans="1:6" ht="12.75">
      <c r="A378" s="262"/>
      <c r="B378" s="262"/>
      <c r="C378" s="262"/>
      <c r="D378" s="262"/>
      <c r="E378" s="262"/>
      <c r="F378" s="262"/>
    </row>
    <row r="379" ht="12.75">
      <c r="F379">
        <v>7</v>
      </c>
    </row>
  </sheetData>
  <mergeCells count="35">
    <mergeCell ref="A270:F270"/>
    <mergeCell ref="A263:F263"/>
    <mergeCell ref="A327:F327"/>
    <mergeCell ref="A217:F217"/>
    <mergeCell ref="A310:F310"/>
    <mergeCell ref="A324:F324"/>
    <mergeCell ref="A2:F2"/>
    <mergeCell ref="A5:F5"/>
    <mergeCell ref="A6:F6"/>
    <mergeCell ref="A3:F3"/>
    <mergeCell ref="A107:F107"/>
    <mergeCell ref="A160:F160"/>
    <mergeCell ref="C267:H267"/>
    <mergeCell ref="A266:F266"/>
    <mergeCell ref="A162:F162"/>
    <mergeCell ref="A163:F163"/>
    <mergeCell ref="A216:F216"/>
    <mergeCell ref="A9:F9"/>
    <mergeCell ref="A4:F4"/>
    <mergeCell ref="A55:F55"/>
    <mergeCell ref="A54:F54"/>
    <mergeCell ref="A378:F378"/>
    <mergeCell ref="B377:G377"/>
    <mergeCell ref="A372:F372"/>
    <mergeCell ref="A356:F356"/>
    <mergeCell ref="A335:F335"/>
    <mergeCell ref="A351:F351"/>
    <mergeCell ref="B334:G334"/>
    <mergeCell ref="A56:F56"/>
    <mergeCell ref="A57:F57"/>
    <mergeCell ref="A136:F136"/>
    <mergeCell ref="A108:F108"/>
    <mergeCell ref="A109:F109"/>
    <mergeCell ref="A110:F110"/>
    <mergeCell ref="A269:F269"/>
  </mergeCells>
  <printOptions horizontalCentered="1"/>
  <pageMargins left="0.5511811023622047" right="0.5511811023622047" top="0.984251968503937" bottom="0.64" header="0.5118110236220472" footer="0.5118110236220472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57"/>
  <sheetViews>
    <sheetView zoomScale="75" zoomScaleNormal="75" workbookViewId="0" topLeftCell="K1">
      <selection activeCell="K7" sqref="K7"/>
    </sheetView>
  </sheetViews>
  <sheetFormatPr defaultColWidth="9.140625" defaultRowHeight="12.75"/>
  <cols>
    <col min="1" max="1" width="25.00390625" style="0" customWidth="1"/>
    <col min="2" max="2" width="12.7109375" style="0" customWidth="1"/>
    <col min="3" max="3" width="11.7109375" style="0" customWidth="1"/>
    <col min="4" max="4" width="11.28125" style="0" customWidth="1"/>
    <col min="5" max="5" width="12.00390625" style="0" customWidth="1"/>
    <col min="6" max="6" width="11.00390625" style="0" customWidth="1"/>
    <col min="7" max="7" width="11.57421875" style="0" customWidth="1"/>
    <col min="8" max="8" width="12.00390625" style="0" customWidth="1"/>
    <col min="9" max="9" width="13.140625" style="0" customWidth="1"/>
    <col min="10" max="10" width="0.9921875" style="15" customWidth="1"/>
    <col min="11" max="11" width="14.421875" style="0" customWidth="1"/>
    <col min="12" max="14" width="14.421875" style="0" hidden="1" customWidth="1"/>
    <col min="15" max="15" width="3.421875" style="15" customWidth="1"/>
    <col min="16" max="16" width="0.9921875" style="0" customWidth="1"/>
    <col min="17" max="17" width="14.421875" style="0" hidden="1" customWidth="1"/>
    <col min="18" max="18" width="0.9921875" style="0" hidden="1" customWidth="1"/>
    <col min="19" max="19" width="14.421875" style="0" hidden="1" customWidth="1"/>
    <col min="20" max="20" width="7.140625" style="3" hidden="1" customWidth="1"/>
    <col min="21" max="21" width="0" style="0" hidden="1" customWidth="1"/>
    <col min="22" max="22" width="24.421875" style="0" customWidth="1"/>
    <col min="23" max="23" width="12.28125" style="0" customWidth="1"/>
    <col min="24" max="24" width="11.8515625" style="0" customWidth="1"/>
    <col min="25" max="25" width="11.00390625" style="0" customWidth="1"/>
    <col min="26" max="26" width="12.57421875" style="0" customWidth="1"/>
    <col min="27" max="32" width="12.421875" style="0" customWidth="1"/>
    <col min="33" max="33" width="0.9921875" style="15" customWidth="1"/>
    <col min="34" max="34" width="15.00390625" style="0" customWidth="1"/>
    <col min="35" max="35" width="0.9921875" style="0" customWidth="1"/>
    <col min="36" max="36" width="14.57421875" style="0" hidden="1" customWidth="1"/>
    <col min="37" max="37" width="0.9921875" style="0" hidden="1" customWidth="1"/>
    <col min="38" max="38" width="14.8515625" style="0" hidden="1" customWidth="1"/>
    <col min="39" max="39" width="0" style="0" hidden="1" customWidth="1"/>
  </cols>
  <sheetData>
    <row r="1" spans="1:22" ht="15.75">
      <c r="A1" s="2" t="s">
        <v>98</v>
      </c>
      <c r="V1" s="2" t="s">
        <v>128</v>
      </c>
    </row>
    <row r="2" spans="1:22" ht="15.75">
      <c r="A2" s="2" t="s">
        <v>245</v>
      </c>
      <c r="V2" s="2" t="s">
        <v>245</v>
      </c>
    </row>
    <row r="3" spans="36:39" ht="13.5" thickBot="1">
      <c r="AJ3" s="1"/>
      <c r="AK3" s="1"/>
      <c r="AL3" s="1"/>
      <c r="AM3" s="1"/>
    </row>
    <row r="4" spans="1:39" s="1" customFormat="1" ht="13.5" thickBot="1">
      <c r="A4" s="98"/>
      <c r="B4" s="17" t="s">
        <v>100</v>
      </c>
      <c r="C4" s="18" t="s">
        <v>101</v>
      </c>
      <c r="D4" s="18" t="s">
        <v>102</v>
      </c>
      <c r="E4" s="18" t="s">
        <v>103</v>
      </c>
      <c r="F4" s="18" t="s">
        <v>104</v>
      </c>
      <c r="G4" s="18" t="s">
        <v>105</v>
      </c>
      <c r="H4" s="18" t="s">
        <v>106</v>
      </c>
      <c r="I4" s="102" t="s">
        <v>146</v>
      </c>
      <c r="J4" s="19"/>
      <c r="K4" s="20" t="s">
        <v>147</v>
      </c>
      <c r="L4" s="21" t="s">
        <v>148</v>
      </c>
      <c r="M4" s="21"/>
      <c r="N4" s="20" t="s">
        <v>147</v>
      </c>
      <c r="O4" s="19"/>
      <c r="P4" s="19"/>
      <c r="Q4" s="20" t="s">
        <v>119</v>
      </c>
      <c r="R4" s="19"/>
      <c r="S4" s="22" t="s">
        <v>118</v>
      </c>
      <c r="T4" s="20" t="s">
        <v>149</v>
      </c>
      <c r="V4" s="16" t="s">
        <v>115</v>
      </c>
      <c r="W4" s="17" t="s">
        <v>99</v>
      </c>
      <c r="X4" s="18" t="s">
        <v>269</v>
      </c>
      <c r="Y4" s="18" t="s">
        <v>123</v>
      </c>
      <c r="Z4" s="18" t="s">
        <v>124</v>
      </c>
      <c r="AA4" s="18" t="s">
        <v>125</v>
      </c>
      <c r="AB4" s="18" t="s">
        <v>150</v>
      </c>
      <c r="AC4" s="18" t="s">
        <v>127</v>
      </c>
      <c r="AD4" s="18" t="s">
        <v>126</v>
      </c>
      <c r="AE4" s="18" t="s">
        <v>129</v>
      </c>
      <c r="AF4" s="18" t="s">
        <v>151</v>
      </c>
      <c r="AG4" s="19"/>
      <c r="AH4" s="20" t="s">
        <v>152</v>
      </c>
      <c r="AJ4" s="20" t="s">
        <v>119</v>
      </c>
      <c r="AK4" s="19"/>
      <c r="AL4" s="22" t="s">
        <v>118</v>
      </c>
      <c r="AM4" s="20" t="s">
        <v>149</v>
      </c>
    </row>
    <row r="5" spans="1:39" ht="13.5" thickBot="1">
      <c r="A5" s="99" t="s">
        <v>153</v>
      </c>
      <c r="B5" s="24">
        <v>1</v>
      </c>
      <c r="C5" s="25">
        <v>1</v>
      </c>
      <c r="D5" s="25">
        <v>0.6</v>
      </c>
      <c r="E5" s="25">
        <v>0.6</v>
      </c>
      <c r="F5" s="25">
        <v>1</v>
      </c>
      <c r="G5" s="25">
        <v>1</v>
      </c>
      <c r="H5" s="25">
        <v>1</v>
      </c>
      <c r="I5" s="103"/>
      <c r="K5" s="26"/>
      <c r="L5" s="19" t="s">
        <v>108</v>
      </c>
      <c r="M5" s="19" t="s">
        <v>109</v>
      </c>
      <c r="N5" s="20" t="s">
        <v>162</v>
      </c>
      <c r="O5" s="19"/>
      <c r="P5" s="27"/>
      <c r="Q5" s="28"/>
      <c r="R5" s="27"/>
      <c r="S5" s="28"/>
      <c r="T5" s="29"/>
      <c r="V5" s="23" t="s">
        <v>153</v>
      </c>
      <c r="W5" s="24">
        <v>1</v>
      </c>
      <c r="X5" s="30" t="s">
        <v>268</v>
      </c>
      <c r="Y5" s="25">
        <v>0.6</v>
      </c>
      <c r="Z5" s="25">
        <v>0.4</v>
      </c>
      <c r="AA5" s="25">
        <v>1</v>
      </c>
      <c r="AB5" s="25">
        <v>0.8</v>
      </c>
      <c r="AC5" s="25">
        <v>1</v>
      </c>
      <c r="AD5" s="25">
        <v>1</v>
      </c>
      <c r="AE5" s="25">
        <v>0.7</v>
      </c>
      <c r="AF5" s="25">
        <v>0.7</v>
      </c>
      <c r="AG5" s="31"/>
      <c r="AH5" s="26"/>
      <c r="AJ5" s="28"/>
      <c r="AK5" s="27"/>
      <c r="AL5" s="28"/>
      <c r="AM5" s="29"/>
    </row>
    <row r="6" spans="1:39" ht="12.75">
      <c r="A6" s="100"/>
      <c r="B6" s="33"/>
      <c r="C6" s="14"/>
      <c r="D6" s="14"/>
      <c r="E6" s="14"/>
      <c r="F6" s="14"/>
      <c r="G6" s="14"/>
      <c r="H6" s="14"/>
      <c r="I6" s="103"/>
      <c r="K6" s="26"/>
      <c r="L6" s="27"/>
      <c r="M6" s="27"/>
      <c r="N6" s="26"/>
      <c r="O6" s="27"/>
      <c r="P6" s="27"/>
      <c r="Q6" s="26"/>
      <c r="R6" s="27"/>
      <c r="S6" s="26"/>
      <c r="T6" s="29"/>
      <c r="V6" s="32"/>
      <c r="W6" s="33"/>
      <c r="X6" s="14"/>
      <c r="Y6" s="14"/>
      <c r="Z6" s="14"/>
      <c r="AA6" s="14"/>
      <c r="AB6" s="14"/>
      <c r="AC6" s="14"/>
      <c r="AD6" s="14"/>
      <c r="AE6" s="14"/>
      <c r="AF6" s="14"/>
      <c r="AH6" s="26"/>
      <c r="AJ6" s="26"/>
      <c r="AK6" s="27"/>
      <c r="AL6" s="26"/>
      <c r="AM6" s="29"/>
    </row>
    <row r="7" spans="1:39" ht="21" customHeight="1" thickBot="1">
      <c r="A7" s="97" t="s">
        <v>116</v>
      </c>
      <c r="B7" s="34">
        <v>11717171</v>
      </c>
      <c r="C7" s="35">
        <v>15709428</v>
      </c>
      <c r="D7" s="35">
        <v>669901.26</v>
      </c>
      <c r="E7" s="35">
        <v>1868706.49</v>
      </c>
      <c r="F7" s="35">
        <f>5734855.64</f>
        <v>5734855.64</v>
      </c>
      <c r="G7" s="35">
        <v>0</v>
      </c>
      <c r="H7" s="35">
        <v>0</v>
      </c>
      <c r="I7" s="104">
        <f>AH7</f>
        <v>557525865.65</v>
      </c>
      <c r="J7" s="10"/>
      <c r="K7" s="36">
        <f>SUM(B7:I7)-B7</f>
        <v>581508757.04</v>
      </c>
      <c r="L7" s="11"/>
      <c r="M7" s="11"/>
      <c r="N7" s="36">
        <f>K7-L7</f>
        <v>581508757.04</v>
      </c>
      <c r="O7" s="11"/>
      <c r="P7" s="11"/>
      <c r="Q7" s="36">
        <v>358674721</v>
      </c>
      <c r="R7" s="11"/>
      <c r="S7" s="36">
        <f>K7-Q7</f>
        <v>222834036.03999996</v>
      </c>
      <c r="T7" s="37">
        <f>S7/Q7</f>
        <v>0.6212705356506013</v>
      </c>
      <c r="V7" s="26" t="s">
        <v>116</v>
      </c>
      <c r="W7" s="34">
        <v>43235894.67</v>
      </c>
      <c r="X7" s="35">
        <v>41749389</v>
      </c>
      <c r="Y7" s="35">
        <f>2070000*3.8</f>
        <v>7866000</v>
      </c>
      <c r="Z7" s="35">
        <v>460650027</v>
      </c>
      <c r="AA7" s="35">
        <v>3780645.98</v>
      </c>
      <c r="AB7" s="35">
        <v>0</v>
      </c>
      <c r="AC7" s="35">
        <v>0</v>
      </c>
      <c r="AD7" s="35">
        <v>0</v>
      </c>
      <c r="AE7" s="35">
        <v>56480</v>
      </c>
      <c r="AF7" s="35">
        <v>187429</v>
      </c>
      <c r="AG7" s="10"/>
      <c r="AH7" s="36">
        <f>SUM(W7:AF7)</f>
        <v>557525865.65</v>
      </c>
      <c r="AJ7" s="36">
        <v>346259892</v>
      </c>
      <c r="AK7" s="11"/>
      <c r="AL7" s="36">
        <f>AH7-AJ7</f>
        <v>211265973.64999998</v>
      </c>
      <c r="AM7" s="37">
        <f>AL7/AJ7</f>
        <v>0.6101370055588188</v>
      </c>
    </row>
    <row r="8" spans="1:39" ht="21" customHeight="1" thickTop="1">
      <c r="A8" s="97" t="s">
        <v>120</v>
      </c>
      <c r="B8" s="38">
        <v>0</v>
      </c>
      <c r="C8" s="39">
        <v>0</v>
      </c>
      <c r="D8" s="39">
        <v>0</v>
      </c>
      <c r="E8" s="39">
        <v>0</v>
      </c>
      <c r="F8" s="39">
        <v>0</v>
      </c>
      <c r="G8" s="39"/>
      <c r="H8" s="39"/>
      <c r="I8" s="105"/>
      <c r="J8" s="10"/>
      <c r="K8" s="40"/>
      <c r="L8" s="11"/>
      <c r="M8" s="11"/>
      <c r="N8" s="40"/>
      <c r="O8" s="11"/>
      <c r="P8" s="11"/>
      <c r="Q8" s="40"/>
      <c r="R8" s="11"/>
      <c r="S8" s="40"/>
      <c r="T8" s="37"/>
      <c r="V8" s="26" t="s">
        <v>120</v>
      </c>
      <c r="W8" s="38">
        <v>-4171.18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10"/>
      <c r="AH8" s="40">
        <f>SUM(W8:AG8)</f>
        <v>-4171.18</v>
      </c>
      <c r="AJ8" s="40"/>
      <c r="AK8" s="11"/>
      <c r="AL8" s="40"/>
      <c r="AM8" s="37"/>
    </row>
    <row r="9" spans="1:39" ht="34.5" customHeight="1">
      <c r="A9" s="97" t="s">
        <v>154</v>
      </c>
      <c r="B9" s="38">
        <f>107286+69.32+9.73</f>
        <v>107365.05</v>
      </c>
      <c r="C9" s="39">
        <v>137175</v>
      </c>
      <c r="D9" s="39">
        <f>41389+837.96+1470.69</f>
        <v>43697.65</v>
      </c>
      <c r="E9" s="39">
        <f>18568.63+677.12</f>
        <v>19245.75</v>
      </c>
      <c r="F9" s="39">
        <v>318182.29</v>
      </c>
      <c r="G9" s="39">
        <v>0</v>
      </c>
      <c r="H9" s="39">
        <v>63000</v>
      </c>
      <c r="I9" s="105">
        <f>AH9</f>
        <v>35317885.6</v>
      </c>
      <c r="J9" s="10"/>
      <c r="K9" s="40">
        <f>SUM(B9:I9)</f>
        <v>36006551.34</v>
      </c>
      <c r="L9" s="11"/>
      <c r="M9" s="11"/>
      <c r="N9" s="40">
        <f>K9</f>
        <v>36006551.34</v>
      </c>
      <c r="O9" s="11"/>
      <c r="P9" s="11"/>
      <c r="Q9" s="40">
        <v>17007728</v>
      </c>
      <c r="R9" s="11"/>
      <c r="S9" s="40">
        <f>K9-Q9</f>
        <v>18998823.340000004</v>
      </c>
      <c r="T9" s="37">
        <f>S9/Q9</f>
        <v>1.117070036632759</v>
      </c>
      <c r="V9" s="26" t="s">
        <v>154</v>
      </c>
      <c r="W9" s="38">
        <v>14351063.11</v>
      </c>
      <c r="X9" s="39">
        <v>143805</v>
      </c>
      <c r="Y9" s="39">
        <f>8000*3.8</f>
        <v>30400</v>
      </c>
      <c r="Z9" s="39">
        <v>20390000</v>
      </c>
      <c r="AA9" s="39">
        <v>210211.49</v>
      </c>
      <c r="AB9" s="39">
        <v>9302</v>
      </c>
      <c r="AC9" s="39"/>
      <c r="AD9" s="39"/>
      <c r="AE9" s="39">
        <v>0</v>
      </c>
      <c r="AF9" s="39">
        <v>183104</v>
      </c>
      <c r="AG9" s="10"/>
      <c r="AH9" s="40">
        <f>SUM(W9:AF9)</f>
        <v>35317885.6</v>
      </c>
      <c r="AJ9" s="40">
        <v>11263550</v>
      </c>
      <c r="AK9" s="11"/>
      <c r="AL9" s="40">
        <f>AH9-AJ9</f>
        <v>24054335.6</v>
      </c>
      <c r="AM9" s="37">
        <f>AL9/AJ9</f>
        <v>2.135590963772523</v>
      </c>
    </row>
    <row r="10" spans="1:39" ht="33" customHeight="1">
      <c r="A10" s="97" t="s">
        <v>155</v>
      </c>
      <c r="B10" s="38"/>
      <c r="C10" s="39"/>
      <c r="D10" s="39"/>
      <c r="E10" s="39"/>
      <c r="F10" s="39"/>
      <c r="G10" s="39"/>
      <c r="H10" s="39"/>
      <c r="I10" s="105"/>
      <c r="J10" s="10"/>
      <c r="K10" s="40"/>
      <c r="L10" s="11"/>
      <c r="M10" s="11"/>
      <c r="N10" s="40"/>
      <c r="O10" s="11"/>
      <c r="P10" s="11"/>
      <c r="Q10" s="40"/>
      <c r="R10" s="11"/>
      <c r="S10" s="40"/>
      <c r="T10" s="29"/>
      <c r="V10" s="26" t="s">
        <v>155</v>
      </c>
      <c r="W10" s="38"/>
      <c r="X10" s="39"/>
      <c r="Y10" s="39"/>
      <c r="Z10" s="39"/>
      <c r="AA10" s="39"/>
      <c r="AB10" s="39"/>
      <c r="AC10" s="39"/>
      <c r="AD10" s="39"/>
      <c r="AE10" s="39"/>
      <c r="AF10" s="39"/>
      <c r="AG10" s="10"/>
      <c r="AH10" s="40"/>
      <c r="AJ10" s="40"/>
      <c r="AK10" s="11"/>
      <c r="AL10" s="40"/>
      <c r="AM10" s="29"/>
    </row>
    <row r="11" spans="1:39" ht="12.75" customHeight="1">
      <c r="A11" s="97" t="s">
        <v>156</v>
      </c>
      <c r="B11" s="38"/>
      <c r="C11" s="39"/>
      <c r="D11" s="39"/>
      <c r="E11" s="39"/>
      <c r="F11" s="39"/>
      <c r="G11" s="39"/>
      <c r="H11" s="39"/>
      <c r="I11" s="105"/>
      <c r="J11" s="10"/>
      <c r="K11" s="40"/>
      <c r="L11" s="11"/>
      <c r="M11" s="11"/>
      <c r="N11" s="40"/>
      <c r="O11" s="11"/>
      <c r="P11" s="11"/>
      <c r="Q11" s="40"/>
      <c r="R11" s="11"/>
      <c r="S11" s="40"/>
      <c r="T11" s="29"/>
      <c r="V11" s="26" t="s">
        <v>156</v>
      </c>
      <c r="W11" s="38"/>
      <c r="X11" s="39"/>
      <c r="Y11" s="39"/>
      <c r="Z11" s="39"/>
      <c r="AA11" s="39"/>
      <c r="AB11" s="39"/>
      <c r="AC11" s="39"/>
      <c r="AD11" s="39"/>
      <c r="AE11" s="39"/>
      <c r="AF11" s="39"/>
      <c r="AG11" s="10"/>
      <c r="AH11" s="40"/>
      <c r="AJ11" s="40"/>
      <c r="AK11" s="11"/>
      <c r="AL11" s="40"/>
      <c r="AM11" s="29"/>
    </row>
    <row r="12" spans="1:39" ht="13.5" customHeight="1">
      <c r="A12" s="97" t="s">
        <v>157</v>
      </c>
      <c r="B12" s="38">
        <f aca="true" t="shared" si="0" ref="B12:I12">B15+B13+B14</f>
        <v>15485854.44</v>
      </c>
      <c r="C12" s="39">
        <f t="shared" si="0"/>
        <v>-310053.85999999987</v>
      </c>
      <c r="D12" s="39">
        <f t="shared" si="0"/>
        <v>106238.92</v>
      </c>
      <c r="E12" s="39">
        <f t="shared" si="0"/>
        <v>25638.399999999998</v>
      </c>
      <c r="F12" s="39">
        <f t="shared" si="0"/>
        <v>3047939.4099999997</v>
      </c>
      <c r="G12" s="39">
        <f t="shared" si="0"/>
        <v>-78682</v>
      </c>
      <c r="H12" s="39">
        <f t="shared" si="0"/>
        <v>-1582466.69</v>
      </c>
      <c r="I12" s="105">
        <f t="shared" si="0"/>
        <v>47200822.41</v>
      </c>
      <c r="J12" s="10"/>
      <c r="K12" s="40">
        <f aca="true" t="shared" si="1" ref="K12:K19">SUM(B12:I12)</f>
        <v>63895291.029999994</v>
      </c>
      <c r="L12" s="11"/>
      <c r="M12" s="11"/>
      <c r="N12" s="40">
        <f>K12-L12</f>
        <v>63895291.029999994</v>
      </c>
      <c r="O12" s="11"/>
      <c r="P12" s="11"/>
      <c r="Q12" s="40">
        <f>Q15+Q13</f>
        <v>64240257</v>
      </c>
      <c r="R12" s="11"/>
      <c r="S12" s="40">
        <f>K12-Q12</f>
        <v>-344965.97000000626</v>
      </c>
      <c r="T12" s="37">
        <f>S12/Q12</f>
        <v>-0.0053699344633693835</v>
      </c>
      <c r="V12" s="26" t="s">
        <v>157</v>
      </c>
      <c r="W12" s="39">
        <f aca="true" t="shared" si="2" ref="W12:AF12">W15+W13+W14</f>
        <v>-28751025.660000004</v>
      </c>
      <c r="X12" s="39">
        <f t="shared" si="2"/>
        <v>-3408807.5</v>
      </c>
      <c r="Y12" s="39">
        <f t="shared" si="2"/>
        <v>729560</v>
      </c>
      <c r="Z12" s="39">
        <f t="shared" si="2"/>
        <v>78247983</v>
      </c>
      <c r="AA12" s="39">
        <f t="shared" si="2"/>
        <v>428212.75</v>
      </c>
      <c r="AB12" s="39">
        <f t="shared" si="2"/>
        <v>390590</v>
      </c>
      <c r="AC12" s="39">
        <f t="shared" si="2"/>
        <v>-1333</v>
      </c>
      <c r="AD12" s="39">
        <f t="shared" si="2"/>
        <v>-24261</v>
      </c>
      <c r="AE12" s="39">
        <f t="shared" si="2"/>
        <v>-126518.18</v>
      </c>
      <c r="AF12" s="39">
        <f t="shared" si="2"/>
        <v>-283578</v>
      </c>
      <c r="AG12" s="10"/>
      <c r="AH12" s="40">
        <f aca="true" t="shared" si="3" ref="AH12:AH19">SUM(W12:AF12)</f>
        <v>47200822.41</v>
      </c>
      <c r="AJ12" s="40">
        <f>AJ15+AJ13</f>
        <v>58840816</v>
      </c>
      <c r="AK12" s="11"/>
      <c r="AL12" s="40">
        <f>AH12-AJ12</f>
        <v>-11639993.590000004</v>
      </c>
      <c r="AM12" s="37">
        <f>AL12/AJ12</f>
        <v>-0.19782175675469904</v>
      </c>
    </row>
    <row r="13" spans="1:39" ht="36" customHeight="1">
      <c r="A13" s="97" t="s">
        <v>121</v>
      </c>
      <c r="B13" s="6">
        <f>19423154.56+70213.7</f>
        <v>19493368.259999998</v>
      </c>
      <c r="C13" s="7">
        <f>109180+504889</f>
        <v>614069</v>
      </c>
      <c r="D13" s="10">
        <v>15632.83</v>
      </c>
      <c r="E13" s="7">
        <v>19453.1</v>
      </c>
      <c r="F13" s="10">
        <v>3321512.04</v>
      </c>
      <c r="G13" s="7">
        <v>0</v>
      </c>
      <c r="H13" s="10">
        <v>0</v>
      </c>
      <c r="I13" s="106">
        <f aca="true" t="shared" si="4" ref="I13:I19">AH13</f>
        <v>27108834.56</v>
      </c>
      <c r="J13" s="10"/>
      <c r="K13" s="43">
        <f t="shared" si="1"/>
        <v>50572869.78999999</v>
      </c>
      <c r="L13" s="11"/>
      <c r="M13" s="11"/>
      <c r="N13" s="43">
        <f>K13</f>
        <v>50572869.78999999</v>
      </c>
      <c r="O13" s="11"/>
      <c r="P13" s="11"/>
      <c r="Q13" s="43">
        <v>29135318</v>
      </c>
      <c r="R13" s="11"/>
      <c r="S13" s="43">
        <f>K13-Q13</f>
        <v>21437551.78999999</v>
      </c>
      <c r="T13" s="37">
        <f>S13/Q13</f>
        <v>0.7357926139676935</v>
      </c>
      <c r="V13" s="26" t="s">
        <v>121</v>
      </c>
      <c r="W13" s="41">
        <v>25304583.4</v>
      </c>
      <c r="X13" s="42">
        <v>85037.5</v>
      </c>
      <c r="Y13" s="42">
        <v>0</v>
      </c>
      <c r="Z13" s="42">
        <v>1133000</v>
      </c>
      <c r="AA13" s="42">
        <v>72633.66</v>
      </c>
      <c r="AB13" s="42">
        <v>513580</v>
      </c>
      <c r="AC13" s="42">
        <v>0</v>
      </c>
      <c r="AD13" s="42"/>
      <c r="AE13" s="42">
        <v>0</v>
      </c>
      <c r="AF13" s="42">
        <v>0</v>
      </c>
      <c r="AG13" s="10"/>
      <c r="AH13" s="43">
        <f t="shared" si="3"/>
        <v>27108834.56</v>
      </c>
      <c r="AJ13" s="43">
        <v>16915356</v>
      </c>
      <c r="AK13" s="11"/>
      <c r="AL13" s="43">
        <f>AH13-AJ13</f>
        <v>10193478.559999999</v>
      </c>
      <c r="AM13" s="37">
        <f>AL13/AJ13</f>
        <v>0.6026168506296881</v>
      </c>
    </row>
    <row r="14" spans="1:39" ht="36" customHeight="1">
      <c r="A14" s="97" t="s">
        <v>158</v>
      </c>
      <c r="B14" s="41">
        <v>96365.72</v>
      </c>
      <c r="C14" s="42">
        <v>923227</v>
      </c>
      <c r="D14" s="42">
        <v>53143.34</v>
      </c>
      <c r="E14" s="42">
        <v>9194.16</v>
      </c>
      <c r="F14" s="42">
        <v>62389.51</v>
      </c>
      <c r="G14" s="42">
        <v>0</v>
      </c>
      <c r="H14" s="42">
        <v>0</v>
      </c>
      <c r="I14" s="107">
        <f t="shared" si="4"/>
        <v>14336895.65</v>
      </c>
      <c r="J14" s="10"/>
      <c r="K14" s="43">
        <f t="shared" si="1"/>
        <v>15481215.38</v>
      </c>
      <c r="L14" s="11"/>
      <c r="M14" s="11"/>
      <c r="N14" s="40"/>
      <c r="O14" s="11"/>
      <c r="P14" s="11"/>
      <c r="Q14" s="40"/>
      <c r="R14" s="11"/>
      <c r="S14" s="40"/>
      <c r="T14" s="37"/>
      <c r="V14" s="26" t="s">
        <v>158</v>
      </c>
      <c r="W14" s="38">
        <v>4780909</v>
      </c>
      <c r="X14" s="39">
        <v>1547030</v>
      </c>
      <c r="Y14" s="39">
        <v>1033560</v>
      </c>
      <c r="Z14" s="39">
        <v>6500000</v>
      </c>
      <c r="AA14" s="39">
        <v>20683.65</v>
      </c>
      <c r="AB14" s="39">
        <v>411206</v>
      </c>
      <c r="AC14" s="39">
        <v>4665</v>
      </c>
      <c r="AD14" s="39"/>
      <c r="AE14" s="39">
        <v>0</v>
      </c>
      <c r="AF14" s="39">
        <v>38842</v>
      </c>
      <c r="AG14" s="10"/>
      <c r="AH14" s="43">
        <f t="shared" si="3"/>
        <v>14336895.65</v>
      </c>
      <c r="AJ14" s="40"/>
      <c r="AK14" s="11"/>
      <c r="AL14" s="40"/>
      <c r="AM14" s="37"/>
    </row>
    <row r="15" spans="1:39" ht="41.25" customHeight="1">
      <c r="A15" s="97" t="s">
        <v>159</v>
      </c>
      <c r="B15" s="38">
        <f>-3736200.1-367679.44</f>
        <v>-4103879.54</v>
      </c>
      <c r="C15" s="39">
        <f>-388743-504889-953717.86</f>
        <v>-1847349.8599999999</v>
      </c>
      <c r="D15" s="39">
        <v>37462.75</v>
      </c>
      <c r="E15" s="39">
        <v>-3008.86</v>
      </c>
      <c r="F15" s="39">
        <f>479118.93-815081.07</f>
        <v>-335962.13999999996</v>
      </c>
      <c r="G15" s="39">
        <v>-78682</v>
      </c>
      <c r="H15" s="39">
        <f>-59225-1523241.69</f>
        <v>-1582466.69</v>
      </c>
      <c r="I15" s="105">
        <f t="shared" si="4"/>
        <v>5755092.199999998</v>
      </c>
      <c r="J15" s="10"/>
      <c r="K15" s="40">
        <f t="shared" si="1"/>
        <v>-2158794.1400000015</v>
      </c>
      <c r="L15" s="11"/>
      <c r="M15" s="11"/>
      <c r="N15" s="40">
        <f>K15-L15</f>
        <v>-2158794.1400000015</v>
      </c>
      <c r="O15" s="11"/>
      <c r="P15" s="11"/>
      <c r="Q15" s="40">
        <v>35104939</v>
      </c>
      <c r="R15" s="11"/>
      <c r="S15" s="40">
        <f>K15-Q15</f>
        <v>-37263733.14</v>
      </c>
      <c r="T15" s="37">
        <f>S15/Q15</f>
        <v>-1.0614954533890517</v>
      </c>
      <c r="V15" s="26" t="s">
        <v>159</v>
      </c>
      <c r="W15" s="44">
        <f>-57411387.68-8425130.38+7000000</f>
        <v>-58836518.06</v>
      </c>
      <c r="X15" s="39">
        <v>-5040875</v>
      </c>
      <c r="Y15" s="39">
        <f>-80000*3.8</f>
        <v>-304000</v>
      </c>
      <c r="Z15" s="39">
        <v>70614983</v>
      </c>
      <c r="AA15" s="39">
        <v>334895.44</v>
      </c>
      <c r="AB15" s="39">
        <v>-534196</v>
      </c>
      <c r="AC15" s="39">
        <v>-5998</v>
      </c>
      <c r="AD15" s="39">
        <v>-24261</v>
      </c>
      <c r="AE15" s="39">
        <v>-126518.18</v>
      </c>
      <c r="AF15" s="39">
        <v>-322420</v>
      </c>
      <c r="AG15" s="10"/>
      <c r="AH15" s="40">
        <f t="shared" si="3"/>
        <v>5755092.199999998</v>
      </c>
      <c r="AJ15" s="40">
        <v>41925460</v>
      </c>
      <c r="AK15" s="11"/>
      <c r="AL15" s="40">
        <f>AH15-AJ15</f>
        <v>-36170367.800000004</v>
      </c>
      <c r="AM15" s="37">
        <f>AL15/AJ15</f>
        <v>-0.8627303743357856</v>
      </c>
    </row>
    <row r="16" spans="1:39" ht="34.5" customHeight="1">
      <c r="A16" s="97" t="s">
        <v>114</v>
      </c>
      <c r="B16" s="41">
        <v>367679.44</v>
      </c>
      <c r="C16" s="45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107">
        <f t="shared" si="4"/>
        <v>0</v>
      </c>
      <c r="J16" s="10"/>
      <c r="K16" s="43">
        <f t="shared" si="1"/>
        <v>367679.44</v>
      </c>
      <c r="L16" s="11"/>
      <c r="M16" s="11"/>
      <c r="N16" s="43">
        <v>0</v>
      </c>
      <c r="O16" s="11"/>
      <c r="P16" s="11"/>
      <c r="Q16" s="43">
        <v>0</v>
      </c>
      <c r="R16" s="11"/>
      <c r="S16" s="43"/>
      <c r="T16" s="29"/>
      <c r="V16" s="26" t="s">
        <v>114</v>
      </c>
      <c r="W16" s="41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10"/>
      <c r="AH16" s="43">
        <f t="shared" si="3"/>
        <v>0</v>
      </c>
      <c r="AJ16" s="43">
        <v>0</v>
      </c>
      <c r="AK16" s="11"/>
      <c r="AL16" s="43">
        <v>0</v>
      </c>
      <c r="AM16" s="29"/>
    </row>
    <row r="17" spans="1:39" ht="37.5" customHeight="1">
      <c r="A17" s="97" t="s">
        <v>117</v>
      </c>
      <c r="B17" s="38">
        <f>B15+B16</f>
        <v>-3736200.1</v>
      </c>
      <c r="C17" s="39">
        <f aca="true" t="shared" si="5" ref="C17:H17">C15</f>
        <v>-1847349.8599999999</v>
      </c>
      <c r="D17" s="39">
        <f t="shared" si="5"/>
        <v>37462.75</v>
      </c>
      <c r="E17" s="39">
        <f t="shared" si="5"/>
        <v>-3008.86</v>
      </c>
      <c r="F17" s="39">
        <f t="shared" si="5"/>
        <v>-335962.13999999996</v>
      </c>
      <c r="G17" s="39">
        <f t="shared" si="5"/>
        <v>-78682</v>
      </c>
      <c r="H17" s="39">
        <f t="shared" si="5"/>
        <v>-1582466.69</v>
      </c>
      <c r="I17" s="105">
        <f t="shared" si="4"/>
        <v>5755092.199999998</v>
      </c>
      <c r="J17" s="10"/>
      <c r="K17" s="40">
        <f t="shared" si="1"/>
        <v>-1791114.700000002</v>
      </c>
      <c r="L17" s="11"/>
      <c r="M17" s="11"/>
      <c r="N17" s="40">
        <f>N15-N16</f>
        <v>-2158794.1400000015</v>
      </c>
      <c r="O17" s="11"/>
      <c r="P17" s="11"/>
      <c r="Q17" s="40">
        <f>Q15-Q16</f>
        <v>35104939</v>
      </c>
      <c r="R17" s="11"/>
      <c r="S17" s="40">
        <f>K17-Q17</f>
        <v>-36896053.7</v>
      </c>
      <c r="T17" s="37">
        <f>S17/Q17</f>
        <v>-1.0510217294495228</v>
      </c>
      <c r="V17" s="26" t="s">
        <v>117</v>
      </c>
      <c r="W17" s="38">
        <f aca="true" t="shared" si="6" ref="W17:AF17">W15-W16</f>
        <v>-58836518.06</v>
      </c>
      <c r="X17" s="39">
        <f t="shared" si="6"/>
        <v>-5040875</v>
      </c>
      <c r="Y17" s="39">
        <f t="shared" si="6"/>
        <v>-304000</v>
      </c>
      <c r="Z17" s="39">
        <f t="shared" si="6"/>
        <v>70614983</v>
      </c>
      <c r="AA17" s="39">
        <f t="shared" si="6"/>
        <v>334895.44</v>
      </c>
      <c r="AB17" s="39">
        <f t="shared" si="6"/>
        <v>-534196</v>
      </c>
      <c r="AC17" s="39">
        <f t="shared" si="6"/>
        <v>-5998</v>
      </c>
      <c r="AD17" s="39">
        <f t="shared" si="6"/>
        <v>-24261</v>
      </c>
      <c r="AE17" s="39">
        <f t="shared" si="6"/>
        <v>-126518.18</v>
      </c>
      <c r="AF17" s="39">
        <f t="shared" si="6"/>
        <v>-322420</v>
      </c>
      <c r="AG17" s="10"/>
      <c r="AH17" s="40">
        <f t="shared" si="3"/>
        <v>5755092.199999998</v>
      </c>
      <c r="AJ17" s="40">
        <f>AJ15-AJ16</f>
        <v>41925460</v>
      </c>
      <c r="AK17" s="11"/>
      <c r="AL17" s="40">
        <f>AH17-AJ17</f>
        <v>-36170367.800000004</v>
      </c>
      <c r="AM17" s="37">
        <f>AL17/AJ17</f>
        <v>-0.8627303743357856</v>
      </c>
    </row>
    <row r="18" spans="1:39" ht="35.25" customHeight="1">
      <c r="A18" s="97" t="s">
        <v>160</v>
      </c>
      <c r="B18" s="41">
        <v>0</v>
      </c>
      <c r="C18" s="42">
        <v>0</v>
      </c>
      <c r="D18" s="42">
        <f>D17*0.4</f>
        <v>14985.1</v>
      </c>
      <c r="E18" s="42">
        <f>E17*0.4</f>
        <v>-1203.544</v>
      </c>
      <c r="F18" s="42">
        <v>0</v>
      </c>
      <c r="G18" s="42">
        <v>0</v>
      </c>
      <c r="H18" s="42">
        <v>0</v>
      </c>
      <c r="I18" s="107">
        <f t="shared" si="4"/>
        <v>41514882.396753415</v>
      </c>
      <c r="J18" s="10"/>
      <c r="K18" s="43">
        <f t="shared" si="1"/>
        <v>41528663.95275342</v>
      </c>
      <c r="L18" s="11"/>
      <c r="M18" s="11"/>
      <c r="N18" s="43">
        <f>K18</f>
        <v>41528663.95275342</v>
      </c>
      <c r="O18" s="11"/>
      <c r="P18" s="11"/>
      <c r="Q18" s="43">
        <v>28609038</v>
      </c>
      <c r="R18" s="11"/>
      <c r="S18" s="43">
        <f>K18-Q18</f>
        <v>12919625.952753417</v>
      </c>
      <c r="T18" s="37">
        <f>S18/Q18</f>
        <v>0.4515924636387081</v>
      </c>
      <c r="V18" s="26" t="s">
        <v>160</v>
      </c>
      <c r="W18" s="41">
        <v>0</v>
      </c>
      <c r="X18" s="109">
        <f>X17*0.1193*298/365</f>
        <v>-490986.7492465754</v>
      </c>
      <c r="Y18" s="42">
        <f>Y17*0.4</f>
        <v>-121600</v>
      </c>
      <c r="Z18" s="42">
        <f>Z17*0.6</f>
        <v>42368989.8</v>
      </c>
      <c r="AA18" s="42">
        <v>0</v>
      </c>
      <c r="AB18" s="42">
        <f>AB17*0.2</f>
        <v>-106839.20000000001</v>
      </c>
      <c r="AC18" s="42">
        <v>0</v>
      </c>
      <c r="AD18" s="42">
        <v>0</v>
      </c>
      <c r="AE18" s="42">
        <f>AE17*0.3</f>
        <v>-37955.454</v>
      </c>
      <c r="AF18" s="42">
        <f>AF17*0.3</f>
        <v>-96726</v>
      </c>
      <c r="AG18" s="10"/>
      <c r="AH18" s="43">
        <f t="shared" si="3"/>
        <v>41514882.396753415</v>
      </c>
      <c r="AJ18" s="43">
        <v>28592382</v>
      </c>
      <c r="AK18" s="11"/>
      <c r="AL18" s="43">
        <f>AH18-AJ18</f>
        <v>12922500.396753415</v>
      </c>
      <c r="AM18" s="37">
        <f>AL18/AJ18</f>
        <v>0.4519560628685436</v>
      </c>
    </row>
    <row r="19" spans="1:39" ht="42" customHeight="1" thickBot="1">
      <c r="A19" s="101" t="s">
        <v>161</v>
      </c>
      <c r="B19" s="47">
        <f>B17</f>
        <v>-3736200.1</v>
      </c>
      <c r="C19" s="48">
        <f>C17</f>
        <v>-1847349.8599999999</v>
      </c>
      <c r="D19" s="48">
        <f>D17-D18</f>
        <v>22477.65</v>
      </c>
      <c r="E19" s="48">
        <f>E17-E18</f>
        <v>-1805.316</v>
      </c>
      <c r="F19" s="48">
        <f>F17</f>
        <v>-335962.13999999996</v>
      </c>
      <c r="G19" s="48">
        <f>G17</f>
        <v>-78682</v>
      </c>
      <c r="H19" s="48">
        <f>H17</f>
        <v>-1582466.69</v>
      </c>
      <c r="I19" s="108">
        <f t="shared" si="4"/>
        <v>-35759790.19675343</v>
      </c>
      <c r="J19" s="10"/>
      <c r="K19" s="49">
        <f t="shared" si="1"/>
        <v>-43319778.65275343</v>
      </c>
      <c r="L19" s="11"/>
      <c r="M19" s="11"/>
      <c r="N19" s="49">
        <f>N17-N18</f>
        <v>-43687458.09275342</v>
      </c>
      <c r="O19" s="11"/>
      <c r="P19" s="11"/>
      <c r="Q19" s="49">
        <f>Q17-Q18</f>
        <v>6495901</v>
      </c>
      <c r="R19" s="11"/>
      <c r="S19" s="49">
        <f>K19-Q19</f>
        <v>-49815679.65275343</v>
      </c>
      <c r="T19" s="50">
        <f>S19/Q19</f>
        <v>-7.668786770727175</v>
      </c>
      <c r="V19" s="46" t="s">
        <v>161</v>
      </c>
      <c r="W19" s="47">
        <f aca="true" t="shared" si="7" ref="W19:AF19">W17-W18</f>
        <v>-58836518.06</v>
      </c>
      <c r="X19" s="48">
        <f t="shared" si="7"/>
        <v>-4549888.250753425</v>
      </c>
      <c r="Y19" s="48">
        <f t="shared" si="7"/>
        <v>-182400</v>
      </c>
      <c r="Z19" s="48">
        <f t="shared" si="7"/>
        <v>28245993.200000003</v>
      </c>
      <c r="AA19" s="48">
        <f t="shared" si="7"/>
        <v>334895.44</v>
      </c>
      <c r="AB19" s="48">
        <f t="shared" si="7"/>
        <v>-427356.8</v>
      </c>
      <c r="AC19" s="48">
        <f t="shared" si="7"/>
        <v>-5998</v>
      </c>
      <c r="AD19" s="48">
        <f t="shared" si="7"/>
        <v>-24261</v>
      </c>
      <c r="AE19" s="48">
        <f t="shared" si="7"/>
        <v>-88562.726</v>
      </c>
      <c r="AF19" s="48">
        <f t="shared" si="7"/>
        <v>-225694</v>
      </c>
      <c r="AG19" s="10"/>
      <c r="AH19" s="49">
        <f t="shared" si="3"/>
        <v>-35759790.19675343</v>
      </c>
      <c r="AJ19" s="49">
        <f>AJ17-AJ18</f>
        <v>13333078</v>
      </c>
      <c r="AK19" s="11"/>
      <c r="AL19" s="49">
        <f>AH19-AJ19</f>
        <v>-49092868.19675343</v>
      </c>
      <c r="AM19" s="50">
        <f>AL19/AJ19</f>
        <v>-3.68203562573874</v>
      </c>
    </row>
    <row r="20" spans="1:33" ht="26.25" customHeight="1">
      <c r="A20" s="51"/>
      <c r="V20" t="s">
        <v>270</v>
      </c>
      <c r="AG20"/>
    </row>
    <row r="25" spans="1:33" s="1" customFormat="1" ht="12.75">
      <c r="A25"/>
      <c r="B25"/>
      <c r="C25"/>
      <c r="D25"/>
      <c r="E25"/>
      <c r="F25"/>
      <c r="G25"/>
      <c r="H25"/>
      <c r="I25"/>
      <c r="J25" s="15"/>
      <c r="K25"/>
      <c r="L25"/>
      <c r="M25"/>
      <c r="N25"/>
      <c r="O25" s="15"/>
      <c r="P25"/>
      <c r="Q25"/>
      <c r="R25"/>
      <c r="S25"/>
      <c r="T25" s="3"/>
      <c r="U25"/>
      <c r="AG25" s="27"/>
    </row>
    <row r="28" ht="18.75" customHeight="1"/>
    <row r="29" ht="18.75" customHeight="1"/>
    <row r="30" ht="18.75" customHeight="1"/>
    <row r="31" ht="18.75" customHeight="1"/>
    <row r="32" ht="12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43" ht="19.5" customHeight="1"/>
    <row r="44" ht="19.5" customHeight="1"/>
    <row r="45" ht="19.5" customHeight="1"/>
    <row r="46" ht="19.5" customHeight="1"/>
    <row r="47" ht="13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spans="1:2" ht="12.75">
      <c r="A54" s="15"/>
      <c r="B54" s="52"/>
    </row>
    <row r="55" spans="1:2" ht="12.75">
      <c r="A55" s="15"/>
      <c r="B55" s="52"/>
    </row>
    <row r="56" spans="1:2" ht="12.75">
      <c r="A56" s="15"/>
      <c r="B56" s="52"/>
    </row>
    <row r="57" spans="1:2" ht="12.75">
      <c r="A57" s="15"/>
      <c r="B57" s="52"/>
    </row>
  </sheetData>
  <printOptions horizontalCentered="1"/>
  <pageMargins left="0.21" right="0.33" top="1.18" bottom="1" header="0.5" footer="0.5"/>
  <pageSetup horizontalDpi="300" verticalDpi="300" orientation="landscape" paperSize="9" scale="82" r:id="rId1"/>
  <headerFooter alignWithMargins="0">
    <oddHeader>&amp;RDRAFT&amp;D&amp;T</oddHeader>
    <oddFooter>&amp;LMM&amp;F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PSCI</cp:lastModifiedBy>
  <cp:lastPrinted>2003-08-28T09:38:23Z</cp:lastPrinted>
  <dcterms:created xsi:type="dcterms:W3CDTF">1999-11-26T07:09:59Z</dcterms:created>
  <dcterms:modified xsi:type="dcterms:W3CDTF">2003-08-28T03:47:08Z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