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35" windowHeight="2655" tabRatio="608" firstSheet="3" activeTab="6"/>
  </bookViews>
  <sheets>
    <sheet name="D1" sheetId="1" state="hidden" r:id="rId1"/>
    <sheet name="Sheet1" sheetId="2" state="hidden" r:id="rId2"/>
    <sheet name="incomestatement" sheetId="3" r:id="rId3"/>
    <sheet name="Balance Sheet" sheetId="4" r:id="rId4"/>
    <sheet name="equitystatement" sheetId="5" r:id="rId5"/>
    <sheet name="cashflow" sheetId="6" r:id="rId6"/>
    <sheet name="Notes" sheetId="7" r:id="rId7"/>
    <sheet name="D2" sheetId="8" state="hidden" r:id="rId8"/>
  </sheets>
  <externalReferences>
    <externalReference r:id="rId11"/>
  </externalReferences>
  <definedNames>
    <definedName name="_xlnm.Print_Area" localSheetId="6">'Notes'!$A$1:$F$285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<sst xmlns="http://schemas.openxmlformats.org/spreadsheetml/2006/main" count="503" uniqueCount="342">
  <si>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</si>
  <si>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</si>
  <si>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</si>
  <si>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</si>
  <si>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</si>
  <si>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</si>
  <si>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</si>
  <si>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</si>
  <si>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</si>
  <si>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</si>
  <si>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</si>
  <si>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</si>
  <si>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</si>
  <si>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</si>
  <si>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</si>
  <si>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</si>
  <si>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</si>
  <si>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</si>
  <si>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</si>
  <si>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</si>
  <si>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</si>
  <si>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</si>
  <si>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</si>
  <si>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</si>
  <si>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</si>
  <si>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</si>
  <si>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</si>
  <si>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</si>
  <si>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</si>
  <si>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</si>
  <si>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</si>
  <si>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</si>
  <si>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Trade and other receivables</t>
  </si>
  <si>
    <t>Trade  &amp; other payable</t>
  </si>
  <si>
    <t>Declaration of audit qualification</t>
  </si>
  <si>
    <t>The valuation of property, plant and equipment have been brought forward, without amendment from the</t>
  </si>
  <si>
    <t>DATO' R. RAJAKUMARAN A/L M. RAJADURAI (MAICSA 7003699)</t>
  </si>
  <si>
    <t xml:space="preserve">                                                                                 SELECTED EXPLANATORY NOTES TO THE INTERIM FINANCIAL REPORT - MASB 26</t>
  </si>
  <si>
    <t xml:space="preserve">                          Non distributable</t>
  </si>
  <si>
    <t>Revaluation reserve,</t>
  </si>
  <si>
    <t>exchange fuctuation</t>
  </si>
  <si>
    <t>reserve, capital reserve</t>
  </si>
  <si>
    <t>Share</t>
  </si>
  <si>
    <t>Premium</t>
  </si>
  <si>
    <t>currency translations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</si>
  <si>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</si>
  <si>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</si>
  <si>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</si>
  <si>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</si>
  <si>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</si>
  <si>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</si>
  <si>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</si>
  <si>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</si>
  <si>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</si>
  <si>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</si>
  <si>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</si>
  <si>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</si>
  <si>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</si>
  <si>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</si>
  <si>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</si>
  <si>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</si>
  <si>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</si>
  <si>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</si>
  <si>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</si>
  <si>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</si>
  <si>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</si>
  <si>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</si>
  <si>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</si>
  <si>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</si>
  <si>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</si>
  <si>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announcement, any item, transaction or event of a material and unusual nature likely, in the opinion</t>
  </si>
  <si>
    <t>Page 4</t>
  </si>
  <si>
    <t>Investment Holdings</t>
  </si>
  <si>
    <t xml:space="preserve">Authorities and further subject to the shareholders approval. </t>
  </si>
  <si>
    <t>On 25 March 2003, the Securities Commission had approved the implementation of the Proposed Bonus</t>
  </si>
  <si>
    <t>Note: There are no comparative figures for the prreceding financial period as this is the third interim financial</t>
  </si>
  <si>
    <t xml:space="preserve">         report prepared in accordance with MASB 26 Interim Financial Reporting</t>
  </si>
  <si>
    <t>derived from shipbuilding and shiprepair activities.</t>
  </si>
  <si>
    <t>Condensed Consolidated Cash Flow Statements</t>
  </si>
  <si>
    <t>For the period ended 31 March 2003</t>
  </si>
  <si>
    <t>3 months</t>
  </si>
  <si>
    <t xml:space="preserve">ended </t>
  </si>
  <si>
    <t>(RM)</t>
  </si>
  <si>
    <t>Net 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</si>
  <si>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</si>
  <si>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</si>
  <si>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</si>
  <si>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</si>
  <si>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</si>
  <si>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</si>
  <si>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</si>
  <si>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flows from operating activities</t>
  </si>
  <si>
    <t>Investing activities</t>
  </si>
  <si>
    <t xml:space="preserve">  Other investments</t>
  </si>
  <si>
    <t xml:space="preserve">  Net cash used in investing activities</t>
  </si>
  <si>
    <t>Financing activities</t>
  </si>
  <si>
    <t xml:space="preserve">  Bank borrowings</t>
  </si>
  <si>
    <t xml:space="preserve">  Net cash used in financing activities</t>
  </si>
  <si>
    <t>Net change in Cash &amp; Cash Equivalents</t>
  </si>
  <si>
    <t>Effect of foreign exchange rate changes</t>
  </si>
  <si>
    <t>Note: There are no comparative figures for the preceding financial period as this is the</t>
  </si>
  <si>
    <t xml:space="preserve">         third interim financial report prepared in accordance with MASB 26  Interim</t>
  </si>
  <si>
    <t xml:space="preserve">         Financial Reporting</t>
  </si>
  <si>
    <t>(The condensed Consolidated Cash Flow Statements should be read in conjunction with the</t>
  </si>
  <si>
    <t>Annual Financial Report for the year ended 31 December 2002)</t>
  </si>
  <si>
    <t xml:space="preserve">Issue ahead of the rest of the proposals and also the extension of time for the implementation of the </t>
  </si>
  <si>
    <t>AUD404</t>
  </si>
  <si>
    <t>CEDIS556,076</t>
  </si>
  <si>
    <t>2003.</t>
  </si>
  <si>
    <t>CONDENSED CONSOLIDATED INCOME STATEMENTS</t>
  </si>
  <si>
    <t>CONDENSED CONSOLIDATED BALANCE SHEETS</t>
  </si>
  <si>
    <t>(UNAUDITED)</t>
  </si>
  <si>
    <t>(AUDITED)</t>
  </si>
  <si>
    <t xml:space="preserve">Net Current Assets </t>
  </si>
  <si>
    <t>(The condensed Balance Sheets should be read in conjunction with the Annual  Financial</t>
  </si>
  <si>
    <t>Deposits, bank and cash balances</t>
  </si>
  <si>
    <t xml:space="preserve">Balance as at </t>
  </si>
  <si>
    <t>The auditor's report of the preceding annual financial statements of the Company and of the Group</t>
  </si>
  <si>
    <t>Profit/(loss)</t>
  </si>
  <si>
    <t>Before</t>
  </si>
  <si>
    <t>Barring any unforeseen circumstances, the Board of Directors expects the Group's operating</t>
  </si>
  <si>
    <t xml:space="preserve">(The condensed Consolidated Statements of Changes in Equity  should be read in conjunction with the </t>
  </si>
  <si>
    <t>of the Directors, to affect substantially the results of the operation of the company and of the Group</t>
  </si>
  <si>
    <t>Transfer (to)/from deferred taxation</t>
  </si>
  <si>
    <t>31/3/03</t>
  </si>
  <si>
    <t>Distributable</t>
  </si>
  <si>
    <t>Revenue</t>
  </si>
  <si>
    <t xml:space="preserve">                                                                                                                                                         Page 3</t>
  </si>
  <si>
    <t>Shipbuilding and shiprepair related activities</t>
  </si>
  <si>
    <t>Property, plant and equipment</t>
  </si>
  <si>
    <t>Material events subsequent to the reporting period</t>
  </si>
  <si>
    <t>Seasonal or cyclical factors</t>
  </si>
  <si>
    <t>Foreign currrency</t>
  </si>
  <si>
    <t>-</t>
  </si>
  <si>
    <t>('000)</t>
  </si>
  <si>
    <t xml:space="preserve">                         CUMULATIVE QUARTER</t>
  </si>
  <si>
    <t xml:space="preserve">       INDIVIDUAL QUARTER</t>
  </si>
  <si>
    <t xml:space="preserve">There were no issuances or repayment of debts and equity securities, share buy-backs, </t>
  </si>
  <si>
    <t xml:space="preserve">There has not arisen in the interval between the end of the current quarter  and the date of this </t>
  </si>
  <si>
    <t xml:space="preserve">The group recorded a turnover of RM253.4 million and pre-tax profit of RM24.6 million during </t>
  </si>
  <si>
    <t xml:space="preserve">The Group achieved a pre-tax profit of RM24.6 million for the quarter under review as compared to profit </t>
  </si>
  <si>
    <t>proposals until 15 August 2003.</t>
  </si>
  <si>
    <t>INDIVIDUAL QUARTER</t>
  </si>
  <si>
    <t>CUMULATIVE QUARTER</t>
  </si>
  <si>
    <t>TO DATE</t>
  </si>
  <si>
    <t>PERIOD</t>
  </si>
  <si>
    <t xml:space="preserve">YEAR </t>
  </si>
  <si>
    <t>Page 5</t>
  </si>
  <si>
    <t xml:space="preserve">There were no changes in the composition of the Group for the current financial quarter ended 31 </t>
  </si>
  <si>
    <t>USD31,579</t>
  </si>
  <si>
    <t>31/12/2002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</si>
  <si>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</si>
  <si>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</si>
  <si>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</si>
  <si>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</si>
  <si>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</si>
  <si>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</si>
  <si>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</si>
  <si>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</si>
  <si>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</si>
  <si>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</si>
  <si>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</si>
  <si>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</si>
  <si>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</si>
  <si>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>Taxation</t>
  </si>
  <si>
    <t>PSC GROUP</t>
  </si>
  <si>
    <t>Turnover</t>
  </si>
  <si>
    <t>Profit after taxation</t>
  </si>
  <si>
    <t>VARIANCE</t>
  </si>
  <si>
    <t>BUDGET</t>
  </si>
  <si>
    <t>Investment income</t>
  </si>
  <si>
    <t>Interest on borrowings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</si>
  <si>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</si>
  <si>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</si>
  <si>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</si>
  <si>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</si>
  <si>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</si>
  <si>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</si>
  <si>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</si>
  <si>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</si>
  <si>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Inventories</t>
  </si>
  <si>
    <t>Dividends paid</t>
  </si>
  <si>
    <t>Valuation of property, plant and equipment</t>
  </si>
  <si>
    <t>Contingent Liabilities/ Assets</t>
  </si>
  <si>
    <t>Earnings Per Share</t>
  </si>
  <si>
    <t>CURRENT</t>
  </si>
  <si>
    <t>PRECEDING YEAR</t>
  </si>
  <si>
    <t>YEAR</t>
  </si>
  <si>
    <t>CORRESPONDING</t>
  </si>
  <si>
    <t>RM'000</t>
  </si>
  <si>
    <t>AS AT</t>
  </si>
  <si>
    <t>Others</t>
  </si>
  <si>
    <t>Current Liabilities</t>
  </si>
  <si>
    <t>Shareholders' Funds</t>
  </si>
  <si>
    <t>Share Capital</t>
  </si>
  <si>
    <t>Reserves</t>
  </si>
  <si>
    <t>Minority Interests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</si>
  <si>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</si>
  <si>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</si>
  <si>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</si>
  <si>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</si>
  <si>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</si>
  <si>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</si>
  <si>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</si>
  <si>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</si>
  <si>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</si>
  <si>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</si>
  <si>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</si>
  <si>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</si>
  <si>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</si>
  <si>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</si>
  <si>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</si>
  <si>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</si>
  <si>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</si>
  <si>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There were no material changes in estimates in respect of amounts reported in  the prior interim periods</t>
  </si>
  <si>
    <t xml:space="preserve">The proposals which was announced on 6th December 2000 have been approved by the relevant </t>
  </si>
  <si>
    <t>Intangible Assets</t>
  </si>
  <si>
    <t>Other investments</t>
  </si>
  <si>
    <t>Overdraft &amp; Short Term Borrowings</t>
  </si>
  <si>
    <t>Net tangible assets per share (RM)</t>
  </si>
  <si>
    <t>Long Term Liabilties</t>
  </si>
  <si>
    <t>Borrowings</t>
  </si>
  <si>
    <t>Other deferred liabilities</t>
  </si>
  <si>
    <t>Retained</t>
  </si>
  <si>
    <t>Profits</t>
  </si>
  <si>
    <t xml:space="preserve">                                          Condensed Consolidated Statements of Changes in Equity</t>
  </si>
  <si>
    <t>Reporting and Chapter 9 part K of the Listing Requirements of Kuala Lumpur Stock Exchange. The</t>
  </si>
  <si>
    <t>Offshore Patrol vessels expenditure</t>
  </si>
  <si>
    <t>PSC  INDUSTRIES BERHAD</t>
  </si>
  <si>
    <t xml:space="preserve">Basic earnings per </t>
  </si>
  <si>
    <t>ordinary share (sen)</t>
  </si>
  <si>
    <t>The interim financial report has been prepared in accordance with MASB 26 Interim Financial</t>
  </si>
  <si>
    <t>same accounting policies and methods of computation are followed in the interim financial statements</t>
  </si>
  <si>
    <t>Items of unusual nature, size or incidence</t>
  </si>
  <si>
    <t>There were no items affecting the assets, liabilities, equity, net income or cash flows of the Group that</t>
  </si>
  <si>
    <t>Changes in estimates  of amounts</t>
  </si>
  <si>
    <t>ADDITIONAL INFORMATION AS REQUIRED BY KLSE LISTING REQUIREMENTS (PART A OF</t>
  </si>
  <si>
    <t>APPENDIX 9B)</t>
  </si>
  <si>
    <t>(The condensed Consolidated Income Statements Should be read in conjunction with the Annual</t>
  </si>
  <si>
    <t>was not subjected to any qualification.</t>
  </si>
  <si>
    <t>Investment Properties</t>
  </si>
  <si>
    <t>Manufacturing</t>
  </si>
  <si>
    <t>Trading</t>
  </si>
  <si>
    <t>Construction</t>
  </si>
  <si>
    <t>Total</t>
  </si>
  <si>
    <t>(Company No.: 11106-V)</t>
  </si>
  <si>
    <t>NOTES TO THE UNAUDITED FINANCIAL STATEMENTS</t>
  </si>
  <si>
    <t>Accounting Policies</t>
  </si>
  <si>
    <t>Profits / (Losses) on Sale of Investment and/or Properties</t>
  </si>
  <si>
    <t>Quoted Securities</t>
  </si>
  <si>
    <t>Changes in the Composition of the Group</t>
  </si>
  <si>
    <t>Status of Corporate Proposals</t>
  </si>
  <si>
    <t>Page 1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</si>
  <si>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</si>
  <si>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</si>
  <si>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</si>
  <si>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</si>
  <si>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</si>
  <si>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</si>
  <si>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</si>
  <si>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</si>
  <si>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Off Balance Sheet Financial Instruments</t>
  </si>
  <si>
    <t>Material Litigation</t>
  </si>
  <si>
    <t>Operating expenses</t>
  </si>
  <si>
    <t>Other operating income</t>
  </si>
  <si>
    <t>Profit from Operations</t>
  </si>
  <si>
    <t>Finance costs</t>
  </si>
  <si>
    <t>Profit before tax</t>
  </si>
  <si>
    <t>Profit after tax</t>
  </si>
  <si>
    <t>Minority interest</t>
  </si>
  <si>
    <t>Net profit for the period</t>
  </si>
  <si>
    <t>The Group is not engaged in any material litigation as at the date of this announcement.</t>
  </si>
  <si>
    <t>Segmental Reporting</t>
  </si>
  <si>
    <t>Page 2</t>
  </si>
  <si>
    <t>Review of Performance</t>
  </si>
  <si>
    <t>Current Year Prospects</t>
  </si>
  <si>
    <t>Variance of Actual Profit from Forecast Profit</t>
  </si>
  <si>
    <t>Dividend</t>
  </si>
  <si>
    <t>Company Secretary</t>
  </si>
  <si>
    <t>Kuala Lumpur</t>
  </si>
  <si>
    <t>9 months</t>
  </si>
  <si>
    <t>(The figures have not been audited)</t>
  </si>
  <si>
    <t>Net profit  for the year</t>
  </si>
  <si>
    <t>Current Taxation</t>
  </si>
  <si>
    <t>There were no material  changes in contingent liabilities/assets  since the last annual balance sheet date.</t>
  </si>
  <si>
    <t>QUARTER</t>
  </si>
  <si>
    <t>Current Assets</t>
  </si>
  <si>
    <t>share cancellations, shares held as treasury shares and resale of treasury shares during the</t>
  </si>
  <si>
    <t>Consolidated Profit &amp; Loss Account as at 31st December 1999</t>
  </si>
  <si>
    <t xml:space="preserve"> Report for the year ended 31 December 2002)</t>
  </si>
  <si>
    <t>31/3/2003</t>
  </si>
  <si>
    <t xml:space="preserve"> for the quarter ended 31/3/2003.</t>
  </si>
  <si>
    <t>31/3/2002</t>
  </si>
  <si>
    <t>Financial Report for the year ended 31 December 2002)</t>
  </si>
  <si>
    <t xml:space="preserve"> Annual Financial Report for the year ended 31 December 2002)</t>
  </si>
  <si>
    <t>FOR THE 1ST QUARTER ENDED 31 MARCH 2003</t>
  </si>
  <si>
    <t>as compared with the annual financial statements for the financial year ended 31 December 2002.</t>
  </si>
  <si>
    <t>annual financial statements for the financial year ended 31 December 2002.</t>
  </si>
  <si>
    <t>March 2003.</t>
  </si>
  <si>
    <t>for the first quarter ended 31 March 2003 in respect of which this announcement is made.</t>
  </si>
  <si>
    <t>31 March 2003.</t>
  </si>
  <si>
    <t>Total Group Borrowings as at 31 March 2003 are as follows:-</t>
  </si>
  <si>
    <t xml:space="preserve">                                       For the period ended 31 March 2003</t>
  </si>
  <si>
    <t>3 months ended</t>
  </si>
  <si>
    <t>31 .3.2003</t>
  </si>
  <si>
    <t xml:space="preserve">01.01.2003 </t>
  </si>
  <si>
    <t>Balance as at 31.3.03</t>
  </si>
  <si>
    <t xml:space="preserve">Bonus issue of one for one and the Kuala Lumpur Stock Exchange had on 8 May 2003 approved </t>
  </si>
  <si>
    <t>share capital of the Company to 158,258,348 ordinary shares of RM1.00 each.</t>
  </si>
  <si>
    <t>in-principle the listing of 79,129,174 new ordinary shares of RM1.00 each, bringing the total paid-up</t>
  </si>
  <si>
    <t>There were no purchase or disposal of quoted securities for the current financial quarter  ended</t>
  </si>
  <si>
    <t>Cash &amp; Cash equivalents at beginning of period</t>
  </si>
  <si>
    <t>Cash &amp; Cash equivalents at end of period</t>
  </si>
  <si>
    <t xml:space="preserve">(Company No. : 11106-V) </t>
  </si>
  <si>
    <t>not materially affected by any seasonal or cyclical factors.</t>
  </si>
  <si>
    <t>Not Applicable.</t>
  </si>
  <si>
    <t>The shareholders had on 29 April 2003 through an Extraordinary General Meeting approved the Proposed</t>
  </si>
  <si>
    <t>of the current financial period or last financial year.</t>
  </si>
  <si>
    <t>of one for one and the Kuala Lumpur Stock Exchange had on 8 May 2003 approved  in-principle</t>
  </si>
  <si>
    <t>of the Company to 158,258,348 ordinary shares of RM1.00 each.</t>
  </si>
  <si>
    <t>the listing of 79,129,174 new ordinary shares of RM1.00 each, bringing the total paid-up share capital</t>
  </si>
  <si>
    <t>There were  no material events subsequent to the end of the current quarter except on the 29 April 2003,</t>
  </si>
  <si>
    <t>the shareholders through an Extraordinary General Meeting approved the Proposed Bonus Issue</t>
  </si>
  <si>
    <t xml:space="preserve">There was no dividend paid for the current financial quarter ended 31 March 2003. </t>
  </si>
  <si>
    <t xml:space="preserve">financial quarter ended 31 March 2003. The major contribution to the profit for the Group is </t>
  </si>
  <si>
    <t>shiprepairs activities are expected to progress as planned.</t>
  </si>
  <si>
    <t>There were no sale of Investments and/or Properties for the current financial quarter ended</t>
  </si>
  <si>
    <t xml:space="preserve">There was no dividend declared or recommended for the current financial quarter ended 31 March </t>
  </si>
  <si>
    <t>The basic earnings per share has been calculated based on the Group's net profit for the quarter</t>
  </si>
  <si>
    <t>of  RM14,739,000 over the number of ordinary shares of 79,129,174 in issue during the financial quarter.</t>
  </si>
  <si>
    <t>Nevertheless, there are legal summons which in the opinion of the Board of Directors are immaterial.</t>
  </si>
  <si>
    <t>There were no financial instruments with off balance sheet risk during the current financial</t>
  </si>
  <si>
    <t>quarter ended 31 March 2003.</t>
  </si>
  <si>
    <t>The lower tax is mainly due to the tax exemption obtained by a subsidiary company pursuant to S127</t>
  </si>
  <si>
    <t>and no chargeable income for certain companies within the Group.</t>
  </si>
  <si>
    <t>of the Inland Revenue Act, 1967 under a special promotion package for the offshore patrol vessel project</t>
  </si>
  <si>
    <t>environment to remain challenging and competitive. However, the offshore patrol vessel project and</t>
  </si>
  <si>
    <t>profit margin for projects undertaken by the Group.</t>
  </si>
  <si>
    <t>current financial quarter ended  31 March 2003.</t>
  </si>
  <si>
    <t>are unusual because of their nature, size or incidence for the current financial quarter ended 31 March</t>
  </si>
  <si>
    <t xml:space="preserve">The business operations of the Group for the current financial quarter  ended  31 March 2003 were </t>
  </si>
  <si>
    <t>of RM9.2 million in the preceding quarter. The higher profit in the current quarter is mainly due to higher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</si>
</sst>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 * #,##0_ ;_ * \-#,##0_ ;_ * &quot;-&quot;??_ ;_ @_ "/>
    <numFmt numFmtId="183" formatCode="_(* #,##0.0000_);_(* \(#,##0.0000\);_(* &quot;-&quot;??_);_(@_)"/>
    <numFmt numFmtId="184" formatCode="_(* #,##0.000000_);_(* \(#,##0.000000\);_(* &quot;-&quot;??_);_(@_)"/>
    <numFmt numFmtId="185" formatCode="&quot;$&quot;#,##0\ ;\(&quot;$&quot;#,##0\)"/>
    <numFmt numFmtId="186" formatCode="m/d"/>
    <numFmt numFmtId="187" formatCode="0.000%"/>
    <numFmt numFmtId="188" formatCode="#,##0.000_);[Red]\(#,##0.000\)"/>
    <numFmt numFmtId="189" formatCode="#,##0.0_);[Red]\(#,##0.0\)"/>
    <numFmt numFmtId="190" formatCode="_(* #,##0.0_);_(* \(#,##0.0\);_(* &quot;-&quot;?_);_(@_)"/>
    <numFmt numFmtId="191" formatCode="_(* #,##0.0000_);_(* \(#,##0.0000\);_(* &quot;-&quot;????_);_(@_)"/>
    <numFmt numFmtId="192" formatCode="_(* #,##0.00000_);_(* \(#,##0.00000\);_(* &quot;-&quot;?????_);_(@_)"/>
    <numFmt numFmtId="193" formatCode="0.00_);[Red]\(0.00\)"/>
    <numFmt numFmtId="194" formatCode="0.0_);[Red]\(0.0\)"/>
    <numFmt numFmtId="195" formatCode="#,##0.0_);\(#,##0.0\)"/>
    <numFmt numFmtId="196" formatCode="#,##0.000_);\(#,##0.000\)"/>
    <numFmt numFmtId="197" formatCode="#,##0_ ;[Red]\-#,##0\ "/>
    <numFmt numFmtId="198" formatCode="#,##0.0_ ;[Red]\-#,##0.0\ "/>
    <numFmt numFmtId="199" formatCode="_-* #,##0.0000_-;\-* #,##0.0000_-;_-* &quot;-&quot;????_-;_-@_-"/>
    <numFmt numFmtId="200" formatCode="#,##0.00_ ;[Red]\-#,##0.00\ "/>
    <numFmt numFmtId="201" formatCode="_(* #,##0.000_);_(* \(#,##0.000\);_(* &quot;-&quot;??_);_(@_)"/>
    <numFmt numFmtId="202" formatCode="dd\-mmm\-yy"/>
    <numFmt numFmtId="203" formatCode="d\-mmm\-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0" fillId="0" borderId="0" xfId="15" applyNumberFormat="1" applyAlignment="1">
      <alignment/>
    </xf>
    <xf numFmtId="180" fontId="0" fillId="0" borderId="2" xfId="15" applyNumberFormat="1" applyBorder="1" applyAlignment="1">
      <alignment/>
    </xf>
    <xf numFmtId="180" fontId="0" fillId="0" borderId="3" xfId="15" applyNumberFormat="1" applyBorder="1" applyAlignment="1">
      <alignment/>
    </xf>
    <xf numFmtId="180" fontId="0" fillId="0" borderId="4" xfId="15" applyNumberFormat="1" applyBorder="1" applyAlignment="1">
      <alignment/>
    </xf>
    <xf numFmtId="180" fontId="0" fillId="0" borderId="0" xfId="15" applyNumberForma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9" fontId="0" fillId="0" borderId="13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4" xfId="15" applyNumberFormat="1" applyBorder="1" applyAlignment="1">
      <alignment/>
    </xf>
    <xf numFmtId="180" fontId="0" fillId="0" borderId="15" xfId="15" applyNumberFormat="1" applyBorder="1" applyAlignment="1">
      <alignment/>
    </xf>
    <xf numFmtId="180" fontId="1" fillId="0" borderId="16" xfId="15" applyNumberFormat="1" applyFont="1" applyBorder="1" applyAlignment="1">
      <alignment/>
    </xf>
    <xf numFmtId="9" fontId="1" fillId="0" borderId="12" xfId="27" applyFont="1" applyBorder="1" applyAlignment="1">
      <alignment horizontal="center"/>
    </xf>
    <xf numFmtId="180" fontId="0" fillId="0" borderId="13" xfId="15" applyNumberFormat="1" applyBorder="1" applyAlignment="1">
      <alignment/>
    </xf>
    <xf numFmtId="180" fontId="0" fillId="0" borderId="6" xfId="15" applyNumberFormat="1" applyBorder="1" applyAlignment="1">
      <alignment/>
    </xf>
    <xf numFmtId="180" fontId="1" fillId="0" borderId="12" xfId="15" applyNumberFormat="1" applyFont="1" applyBorder="1" applyAlignment="1">
      <alignment/>
    </xf>
    <xf numFmtId="180" fontId="0" fillId="0" borderId="17" xfId="15" applyNumberFormat="1" applyBorder="1" applyAlignment="1">
      <alignment/>
    </xf>
    <xf numFmtId="180" fontId="0" fillId="0" borderId="18" xfId="15" applyNumberFormat="1" applyBorder="1" applyAlignment="1">
      <alignment/>
    </xf>
    <xf numFmtId="180" fontId="1" fillId="0" borderId="19" xfId="15" applyNumberFormat="1" applyFont="1" applyBorder="1" applyAlignment="1">
      <alignment/>
    </xf>
    <xf numFmtId="180" fontId="0" fillId="0" borderId="13" xfId="15" applyNumberFormat="1" applyFill="1" applyBorder="1" applyAlignment="1">
      <alignment/>
    </xf>
    <xf numFmtId="180" fontId="0" fillId="0" borderId="18" xfId="15" applyNumberFormat="1" applyFont="1" applyBorder="1" applyAlignment="1">
      <alignment/>
    </xf>
    <xf numFmtId="0" fontId="1" fillId="0" borderId="20" xfId="0" applyFont="1" applyBorder="1" applyAlignment="1">
      <alignment/>
    </xf>
    <xf numFmtId="180" fontId="0" fillId="0" borderId="21" xfId="15" applyNumberFormat="1" applyBorder="1" applyAlignment="1">
      <alignment/>
    </xf>
    <xf numFmtId="180" fontId="0" fillId="0" borderId="22" xfId="15" applyNumberFormat="1" applyBorder="1" applyAlignment="1">
      <alignment/>
    </xf>
    <xf numFmtId="180" fontId="1" fillId="0" borderId="20" xfId="15" applyNumberFormat="1" applyFont="1" applyBorder="1" applyAlignment="1">
      <alignment/>
    </xf>
    <xf numFmtId="9" fontId="1" fillId="0" borderId="20" xfId="27" applyFont="1" applyBorder="1" applyAlignment="1">
      <alignment horizontal="center"/>
    </xf>
    <xf numFmtId="0" fontId="7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0" xfId="15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80" fontId="0" fillId="0" borderId="3" xfId="15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180" fontId="1" fillId="0" borderId="10" xfId="15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/>
    </xf>
    <xf numFmtId="180" fontId="1" fillId="0" borderId="31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0" fontId="0" fillId="0" borderId="27" xfId="15" applyNumberFormat="1" applyBorder="1" applyAlignment="1">
      <alignment/>
    </xf>
    <xf numFmtId="180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180" fontId="0" fillId="0" borderId="36" xfId="15" applyNumberFormat="1" applyBorder="1" applyAlignment="1">
      <alignment/>
    </xf>
    <xf numFmtId="180" fontId="0" fillId="0" borderId="35" xfId="15" applyNumberFormat="1" applyBorder="1" applyAlignment="1">
      <alignment/>
    </xf>
    <xf numFmtId="180" fontId="0" fillId="0" borderId="37" xfId="15" applyNumberFormat="1" applyBorder="1" applyAlignment="1">
      <alignment/>
    </xf>
    <xf numFmtId="180" fontId="0" fillId="0" borderId="38" xfId="15" applyNumberFormat="1" applyBorder="1" applyAlignment="1">
      <alignment/>
    </xf>
    <xf numFmtId="180" fontId="0" fillId="0" borderId="39" xfId="15" applyNumberFormat="1" applyBorder="1" applyAlignment="1">
      <alignment/>
    </xf>
    <xf numFmtId="41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2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35" xfId="15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0" fontId="7" fillId="0" borderId="12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180" fontId="8" fillId="0" borderId="34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34" xfId="0" applyFont="1" applyBorder="1" applyAlignment="1">
      <alignment/>
    </xf>
    <xf numFmtId="180" fontId="7" fillId="0" borderId="42" xfId="15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180" fontId="8" fillId="0" borderId="34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43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0" fillId="0" borderId="28" xfId="15" applyNumberFormat="1" applyBorder="1" applyAlignment="1">
      <alignment/>
    </xf>
    <xf numFmtId="38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5" applyNumberFormat="1" applyFont="1" applyAlignment="1">
      <alignment horizontal="center"/>
    </xf>
    <xf numFmtId="180" fontId="0" fillId="0" borderId="27" xfId="15" applyNumberFormat="1" applyFont="1" applyBorder="1" applyAlignment="1">
      <alignment/>
    </xf>
    <xf numFmtId="0" fontId="0" fillId="0" borderId="0" xfId="0" applyAlignment="1">
      <alignment horizontal="left"/>
    </xf>
    <xf numFmtId="180" fontId="3" fillId="0" borderId="3" xfId="15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Border="1" applyAlignment="1">
      <alignment/>
    </xf>
    <xf numFmtId="0" fontId="2" fillId="0" borderId="2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46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38" fontId="0" fillId="0" borderId="28" xfId="0" applyNumberFormat="1" applyBorder="1" applyAlignment="1">
      <alignment/>
    </xf>
    <xf numFmtId="180" fontId="1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Alignment="1">
      <alignment horizontal="right"/>
    </xf>
    <xf numFmtId="19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197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38" fontId="3" fillId="0" borderId="0" xfId="15" applyNumberFormat="1" applyFont="1" applyAlignment="1">
      <alignment/>
    </xf>
    <xf numFmtId="180" fontId="0" fillId="0" borderId="3" xfId="15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98" fontId="0" fillId="0" borderId="0" xfId="0" applyNumberFormat="1" applyFill="1" applyAlignment="1">
      <alignment/>
    </xf>
    <xf numFmtId="198" fontId="0" fillId="0" borderId="0" xfId="0" applyNumberFormat="1" applyAlignment="1">
      <alignment/>
    </xf>
    <xf numFmtId="180" fontId="0" fillId="0" borderId="3" xfId="0" applyNumberFormat="1" applyFill="1" applyBorder="1" applyAlignment="1">
      <alignment/>
    </xf>
    <xf numFmtId="180" fontId="0" fillId="0" borderId="6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45" xfId="0" applyNumberFormat="1" applyBorder="1" applyAlignment="1">
      <alignment/>
    </xf>
    <xf numFmtId="180" fontId="0" fillId="0" borderId="46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1" xfId="0" applyNumberFormat="1" applyFill="1" applyBorder="1" applyAlignment="1">
      <alignment/>
    </xf>
    <xf numFmtId="15" fontId="10" fillId="0" borderId="0" xfId="0" applyNumberFormat="1" applyFont="1" applyAlignment="1" quotePrefix="1">
      <alignment horizontal="left"/>
    </xf>
    <xf numFmtId="180" fontId="0" fillId="0" borderId="0" xfId="15" applyNumberFormat="1" applyFont="1" applyAlignment="1">
      <alignment horizontal="right"/>
    </xf>
    <xf numFmtId="180" fontId="0" fillId="0" borderId="0" xfId="15" applyNumberFormat="1" applyFont="1" applyBorder="1" applyAlignment="1">
      <alignment horizontal="right"/>
    </xf>
    <xf numFmtId="180" fontId="0" fillId="0" borderId="0" xfId="0" applyNumberFormat="1" applyAlignment="1">
      <alignment horizontal="right"/>
    </xf>
    <xf numFmtId="0" fontId="1" fillId="0" borderId="31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15" applyNumberFormat="1" applyFont="1" applyAlignment="1">
      <alignment/>
    </xf>
    <xf numFmtId="180" fontId="0" fillId="0" borderId="0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20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10" fillId="0" borderId="0" xfId="0" applyFont="1" applyBorder="1" applyAlignment="1">
      <alignment/>
    </xf>
    <xf numFmtId="16" fontId="0" fillId="0" borderId="0" xfId="0" applyNumberFormat="1" applyAlignment="1">
      <alignment horizontal="right"/>
    </xf>
    <xf numFmtId="203" fontId="6" fillId="0" borderId="0" xfId="0" applyNumberFormat="1" applyFont="1" applyAlignment="1" quotePrefix="1">
      <alignment horizontal="right"/>
    </xf>
    <xf numFmtId="180" fontId="0" fillId="0" borderId="28" xfId="0" applyNumberFormat="1" applyBorder="1" applyAlignment="1">
      <alignment/>
    </xf>
    <xf numFmtId="38" fontId="0" fillId="0" borderId="5" xfId="0" applyNumberFormat="1" applyBorder="1" applyAlignment="1">
      <alignment/>
    </xf>
    <xf numFmtId="180" fontId="0" fillId="0" borderId="43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left"/>
    </xf>
    <xf numFmtId="49" fontId="1" fillId="0" borderId="43" xfId="0" applyNumberFormat="1" applyFont="1" applyFill="1" applyBorder="1" applyAlignment="1">
      <alignment horizontal="center"/>
    </xf>
    <xf numFmtId="49" fontId="0" fillId="0" borderId="43" xfId="0" applyNumberFormat="1" applyFill="1" applyBorder="1" applyAlignment="1">
      <alignment/>
    </xf>
    <xf numFmtId="49" fontId="0" fillId="0" borderId="46" xfId="0" applyNumberForma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6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owpscijan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shflow"/>
      <sheetName val="cashflowklse"/>
      <sheetName val="fixed asset"/>
      <sheetName val="exc reserve"/>
      <sheetName val="taxation"/>
      <sheetName val="borrowings"/>
      <sheetName val="hp"/>
      <sheetName val="deferred expenditure"/>
      <sheetName val="gwmiacq"/>
    </sheetNames>
    <sheetDataSet>
      <sheetData sheetId="1">
        <row r="8">
          <cell r="E8">
            <v>24632094</v>
          </cell>
        </row>
        <row r="11">
          <cell r="E11">
            <v>15664246.050269883</v>
          </cell>
        </row>
        <row r="12">
          <cell r="E12">
            <v>-2244575.1662552</v>
          </cell>
        </row>
        <row r="13">
          <cell r="E13">
            <v>0</v>
          </cell>
        </row>
        <row r="14">
          <cell r="E14">
            <v>1097548.7245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2548379.265766061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3">
          <cell r="E33">
            <v>-681152.0910495606</v>
          </cell>
        </row>
        <row r="34">
          <cell r="E34">
            <v>-6315586.1341405455</v>
          </cell>
        </row>
        <row r="35">
          <cell r="E35">
            <v>-97926322.25129342</v>
          </cell>
        </row>
        <row r="37">
          <cell r="E37">
            <v>-24916992.4125</v>
          </cell>
        </row>
        <row r="38">
          <cell r="E38">
            <v>247910679</v>
          </cell>
        </row>
        <row r="50">
          <cell r="E50">
            <v>2244575.1662552</v>
          </cell>
        </row>
        <row r="51">
          <cell r="E51">
            <v>583.045934641239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-4149780</v>
          </cell>
        </row>
        <row r="57">
          <cell r="E57">
            <v>-9280191.121254873</v>
          </cell>
        </row>
        <row r="62">
          <cell r="E62">
            <v>0</v>
          </cell>
        </row>
        <row r="63">
          <cell r="E63">
            <v>-15937474</v>
          </cell>
        </row>
        <row r="64">
          <cell r="E64">
            <v>-22542847</v>
          </cell>
        </row>
        <row r="65">
          <cell r="E65">
            <v>-562532</v>
          </cell>
        </row>
        <row r="73">
          <cell r="E73">
            <v>-15593379</v>
          </cell>
        </row>
        <row r="74">
          <cell r="E74">
            <v>-144343.38627555687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A6">
      <selection activeCell="H16" sqref="H16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151</v>
      </c>
      <c r="V1" s="2" t="s">
        <v>178</v>
      </c>
    </row>
    <row r="2" spans="1:22" ht="15.75">
      <c r="A2" s="2" t="s">
        <v>288</v>
      </c>
      <c r="V2" s="2" t="s">
        <v>288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97"/>
      <c r="B4" s="16" t="s">
        <v>153</v>
      </c>
      <c r="C4" s="17" t="s">
        <v>154</v>
      </c>
      <c r="D4" s="17" t="s">
        <v>155</v>
      </c>
      <c r="E4" s="17" t="s">
        <v>156</v>
      </c>
      <c r="F4" s="17" t="s">
        <v>157</v>
      </c>
      <c r="G4" s="17" t="s">
        <v>158</v>
      </c>
      <c r="H4" s="17" t="s">
        <v>159</v>
      </c>
      <c r="I4" s="101" t="s">
        <v>197</v>
      </c>
      <c r="J4" s="18"/>
      <c r="K4" s="19" t="s">
        <v>198</v>
      </c>
      <c r="L4" s="20" t="s">
        <v>199</v>
      </c>
      <c r="M4" s="20"/>
      <c r="N4" s="19" t="s">
        <v>198</v>
      </c>
      <c r="O4" s="18"/>
      <c r="P4" s="18"/>
      <c r="Q4" s="19" t="s">
        <v>169</v>
      </c>
      <c r="R4" s="18"/>
      <c r="S4" s="21" t="s">
        <v>168</v>
      </c>
      <c r="T4" s="19" t="s">
        <v>200</v>
      </c>
      <c r="V4" s="15" t="s">
        <v>165</v>
      </c>
      <c r="W4" s="16" t="s">
        <v>152</v>
      </c>
      <c r="X4" s="17" t="s">
        <v>172</v>
      </c>
      <c r="Y4" s="17" t="s">
        <v>173</v>
      </c>
      <c r="Z4" s="17" t="s">
        <v>174</v>
      </c>
      <c r="AA4" s="17" t="s">
        <v>175</v>
      </c>
      <c r="AB4" s="17" t="s">
        <v>201</v>
      </c>
      <c r="AC4" s="17" t="s">
        <v>177</v>
      </c>
      <c r="AD4" s="17" t="s">
        <v>176</v>
      </c>
      <c r="AE4" s="17" t="s">
        <v>179</v>
      </c>
      <c r="AF4" s="17" t="s">
        <v>202</v>
      </c>
      <c r="AG4" s="18"/>
      <c r="AH4" s="19" t="s">
        <v>203</v>
      </c>
      <c r="AJ4" s="19" t="s">
        <v>169</v>
      </c>
      <c r="AK4" s="18"/>
      <c r="AL4" s="21" t="s">
        <v>168</v>
      </c>
      <c r="AM4" s="19" t="s">
        <v>200</v>
      </c>
    </row>
    <row r="5" spans="1:39" ht="13.5" thickBot="1">
      <c r="A5" s="98" t="s">
        <v>204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102"/>
      <c r="K5" s="25"/>
      <c r="L5" s="18" t="s">
        <v>161</v>
      </c>
      <c r="M5" s="18" t="s">
        <v>162</v>
      </c>
      <c r="N5" s="19" t="s">
        <v>213</v>
      </c>
      <c r="O5" s="18"/>
      <c r="P5" s="26"/>
      <c r="Q5" s="27"/>
      <c r="R5" s="26"/>
      <c r="S5" s="27"/>
      <c r="T5" s="28"/>
      <c r="V5" s="22" t="s">
        <v>204</v>
      </c>
      <c r="W5" s="23">
        <v>1</v>
      </c>
      <c r="X5" s="29">
        <v>0.8807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9"/>
      <c r="B6" s="32"/>
      <c r="C6" s="13"/>
      <c r="D6" s="13"/>
      <c r="E6" s="13"/>
      <c r="F6" s="13"/>
      <c r="G6" s="13"/>
      <c r="H6" s="13"/>
      <c r="I6" s="102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96" t="s">
        <v>166</v>
      </c>
      <c r="B7" s="33">
        <v>0</v>
      </c>
      <c r="C7" s="34">
        <v>15709428</v>
      </c>
      <c r="D7" s="34">
        <v>669901.26</v>
      </c>
      <c r="E7" s="34">
        <v>1868706.49</v>
      </c>
      <c r="F7" s="34">
        <v>5734855.64</v>
      </c>
      <c r="G7" s="34">
        <v>0</v>
      </c>
      <c r="H7" s="34">
        <v>0</v>
      </c>
      <c r="I7" s="103">
        <f>AH7</f>
        <v>543779171.4833333</v>
      </c>
      <c r="J7" s="9"/>
      <c r="K7" s="35">
        <f>SUM(B7:I7)</f>
        <v>567762062.8733333</v>
      </c>
      <c r="L7" s="10"/>
      <c r="M7" s="10"/>
      <c r="N7" s="35">
        <f>K7-L7</f>
        <v>567762062.8733333</v>
      </c>
      <c r="O7" s="10"/>
      <c r="P7" s="10"/>
      <c r="Q7" s="35">
        <v>358674721</v>
      </c>
      <c r="R7" s="10"/>
      <c r="S7" s="35">
        <f>K7-Q7</f>
        <v>209087341.87333333</v>
      </c>
      <c r="T7" s="36">
        <f>S7/Q7</f>
        <v>0.5829441821001189</v>
      </c>
      <c r="V7" s="25" t="s">
        <v>166</v>
      </c>
      <c r="W7" s="33">
        <v>43235894.67</v>
      </c>
      <c r="X7" s="34">
        <v>41695852</v>
      </c>
      <c r="Y7" s="34">
        <f>8842498000/2400*3.8</f>
        <v>14000621.833333332</v>
      </c>
      <c r="Z7" s="34">
        <v>440822248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543779171.4833333</v>
      </c>
      <c r="AJ7" s="35">
        <v>346259892</v>
      </c>
      <c r="AK7" s="10"/>
      <c r="AL7" s="35">
        <f>AH7-AJ7</f>
        <v>197519279.48333335</v>
      </c>
      <c r="AM7" s="36">
        <f>AL7/AJ7</f>
        <v>0.570436495958167</v>
      </c>
    </row>
    <row r="8" spans="1:39" ht="21" customHeight="1" thickTop="1">
      <c r="A8" s="96" t="s">
        <v>170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104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170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96" t="s">
        <v>205</v>
      </c>
      <c r="B9" s="37">
        <v>107365.05</v>
      </c>
      <c r="C9" s="38">
        <v>79842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104">
        <f>AH9</f>
        <v>39623680.6</v>
      </c>
      <c r="J9" s="9"/>
      <c r="K9" s="39">
        <f>SUM(B9:I9)</f>
        <v>40255013.34</v>
      </c>
      <c r="L9" s="10"/>
      <c r="M9" s="10"/>
      <c r="N9" s="39">
        <f>K9</f>
        <v>40255013.34</v>
      </c>
      <c r="O9" s="10"/>
      <c r="P9" s="10"/>
      <c r="Q9" s="39">
        <v>17007728</v>
      </c>
      <c r="R9" s="10"/>
      <c r="S9" s="39">
        <f>K9-Q9</f>
        <v>23247285.340000004</v>
      </c>
      <c r="T9" s="36">
        <f>S9/Q9</f>
        <v>1.3668660117330194</v>
      </c>
      <c r="V9" s="25" t="s">
        <v>205</v>
      </c>
      <c r="W9" s="37">
        <v>14351063.11</v>
      </c>
      <c r="X9" s="38">
        <v>0</v>
      </c>
      <c r="Y9" s="38">
        <v>0</v>
      </c>
      <c r="Z9" s="38">
        <v>25000000</v>
      </c>
      <c r="AA9" s="38">
        <v>80211.49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39623680.6</v>
      </c>
      <c r="AJ9" s="39">
        <v>11263550</v>
      </c>
      <c r="AK9" s="10"/>
      <c r="AL9" s="39">
        <f>AH9-AJ9</f>
        <v>28360130.6</v>
      </c>
      <c r="AM9" s="36">
        <f>AL9/AJ9</f>
        <v>2.517867865814952</v>
      </c>
    </row>
    <row r="10" spans="1:39" ht="33" customHeight="1">
      <c r="A10" s="96" t="s">
        <v>206</v>
      </c>
      <c r="B10" s="37"/>
      <c r="C10" s="38"/>
      <c r="D10" s="38"/>
      <c r="E10" s="38"/>
      <c r="F10" s="38"/>
      <c r="G10" s="38"/>
      <c r="H10" s="38"/>
      <c r="I10" s="104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206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96" t="s">
        <v>207</v>
      </c>
      <c r="B11" s="37"/>
      <c r="C11" s="38"/>
      <c r="D11" s="38"/>
      <c r="E11" s="38"/>
      <c r="F11" s="38"/>
      <c r="G11" s="38"/>
      <c r="H11" s="38"/>
      <c r="I11" s="104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207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96" t="s">
        <v>208</v>
      </c>
      <c r="B12" s="37">
        <f aca="true" t="shared" si="0" ref="B12:I12">B15+B13+B14</f>
        <v>3501325.439999999</v>
      </c>
      <c r="C12" s="38">
        <f t="shared" si="0"/>
        <v>1059772</v>
      </c>
      <c r="D12" s="38">
        <f t="shared" si="0"/>
        <v>106238.92</v>
      </c>
      <c r="E12" s="38">
        <f t="shared" si="0"/>
        <v>25638.399999999998</v>
      </c>
      <c r="F12" s="38">
        <f t="shared" si="0"/>
        <v>3863020.48</v>
      </c>
      <c r="G12" s="38">
        <f t="shared" si="0"/>
        <v>-78682</v>
      </c>
      <c r="H12" s="38">
        <f t="shared" si="0"/>
        <v>-59225</v>
      </c>
      <c r="I12" s="104">
        <f t="shared" si="0"/>
        <v>57889898.38666666</v>
      </c>
      <c r="J12" s="9"/>
      <c r="K12" s="39">
        <f aca="true" t="shared" si="1" ref="K12:K19">SUM(B12:I12)</f>
        <v>66307986.626666665</v>
      </c>
      <c r="L12" s="10"/>
      <c r="M12" s="10"/>
      <c r="N12" s="39">
        <f>K12-L12</f>
        <v>66307986.626666665</v>
      </c>
      <c r="O12" s="10"/>
      <c r="P12" s="10"/>
      <c r="Q12" s="39">
        <f>Q15+Q13</f>
        <v>64240257</v>
      </c>
      <c r="R12" s="10"/>
      <c r="S12" s="39">
        <f>K12-Q12</f>
        <v>2067729.626666665</v>
      </c>
      <c r="T12" s="36">
        <f>S12/Q12</f>
        <v>0.03218744325177069</v>
      </c>
      <c r="V12" s="25" t="s">
        <v>208</v>
      </c>
      <c r="W12" s="38">
        <f aca="true" t="shared" si="2" ref="W12:AF12">W15+W13+W14</f>
        <v>-27325895.28</v>
      </c>
      <c r="X12" s="38">
        <f t="shared" si="2"/>
        <v>-3541640.5</v>
      </c>
      <c r="Y12" s="38">
        <f t="shared" si="2"/>
        <v>-50956.833333333256</v>
      </c>
      <c r="Z12" s="38">
        <f t="shared" si="2"/>
        <v>89779444</v>
      </c>
      <c r="AA12" s="38">
        <f t="shared" si="2"/>
        <v>296212.18000000005</v>
      </c>
      <c r="AB12" s="38">
        <f t="shared" si="2"/>
        <v>-831575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57889898.38666667</v>
      </c>
      <c r="AJ12" s="39">
        <f>AJ15+AJ13</f>
        <v>58840816</v>
      </c>
      <c r="AK12" s="10"/>
      <c r="AL12" s="39">
        <f>AH12-AJ12</f>
        <v>-950917.6133333296</v>
      </c>
      <c r="AM12" s="36">
        <f>AL12/AJ12</f>
        <v>-0.016160850205295074</v>
      </c>
    </row>
    <row r="13" spans="1:39" ht="36" customHeight="1">
      <c r="A13" s="96" t="s">
        <v>171</v>
      </c>
      <c r="B13" s="6">
        <f>18598507.79+70213.7</f>
        <v>18668721.49</v>
      </c>
      <c r="C13" s="7">
        <v>108388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105">
        <f aca="true" t="shared" si="4" ref="I13:I19">AH13</f>
        <v>27023797.06</v>
      </c>
      <c r="J13" s="9"/>
      <c r="K13" s="42">
        <f t="shared" si="1"/>
        <v>49157504.519999996</v>
      </c>
      <c r="L13" s="10"/>
      <c r="M13" s="10"/>
      <c r="N13" s="42">
        <f>K13</f>
        <v>49157504.519999996</v>
      </c>
      <c r="O13" s="10"/>
      <c r="P13" s="10"/>
      <c r="Q13" s="42">
        <v>29135318</v>
      </c>
      <c r="R13" s="10"/>
      <c r="S13" s="42">
        <f>K13-Q13</f>
        <v>20022186.519999996</v>
      </c>
      <c r="T13" s="36">
        <f>S13/Q13</f>
        <v>0.6872135914219297</v>
      </c>
      <c r="V13" s="25" t="s">
        <v>171</v>
      </c>
      <c r="W13" s="40">
        <v>25304583.4</v>
      </c>
      <c r="X13" s="41">
        <v>0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27023797.06</v>
      </c>
      <c r="AJ13" s="42">
        <v>16915356</v>
      </c>
      <c r="AK13" s="10"/>
      <c r="AL13" s="42">
        <f>AH13-AJ13</f>
        <v>10108441.059999999</v>
      </c>
      <c r="AM13" s="36">
        <f>AL13/AJ13</f>
        <v>0.5975896138396377</v>
      </c>
    </row>
    <row r="14" spans="1:39" ht="36" customHeight="1">
      <c r="A14" s="96" t="s">
        <v>209</v>
      </c>
      <c r="B14" s="40">
        <v>96365.72</v>
      </c>
      <c r="C14" s="41">
        <v>908224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106">
        <f t="shared" si="4"/>
        <v>14488172.65</v>
      </c>
      <c r="J14" s="9"/>
      <c r="K14" s="42">
        <f t="shared" si="1"/>
        <v>15617489.38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209</v>
      </c>
      <c r="W14" s="37">
        <v>4780909</v>
      </c>
      <c r="X14" s="38">
        <v>1698307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14488172.65</v>
      </c>
      <c r="AJ14" s="39"/>
      <c r="AK14" s="10"/>
      <c r="AL14" s="39"/>
      <c r="AM14" s="36"/>
    </row>
    <row r="15" spans="1:39" ht="41.25" customHeight="1">
      <c r="A15" s="96" t="s">
        <v>210</v>
      </c>
      <c r="B15" s="37">
        <f>-19685813.95+4422052.18</f>
        <v>-15263761.77</v>
      </c>
      <c r="C15" s="38">
        <v>43160</v>
      </c>
      <c r="D15" s="38">
        <v>37462.75</v>
      </c>
      <c r="E15" s="38">
        <v>-3008.86</v>
      </c>
      <c r="F15" s="38">
        <v>479118.93</v>
      </c>
      <c r="G15" s="38">
        <v>-78682</v>
      </c>
      <c r="H15" s="38">
        <v>-59225</v>
      </c>
      <c r="I15" s="104">
        <f t="shared" si="4"/>
        <v>16377928.676666666</v>
      </c>
      <c r="J15" s="9"/>
      <c r="K15" s="39">
        <f t="shared" si="1"/>
        <v>1532992.7266666666</v>
      </c>
      <c r="L15" s="10"/>
      <c r="M15" s="10"/>
      <c r="N15" s="39">
        <f>K15-L15</f>
        <v>1532992.7266666666</v>
      </c>
      <c r="O15" s="10"/>
      <c r="P15" s="10"/>
      <c r="Q15" s="39">
        <v>35104939</v>
      </c>
      <c r="R15" s="10"/>
      <c r="S15" s="39">
        <f>K15-Q15</f>
        <v>-33571946.27333333</v>
      </c>
      <c r="T15" s="36">
        <f>S15/Q15</f>
        <v>-0.9563311382860781</v>
      </c>
      <c r="V15" s="25" t="s">
        <v>210</v>
      </c>
      <c r="W15" s="43">
        <v>-57411387.68</v>
      </c>
      <c r="X15" s="38">
        <f>-2095979*2.5</f>
        <v>-5239947.5</v>
      </c>
      <c r="Y15" s="38">
        <f>-684958000/2400*3.8</f>
        <v>-1084516.8333333333</v>
      </c>
      <c r="Z15" s="38">
        <v>82146444</v>
      </c>
      <c r="AA15" s="38">
        <v>202894.87</v>
      </c>
      <c r="AB15" s="38">
        <v>-1756361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16377928.676666666</v>
      </c>
      <c r="AJ15" s="39">
        <v>41925460</v>
      </c>
      <c r="AK15" s="10"/>
      <c r="AL15" s="39">
        <f>AH15-AJ15</f>
        <v>-25547531.323333334</v>
      </c>
      <c r="AM15" s="36">
        <f>AL15/AJ15</f>
        <v>-0.6093560171631589</v>
      </c>
    </row>
    <row r="16" spans="1:39" ht="34.5" customHeight="1">
      <c r="A16" s="96" t="s">
        <v>164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106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164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96" t="s">
        <v>167</v>
      </c>
      <c r="B17" s="37">
        <f>B15+B16</f>
        <v>-14896082.33</v>
      </c>
      <c r="C17" s="38">
        <f aca="true" t="shared" si="5" ref="C17:H17">C15</f>
        <v>43160</v>
      </c>
      <c r="D17" s="38">
        <f t="shared" si="5"/>
        <v>37462.75</v>
      </c>
      <c r="E17" s="38">
        <f t="shared" si="5"/>
        <v>-3008.86</v>
      </c>
      <c r="F17" s="38">
        <f t="shared" si="5"/>
        <v>479118.93</v>
      </c>
      <c r="G17" s="38">
        <f t="shared" si="5"/>
        <v>-78682</v>
      </c>
      <c r="H17" s="38">
        <f t="shared" si="5"/>
        <v>-59225</v>
      </c>
      <c r="I17" s="104">
        <f t="shared" si="4"/>
        <v>16377928.676666666</v>
      </c>
      <c r="J17" s="9"/>
      <c r="K17" s="39">
        <f t="shared" si="1"/>
        <v>1900672.166666666</v>
      </c>
      <c r="L17" s="10"/>
      <c r="M17" s="10"/>
      <c r="N17" s="39">
        <f>N15-N16</f>
        <v>1532992.7266666666</v>
      </c>
      <c r="O17" s="10"/>
      <c r="P17" s="10"/>
      <c r="Q17" s="39">
        <f>Q15-Q16</f>
        <v>35104939</v>
      </c>
      <c r="R17" s="10"/>
      <c r="S17" s="39">
        <f>K17-Q17</f>
        <v>-33204266.833333336</v>
      </c>
      <c r="T17" s="36">
        <f>S17/Q17</f>
        <v>-0.9458574143465492</v>
      </c>
      <c r="V17" s="25" t="s">
        <v>167</v>
      </c>
      <c r="W17" s="37">
        <f aca="true" t="shared" si="6" ref="W17:AF17">W15-W16</f>
        <v>-57411387.68</v>
      </c>
      <c r="X17" s="38">
        <f t="shared" si="6"/>
        <v>-5239947.5</v>
      </c>
      <c r="Y17" s="38">
        <f t="shared" si="6"/>
        <v>-1084516.8333333333</v>
      </c>
      <c r="Z17" s="38">
        <f t="shared" si="6"/>
        <v>82146444</v>
      </c>
      <c r="AA17" s="38">
        <f t="shared" si="6"/>
        <v>202894.87</v>
      </c>
      <c r="AB17" s="38">
        <f t="shared" si="6"/>
        <v>-1756361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16377928.676666666</v>
      </c>
      <c r="AJ17" s="39">
        <f>AJ15-AJ16</f>
        <v>41925460</v>
      </c>
      <c r="AK17" s="10"/>
      <c r="AL17" s="39">
        <f>AH17-AJ17</f>
        <v>-25547531.323333334</v>
      </c>
      <c r="AM17" s="36">
        <f>AL17/AJ17</f>
        <v>-0.6093560171631589</v>
      </c>
    </row>
    <row r="18" spans="1:39" ht="35.25" customHeight="1">
      <c r="A18" s="96" t="s">
        <v>211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106">
        <f t="shared" si="4"/>
        <v>47742980.27591666</v>
      </c>
      <c r="J18" s="9"/>
      <c r="K18" s="42">
        <f t="shared" si="1"/>
        <v>47756761.83191666</v>
      </c>
      <c r="L18" s="10"/>
      <c r="M18" s="10"/>
      <c r="N18" s="42">
        <f>K18</f>
        <v>47756761.83191666</v>
      </c>
      <c r="O18" s="10"/>
      <c r="P18" s="10"/>
      <c r="Q18" s="42">
        <v>28609038</v>
      </c>
      <c r="R18" s="10"/>
      <c r="S18" s="42">
        <f>K18-Q18</f>
        <v>19147723.83191666</v>
      </c>
      <c r="T18" s="36">
        <f>S18/Q18</f>
        <v>0.6692893284953049</v>
      </c>
      <c r="V18" s="25" t="s">
        <v>211</v>
      </c>
      <c r="W18" s="40">
        <v>0</v>
      </c>
      <c r="X18" s="41">
        <f>X17*0.1193</f>
        <v>-625125.73675</v>
      </c>
      <c r="Y18" s="41">
        <f>Y17*0.4</f>
        <v>-433806.73333333334</v>
      </c>
      <c r="Z18" s="41">
        <f>Z17*0.6</f>
        <v>49287866.4</v>
      </c>
      <c r="AA18" s="41">
        <v>0</v>
      </c>
      <c r="AB18" s="41">
        <f>AB17*0.2</f>
        <v>-351272.2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47742980.27591666</v>
      </c>
      <c r="AJ18" s="42">
        <v>28592382</v>
      </c>
      <c r="AK18" s="10"/>
      <c r="AL18" s="42">
        <f>AH18-AJ18</f>
        <v>19150598.27591666</v>
      </c>
      <c r="AM18" s="36">
        <f>AL18/AJ18</f>
        <v>0.6697797432867488</v>
      </c>
    </row>
    <row r="19" spans="1:39" ht="42" customHeight="1" thickBot="1">
      <c r="A19" s="100" t="s">
        <v>212</v>
      </c>
      <c r="B19" s="46">
        <f>B17</f>
        <v>-14896082.33</v>
      </c>
      <c r="C19" s="47">
        <f>C17</f>
        <v>43160</v>
      </c>
      <c r="D19" s="47">
        <f>D17-D18</f>
        <v>22477.65</v>
      </c>
      <c r="E19" s="47">
        <f>E17-E18</f>
        <v>-1805.316</v>
      </c>
      <c r="F19" s="47">
        <f>F17</f>
        <v>479118.93</v>
      </c>
      <c r="G19" s="47">
        <f>G17</f>
        <v>-78682</v>
      </c>
      <c r="H19" s="47">
        <f>H17</f>
        <v>-59225</v>
      </c>
      <c r="I19" s="107">
        <f t="shared" si="4"/>
        <v>-31365051.59925</v>
      </c>
      <c r="J19" s="9"/>
      <c r="K19" s="48">
        <f t="shared" si="1"/>
        <v>-45856089.66525</v>
      </c>
      <c r="L19" s="10"/>
      <c r="M19" s="10"/>
      <c r="N19" s="48">
        <f>N17-N18</f>
        <v>-46223769.10524999</v>
      </c>
      <c r="O19" s="10"/>
      <c r="P19" s="10"/>
      <c r="Q19" s="48">
        <f>Q17-Q18</f>
        <v>6495901</v>
      </c>
      <c r="R19" s="10"/>
      <c r="S19" s="48">
        <f>K19-Q19</f>
        <v>-52351990.66525</v>
      </c>
      <c r="T19" s="49">
        <f>S19/Q19</f>
        <v>-8.059234687420576</v>
      </c>
      <c r="V19" s="45" t="s">
        <v>212</v>
      </c>
      <c r="W19" s="46">
        <f aca="true" t="shared" si="7" ref="W19:AF19">W17-W18</f>
        <v>-57411387.68</v>
      </c>
      <c r="X19" s="47">
        <f t="shared" si="7"/>
        <v>-4614821.76325</v>
      </c>
      <c r="Y19" s="47">
        <f t="shared" si="7"/>
        <v>-650710.0999999999</v>
      </c>
      <c r="Z19" s="47">
        <f t="shared" si="7"/>
        <v>32858577.6</v>
      </c>
      <c r="AA19" s="47">
        <f t="shared" si="7"/>
        <v>202894.87</v>
      </c>
      <c r="AB19" s="47">
        <f t="shared" si="7"/>
        <v>-1405088.8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-31365051.59925</v>
      </c>
      <c r="AJ19" s="48">
        <f>AJ17-AJ18</f>
        <v>13333078</v>
      </c>
      <c r="AK19" s="10"/>
      <c r="AL19" s="48">
        <f>AH19-AJ19</f>
        <v>-44698129.59925</v>
      </c>
      <c r="AM19" s="49">
        <f>AL19/AJ19</f>
        <v>-3.3524239188617964</v>
      </c>
    </row>
    <row r="20" spans="1:33" ht="26.25" customHeight="1">
      <c r="A20" s="50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28">
      <selection activeCell="L24" sqref="L24"/>
    </sheetView>
  </sheetViews>
  <sheetFormatPr defaultColWidth="9.140625" defaultRowHeight="12.75"/>
  <cols>
    <col min="1" max="1" width="14.7109375" style="50" customWidth="1"/>
    <col min="2" max="2" width="12.28125" style="50" customWidth="1"/>
    <col min="3" max="3" width="1.28515625" style="50" customWidth="1"/>
    <col min="4" max="4" width="12.28125" style="50" customWidth="1"/>
    <col min="5" max="5" width="1.28515625" style="50" customWidth="1"/>
    <col min="6" max="6" width="12.28125" style="50" customWidth="1"/>
    <col min="7" max="7" width="1.28515625" style="50" customWidth="1"/>
    <col min="8" max="8" width="12.28125" style="50" customWidth="1"/>
    <col min="9" max="9" width="1.28515625" style="50" customWidth="1"/>
    <col min="10" max="10" width="12.28125" style="50" customWidth="1"/>
    <col min="11" max="11" width="1.28515625" style="50" customWidth="1"/>
    <col min="12" max="12" width="12.28125" style="50" customWidth="1"/>
    <col min="13" max="255" width="9.140625" style="50" customWidth="1"/>
    <col min="256" max="16384" width="9.140625" style="66" customWidth="1"/>
  </cols>
  <sheetData>
    <row r="1" ht="12.75">
      <c r="A1" s="109" t="s">
        <v>9</v>
      </c>
    </row>
    <row r="2" ht="12.75">
      <c r="A2" s="109" t="s">
        <v>8</v>
      </c>
    </row>
    <row r="3" ht="13.5" thickBot="1">
      <c r="A3" s="109"/>
    </row>
    <row r="4" spans="1:12" ht="12.75">
      <c r="A4" s="111"/>
      <c r="B4" s="117"/>
      <c r="C4" s="112"/>
      <c r="D4" s="120" t="s">
        <v>19</v>
      </c>
      <c r="E4" s="112"/>
      <c r="F4" s="120" t="s">
        <v>20</v>
      </c>
      <c r="G4" s="112"/>
      <c r="H4" s="120" t="s">
        <v>21</v>
      </c>
      <c r="I4" s="112"/>
      <c r="J4" s="120" t="s">
        <v>22</v>
      </c>
      <c r="K4" s="112"/>
      <c r="L4" s="120" t="s">
        <v>23</v>
      </c>
    </row>
    <row r="5" spans="1:12" ht="12.75">
      <c r="A5" s="113"/>
      <c r="B5" s="118" t="s">
        <v>17</v>
      </c>
      <c r="C5" s="114"/>
      <c r="D5" s="118" t="s">
        <v>18</v>
      </c>
      <c r="E5" s="114"/>
      <c r="F5" s="118" t="s">
        <v>18</v>
      </c>
      <c r="G5" s="114"/>
      <c r="H5" s="118" t="s">
        <v>18</v>
      </c>
      <c r="I5" s="114"/>
      <c r="J5" s="118" t="s">
        <v>18</v>
      </c>
      <c r="K5" s="114"/>
      <c r="L5" s="118" t="s">
        <v>18</v>
      </c>
    </row>
    <row r="6" spans="1:12" ht="12.75">
      <c r="A6" s="113"/>
      <c r="B6" s="119">
        <v>36160</v>
      </c>
      <c r="C6" s="114"/>
      <c r="D6" s="119">
        <v>36525</v>
      </c>
      <c r="E6" s="114"/>
      <c r="F6" s="119">
        <v>36525</v>
      </c>
      <c r="G6" s="114"/>
      <c r="H6" s="119">
        <v>36525</v>
      </c>
      <c r="I6" s="114"/>
      <c r="J6" s="119">
        <v>36525</v>
      </c>
      <c r="K6" s="114"/>
      <c r="L6" s="119">
        <v>36525</v>
      </c>
    </row>
    <row r="7" spans="1:12" ht="12.75">
      <c r="A7" s="113" t="s">
        <v>10</v>
      </c>
      <c r="B7" s="121">
        <v>435757801</v>
      </c>
      <c r="C7" s="122"/>
      <c r="D7" s="121">
        <v>580297757</v>
      </c>
      <c r="E7" s="123"/>
      <c r="F7" s="121">
        <f>D7</f>
        <v>580297757</v>
      </c>
      <c r="G7" s="123"/>
      <c r="H7" s="121">
        <f>F7</f>
        <v>580297757</v>
      </c>
      <c r="I7" s="123"/>
      <c r="J7" s="121">
        <f>H7</f>
        <v>580297757</v>
      </c>
      <c r="K7" s="122"/>
      <c r="L7" s="121">
        <f>J7</f>
        <v>580297757</v>
      </c>
    </row>
    <row r="8" spans="1:12" ht="12.75">
      <c r="A8" s="113"/>
      <c r="B8" s="121"/>
      <c r="C8" s="122"/>
      <c r="D8" s="121"/>
      <c r="E8" s="123"/>
      <c r="F8" s="121"/>
      <c r="G8" s="123"/>
      <c r="H8" s="121"/>
      <c r="I8" s="123"/>
      <c r="J8" s="121"/>
      <c r="K8" s="122"/>
      <c r="L8" s="121"/>
    </row>
    <row r="9" spans="1:12" ht="12.75">
      <c r="A9" s="113" t="s">
        <v>11</v>
      </c>
      <c r="B9" s="121">
        <v>5188949</v>
      </c>
      <c r="C9" s="122"/>
      <c r="D9" s="121">
        <v>-11122409</v>
      </c>
      <c r="E9" s="123"/>
      <c r="F9" s="121">
        <f>D9</f>
        <v>-11122409</v>
      </c>
      <c r="G9" s="123"/>
      <c r="H9" s="121">
        <f>F9+27967161.26</f>
        <v>16844752.26</v>
      </c>
      <c r="I9" s="123"/>
      <c r="J9" s="121">
        <f>H9+10932652</f>
        <v>27777404.26</v>
      </c>
      <c r="K9" s="122"/>
      <c r="L9" s="121">
        <f>J9+4265361</f>
        <v>32042765.26</v>
      </c>
    </row>
    <row r="10" spans="1:12" ht="12.75">
      <c r="A10" s="113"/>
      <c r="B10" s="121"/>
      <c r="C10" s="122"/>
      <c r="D10" s="121"/>
      <c r="E10" s="123"/>
      <c r="F10" s="121"/>
      <c r="G10" s="123"/>
      <c r="H10" s="121"/>
      <c r="I10" s="123"/>
      <c r="J10" s="121"/>
      <c r="K10" s="122"/>
      <c r="L10" s="121"/>
    </row>
    <row r="11" spans="1:12" ht="12.75">
      <c r="A11" s="113" t="s">
        <v>12</v>
      </c>
      <c r="B11" s="121">
        <v>52203714</v>
      </c>
      <c r="C11" s="122"/>
      <c r="D11" s="121">
        <v>0</v>
      </c>
      <c r="E11" s="123"/>
      <c r="F11" s="121">
        <v>76510478</v>
      </c>
      <c r="G11" s="123"/>
      <c r="H11" s="121">
        <f>F11</f>
        <v>76510478</v>
      </c>
      <c r="I11" s="123"/>
      <c r="J11" s="121">
        <f>H11</f>
        <v>76510478</v>
      </c>
      <c r="K11" s="122"/>
      <c r="L11" s="121">
        <f>J11</f>
        <v>76510478</v>
      </c>
    </row>
    <row r="12" spans="1:12" ht="12.75">
      <c r="A12" s="113"/>
      <c r="B12" s="121"/>
      <c r="C12" s="122"/>
      <c r="D12" s="121"/>
      <c r="E12" s="123"/>
      <c r="F12" s="121"/>
      <c r="G12" s="123"/>
      <c r="H12" s="121"/>
      <c r="I12" s="123"/>
      <c r="J12" s="121"/>
      <c r="K12" s="122"/>
      <c r="L12" s="121"/>
    </row>
    <row r="13" spans="1:12" ht="12.75">
      <c r="A13" s="113" t="s">
        <v>13</v>
      </c>
      <c r="B13" s="121">
        <v>57392663</v>
      </c>
      <c r="C13" s="122"/>
      <c r="D13" s="121">
        <f>D9+D11</f>
        <v>-11122409</v>
      </c>
      <c r="E13" s="123"/>
      <c r="F13" s="121">
        <f>F9+F11</f>
        <v>65388069</v>
      </c>
      <c r="G13" s="123"/>
      <c r="H13" s="121">
        <f>H9+H11</f>
        <v>93355230.26</v>
      </c>
      <c r="I13" s="123"/>
      <c r="J13" s="121">
        <f>J9+J11</f>
        <v>104287882.26</v>
      </c>
      <c r="K13" s="122"/>
      <c r="L13" s="121">
        <f>L9+L11</f>
        <v>108553243.26</v>
      </c>
    </row>
    <row r="14" spans="1:12" ht="12.75">
      <c r="A14" s="113"/>
      <c r="B14" s="121"/>
      <c r="C14" s="122"/>
      <c r="D14" s="121"/>
      <c r="E14" s="123"/>
      <c r="F14" s="121"/>
      <c r="G14" s="123"/>
      <c r="H14" s="121"/>
      <c r="I14" s="123"/>
      <c r="J14" s="121"/>
      <c r="K14" s="122"/>
      <c r="L14" s="121"/>
    </row>
    <row r="15" spans="1:12" ht="12.75">
      <c r="A15" s="113" t="s">
        <v>14</v>
      </c>
      <c r="B15" s="121">
        <v>-2374936</v>
      </c>
      <c r="C15" s="122"/>
      <c r="D15" s="121">
        <v>367679</v>
      </c>
      <c r="E15" s="123"/>
      <c r="F15" s="121">
        <v>367679</v>
      </c>
      <c r="G15" s="123"/>
      <c r="H15" s="121">
        <v>367679</v>
      </c>
      <c r="I15" s="123"/>
      <c r="J15" s="121">
        <v>367679</v>
      </c>
      <c r="K15" s="122"/>
      <c r="L15" s="121">
        <v>367679</v>
      </c>
    </row>
    <row r="16" spans="1:12" ht="12.75">
      <c r="A16" s="113"/>
      <c r="B16" s="121"/>
      <c r="C16" s="122"/>
      <c r="D16" s="121"/>
      <c r="E16" s="123"/>
      <c r="F16" s="121"/>
      <c r="G16" s="123"/>
      <c r="H16" s="121"/>
      <c r="I16" s="123"/>
      <c r="J16" s="121"/>
      <c r="K16" s="122"/>
      <c r="L16" s="121"/>
    </row>
    <row r="17" spans="1:12" ht="12.75">
      <c r="A17" s="113" t="s">
        <v>15</v>
      </c>
      <c r="B17" s="121">
        <v>55017727</v>
      </c>
      <c r="C17" s="122"/>
      <c r="D17" s="121">
        <f>D13+D15</f>
        <v>-10754730</v>
      </c>
      <c r="E17" s="123"/>
      <c r="F17" s="121">
        <f>F13+F15</f>
        <v>65755748</v>
      </c>
      <c r="G17" s="123"/>
      <c r="H17" s="121">
        <f>H13+H15</f>
        <v>93722909.26</v>
      </c>
      <c r="I17" s="123"/>
      <c r="J17" s="121">
        <f>J13+J15</f>
        <v>104655561.26</v>
      </c>
      <c r="K17" s="122"/>
      <c r="L17" s="121">
        <f>L13+L15</f>
        <v>108920922.26</v>
      </c>
    </row>
    <row r="18" spans="1:12" ht="12.75">
      <c r="A18" s="113"/>
      <c r="B18" s="121"/>
      <c r="C18" s="122"/>
      <c r="D18" s="121"/>
      <c r="E18" s="123"/>
      <c r="F18" s="121"/>
      <c r="G18" s="123"/>
      <c r="H18" s="121"/>
      <c r="I18" s="123"/>
      <c r="J18" s="121"/>
      <c r="K18" s="122"/>
      <c r="L18" s="121"/>
    </row>
    <row r="19" spans="1:12" ht="12.75">
      <c r="A19" s="113" t="s">
        <v>163</v>
      </c>
      <c r="B19" s="121">
        <v>-15147975</v>
      </c>
      <c r="C19" s="122"/>
      <c r="D19" s="121">
        <v>-40350495</v>
      </c>
      <c r="E19" s="123"/>
      <c r="F19" s="121">
        <f>D19-F11*0.6</f>
        <v>-86256781.8</v>
      </c>
      <c r="G19" s="123"/>
      <c r="H19" s="121">
        <f>F19</f>
        <v>-86256781.8</v>
      </c>
      <c r="I19" s="123"/>
      <c r="J19" s="121">
        <f>H19</f>
        <v>-86256781.8</v>
      </c>
      <c r="K19" s="122"/>
      <c r="L19" s="121">
        <f>J19</f>
        <v>-86256781.8</v>
      </c>
    </row>
    <row r="20" spans="1:12" ht="12.75">
      <c r="A20" s="113"/>
      <c r="B20" s="121"/>
      <c r="C20" s="122"/>
      <c r="D20" s="121"/>
      <c r="E20" s="123"/>
      <c r="F20" s="121"/>
      <c r="G20" s="123"/>
      <c r="H20" s="121"/>
      <c r="I20" s="123"/>
      <c r="J20" s="121"/>
      <c r="K20" s="122"/>
      <c r="L20" s="121"/>
    </row>
    <row r="21" spans="1:12" ht="12.75">
      <c r="A21" s="113" t="s">
        <v>16</v>
      </c>
      <c r="B21" s="121">
        <v>39869752</v>
      </c>
      <c r="C21" s="122"/>
      <c r="D21" s="121">
        <f>D17+D19</f>
        <v>-51105225</v>
      </c>
      <c r="E21" s="123"/>
      <c r="F21" s="121">
        <f>F17+F19</f>
        <v>-20501033.799999997</v>
      </c>
      <c r="G21" s="123"/>
      <c r="H21" s="121">
        <f>H17+H19</f>
        <v>7466127.460000008</v>
      </c>
      <c r="I21" s="123"/>
      <c r="J21" s="121">
        <f>J17+J19</f>
        <v>18398779.46000001</v>
      </c>
      <c r="K21" s="122"/>
      <c r="L21" s="121">
        <f>L17+L19</f>
        <v>22664140.46000001</v>
      </c>
    </row>
    <row r="22" spans="1:12" ht="13.5" thickBot="1">
      <c r="A22" s="116"/>
      <c r="B22" s="124"/>
      <c r="C22" s="125"/>
      <c r="D22" s="124"/>
      <c r="E22" s="125"/>
      <c r="F22" s="124"/>
      <c r="G22" s="125"/>
      <c r="H22" s="124"/>
      <c r="I22" s="125"/>
      <c r="J22" s="124"/>
      <c r="K22" s="125"/>
      <c r="L22" s="124"/>
    </row>
    <row r="24" ht="12.75">
      <c r="A24" s="110" t="s">
        <v>19</v>
      </c>
    </row>
    <row r="25" ht="12.75">
      <c r="A25" s="50" t="s">
        <v>67</v>
      </c>
    </row>
    <row r="26" ht="12.75">
      <c r="A26" s="50" t="s">
        <v>27</v>
      </c>
    </row>
    <row r="27" ht="12.75">
      <c r="A27" s="50" t="s">
        <v>24</v>
      </c>
    </row>
    <row r="28" ht="12.75">
      <c r="A28" s="50" t="s">
        <v>28</v>
      </c>
    </row>
    <row r="29" ht="12.75">
      <c r="A29" s="50" t="s">
        <v>25</v>
      </c>
    </row>
    <row r="30" ht="12.75">
      <c r="A30" s="50" t="s">
        <v>26</v>
      </c>
    </row>
    <row r="31" ht="12.75">
      <c r="A31" s="50" t="s">
        <v>29</v>
      </c>
    </row>
    <row r="33" ht="12.75">
      <c r="A33" s="110" t="s">
        <v>20</v>
      </c>
    </row>
    <row r="34" ht="12.75">
      <c r="A34" s="50" t="s">
        <v>64</v>
      </c>
    </row>
    <row r="36" ht="12.75">
      <c r="A36" s="110" t="s">
        <v>21</v>
      </c>
    </row>
    <row r="37" ht="12.75">
      <c r="A37" s="50" t="s">
        <v>68</v>
      </c>
    </row>
    <row r="38" ht="12.75">
      <c r="A38" s="50" t="s">
        <v>45</v>
      </c>
    </row>
    <row r="39" ht="12.75">
      <c r="A39" s="50" t="s">
        <v>65</v>
      </c>
    </row>
    <row r="41" ht="12.75">
      <c r="A41" s="110" t="s">
        <v>22</v>
      </c>
    </row>
    <row r="42" ht="12.75">
      <c r="A42" s="50" t="s">
        <v>46</v>
      </c>
    </row>
    <row r="43" ht="12.75">
      <c r="A43" s="50" t="s">
        <v>47</v>
      </c>
    </row>
    <row r="45" ht="12.75">
      <c r="A45" s="110" t="s">
        <v>23</v>
      </c>
    </row>
    <row r="46" ht="12.75">
      <c r="A46" s="50" t="s">
        <v>30</v>
      </c>
    </row>
    <row r="47" ht="12.75">
      <c r="A47" s="50" t="s">
        <v>31</v>
      </c>
    </row>
    <row r="48" ht="12.75">
      <c r="A48" s="50" t="s">
        <v>66</v>
      </c>
    </row>
    <row r="57" ht="12.75">
      <c r="A57" s="50" t="s">
        <v>48</v>
      </c>
    </row>
    <row r="58" ht="6.75" customHeight="1" thickBot="1"/>
    <row r="59" spans="1:6" ht="12.75">
      <c r="A59" s="129" t="s">
        <v>49</v>
      </c>
      <c r="B59" s="112"/>
      <c r="C59" s="112"/>
      <c r="D59" s="130"/>
      <c r="E59" s="129"/>
      <c r="F59" s="133">
        <v>3400000</v>
      </c>
    </row>
    <row r="60" spans="1:6" ht="12.75">
      <c r="A60" s="113" t="s">
        <v>50</v>
      </c>
      <c r="B60" s="114"/>
      <c r="C60" s="114"/>
      <c r="D60" s="131"/>
      <c r="E60" s="113"/>
      <c r="F60" s="115">
        <v>6000000</v>
      </c>
    </row>
    <row r="61" spans="1:6" ht="12.75">
      <c r="A61" s="113" t="s">
        <v>51</v>
      </c>
      <c r="B61" s="114"/>
      <c r="C61" s="114"/>
      <c r="D61" s="131"/>
      <c r="E61" s="113"/>
      <c r="F61" s="115">
        <v>981000</v>
      </c>
    </row>
    <row r="62" spans="1:6" ht="12.75">
      <c r="A62" s="113" t="s">
        <v>52</v>
      </c>
      <c r="B62" s="114"/>
      <c r="C62" s="114"/>
      <c r="D62" s="131"/>
      <c r="E62" s="113"/>
      <c r="F62" s="115">
        <v>1125000</v>
      </c>
    </row>
    <row r="63" spans="1:6" ht="12.75">
      <c r="A63" s="113" t="s">
        <v>53</v>
      </c>
      <c r="B63" s="114"/>
      <c r="C63" s="114"/>
      <c r="D63" s="131"/>
      <c r="E63" s="113"/>
      <c r="F63" s="115">
        <v>670068</v>
      </c>
    </row>
    <row r="64" spans="1:6" ht="12.75">
      <c r="A64" s="113" t="s">
        <v>54</v>
      </c>
      <c r="B64" s="114"/>
      <c r="C64" s="114"/>
      <c r="D64" s="131"/>
      <c r="E64" s="113"/>
      <c r="F64" s="115">
        <v>8431944</v>
      </c>
    </row>
    <row r="65" spans="1:6" ht="12.75">
      <c r="A65" s="113" t="s">
        <v>55</v>
      </c>
      <c r="B65" s="114"/>
      <c r="C65" s="114"/>
      <c r="D65" s="131"/>
      <c r="E65" s="113"/>
      <c r="F65" s="115">
        <v>455928</v>
      </c>
    </row>
    <row r="66" spans="1:6" ht="12.75">
      <c r="A66" s="113" t="s">
        <v>56</v>
      </c>
      <c r="B66" s="114"/>
      <c r="C66" s="114"/>
      <c r="D66" s="131"/>
      <c r="E66" s="113"/>
      <c r="F66" s="115">
        <v>245390</v>
      </c>
    </row>
    <row r="67" spans="1:6" ht="12.75">
      <c r="A67" s="113" t="s">
        <v>57</v>
      </c>
      <c r="B67" s="114"/>
      <c r="C67" s="114"/>
      <c r="D67" s="131"/>
      <c r="E67" s="113"/>
      <c r="F67" s="115">
        <v>76150</v>
      </c>
    </row>
    <row r="68" spans="1:6" ht="13.5" thickBot="1">
      <c r="A68" s="113" t="s">
        <v>58</v>
      </c>
      <c r="B68" s="114"/>
      <c r="C68" s="114"/>
      <c r="D68" s="131"/>
      <c r="E68" s="113"/>
      <c r="F68" s="115">
        <v>109720</v>
      </c>
    </row>
    <row r="69" spans="1:256" s="109" customFormat="1" ht="13.5" thickBot="1">
      <c r="A69" s="126" t="s">
        <v>160</v>
      </c>
      <c r="B69" s="127"/>
      <c r="C69" s="127"/>
      <c r="D69" s="132"/>
      <c r="E69" s="126"/>
      <c r="F69" s="128">
        <f>SUM(F59:F68)</f>
        <v>21495200</v>
      </c>
      <c r="IV69" s="62"/>
    </row>
    <row r="71" ht="12.75">
      <c r="A71" s="50" t="s">
        <v>59</v>
      </c>
    </row>
    <row r="72" ht="6.75" customHeight="1" thickBot="1"/>
    <row r="73" spans="1:6" ht="12.75">
      <c r="A73" s="129" t="s">
        <v>60</v>
      </c>
      <c r="B73" s="112"/>
      <c r="C73" s="112"/>
      <c r="D73" s="130"/>
      <c r="E73" s="129"/>
      <c r="F73" s="133">
        <v>523425</v>
      </c>
    </row>
    <row r="74" spans="1:6" ht="12.75">
      <c r="A74" s="113" t="s">
        <v>61</v>
      </c>
      <c r="B74" s="114"/>
      <c r="C74" s="114"/>
      <c r="D74" s="131"/>
      <c r="E74" s="113"/>
      <c r="F74" s="115">
        <v>594495</v>
      </c>
    </row>
    <row r="75" spans="1:6" ht="12.75">
      <c r="A75" s="113" t="s">
        <v>62</v>
      </c>
      <c r="B75" s="114"/>
      <c r="C75" s="114"/>
      <c r="D75" s="131"/>
      <c r="E75" s="113"/>
      <c r="F75" s="115">
        <v>518018</v>
      </c>
    </row>
    <row r="76" spans="1:6" ht="12.75">
      <c r="A76" s="113" t="s">
        <v>176</v>
      </c>
      <c r="B76" s="114"/>
      <c r="C76" s="114"/>
      <c r="D76" s="131"/>
      <c r="E76" s="113"/>
      <c r="F76" s="115">
        <v>473245</v>
      </c>
    </row>
    <row r="77" spans="1:6" ht="13.5" thickBot="1">
      <c r="A77" s="113" t="s">
        <v>63</v>
      </c>
      <c r="B77" s="114"/>
      <c r="C77" s="114"/>
      <c r="D77" s="131"/>
      <c r="E77" s="113"/>
      <c r="F77" s="115">
        <v>1097393</v>
      </c>
    </row>
    <row r="78" spans="1:6" ht="13.5" thickBot="1">
      <c r="A78" s="126" t="s">
        <v>160</v>
      </c>
      <c r="B78" s="134"/>
      <c r="C78" s="134"/>
      <c r="D78" s="136"/>
      <c r="E78" s="135"/>
      <c r="F78" s="137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0">
      <pane xSplit="1" ySplit="6" topLeftCell="B16" activePane="bottomRight" state="frozen"/>
      <selection pane="topLeft" activeCell="A10" sqref="A10"/>
      <selection pane="topRight" activeCell="B10" sqref="B10"/>
      <selection pane="bottomLeft" activeCell="A16" sqref="A16"/>
      <selection pane="bottomRight" activeCell="B20" sqref="B20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3.7109375" style="0" hidden="1" customWidth="1"/>
    <col min="4" max="4" width="19.421875" style="142" customWidth="1"/>
    <col min="5" max="5" width="19.7109375" style="0" customWidth="1"/>
    <col min="6" max="6" width="3.7109375" style="0" hidden="1" customWidth="1"/>
    <col min="7" max="7" width="19.28125" style="142" customWidth="1"/>
  </cols>
  <sheetData>
    <row r="1" ht="15.75">
      <c r="A1" s="2" t="s">
        <v>228</v>
      </c>
    </row>
    <row r="2" ht="12.75">
      <c r="A2" s="66" t="s">
        <v>313</v>
      </c>
    </row>
    <row r="4" ht="15.75">
      <c r="A4" s="2" t="s">
        <v>109</v>
      </c>
    </row>
    <row r="5" spans="1:2" ht="15.75">
      <c r="A5" s="2" t="s">
        <v>291</v>
      </c>
      <c r="B5" s="192"/>
    </row>
    <row r="6" spans="1:2" ht="15">
      <c r="A6" s="62" t="s">
        <v>281</v>
      </c>
      <c r="B6" s="192"/>
    </row>
    <row r="8" ht="15.75">
      <c r="A8" s="2"/>
    </row>
    <row r="10" spans="1:7" ht="12.75">
      <c r="A10" s="59"/>
      <c r="B10" s="233" t="s">
        <v>142</v>
      </c>
      <c r="C10" s="234"/>
      <c r="D10" s="235"/>
      <c r="E10" s="236" t="s">
        <v>143</v>
      </c>
      <c r="F10" s="237"/>
      <c r="G10" s="238"/>
    </row>
    <row r="11" spans="1:7" ht="12.75">
      <c r="A11" s="60"/>
      <c r="B11" s="56" t="s">
        <v>185</v>
      </c>
      <c r="C11" s="3"/>
      <c r="D11" s="143" t="s">
        <v>186</v>
      </c>
      <c r="E11" s="56" t="s">
        <v>185</v>
      </c>
      <c r="F11" s="59"/>
      <c r="G11" s="143" t="s">
        <v>186</v>
      </c>
    </row>
    <row r="12" spans="1:7" ht="12.75">
      <c r="A12" s="60"/>
      <c r="B12" s="57" t="s">
        <v>146</v>
      </c>
      <c r="C12" s="3"/>
      <c r="D12" s="144" t="s">
        <v>188</v>
      </c>
      <c r="E12" s="57" t="s">
        <v>187</v>
      </c>
      <c r="F12" s="60"/>
      <c r="G12" s="144" t="s">
        <v>188</v>
      </c>
    </row>
    <row r="13" spans="1:7" ht="12.75">
      <c r="A13" s="60"/>
      <c r="B13" s="57" t="s">
        <v>285</v>
      </c>
      <c r="C13" s="3"/>
      <c r="D13" s="144" t="s">
        <v>285</v>
      </c>
      <c r="E13" s="57" t="s">
        <v>144</v>
      </c>
      <c r="F13" s="60"/>
      <c r="G13" s="144" t="s">
        <v>145</v>
      </c>
    </row>
    <row r="14" spans="1:7" ht="12.75">
      <c r="A14" s="60"/>
      <c r="B14" s="95" t="s">
        <v>290</v>
      </c>
      <c r="C14" s="3"/>
      <c r="D14" s="145" t="s">
        <v>292</v>
      </c>
      <c r="E14" s="95" t="s">
        <v>290</v>
      </c>
      <c r="F14" s="57"/>
      <c r="G14" s="145" t="s">
        <v>292</v>
      </c>
    </row>
    <row r="15" spans="1:7" ht="12.75">
      <c r="A15" s="181"/>
      <c r="B15" s="58" t="s">
        <v>189</v>
      </c>
      <c r="C15" s="3"/>
      <c r="D15" s="146" t="s">
        <v>189</v>
      </c>
      <c r="E15" s="58" t="s">
        <v>189</v>
      </c>
      <c r="F15" s="57"/>
      <c r="G15" s="146" t="s">
        <v>189</v>
      </c>
    </row>
    <row r="16" spans="1:7" ht="12.75">
      <c r="A16" s="59"/>
      <c r="B16" s="14"/>
      <c r="C16" s="14"/>
      <c r="D16" s="180"/>
      <c r="E16" s="54"/>
      <c r="F16" s="60"/>
      <c r="G16" s="180"/>
    </row>
    <row r="17" spans="1:7" ht="12.75">
      <c r="A17" s="178" t="s">
        <v>126</v>
      </c>
      <c r="B17" s="51">
        <f>E17</f>
        <v>253407</v>
      </c>
      <c r="C17" s="51"/>
      <c r="D17" s="199">
        <f>G17</f>
        <v>250659</v>
      </c>
      <c r="E17" s="200">
        <v>253407</v>
      </c>
      <c r="F17" s="201"/>
      <c r="G17" s="199">
        <v>250659</v>
      </c>
    </row>
    <row r="18" spans="1:7" ht="15.75">
      <c r="A18" s="179"/>
      <c r="B18" s="51"/>
      <c r="C18" s="51"/>
      <c r="D18" s="199"/>
      <c r="E18" s="200"/>
      <c r="F18" s="201"/>
      <c r="G18" s="199"/>
    </row>
    <row r="19" spans="1:7" ht="12.75">
      <c r="A19" s="178"/>
      <c r="B19" s="51"/>
      <c r="C19" s="51"/>
      <c r="D19" s="199"/>
      <c r="E19" s="200"/>
      <c r="F19" s="201"/>
      <c r="G19" s="199"/>
    </row>
    <row r="20" spans="1:7" ht="12.75">
      <c r="A20" s="178" t="s">
        <v>263</v>
      </c>
      <c r="B20" s="51">
        <f>E20</f>
        <v>-223981</v>
      </c>
      <c r="C20" s="51"/>
      <c r="D20" s="199">
        <f>G20</f>
        <v>-221359</v>
      </c>
      <c r="E20" s="200">
        <v>-223981</v>
      </c>
      <c r="F20" s="201"/>
      <c r="G20" s="199">
        <f>-221359</f>
        <v>-221359</v>
      </c>
    </row>
    <row r="21" spans="1:7" ht="12.75">
      <c r="A21" s="178"/>
      <c r="B21" s="51"/>
      <c r="C21" s="51"/>
      <c r="D21" s="199"/>
      <c r="E21" s="200"/>
      <c r="F21" s="201"/>
      <c r="G21" s="199"/>
    </row>
    <row r="22" spans="1:7" ht="12.75">
      <c r="A22" s="178"/>
      <c r="B22" s="51"/>
      <c r="C22" s="51"/>
      <c r="D22" s="199"/>
      <c r="E22" s="200"/>
      <c r="F22" s="201"/>
      <c r="G22" s="199"/>
    </row>
    <row r="23" spans="1:7" ht="12.75">
      <c r="A23" s="178" t="s">
        <v>264</v>
      </c>
      <c r="B23" s="51">
        <f>E23</f>
        <v>10877</v>
      </c>
      <c r="C23" s="51"/>
      <c r="D23" s="199">
        <f>G23</f>
        <v>12375</v>
      </c>
      <c r="E23" s="200">
        <v>10877</v>
      </c>
      <c r="F23" s="201"/>
      <c r="G23" s="199">
        <v>12375</v>
      </c>
    </row>
    <row r="24" spans="1:7" ht="12.75">
      <c r="A24" s="178"/>
      <c r="B24" s="51"/>
      <c r="C24" s="51"/>
      <c r="D24" s="199"/>
      <c r="E24" s="200"/>
      <c r="F24" s="201"/>
      <c r="G24" s="199"/>
    </row>
    <row r="25" spans="1:7" ht="12.75">
      <c r="A25" s="178"/>
      <c r="B25" s="51"/>
      <c r="C25" s="51"/>
      <c r="D25" s="199"/>
      <c r="E25" s="200"/>
      <c r="F25" s="201"/>
      <c r="G25" s="199"/>
    </row>
    <row r="26" spans="1:7" ht="12.75">
      <c r="A26" s="178" t="s">
        <v>265</v>
      </c>
      <c r="B26" s="202">
        <f>SUM(B17:B23)</f>
        <v>40303</v>
      </c>
      <c r="C26" s="202">
        <f>SUM(C17:C23)</f>
        <v>0</v>
      </c>
      <c r="D26" s="203">
        <f>SUM(D17:D23)</f>
        <v>41675</v>
      </c>
      <c r="E26" s="204">
        <f>SUM(E17:E23)</f>
        <v>40303</v>
      </c>
      <c r="F26" s="201"/>
      <c r="G26" s="203">
        <f>SUM(G17:G23)</f>
        <v>41675</v>
      </c>
    </row>
    <row r="27" spans="1:7" ht="12.75">
      <c r="A27" s="178"/>
      <c r="B27" s="51"/>
      <c r="C27" s="51"/>
      <c r="D27" s="199"/>
      <c r="E27" s="200"/>
      <c r="F27" s="201"/>
      <c r="G27" s="199"/>
    </row>
    <row r="28" spans="1:7" ht="12.75">
      <c r="A28" s="178"/>
      <c r="B28" s="51"/>
      <c r="C28" s="51"/>
      <c r="D28" s="199"/>
      <c r="E28" s="200"/>
      <c r="F28" s="201"/>
      <c r="G28" s="199"/>
    </row>
    <row r="29" spans="1:7" ht="12.75">
      <c r="A29" s="178" t="s">
        <v>266</v>
      </c>
      <c r="B29" s="51">
        <f>E29</f>
        <v>-15671</v>
      </c>
      <c r="C29" s="51"/>
      <c r="D29" s="199">
        <f>G29</f>
        <v>-13840</v>
      </c>
      <c r="E29" s="200">
        <v>-15671</v>
      </c>
      <c r="F29" s="201"/>
      <c r="G29" s="199">
        <v>-13840</v>
      </c>
    </row>
    <row r="30" spans="1:7" ht="12.75">
      <c r="A30" s="178"/>
      <c r="B30" s="51"/>
      <c r="C30" s="51"/>
      <c r="D30" s="199"/>
      <c r="E30" s="200"/>
      <c r="F30" s="201"/>
      <c r="G30" s="199"/>
    </row>
    <row r="31" spans="1:7" ht="12.75">
      <c r="A31" s="178"/>
      <c r="B31" s="51"/>
      <c r="C31" s="51"/>
      <c r="D31" s="199"/>
      <c r="E31" s="200"/>
      <c r="F31" s="201"/>
      <c r="G31" s="199"/>
    </row>
    <row r="32" spans="1:7" ht="12.75">
      <c r="A32" s="178" t="s">
        <v>267</v>
      </c>
      <c r="B32" s="202">
        <f>SUM(B26:B31)</f>
        <v>24632</v>
      </c>
      <c r="C32" s="202">
        <f>SUM(C26:C29)</f>
        <v>0</v>
      </c>
      <c r="D32" s="203">
        <f>SUM(D26:D31)</f>
        <v>27835</v>
      </c>
      <c r="E32" s="204">
        <f>SUM(E26:E31)</f>
        <v>24632</v>
      </c>
      <c r="F32" s="201"/>
      <c r="G32" s="203">
        <f>SUM(G26:G31)</f>
        <v>27835</v>
      </c>
    </row>
    <row r="33" spans="1:7" ht="12.75">
      <c r="A33" s="178"/>
      <c r="B33" s="51"/>
      <c r="C33" s="51"/>
      <c r="D33" s="199"/>
      <c r="E33" s="200"/>
      <c r="F33" s="201"/>
      <c r="G33" s="199"/>
    </row>
    <row r="34" spans="1:7" ht="12.75">
      <c r="A34" s="178"/>
      <c r="B34" s="51"/>
      <c r="C34" s="51"/>
      <c r="D34" s="199"/>
      <c r="E34" s="200"/>
      <c r="F34" s="201"/>
      <c r="G34" s="199"/>
    </row>
    <row r="35" spans="1:7" ht="12.75">
      <c r="A35" s="178" t="s">
        <v>164</v>
      </c>
      <c r="B35" s="51">
        <f>E35</f>
        <v>-44</v>
      </c>
      <c r="C35" s="51"/>
      <c r="D35" s="199">
        <f>G35</f>
        <v>-9864</v>
      </c>
      <c r="E35" s="200">
        <v>-44</v>
      </c>
      <c r="F35" s="201"/>
      <c r="G35" s="199">
        <v>-9864</v>
      </c>
    </row>
    <row r="36" spans="1:7" ht="12.75">
      <c r="A36" s="178"/>
      <c r="B36" s="51"/>
      <c r="C36" s="51"/>
      <c r="D36" s="199"/>
      <c r="E36" s="200"/>
      <c r="F36" s="201"/>
      <c r="G36" s="199">
        <v>0</v>
      </c>
    </row>
    <row r="37" spans="1:7" ht="12.75">
      <c r="A37" s="178"/>
      <c r="B37" s="51"/>
      <c r="C37" s="51"/>
      <c r="D37" s="199"/>
      <c r="E37" s="200"/>
      <c r="F37" s="201"/>
      <c r="G37" s="199"/>
    </row>
    <row r="38" spans="1:7" ht="12.75">
      <c r="A38" s="178" t="s">
        <v>268</v>
      </c>
      <c r="B38" s="202">
        <f>SUM(B32:B35)</f>
        <v>24588</v>
      </c>
      <c r="C38" s="51"/>
      <c r="D38" s="203">
        <f>SUM(D32:D35)</f>
        <v>17971</v>
      </c>
      <c r="E38" s="204">
        <f>SUM(E32:E35)</f>
        <v>24588</v>
      </c>
      <c r="F38" s="201"/>
      <c r="G38" s="203">
        <f>SUM(G32:G35)</f>
        <v>17971</v>
      </c>
    </row>
    <row r="39" spans="1:7" ht="12.75">
      <c r="A39" s="178"/>
      <c r="B39" s="51"/>
      <c r="C39" s="51"/>
      <c r="D39" s="199"/>
      <c r="E39" s="200"/>
      <c r="F39" s="201"/>
      <c r="G39" s="199"/>
    </row>
    <row r="40" spans="1:7" ht="12.75">
      <c r="A40" s="178"/>
      <c r="B40" s="51"/>
      <c r="C40" s="51"/>
      <c r="D40" s="199"/>
      <c r="E40" s="200"/>
      <c r="F40" s="201"/>
      <c r="G40" s="199"/>
    </row>
    <row r="41" spans="1:7" ht="12.75">
      <c r="A41" s="178" t="s">
        <v>269</v>
      </c>
      <c r="B41" s="51">
        <f>E41</f>
        <v>-9849</v>
      </c>
      <c r="C41" s="51"/>
      <c r="D41" s="199">
        <f>G41</f>
        <v>-8041</v>
      </c>
      <c r="E41" s="200">
        <v>-9849</v>
      </c>
      <c r="F41" s="201"/>
      <c r="G41" s="199">
        <v>-8041</v>
      </c>
    </row>
    <row r="42" spans="1:7" ht="12.75">
      <c r="A42" s="178"/>
      <c r="B42" s="51"/>
      <c r="C42" s="51"/>
      <c r="D42" s="205"/>
      <c r="E42" s="200"/>
      <c r="F42" s="201"/>
      <c r="G42" s="199"/>
    </row>
    <row r="43" spans="1:7" ht="22.5" customHeight="1">
      <c r="A43" s="215" t="s">
        <v>270</v>
      </c>
      <c r="B43" s="206">
        <f>SUM(B38:B41)</f>
        <v>14739</v>
      </c>
      <c r="C43" s="207"/>
      <c r="D43" s="208">
        <f>SUM(D38:D41)</f>
        <v>9930</v>
      </c>
      <c r="E43" s="208">
        <f>SUM(E38:E41)</f>
        <v>14739</v>
      </c>
      <c r="F43" s="209"/>
      <c r="G43" s="210">
        <f>SUM(G38:G41)</f>
        <v>9930</v>
      </c>
    </row>
    <row r="44" ht="12.75">
      <c r="A44" s="62"/>
    </row>
    <row r="45" ht="12.75">
      <c r="A45" s="62"/>
    </row>
    <row r="46" ht="12.75">
      <c r="A46" s="62" t="s">
        <v>229</v>
      </c>
    </row>
    <row r="47" spans="1:7" ht="12.75">
      <c r="A47" s="62" t="s">
        <v>230</v>
      </c>
      <c r="B47" s="197">
        <f>B43/79130*100</f>
        <v>18.62631113357766</v>
      </c>
      <c r="C47" s="197">
        <f>C43/79130*100</f>
        <v>0</v>
      </c>
      <c r="D47" s="197">
        <f>D43/79130*100</f>
        <v>12.548970049285984</v>
      </c>
      <c r="E47" s="197">
        <f>E43/79130*100</f>
        <v>18.62631113357766</v>
      </c>
      <c r="F47" s="198"/>
      <c r="G47" s="197">
        <f>G43/79130*100</f>
        <v>12.548970049285984</v>
      </c>
    </row>
    <row r="50" ht="12.75">
      <c r="A50" s="62" t="s">
        <v>238</v>
      </c>
    </row>
    <row r="51" ht="12.75">
      <c r="A51" s="62" t="s">
        <v>293</v>
      </c>
    </row>
    <row r="53" ht="12.75">
      <c r="A53" s="62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&amp;C&amp;"Arial,Bold"&amp;12PSC INDUSTRIES BERHAD
(11106-V)</oddHead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8">
      <pane xSplit="1" ySplit="4" topLeftCell="B35" activePane="bottomRight" state="frozen"/>
      <selection pane="topLeft" activeCell="A8" sqref="A8"/>
      <selection pane="topRight" activeCell="B8" sqref="B8"/>
      <selection pane="bottomLeft" activeCell="A12" sqref="A12"/>
      <selection pane="bottomRight" activeCell="D48" sqref="D48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39" t="s">
        <v>151</v>
      </c>
      <c r="B1" s="240"/>
      <c r="C1" s="240"/>
      <c r="D1" s="240"/>
      <c r="E1" s="240"/>
      <c r="F1" s="241"/>
    </row>
    <row r="2" spans="1:6" ht="12.75">
      <c r="A2" s="246" t="s">
        <v>245</v>
      </c>
      <c r="B2" s="247"/>
      <c r="C2" s="247"/>
      <c r="D2" s="247"/>
      <c r="E2" s="247"/>
      <c r="F2" s="248"/>
    </row>
    <row r="3" spans="1:6" ht="15.75">
      <c r="A3" s="90"/>
      <c r="B3" s="89"/>
      <c r="C3" s="89"/>
      <c r="D3" s="89"/>
      <c r="E3" s="89"/>
      <c r="F3" s="89"/>
    </row>
    <row r="4" spans="1:6" ht="15.75">
      <c r="A4" s="242" t="s">
        <v>110</v>
      </c>
      <c r="B4" s="243"/>
      <c r="C4" s="243"/>
      <c r="D4" s="243"/>
      <c r="E4" s="243"/>
      <c r="F4" s="243"/>
    </row>
    <row r="5" spans="1:6" ht="12.75">
      <c r="A5" s="244" t="s">
        <v>281</v>
      </c>
      <c r="B5" s="245"/>
      <c r="C5" s="245"/>
      <c r="D5" s="245"/>
      <c r="E5" s="245"/>
      <c r="F5" s="245"/>
    </row>
    <row r="8" spans="4:6" ht="12.75">
      <c r="D8" s="91" t="s">
        <v>111</v>
      </c>
      <c r="E8" s="91"/>
      <c r="F8" s="91" t="s">
        <v>112</v>
      </c>
    </row>
    <row r="9" spans="4:6" ht="12.75">
      <c r="D9" s="3" t="s">
        <v>190</v>
      </c>
      <c r="E9" s="3"/>
      <c r="F9" s="3" t="s">
        <v>190</v>
      </c>
    </row>
    <row r="10" spans="4:6" ht="12.75">
      <c r="D10" s="92" t="s">
        <v>290</v>
      </c>
      <c r="E10" s="3"/>
      <c r="F10" s="92" t="s">
        <v>150</v>
      </c>
    </row>
    <row r="11" spans="4:6" ht="12.75">
      <c r="D11" s="3" t="s">
        <v>189</v>
      </c>
      <c r="E11" s="3"/>
      <c r="F11" s="3" t="s">
        <v>189</v>
      </c>
    </row>
    <row r="13" spans="2:6" ht="12.75">
      <c r="B13" t="s">
        <v>129</v>
      </c>
      <c r="D13" s="5">
        <v>433743</v>
      </c>
      <c r="F13" s="5">
        <v>427754</v>
      </c>
    </row>
    <row r="14" spans="4:6" ht="6" customHeight="1">
      <c r="D14" s="5"/>
      <c r="F14" s="5"/>
    </row>
    <row r="15" spans="2:6" ht="12.75">
      <c r="B15" t="s">
        <v>216</v>
      </c>
      <c r="D15" s="5">
        <v>315577</v>
      </c>
      <c r="F15" s="5">
        <v>316511</v>
      </c>
    </row>
    <row r="16" spans="4:6" ht="6" customHeight="1">
      <c r="D16" s="5"/>
      <c r="F16" s="5"/>
    </row>
    <row r="17" spans="2:6" ht="12.75">
      <c r="B17" t="s">
        <v>217</v>
      </c>
      <c r="D17" s="5">
        <v>70916</v>
      </c>
      <c r="F17" s="5">
        <v>70916</v>
      </c>
    </row>
    <row r="18" spans="4:6" ht="6" customHeight="1">
      <c r="D18" s="5"/>
      <c r="F18" s="5"/>
    </row>
    <row r="19" spans="4:6" ht="12.75">
      <c r="D19" s="5"/>
      <c r="F19" s="5"/>
    </row>
    <row r="20" spans="2:6" ht="12.75">
      <c r="B20" s="66" t="s">
        <v>286</v>
      </c>
      <c r="D20" s="5"/>
      <c r="F20" s="5"/>
    </row>
    <row r="21" spans="3:6" ht="18.75" customHeight="1">
      <c r="C21" s="61" t="s">
        <v>180</v>
      </c>
      <c r="D21" s="93">
        <v>14245</v>
      </c>
      <c r="F21" s="93">
        <v>13548</v>
      </c>
    </row>
    <row r="22" spans="3:6" ht="12.75" customHeight="1">
      <c r="C22" s="61" t="s">
        <v>227</v>
      </c>
      <c r="D22" s="7">
        <v>680851</v>
      </c>
      <c r="F22" s="7">
        <v>923528</v>
      </c>
    </row>
    <row r="23" spans="3:6" ht="12.75" customHeight="1">
      <c r="C23" s="61" t="s">
        <v>32</v>
      </c>
      <c r="D23" s="7">
        <v>500973</v>
      </c>
      <c r="F23" s="7">
        <v>468236</v>
      </c>
    </row>
    <row r="24" spans="3:6" ht="12.75">
      <c r="C24" s="4" t="s">
        <v>115</v>
      </c>
      <c r="D24" s="7">
        <v>483363</v>
      </c>
      <c r="F24" s="7">
        <v>381597</v>
      </c>
    </row>
    <row r="25" spans="3:6" ht="4.5" customHeight="1">
      <c r="C25" s="4"/>
      <c r="D25" s="93"/>
      <c r="F25" s="93"/>
    </row>
    <row r="26" spans="3:6" ht="12.75">
      <c r="C26" s="4"/>
      <c r="D26" s="8">
        <f>SUM(D21:D25)</f>
        <v>1679432</v>
      </c>
      <c r="F26" s="8">
        <f>SUM(F21:F25)</f>
        <v>1786909</v>
      </c>
    </row>
    <row r="27" spans="3:6" ht="12.75">
      <c r="C27" s="94"/>
      <c r="D27" s="5"/>
      <c r="F27" s="5"/>
    </row>
    <row r="28" spans="2:6" ht="12.75">
      <c r="B28" s="66" t="s">
        <v>192</v>
      </c>
      <c r="D28" s="5"/>
      <c r="F28" s="5"/>
    </row>
    <row r="29" spans="3:6" ht="18.75" customHeight="1">
      <c r="C29" s="4" t="s">
        <v>33</v>
      </c>
      <c r="D29" s="153">
        <v>970447</v>
      </c>
      <c r="F29" s="93">
        <v>1067703</v>
      </c>
    </row>
    <row r="30" spans="3:6" ht="12.75">
      <c r="C30" s="4" t="s">
        <v>218</v>
      </c>
      <c r="D30" s="7">
        <f>493327</f>
        <v>493327</v>
      </c>
      <c r="F30" s="7">
        <v>526953</v>
      </c>
    </row>
    <row r="31" spans="3:6" ht="12.75">
      <c r="C31" s="4" t="s">
        <v>164</v>
      </c>
      <c r="D31" s="7">
        <v>35756</v>
      </c>
      <c r="F31" s="7">
        <v>35745</v>
      </c>
    </row>
    <row r="32" spans="3:6" ht="6" customHeight="1">
      <c r="C32" s="4"/>
      <c r="D32" s="93"/>
      <c r="F32" s="59"/>
    </row>
    <row r="33" spans="3:6" ht="12.75">
      <c r="C33" s="4"/>
      <c r="D33" s="8">
        <f>SUM(D29:D32)</f>
        <v>1499530</v>
      </c>
      <c r="F33" s="8">
        <f>SUM(F29:F32)</f>
        <v>1630401</v>
      </c>
    </row>
    <row r="34" spans="3:4" ht="12.75">
      <c r="C34" s="94"/>
      <c r="D34" s="5"/>
    </row>
    <row r="35" spans="2:6" ht="12.75">
      <c r="B35" s="66" t="s">
        <v>113</v>
      </c>
      <c r="D35" s="5">
        <f>D26-D33</f>
        <v>179902</v>
      </c>
      <c r="F35" s="5">
        <f>F26-F33</f>
        <v>156508</v>
      </c>
    </row>
    <row r="36" ht="9" customHeight="1">
      <c r="D36" s="5"/>
    </row>
    <row r="37" spans="4:6" ht="21.75" customHeight="1" thickBot="1">
      <c r="D37" s="11">
        <f>SUM(D13:D18)+D35</f>
        <v>1000138</v>
      </c>
      <c r="F37" s="11">
        <f>SUM(F13:F18)+F35</f>
        <v>971689</v>
      </c>
    </row>
    <row r="38" ht="13.5" thickTop="1">
      <c r="D38" s="5"/>
    </row>
    <row r="39" spans="2:4" ht="12.75">
      <c r="B39" s="62"/>
      <c r="D39" s="5"/>
    </row>
    <row r="40" spans="2:6" ht="12.75">
      <c r="B40" t="s">
        <v>194</v>
      </c>
      <c r="D40" s="5">
        <v>79129</v>
      </c>
      <c r="F40" s="5">
        <v>79129</v>
      </c>
    </row>
    <row r="41" spans="2:6" ht="12.75">
      <c r="B41" s="66" t="s">
        <v>195</v>
      </c>
      <c r="D41" s="5">
        <v>313361</v>
      </c>
      <c r="F41" s="5">
        <v>298379</v>
      </c>
    </row>
    <row r="42" spans="2:6" ht="12.75">
      <c r="B42" s="66" t="s">
        <v>193</v>
      </c>
      <c r="C42" s="4"/>
      <c r="D42" s="148">
        <f>D40+D41</f>
        <v>392490</v>
      </c>
      <c r="F42" s="148">
        <f>F40+F41</f>
        <v>377508</v>
      </c>
    </row>
    <row r="43" spans="2:6" ht="12.75">
      <c r="B43" s="66"/>
      <c r="C43" s="4"/>
      <c r="D43" s="9"/>
      <c r="F43" s="9"/>
    </row>
    <row r="44" spans="2:6" ht="12.75">
      <c r="B44" t="s">
        <v>196</v>
      </c>
      <c r="D44" s="5">
        <v>219348</v>
      </c>
      <c r="F44" s="5">
        <v>209547</v>
      </c>
    </row>
    <row r="45" spans="4:6" ht="12.75">
      <c r="D45" s="5"/>
      <c r="F45" s="5"/>
    </row>
    <row r="46" spans="2:6" ht="12.75">
      <c r="B46" t="s">
        <v>220</v>
      </c>
      <c r="D46" s="5"/>
      <c r="F46" s="5"/>
    </row>
    <row r="47" spans="4:6" ht="12.75">
      <c r="D47" s="5"/>
      <c r="F47" s="5"/>
    </row>
    <row r="48" spans="3:6" ht="12.75">
      <c r="C48" s="61" t="s">
        <v>221</v>
      </c>
      <c r="D48" s="5">
        <f>364212</f>
        <v>364212</v>
      </c>
      <c r="F48" s="5">
        <v>360167</v>
      </c>
    </row>
    <row r="49" spans="3:6" ht="11.25" customHeight="1">
      <c r="C49" s="61" t="s">
        <v>222</v>
      </c>
      <c r="D49" s="5">
        <v>24088</v>
      </c>
      <c r="F49" s="5">
        <v>24467</v>
      </c>
    </row>
    <row r="50" spans="4:6" ht="21.75" customHeight="1" thickBot="1">
      <c r="D50" s="11">
        <f>SUM(D42:D49)</f>
        <v>1000138</v>
      </c>
      <c r="F50" s="11">
        <f>SUM(F42:F49)</f>
        <v>971689</v>
      </c>
    </row>
    <row r="51" ht="13.5" thickTop="1"/>
    <row r="52" spans="2:6" ht="12.75">
      <c r="B52" t="s">
        <v>219</v>
      </c>
      <c r="D52" s="221">
        <f>(D42-D15)/79129</f>
        <v>0.9719950966143892</v>
      </c>
      <c r="E52" s="221"/>
      <c r="F52" s="221">
        <f>(F42-F15)/79129</f>
        <v>0.7708551858357872</v>
      </c>
    </row>
    <row r="55" ht="12.75">
      <c r="A55" s="62" t="s">
        <v>114</v>
      </c>
    </row>
    <row r="56" spans="1:4" ht="12.75">
      <c r="A56" s="62" t="s">
        <v>289</v>
      </c>
      <c r="D56" s="94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4">
      <selection activeCell="J26" sqref="J26"/>
    </sheetView>
  </sheetViews>
  <sheetFormatPr defaultColWidth="9.140625" defaultRowHeight="12.75"/>
  <cols>
    <col min="1" max="1" width="25.7109375" style="0" customWidth="1"/>
    <col min="2" max="2" width="13.140625" style="0" customWidth="1"/>
    <col min="3" max="3" width="0.13671875" style="0" customWidth="1"/>
    <col min="4" max="4" width="1.28515625" style="0" customWidth="1"/>
    <col min="5" max="5" width="11.140625" style="0" customWidth="1"/>
    <col min="6" max="6" width="0.2890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186"/>
      <c r="B1" s="187"/>
      <c r="C1" s="187"/>
      <c r="D1" s="187"/>
      <c r="E1" s="188" t="s">
        <v>151</v>
      </c>
      <c r="F1" s="187"/>
      <c r="G1" s="187"/>
    </row>
    <row r="2" spans="1:7" ht="12.75">
      <c r="A2" s="173"/>
      <c r="B2" s="173"/>
      <c r="C2" s="173"/>
      <c r="D2" s="173"/>
      <c r="E2" s="183" t="s">
        <v>245</v>
      </c>
      <c r="F2" s="173"/>
      <c r="G2" s="173"/>
    </row>
    <row r="3" spans="1:7" ht="15.75">
      <c r="A3" s="90"/>
      <c r="B3" s="89"/>
      <c r="C3" s="89"/>
      <c r="D3" s="89"/>
      <c r="E3" s="89"/>
      <c r="F3" s="89"/>
      <c r="G3" s="89"/>
    </row>
    <row r="4" spans="1:7" ht="15.75">
      <c r="A4" s="90"/>
      <c r="B4" s="89"/>
      <c r="C4" s="90" t="s">
        <v>225</v>
      </c>
      <c r="D4" s="90"/>
      <c r="E4" s="89"/>
      <c r="F4" s="89"/>
      <c r="G4" s="89"/>
    </row>
    <row r="5" spans="1:7" ht="15.75">
      <c r="A5" s="90"/>
      <c r="B5" s="89"/>
      <c r="C5" s="90" t="s">
        <v>302</v>
      </c>
      <c r="D5" s="90"/>
      <c r="E5" s="89"/>
      <c r="F5" s="89"/>
      <c r="G5" s="89"/>
    </row>
    <row r="6" spans="1:9" ht="12.75">
      <c r="A6" s="91"/>
      <c r="B6" s="91"/>
      <c r="C6" s="184"/>
      <c r="D6" s="184"/>
      <c r="E6" s="176" t="s">
        <v>281</v>
      </c>
      <c r="F6" s="184"/>
      <c r="G6" s="184"/>
      <c r="H6" s="66"/>
      <c r="I6" s="66"/>
    </row>
    <row r="7" spans="1:10" ht="12.75">
      <c r="A7" s="176"/>
      <c r="B7" s="177"/>
      <c r="C7" s="177"/>
      <c r="D7" s="177"/>
      <c r="E7" s="195" t="s">
        <v>38</v>
      </c>
      <c r="F7" s="196"/>
      <c r="G7" s="196"/>
      <c r="J7" s="162" t="s">
        <v>125</v>
      </c>
    </row>
    <row r="8" spans="1:6" ht="12.75">
      <c r="A8" s="176"/>
      <c r="B8" s="177"/>
      <c r="C8" s="177"/>
      <c r="D8" s="177"/>
      <c r="E8" s="177"/>
      <c r="F8" s="177"/>
    </row>
    <row r="9" spans="1:10" ht="12.75">
      <c r="A9" s="176"/>
      <c r="B9" s="177"/>
      <c r="C9" s="177"/>
      <c r="D9" s="177"/>
      <c r="E9" s="177"/>
      <c r="F9" s="177"/>
      <c r="G9" s="177" t="s">
        <v>39</v>
      </c>
      <c r="J9" s="182"/>
    </row>
    <row r="10" spans="1:10" ht="12.75">
      <c r="A10" s="176"/>
      <c r="B10" s="177"/>
      <c r="C10" s="177"/>
      <c r="D10" s="177"/>
      <c r="E10" s="177" t="s">
        <v>42</v>
      </c>
      <c r="F10" s="177"/>
      <c r="G10" s="177" t="s">
        <v>40</v>
      </c>
      <c r="J10" s="177" t="s">
        <v>223</v>
      </c>
    </row>
    <row r="11" spans="1:12" ht="12.75">
      <c r="A11" s="176"/>
      <c r="B11" s="177" t="s">
        <v>194</v>
      </c>
      <c r="C11" s="177"/>
      <c r="D11" s="177"/>
      <c r="E11" s="177" t="s">
        <v>43</v>
      </c>
      <c r="F11" s="177"/>
      <c r="G11" s="177" t="s">
        <v>41</v>
      </c>
      <c r="J11" s="177" t="s">
        <v>224</v>
      </c>
      <c r="L11" s="177" t="s">
        <v>244</v>
      </c>
    </row>
    <row r="12" spans="2:12" ht="12.75">
      <c r="B12" s="89" t="s">
        <v>189</v>
      </c>
      <c r="E12" s="89" t="s">
        <v>189</v>
      </c>
      <c r="G12" s="89" t="s">
        <v>189</v>
      </c>
      <c r="J12" s="89" t="s">
        <v>189</v>
      </c>
      <c r="L12" s="89" t="s">
        <v>189</v>
      </c>
    </row>
    <row r="13" spans="1:12" ht="12.75">
      <c r="A13" s="66" t="s">
        <v>303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ht="12.75">
      <c r="A14" s="211" t="s">
        <v>304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2.75">
      <c r="A15" s="18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2:12" ht="12.75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2.75">
      <c r="A17" t="s">
        <v>116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2.75">
      <c r="A18" t="s">
        <v>305</v>
      </c>
      <c r="B18" s="175">
        <v>79129</v>
      </c>
      <c r="C18" s="175"/>
      <c r="D18" s="175"/>
      <c r="E18" s="175">
        <v>81309</v>
      </c>
      <c r="F18" s="175"/>
      <c r="G18" s="175">
        <v>5155</v>
      </c>
      <c r="H18" s="175"/>
      <c r="I18" s="175"/>
      <c r="J18" s="175">
        <v>211915</v>
      </c>
      <c r="K18" s="175"/>
      <c r="L18" s="175">
        <f>SUM(B18:J18)</f>
        <v>377508</v>
      </c>
    </row>
    <row r="19" spans="2:12" ht="12.75"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2:12" ht="12.75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</row>
    <row r="21" spans="1:12" ht="12.75">
      <c r="A21" t="s">
        <v>282</v>
      </c>
      <c r="B21" s="175"/>
      <c r="C21" s="175"/>
      <c r="D21" s="175"/>
      <c r="E21" s="175"/>
      <c r="F21" s="175"/>
      <c r="G21" s="175"/>
      <c r="H21" s="175"/>
      <c r="I21" s="175"/>
      <c r="J21" s="175">
        <v>14739</v>
      </c>
      <c r="K21" s="175"/>
      <c r="L21" s="175">
        <f>SUM(B21:J21)</f>
        <v>14739</v>
      </c>
    </row>
    <row r="22" spans="1:12" ht="12.75">
      <c r="A22" s="141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12.75">
      <c r="A23" t="s">
        <v>44</v>
      </c>
      <c r="B23" s="175"/>
      <c r="C23" s="175"/>
      <c r="D23" s="175"/>
      <c r="E23" s="175"/>
      <c r="F23" s="175"/>
      <c r="G23" s="175">
        <v>243</v>
      </c>
      <c r="H23" s="175"/>
      <c r="I23" s="175"/>
      <c r="J23" s="175"/>
      <c r="K23" s="175"/>
      <c r="L23" s="175">
        <f>SUM(B23:J23)</f>
        <v>243</v>
      </c>
    </row>
    <row r="25" spans="2:12" ht="12.75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</row>
    <row r="26" spans="1:12" ht="13.5" thickBot="1">
      <c r="A26" t="s">
        <v>306</v>
      </c>
      <c r="B26" s="185">
        <f>SUM(B17:B25)</f>
        <v>79129</v>
      </c>
      <c r="C26" s="185"/>
      <c r="D26" s="185"/>
      <c r="E26" s="185">
        <f>SUM(E17:E25)</f>
        <v>81309</v>
      </c>
      <c r="F26" s="175"/>
      <c r="G26" s="185">
        <f>SUM(G17:G25)</f>
        <v>5398</v>
      </c>
      <c r="H26" s="175"/>
      <c r="I26" s="185"/>
      <c r="J26" s="185">
        <f>SUM(J17:J25)</f>
        <v>226654</v>
      </c>
      <c r="K26" s="175"/>
      <c r="L26" s="185">
        <f>SUM(L17:L25)</f>
        <v>392490</v>
      </c>
    </row>
    <row r="27" spans="1:12" ht="13.5" thickTop="1">
      <c r="A27" s="15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</row>
    <row r="28" spans="1:12" ht="12.75">
      <c r="A28" t="s">
        <v>75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2" ht="12.75">
      <c r="A29" t="s">
        <v>76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ht="12.75">
      <c r="A30" s="182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2:12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2:12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  <row r="33" ht="12.75">
      <c r="A33" s="62" t="s">
        <v>121</v>
      </c>
    </row>
    <row r="34" spans="1:5" ht="12.75">
      <c r="A34" s="62" t="s">
        <v>294</v>
      </c>
      <c r="E34" s="94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20">
      <selection activeCell="H38" sqref="H38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0.8515625" style="0" customWidth="1"/>
  </cols>
  <sheetData>
    <row r="1" ht="15.75">
      <c r="A1" s="2" t="s">
        <v>228</v>
      </c>
    </row>
    <row r="2" ht="12.75">
      <c r="A2" s="66" t="s">
        <v>313</v>
      </c>
    </row>
    <row r="3" ht="12.75">
      <c r="A3" s="66"/>
    </row>
    <row r="4" spans="1:5" ht="12.75">
      <c r="A4" s="62" t="s">
        <v>78</v>
      </c>
      <c r="B4" s="62"/>
      <c r="C4" s="62"/>
      <c r="D4" s="62"/>
      <c r="E4" s="62"/>
    </row>
    <row r="5" spans="1:5" ht="12.75">
      <c r="A5" s="62" t="s">
        <v>79</v>
      </c>
      <c r="B5" s="62"/>
      <c r="C5" s="62"/>
      <c r="D5" s="62"/>
      <c r="E5" s="62"/>
    </row>
    <row r="6" spans="1:5" ht="12.75">
      <c r="A6" s="62" t="s">
        <v>281</v>
      </c>
      <c r="B6" s="62"/>
      <c r="C6" s="62"/>
      <c r="D6" s="62"/>
      <c r="E6" s="62"/>
    </row>
    <row r="7" spans="7:10" ht="12.75">
      <c r="G7" s="224">
        <v>2002</v>
      </c>
      <c r="H7" s="91" t="s">
        <v>111</v>
      </c>
      <c r="J7" s="91"/>
    </row>
    <row r="8" spans="7:8" ht="12.75">
      <c r="G8" s="169" t="s">
        <v>280</v>
      </c>
      <c r="H8" s="222" t="s">
        <v>80</v>
      </c>
    </row>
    <row r="9" spans="7:8" ht="12.75">
      <c r="G9" s="169" t="s">
        <v>81</v>
      </c>
      <c r="H9" s="222" t="s">
        <v>81</v>
      </c>
    </row>
    <row r="10" spans="7:8" ht="12.75">
      <c r="G10" s="225">
        <v>37529</v>
      </c>
      <c r="H10" s="226" t="s">
        <v>124</v>
      </c>
    </row>
    <row r="11" spans="7:8" ht="12.75">
      <c r="G11" s="169" t="s">
        <v>82</v>
      </c>
      <c r="H11" s="222" t="s">
        <v>189</v>
      </c>
    </row>
    <row r="12" ht="12.75">
      <c r="H12" s="175"/>
    </row>
    <row r="13" spans="1:8" ht="12.75">
      <c r="A13" t="s">
        <v>83</v>
      </c>
      <c r="G13" s="12">
        <f>'[1]cashflow'!E8</f>
        <v>24632094</v>
      </c>
      <c r="H13" s="94">
        <v>24632</v>
      </c>
    </row>
    <row r="14" spans="1:8" ht="12.75">
      <c r="A14" t="s">
        <v>84</v>
      </c>
      <c r="H14" s="94"/>
    </row>
    <row r="15" ht="12.75">
      <c r="H15" s="94"/>
    </row>
    <row r="16" spans="1:8" ht="12.75">
      <c r="A16" t="s">
        <v>85</v>
      </c>
      <c r="G16" s="12">
        <f>'[1]cashflow'!E13+'[1]cashflow'!E14+'[1]cashflow'!E15+'[1]cashflow'!E16+'[1]cashflow'!E17+'[1]cashflow'!E18+'[1]cashflow'!E20+'[1]cashflow'!E21+'[1]cashflow'!E22+'[1]cashflow'!E23+'[1]cashflow'!E24+'[1]cashflow'!E25+'[1]cashflow'!E26+'[1]cashflow'!E27+'[1]cashflow'!E29</f>
        <v>3645927.990266061</v>
      </c>
      <c r="H16" s="94">
        <v>3645</v>
      </c>
    </row>
    <row r="17" spans="1:8" ht="12.75">
      <c r="A17" t="s">
        <v>86</v>
      </c>
      <c r="G17" s="12">
        <f>'[1]cashflow'!E11+'[1]cashflow'!E12</f>
        <v>13419670.884014683</v>
      </c>
      <c r="H17" s="94">
        <v>13420</v>
      </c>
    </row>
    <row r="18" ht="12.75">
      <c r="H18" s="94"/>
    </row>
    <row r="19" spans="1:8" ht="12.75">
      <c r="A19" t="s">
        <v>87</v>
      </c>
      <c r="G19" s="171">
        <f>SUM(G13:G17)</f>
        <v>41697692.87428074</v>
      </c>
      <c r="H19" s="227">
        <f>SUM(H13:H17)</f>
        <v>41697</v>
      </c>
    </row>
    <row r="20" ht="12.75">
      <c r="H20" s="94"/>
    </row>
    <row r="21" spans="1:8" ht="12.75">
      <c r="A21" t="s">
        <v>88</v>
      </c>
      <c r="H21" s="94"/>
    </row>
    <row r="22" spans="1:8" ht="12.75">
      <c r="A22" t="s">
        <v>89</v>
      </c>
      <c r="G22" s="12">
        <f>'[1]cashflow'!E33+'[1]cashflow'!E34+'[1]cashflow'!E37+'[1]cashflow'!E38+78</f>
        <v>215997026.3623099</v>
      </c>
      <c r="H22" s="94">
        <v>216930</v>
      </c>
    </row>
    <row r="23" spans="1:8" ht="12.75">
      <c r="A23" t="s">
        <v>90</v>
      </c>
      <c r="G23" s="12">
        <f>'[1]cashflow'!E35</f>
        <v>-97926322.25129342</v>
      </c>
      <c r="H23" s="94">
        <v>-97966</v>
      </c>
    </row>
    <row r="24" spans="7:8" ht="12.75">
      <c r="G24" s="12"/>
      <c r="H24" s="94"/>
    </row>
    <row r="25" spans="1:8" ht="13.5" thickBot="1">
      <c r="A25" t="s">
        <v>91</v>
      </c>
      <c r="G25" s="228">
        <f>SUM(G19:G23)</f>
        <v>159768396.98529723</v>
      </c>
      <c r="H25" s="229">
        <f>SUM(H19:H23)</f>
        <v>160661</v>
      </c>
    </row>
    <row r="26" ht="13.5" thickTop="1">
      <c r="H26" s="94"/>
    </row>
    <row r="27" spans="1:8" ht="12.75">
      <c r="A27" t="s">
        <v>92</v>
      </c>
      <c r="H27" s="94"/>
    </row>
    <row r="28" spans="1:8" ht="12.75">
      <c r="A28" t="s">
        <v>93</v>
      </c>
      <c r="B28" s="141"/>
      <c r="G28" s="12">
        <f>'[1]cashflow'!E50+'[1]cashflow'!E51+'[1]cashflow'!E53+'[1]cashflow'!E54+'[1]cashflow'!E55+'[1]cashflow'!E56+'[1]cashflow'!E57</f>
        <v>-11184812.90906503</v>
      </c>
      <c r="H28" s="94">
        <v>-11185</v>
      </c>
    </row>
    <row r="29" spans="1:8" ht="12.75">
      <c r="A29" t="s">
        <v>94</v>
      </c>
      <c r="B29" s="141"/>
      <c r="G29" s="139" t="e">
        <f>#REF!+G28</f>
        <v>#REF!</v>
      </c>
      <c r="H29" s="229">
        <f>+H28</f>
        <v>-11185</v>
      </c>
    </row>
    <row r="30" ht="12.75">
      <c r="H30" s="94"/>
    </row>
    <row r="31" spans="1:8" ht="12.75">
      <c r="A31" t="s">
        <v>95</v>
      </c>
      <c r="H31" s="94"/>
    </row>
    <row r="32" spans="1:8" ht="12.75">
      <c r="A32" t="s">
        <v>96</v>
      </c>
      <c r="B32" s="141"/>
      <c r="G32" s="12">
        <f>'[1]cashflow'!E62+'[1]cashflow'!E63+'[1]cashflow'!E64+'[1]cashflow'!E65+'[1]cashflow'!E66</f>
        <v>-39042853</v>
      </c>
      <c r="H32" s="94">
        <f>-47678</f>
        <v>-47678</v>
      </c>
    </row>
    <row r="33" spans="2:8" ht="12.75">
      <c r="B33" s="141"/>
      <c r="G33" s="12"/>
      <c r="H33" s="94"/>
    </row>
    <row r="34" spans="1:8" ht="12.75">
      <c r="A34" t="s">
        <v>97</v>
      </c>
      <c r="B34" s="141"/>
      <c r="G34" s="139">
        <f>SUM(G32:G32)</f>
        <v>-39042853</v>
      </c>
      <c r="H34" s="229">
        <f>SUM(H32:H32)</f>
        <v>-47678</v>
      </c>
    </row>
    <row r="35" ht="12.75">
      <c r="H35" s="94"/>
    </row>
    <row r="36" spans="1:8" ht="12.75">
      <c r="A36" t="s">
        <v>98</v>
      </c>
      <c r="G36" s="12" t="e">
        <f>G25+G29+G34</f>
        <v>#REF!</v>
      </c>
      <c r="H36" s="94">
        <f>H25+H29+H34</f>
        <v>101798</v>
      </c>
    </row>
    <row r="37" ht="12.75">
      <c r="H37" s="94"/>
    </row>
    <row r="38" ht="12.75">
      <c r="H38" s="94"/>
    </row>
    <row r="39" spans="1:8" ht="12.75">
      <c r="A39" t="s">
        <v>311</v>
      </c>
      <c r="G39" s="12">
        <f>'[1]cashflow'!E73</f>
        <v>-15593379</v>
      </c>
      <c r="H39" s="94">
        <v>-15593</v>
      </c>
    </row>
    <row r="40" spans="7:8" ht="12.75">
      <c r="G40" s="12"/>
      <c r="H40" s="94"/>
    </row>
    <row r="41" spans="1:8" ht="12.75">
      <c r="A41" t="s">
        <v>99</v>
      </c>
      <c r="G41" s="12">
        <f>'[1]cashflow'!E74</f>
        <v>-144343.38627555687</v>
      </c>
      <c r="H41" s="94">
        <v>-144</v>
      </c>
    </row>
    <row r="42" spans="7:8" ht="12.75">
      <c r="G42" s="140"/>
      <c r="H42" s="51"/>
    </row>
    <row r="43" spans="1:8" ht="13.5" thickBot="1">
      <c r="A43" t="s">
        <v>312</v>
      </c>
      <c r="G43" s="228" t="e">
        <f>G36+#REF!</f>
        <v>#REF!</v>
      </c>
      <c r="H43" s="230">
        <f>SUM(H36:H41)</f>
        <v>86061</v>
      </c>
    </row>
    <row r="44" ht="13.5" thickTop="1"/>
    <row r="45" spans="1:12" ht="12.75">
      <c r="A45" t="s">
        <v>100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ht="12.75">
      <c r="A46" s="66" t="s">
        <v>101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2" ht="12.75">
      <c r="A47" t="s">
        <v>102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</row>
    <row r="50" ht="12.75">
      <c r="A50" t="s">
        <v>103</v>
      </c>
    </row>
    <row r="51" ht="12.75">
      <c r="A51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28"/>
  <sheetViews>
    <sheetView tabSelected="1" workbookViewId="0" topLeftCell="A1">
      <pane xSplit="1" ySplit="6" topLeftCell="B2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06" sqref="F206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5.00390625" style="0" customWidth="1"/>
    <col min="5" max="5" width="14.8515625" style="0" customWidth="1"/>
    <col min="6" max="6" width="14.57421875" style="0" customWidth="1"/>
  </cols>
  <sheetData>
    <row r="1" ht="3.75" customHeight="1"/>
    <row r="2" spans="1:6" ht="15.75">
      <c r="A2" s="239" t="s">
        <v>151</v>
      </c>
      <c r="B2" s="249"/>
      <c r="C2" s="249"/>
      <c r="D2" s="249"/>
      <c r="E2" s="249"/>
      <c r="F2" s="250"/>
    </row>
    <row r="3" spans="1:6" ht="12.75">
      <c r="A3" s="251" t="s">
        <v>245</v>
      </c>
      <c r="B3" s="252"/>
      <c r="C3" s="252"/>
      <c r="D3" s="252"/>
      <c r="E3" s="252"/>
      <c r="F3" s="253"/>
    </row>
    <row r="4" spans="1:6" ht="12.75">
      <c r="A4" s="243"/>
      <c r="B4" s="243"/>
      <c r="C4" s="243"/>
      <c r="D4" s="243"/>
      <c r="E4" s="243"/>
      <c r="F4" s="243"/>
    </row>
    <row r="5" spans="1:6" s="50" customFormat="1" ht="12.75">
      <c r="A5" s="254" t="s">
        <v>246</v>
      </c>
      <c r="B5" s="254"/>
      <c r="C5" s="254"/>
      <c r="D5" s="254"/>
      <c r="E5" s="254"/>
      <c r="F5" s="254"/>
    </row>
    <row r="6" spans="1:6" s="50" customFormat="1" ht="12.75">
      <c r="A6" s="244" t="s">
        <v>295</v>
      </c>
      <c r="B6" s="244"/>
      <c r="C6" s="244"/>
      <c r="D6" s="244"/>
      <c r="E6" s="244"/>
      <c r="F6" s="244"/>
    </row>
    <row r="7" spans="1:6" s="50" customFormat="1" ht="12.75">
      <c r="A7" s="176"/>
      <c r="B7" s="176"/>
      <c r="C7" s="176"/>
      <c r="D7" s="176"/>
      <c r="E7" s="176"/>
      <c r="F7" s="176"/>
    </row>
    <row r="8" spans="1:6" s="50" customFormat="1" ht="12.75">
      <c r="A8" s="176"/>
      <c r="B8" s="147" t="s">
        <v>37</v>
      </c>
      <c r="C8" s="193"/>
      <c r="D8" s="193"/>
      <c r="E8" s="193"/>
      <c r="F8" s="176"/>
    </row>
    <row r="9" spans="1:6" s="50" customFormat="1" ht="12.75">
      <c r="A9" s="255"/>
      <c r="B9" s="243"/>
      <c r="C9" s="243"/>
      <c r="D9" s="243"/>
      <c r="E9" s="243"/>
      <c r="F9" s="243"/>
    </row>
    <row r="10" spans="1:6" s="66" customFormat="1" ht="12.75">
      <c r="A10" s="69">
        <v>1</v>
      </c>
      <c r="B10" s="62" t="s">
        <v>247</v>
      </c>
      <c r="C10" s="62"/>
      <c r="D10" s="62"/>
      <c r="E10" s="67"/>
      <c r="F10" s="67"/>
    </row>
    <row r="11" spans="1:6" s="66" customFormat="1" ht="12" customHeight="1">
      <c r="A11" s="68"/>
      <c r="E11" s="67"/>
      <c r="F11" s="67"/>
    </row>
    <row r="12" spans="1:6" s="66" customFormat="1" ht="12.75">
      <c r="A12" s="68"/>
      <c r="B12" s="66" t="s">
        <v>231</v>
      </c>
      <c r="E12" s="67"/>
      <c r="F12" s="67"/>
    </row>
    <row r="13" spans="1:6" s="66" customFormat="1" ht="12.75">
      <c r="A13" s="68"/>
      <c r="B13" s="66" t="s">
        <v>226</v>
      </c>
      <c r="E13" s="67"/>
      <c r="F13" s="67"/>
    </row>
    <row r="14" spans="1:6" s="66" customFormat="1" ht="12.75">
      <c r="A14" s="68"/>
      <c r="B14" s="66" t="s">
        <v>232</v>
      </c>
      <c r="E14" s="67"/>
      <c r="F14" s="67"/>
    </row>
    <row r="15" spans="1:6" s="66" customFormat="1" ht="12.75">
      <c r="A15" s="68"/>
      <c r="B15" s="66" t="s">
        <v>296</v>
      </c>
      <c r="E15" s="67"/>
      <c r="F15" s="67"/>
    </row>
    <row r="16" spans="1:6" s="66" customFormat="1" ht="12.75">
      <c r="A16" s="69"/>
      <c r="B16" s="62"/>
      <c r="C16" s="62"/>
      <c r="D16" s="62"/>
      <c r="E16" s="67"/>
      <c r="F16" s="67"/>
    </row>
    <row r="17" spans="1:6" s="66" customFormat="1" ht="12.75">
      <c r="A17" s="69"/>
      <c r="B17" s="62"/>
      <c r="C17" s="62"/>
      <c r="D17" s="62"/>
      <c r="E17" s="67"/>
      <c r="F17" s="67"/>
    </row>
    <row r="18" spans="1:6" s="66" customFormat="1" ht="12.75">
      <c r="A18" s="69">
        <v>2</v>
      </c>
      <c r="B18" s="62" t="s">
        <v>34</v>
      </c>
      <c r="C18" s="62"/>
      <c r="D18" s="62"/>
      <c r="E18" s="67"/>
      <c r="F18" s="67"/>
    </row>
    <row r="19" spans="1:6" s="66" customFormat="1" ht="12.75">
      <c r="A19" s="69"/>
      <c r="B19" s="62"/>
      <c r="C19" s="62"/>
      <c r="D19" s="62"/>
      <c r="E19" s="67"/>
      <c r="F19" s="67"/>
    </row>
    <row r="20" spans="1:6" s="66" customFormat="1" ht="12.75">
      <c r="A20" s="69"/>
      <c r="B20" s="66" t="s">
        <v>117</v>
      </c>
      <c r="C20" s="62"/>
      <c r="D20" s="62"/>
      <c r="E20" s="67"/>
      <c r="F20" s="67"/>
    </row>
    <row r="21" spans="1:6" s="66" customFormat="1" ht="12.75">
      <c r="A21" s="69"/>
      <c r="B21" s="66" t="s">
        <v>239</v>
      </c>
      <c r="C21" s="62"/>
      <c r="D21" s="62"/>
      <c r="E21" s="67"/>
      <c r="F21" s="67"/>
    </row>
    <row r="22" spans="1:6" s="66" customFormat="1" ht="12.75">
      <c r="A22" s="69"/>
      <c r="B22" s="62"/>
      <c r="C22" s="62"/>
      <c r="D22" s="62"/>
      <c r="E22" s="67"/>
      <c r="F22" s="67"/>
    </row>
    <row r="23" spans="1:6" s="66" customFormat="1" ht="12.75">
      <c r="A23" s="69">
        <v>3</v>
      </c>
      <c r="B23" s="150" t="s">
        <v>131</v>
      </c>
      <c r="C23" s="62"/>
      <c r="D23" s="62"/>
      <c r="E23" s="67"/>
      <c r="F23" s="67"/>
    </row>
    <row r="24" spans="1:6" s="66" customFormat="1" ht="12.75">
      <c r="A24" s="69"/>
      <c r="B24" s="138"/>
      <c r="C24" s="62"/>
      <c r="D24" s="62"/>
      <c r="E24" s="67"/>
      <c r="F24" s="67"/>
    </row>
    <row r="25" spans="1:6" s="66" customFormat="1" ht="12.75">
      <c r="A25" s="69"/>
      <c r="B25" s="151" t="s">
        <v>340</v>
      </c>
      <c r="C25" s="62"/>
      <c r="D25" s="62"/>
      <c r="E25" s="67"/>
      <c r="F25" s="67"/>
    </row>
    <row r="26" spans="1:6" s="66" customFormat="1" ht="12.75">
      <c r="A26" s="69"/>
      <c r="B26" s="151" t="s">
        <v>314</v>
      </c>
      <c r="C26" s="62"/>
      <c r="D26" s="62"/>
      <c r="E26" s="67"/>
      <c r="F26" s="67"/>
    </row>
    <row r="27" spans="1:6" s="66" customFormat="1" ht="12.75">
      <c r="A27" s="69"/>
      <c r="B27" s="62"/>
      <c r="C27" s="62"/>
      <c r="D27" s="62"/>
      <c r="E27" s="67"/>
      <c r="F27" s="67"/>
    </row>
    <row r="28" spans="1:6" s="66" customFormat="1" ht="12.75">
      <c r="A28" s="69">
        <v>4</v>
      </c>
      <c r="B28" s="62" t="s">
        <v>233</v>
      </c>
      <c r="C28" s="62"/>
      <c r="D28" s="62"/>
      <c r="E28" s="67"/>
      <c r="F28" s="67"/>
    </row>
    <row r="29" spans="1:6" s="66" customFormat="1" ht="12.75">
      <c r="A29" s="69"/>
      <c r="B29" s="62"/>
      <c r="C29" s="62"/>
      <c r="D29" s="62"/>
      <c r="E29" s="67"/>
      <c r="F29" s="67"/>
    </row>
    <row r="30" spans="1:6" s="66" customFormat="1" ht="12.75">
      <c r="A30" s="69"/>
      <c r="B30" s="66" t="s">
        <v>234</v>
      </c>
      <c r="C30" s="62"/>
      <c r="D30" s="62"/>
      <c r="E30" s="67"/>
      <c r="F30" s="67"/>
    </row>
    <row r="31" spans="1:6" s="66" customFormat="1" ht="12.75">
      <c r="A31" s="69"/>
      <c r="B31" s="66" t="s">
        <v>339</v>
      </c>
      <c r="C31" s="62"/>
      <c r="D31" s="62"/>
      <c r="E31" s="67"/>
      <c r="F31" s="67"/>
    </row>
    <row r="32" spans="1:6" s="66" customFormat="1" ht="12.75">
      <c r="A32" s="69"/>
      <c r="B32" s="231" t="s">
        <v>108</v>
      </c>
      <c r="C32" s="62"/>
      <c r="D32" s="62"/>
      <c r="E32" s="67"/>
      <c r="F32" s="67"/>
    </row>
    <row r="33" spans="1:6" s="66" customFormat="1" ht="12.75">
      <c r="A33" s="69"/>
      <c r="B33" s="62"/>
      <c r="C33" s="62"/>
      <c r="D33" s="62"/>
      <c r="E33" s="67"/>
      <c r="F33" s="67"/>
    </row>
    <row r="34" spans="1:6" s="66" customFormat="1" ht="12.75">
      <c r="A34" s="69">
        <v>5</v>
      </c>
      <c r="B34" s="62" t="s">
        <v>235</v>
      </c>
      <c r="C34" s="62"/>
      <c r="D34" s="62"/>
      <c r="E34" s="67"/>
      <c r="F34" s="67"/>
    </row>
    <row r="35" spans="1:6" s="66" customFormat="1" ht="12.75">
      <c r="A35" s="69"/>
      <c r="B35" s="62"/>
      <c r="C35" s="62"/>
      <c r="D35" s="62"/>
      <c r="E35" s="67"/>
      <c r="F35" s="67"/>
    </row>
    <row r="36" spans="1:6" s="66" customFormat="1" ht="12.75">
      <c r="A36" s="69"/>
      <c r="B36" s="66" t="s">
        <v>214</v>
      </c>
      <c r="C36" s="189"/>
      <c r="D36" s="189"/>
      <c r="E36" s="190"/>
      <c r="F36" s="190"/>
    </row>
    <row r="37" spans="1:6" s="66" customFormat="1" ht="12.75">
      <c r="A37" s="69"/>
      <c r="B37" s="66" t="s">
        <v>317</v>
      </c>
      <c r="C37" s="189"/>
      <c r="D37" s="189"/>
      <c r="E37" s="190"/>
      <c r="F37" s="190"/>
    </row>
    <row r="38" spans="1:6" s="66" customFormat="1" ht="12.75">
      <c r="A38" s="69"/>
      <c r="B38" s="62"/>
      <c r="C38" s="62"/>
      <c r="D38" s="62"/>
      <c r="E38" s="67"/>
      <c r="F38" s="67"/>
    </row>
    <row r="39" spans="1:6" s="66" customFormat="1" ht="12.75">
      <c r="A39" s="69">
        <v>6</v>
      </c>
      <c r="B39" s="62" t="s">
        <v>253</v>
      </c>
      <c r="C39" s="62"/>
      <c r="D39" s="62"/>
      <c r="E39" s="67"/>
      <c r="F39" s="67"/>
    </row>
    <row r="40" spans="1:6" s="66" customFormat="1" ht="12.75">
      <c r="A40" s="69"/>
      <c r="C40" s="62"/>
      <c r="D40" s="62"/>
      <c r="E40" s="67"/>
      <c r="F40" s="67"/>
    </row>
    <row r="41" spans="1:6" s="66" customFormat="1" ht="12.75">
      <c r="A41" s="69"/>
      <c r="B41" s="66" t="s">
        <v>137</v>
      </c>
      <c r="C41" s="62"/>
      <c r="D41" s="62"/>
      <c r="E41" s="67"/>
      <c r="F41" s="67"/>
    </row>
    <row r="42" spans="1:6" s="66" customFormat="1" ht="12.75">
      <c r="A42" s="69"/>
      <c r="B42" s="66" t="s">
        <v>287</v>
      </c>
      <c r="C42" s="62"/>
      <c r="D42" s="62"/>
      <c r="E42" s="67"/>
      <c r="F42" s="67"/>
    </row>
    <row r="43" spans="1:6" s="66" customFormat="1" ht="12.75">
      <c r="A43" s="69"/>
      <c r="B43" s="66" t="s">
        <v>338</v>
      </c>
      <c r="C43" s="62"/>
      <c r="D43" s="62"/>
      <c r="E43" s="67"/>
      <c r="F43" s="67"/>
    </row>
    <row r="44" spans="1:6" s="66" customFormat="1" ht="12.75">
      <c r="A44" s="69"/>
      <c r="B44" s="62"/>
      <c r="C44" s="62"/>
      <c r="D44" s="62"/>
      <c r="E44" s="67"/>
      <c r="F44" s="67"/>
    </row>
    <row r="45" spans="1:6" s="66" customFormat="1" ht="12.75">
      <c r="A45" s="69">
        <v>7</v>
      </c>
      <c r="B45" s="62" t="s">
        <v>181</v>
      </c>
      <c r="C45" s="62"/>
      <c r="D45" s="62"/>
      <c r="E45" s="67"/>
      <c r="F45" s="67"/>
    </row>
    <row r="46" spans="1:6" s="66" customFormat="1" ht="12.75">
      <c r="A46" s="69"/>
      <c r="B46" s="62"/>
      <c r="C46" s="62"/>
      <c r="D46" s="62"/>
      <c r="E46" s="67"/>
      <c r="F46" s="67"/>
    </row>
    <row r="47" spans="1:6" s="66" customFormat="1" ht="12.75">
      <c r="A47" s="68"/>
      <c r="B47" t="s">
        <v>323</v>
      </c>
      <c r="E47" s="67"/>
      <c r="F47" s="67"/>
    </row>
    <row r="48" spans="1:6" s="66" customFormat="1" ht="12.75">
      <c r="A48" s="68"/>
      <c r="B48" s="223"/>
      <c r="E48" s="67"/>
      <c r="F48" s="67"/>
    </row>
    <row r="49" spans="1:6" s="66" customFormat="1" ht="12.75">
      <c r="A49" s="256"/>
      <c r="B49" s="256"/>
      <c r="C49" s="256"/>
      <c r="D49" s="256"/>
      <c r="E49" s="256"/>
      <c r="F49" s="256"/>
    </row>
    <row r="50" spans="1:6" s="66" customFormat="1" ht="12.75">
      <c r="A50" s="254" t="s">
        <v>252</v>
      </c>
      <c r="B50" s="254"/>
      <c r="C50" s="254"/>
      <c r="D50" s="254"/>
      <c r="E50" s="254"/>
      <c r="F50" s="254"/>
    </row>
    <row r="51" spans="1:6" s="66" customFormat="1" ht="12.75">
      <c r="A51" s="91"/>
      <c r="B51" s="91"/>
      <c r="C51" s="91"/>
      <c r="D51" s="91"/>
      <c r="E51" s="91"/>
      <c r="F51" s="91"/>
    </row>
    <row r="52" spans="1:6" s="66" customFormat="1" ht="12.75">
      <c r="A52"/>
      <c r="B52"/>
      <c r="C52"/>
      <c r="D52"/>
      <c r="E52"/>
      <c r="F52"/>
    </row>
    <row r="53" spans="1:6" s="66" customFormat="1" ht="12.75">
      <c r="A53"/>
      <c r="B53"/>
      <c r="C53"/>
      <c r="D53"/>
      <c r="E53"/>
      <c r="F53"/>
    </row>
    <row r="54" spans="1:6" s="66" customFormat="1" ht="12.75">
      <c r="A54" s="138"/>
      <c r="B54" s="138"/>
      <c r="C54" s="138"/>
      <c r="D54" s="138"/>
      <c r="E54" s="138"/>
      <c r="F54" s="138"/>
    </row>
    <row r="55" spans="1:6" s="66" customFormat="1" ht="15.75">
      <c r="A55" s="239" t="s">
        <v>151</v>
      </c>
      <c r="B55" s="249"/>
      <c r="C55" s="249"/>
      <c r="D55" s="249"/>
      <c r="E55" s="249"/>
      <c r="F55" s="250"/>
    </row>
    <row r="56" spans="1:6" s="66" customFormat="1" ht="12.75">
      <c r="A56" s="251" t="s">
        <v>245</v>
      </c>
      <c r="B56" s="252"/>
      <c r="C56" s="252"/>
      <c r="D56" s="252"/>
      <c r="E56" s="252"/>
      <c r="F56" s="253"/>
    </row>
    <row r="57" spans="1:6" s="66" customFormat="1" ht="12.75">
      <c r="A57" s="138"/>
      <c r="B57" s="138"/>
      <c r="C57" s="138"/>
      <c r="D57" s="138"/>
      <c r="E57" s="138"/>
      <c r="F57" s="138"/>
    </row>
    <row r="58" spans="1:6" s="66" customFormat="1" ht="12.75">
      <c r="A58" s="69"/>
      <c r="B58" s="62"/>
      <c r="C58" s="62"/>
      <c r="D58" s="62"/>
      <c r="E58" s="67"/>
      <c r="F58" s="67"/>
    </row>
    <row r="59" spans="1:6" s="66" customFormat="1" ht="12.75">
      <c r="A59" s="69">
        <v>8</v>
      </c>
      <c r="B59" s="62" t="s">
        <v>272</v>
      </c>
      <c r="C59" s="62"/>
      <c r="D59" s="62"/>
      <c r="E59" s="67"/>
      <c r="F59" s="67"/>
    </row>
    <row r="60" spans="1:6" s="66" customFormat="1" ht="12.75">
      <c r="A60" s="69"/>
      <c r="B60" s="62"/>
      <c r="C60" s="62"/>
      <c r="D60" s="62"/>
      <c r="E60" s="67"/>
      <c r="F60" s="67"/>
    </row>
    <row r="61" spans="1:6" s="66" customFormat="1" ht="12.75">
      <c r="A61" s="69"/>
      <c r="B61" s="62" t="s">
        <v>0</v>
      </c>
      <c r="C61" s="62"/>
      <c r="D61"/>
      <c r="E61"/>
      <c r="F61"/>
    </row>
    <row r="62" spans="1:6" s="66" customFormat="1" ht="12.75">
      <c r="A62" s="69"/>
      <c r="B62" s="52"/>
      <c r="C62" s="54"/>
      <c r="D62" s="82" t="s">
        <v>166</v>
      </c>
      <c r="E62" s="79" t="s">
        <v>118</v>
      </c>
      <c r="F62"/>
    </row>
    <row r="63" spans="1:6" s="66" customFormat="1" ht="12.75">
      <c r="A63" s="69"/>
      <c r="B63" s="55"/>
      <c r="C63" s="13"/>
      <c r="D63" s="85"/>
      <c r="E63" s="86" t="s">
        <v>119</v>
      </c>
      <c r="F63"/>
    </row>
    <row r="64" spans="1:6" s="66" customFormat="1" ht="12.75">
      <c r="A64" s="69"/>
      <c r="B64" s="55"/>
      <c r="C64" s="13"/>
      <c r="D64" s="85"/>
      <c r="E64" s="86" t="s">
        <v>164</v>
      </c>
      <c r="F64"/>
    </row>
    <row r="65" spans="1:6" s="66" customFormat="1" ht="12.75">
      <c r="A65" s="69"/>
      <c r="B65" s="53"/>
      <c r="C65" s="164"/>
      <c r="D65" s="83" t="s">
        <v>255</v>
      </c>
      <c r="E65" s="84" t="s">
        <v>255</v>
      </c>
      <c r="F65"/>
    </row>
    <row r="66" spans="1:6" s="66" customFormat="1" ht="12.75">
      <c r="A66" s="69"/>
      <c r="B66" s="163" t="s">
        <v>241</v>
      </c>
      <c r="C66" s="165"/>
      <c r="D66" s="93">
        <v>3062</v>
      </c>
      <c r="E66" s="93">
        <v>-460</v>
      </c>
      <c r="F66"/>
    </row>
    <row r="67" spans="1:6" s="66" customFormat="1" ht="12.75">
      <c r="A67" s="69"/>
      <c r="B67" s="80" t="s">
        <v>242</v>
      </c>
      <c r="C67" s="166"/>
      <c r="D67" s="7">
        <v>1793</v>
      </c>
      <c r="E67" s="7">
        <v>180</v>
      </c>
      <c r="F67"/>
    </row>
    <row r="68" spans="1:6" s="66" customFormat="1" ht="12.75">
      <c r="A68" s="69"/>
      <c r="B68" s="80" t="s">
        <v>128</v>
      </c>
      <c r="C68" s="166"/>
      <c r="D68" s="7">
        <v>234792</v>
      </c>
      <c r="E68" s="7">
        <v>33296</v>
      </c>
      <c r="F68"/>
    </row>
    <row r="69" spans="1:6" s="66" customFormat="1" ht="12.75">
      <c r="A69" s="69"/>
      <c r="B69" s="80" t="s">
        <v>243</v>
      </c>
      <c r="C69" s="166"/>
      <c r="D69" s="7">
        <v>12295</v>
      </c>
      <c r="E69" s="7">
        <v>-3548</v>
      </c>
      <c r="F69"/>
    </row>
    <row r="70" spans="1:6" s="66" customFormat="1" ht="12.75">
      <c r="A70" s="69"/>
      <c r="B70" s="80" t="s">
        <v>72</v>
      </c>
      <c r="C70" s="166"/>
      <c r="D70" s="7">
        <v>0</v>
      </c>
      <c r="E70" s="7">
        <v>-4638</v>
      </c>
      <c r="F70"/>
    </row>
    <row r="71" spans="1:6" s="66" customFormat="1" ht="12.75">
      <c r="A71" s="69"/>
      <c r="B71" s="80" t="s">
        <v>240</v>
      </c>
      <c r="C71" s="166"/>
      <c r="D71" s="7">
        <v>1465</v>
      </c>
      <c r="E71" s="7">
        <v>280</v>
      </c>
      <c r="F71"/>
    </row>
    <row r="72" spans="1:6" s="66" customFormat="1" ht="12.75">
      <c r="A72" s="69"/>
      <c r="B72" s="80" t="s">
        <v>191</v>
      </c>
      <c r="C72" s="166"/>
      <c r="D72" s="7">
        <v>0</v>
      </c>
      <c r="E72" s="191">
        <v>-478</v>
      </c>
      <c r="F72"/>
    </row>
    <row r="73" spans="1:6" s="66" customFormat="1" ht="12.75">
      <c r="A73" s="69"/>
      <c r="B73" s="87" t="s">
        <v>160</v>
      </c>
      <c r="C73" s="167"/>
      <c r="D73" s="88">
        <f>SUM(D66:D72)</f>
        <v>253407</v>
      </c>
      <c r="E73" s="88">
        <f>SUM(E66:E72)</f>
        <v>24632</v>
      </c>
      <c r="F73"/>
    </row>
    <row r="74" spans="1:6" s="66" customFormat="1" ht="12.75">
      <c r="A74" s="69"/>
      <c r="B74"/>
      <c r="C74"/>
      <c r="D74"/>
      <c r="E74"/>
      <c r="F74"/>
    </row>
    <row r="75" spans="1:6" s="66" customFormat="1" ht="12.75">
      <c r="A75" s="69"/>
      <c r="B75" s="62" t="s">
        <v>1</v>
      </c>
      <c r="C75" s="62"/>
      <c r="D75"/>
      <c r="E75"/>
      <c r="F75"/>
    </row>
    <row r="76" spans="1:6" s="66" customFormat="1" ht="12.75">
      <c r="A76" s="69"/>
      <c r="B76" s="52"/>
      <c r="C76" s="54"/>
      <c r="D76" s="82" t="s">
        <v>166</v>
      </c>
      <c r="E76" s="79" t="s">
        <v>118</v>
      </c>
      <c r="F76"/>
    </row>
    <row r="77" spans="1:6" s="66" customFormat="1" ht="12.75">
      <c r="A77" s="69"/>
      <c r="B77" s="55"/>
      <c r="C77" s="13"/>
      <c r="D77" s="85"/>
      <c r="E77" s="86" t="s">
        <v>119</v>
      </c>
      <c r="F77"/>
    </row>
    <row r="78" spans="1:6" s="66" customFormat="1" ht="12.75">
      <c r="A78" s="69"/>
      <c r="B78" s="55"/>
      <c r="C78" s="13"/>
      <c r="D78" s="85"/>
      <c r="E78" s="86" t="s">
        <v>164</v>
      </c>
      <c r="F78"/>
    </row>
    <row r="79" spans="1:6" s="66" customFormat="1" ht="12.75">
      <c r="A79" s="69"/>
      <c r="B79" s="53"/>
      <c r="C79" s="164"/>
      <c r="D79" s="83" t="s">
        <v>255</v>
      </c>
      <c r="E79" s="84" t="s">
        <v>255</v>
      </c>
      <c r="F79"/>
    </row>
    <row r="80" spans="1:6" s="66" customFormat="1" ht="12.75">
      <c r="A80" s="69"/>
      <c r="B80" s="163" t="s">
        <v>2</v>
      </c>
      <c r="C80" s="165"/>
      <c r="D80" s="93">
        <v>238390</v>
      </c>
      <c r="E80" s="93">
        <v>25263</v>
      </c>
      <c r="F80"/>
    </row>
    <row r="81" spans="1:6" s="66" customFormat="1" ht="12.75">
      <c r="A81" s="69"/>
      <c r="B81" s="80" t="s">
        <v>3</v>
      </c>
      <c r="C81" s="166"/>
      <c r="D81" s="7">
        <v>14202</v>
      </c>
      <c r="E81" s="7">
        <v>213</v>
      </c>
      <c r="F81"/>
    </row>
    <row r="82" spans="1:6" s="66" customFormat="1" ht="12.75">
      <c r="A82" s="69"/>
      <c r="B82" s="80" t="s">
        <v>4</v>
      </c>
      <c r="C82" s="166"/>
      <c r="D82" s="7">
        <v>815</v>
      </c>
      <c r="E82" s="7">
        <v>-844</v>
      </c>
      <c r="F82"/>
    </row>
    <row r="83" spans="1:6" s="66" customFormat="1" ht="12.75">
      <c r="A83" s="69"/>
      <c r="B83" s="87" t="s">
        <v>160</v>
      </c>
      <c r="C83" s="167"/>
      <c r="D83" s="88">
        <f>SUM(D78:D82)</f>
        <v>253407</v>
      </c>
      <c r="E83" s="88">
        <f>SUM(E78:E82)</f>
        <v>24632</v>
      </c>
      <c r="F83"/>
    </row>
    <row r="84" spans="1:6" s="66" customFormat="1" ht="12.75">
      <c r="A84" s="69"/>
      <c r="B84" s="62"/>
      <c r="C84" s="62"/>
      <c r="D84" s="62"/>
      <c r="E84" s="67"/>
      <c r="F84" s="67"/>
    </row>
    <row r="85" spans="1:6" s="66" customFormat="1" ht="12.75">
      <c r="A85" s="69">
        <v>9</v>
      </c>
      <c r="B85" s="62" t="s">
        <v>182</v>
      </c>
      <c r="C85" s="62"/>
      <c r="D85" s="62"/>
      <c r="E85" s="67"/>
      <c r="F85" s="67"/>
    </row>
    <row r="86" spans="1:6" s="66" customFormat="1" ht="12.75">
      <c r="A86" s="69"/>
      <c r="B86" s="62"/>
      <c r="C86" s="62"/>
      <c r="D86" s="62"/>
      <c r="E86" s="67"/>
      <c r="F86" s="67"/>
    </row>
    <row r="87" spans="1:6" s="66" customFormat="1" ht="12.75">
      <c r="A87" s="69"/>
      <c r="B87" s="66" t="s">
        <v>35</v>
      </c>
      <c r="C87" s="62"/>
      <c r="D87" s="62"/>
      <c r="E87" s="67"/>
      <c r="F87" s="67"/>
    </row>
    <row r="88" spans="1:6" s="66" customFormat="1" ht="12.75">
      <c r="A88" s="69"/>
      <c r="B88" s="66" t="s">
        <v>297</v>
      </c>
      <c r="C88" s="62"/>
      <c r="D88" s="62"/>
      <c r="E88" s="67"/>
      <c r="F88" s="67"/>
    </row>
    <row r="89" spans="1:6" s="66" customFormat="1" ht="12.75">
      <c r="A89" s="69"/>
      <c r="B89" s="62"/>
      <c r="C89" s="62"/>
      <c r="D89" s="62"/>
      <c r="E89" s="67"/>
      <c r="F89" s="67"/>
    </row>
    <row r="90" spans="1:6" s="66" customFormat="1" ht="12.75">
      <c r="A90" s="69">
        <v>10</v>
      </c>
      <c r="B90" s="150" t="s">
        <v>130</v>
      </c>
      <c r="C90" s="62"/>
      <c r="D90" s="62"/>
      <c r="E90" s="67"/>
      <c r="F90" s="67"/>
    </row>
    <row r="91" spans="1:6" s="66" customFormat="1" ht="12.75">
      <c r="A91" s="69"/>
      <c r="B91" s="150"/>
      <c r="C91" s="62"/>
      <c r="D91" s="62"/>
      <c r="E91" s="67"/>
      <c r="F91" s="67"/>
    </row>
    <row r="92" spans="1:6" s="66" customFormat="1" ht="12.75">
      <c r="A92" s="69"/>
      <c r="B92" s="232" t="s">
        <v>321</v>
      </c>
      <c r="C92" s="62"/>
      <c r="D92" s="62"/>
      <c r="E92" s="67"/>
      <c r="F92" s="67"/>
    </row>
    <row r="93" spans="1:6" s="66" customFormat="1" ht="12.75">
      <c r="A93" s="69"/>
      <c r="B93" s="170" t="s">
        <v>322</v>
      </c>
      <c r="E93" s="64"/>
      <c r="F93" s="64"/>
    </row>
    <row r="94" spans="1:6" s="66" customFormat="1" ht="12.75">
      <c r="A94" s="69"/>
      <c r="B94" s="170" t="s">
        <v>318</v>
      </c>
      <c r="E94" s="64"/>
      <c r="F94" s="64"/>
    </row>
    <row r="95" spans="1:6" s="66" customFormat="1" ht="12.75">
      <c r="A95" s="69"/>
      <c r="B95" s="170" t="s">
        <v>320</v>
      </c>
      <c r="E95" s="64"/>
      <c r="F95" s="64"/>
    </row>
    <row r="96" spans="1:6" s="66" customFormat="1" ht="12.75">
      <c r="A96" s="69"/>
      <c r="B96" s="170" t="s">
        <v>319</v>
      </c>
      <c r="E96" s="64"/>
      <c r="F96" s="64"/>
    </row>
    <row r="97" spans="1:6" s="66" customFormat="1" ht="12.75">
      <c r="A97" s="69"/>
      <c r="B97" s="62"/>
      <c r="C97" s="62"/>
      <c r="D97" s="62"/>
      <c r="E97" s="67"/>
      <c r="F97" s="67"/>
    </row>
    <row r="98" spans="1:6" s="66" customFormat="1" ht="12.75">
      <c r="A98" s="69">
        <v>11</v>
      </c>
      <c r="B98" s="62" t="s">
        <v>250</v>
      </c>
      <c r="C98" s="62"/>
      <c r="D98" s="62"/>
      <c r="E98" s="67"/>
      <c r="F98" s="67"/>
    </row>
    <row r="99" spans="1:6" s="66" customFormat="1" ht="12.75">
      <c r="A99" s="69"/>
      <c r="B99" s="62"/>
      <c r="C99" s="62"/>
      <c r="D99" s="62"/>
      <c r="E99" s="67"/>
      <c r="F99" s="67"/>
    </row>
    <row r="100" spans="1:6" s="66" customFormat="1" ht="12.75">
      <c r="A100" s="69"/>
      <c r="B100" s="151" t="s">
        <v>148</v>
      </c>
      <c r="C100" s="62"/>
      <c r="D100" s="62"/>
      <c r="E100" s="67"/>
      <c r="F100" s="67"/>
    </row>
    <row r="101" spans="1:6" s="66" customFormat="1" ht="12.75">
      <c r="A101" s="69"/>
      <c r="B101" s="151" t="s">
        <v>298</v>
      </c>
      <c r="C101" s="62"/>
      <c r="D101" s="62"/>
      <c r="E101" s="67"/>
      <c r="F101" s="67"/>
    </row>
    <row r="102" spans="1:6" s="66" customFormat="1" ht="12.75">
      <c r="A102" s="69"/>
      <c r="B102" s="62"/>
      <c r="C102" s="62"/>
      <c r="D102" s="62"/>
      <c r="E102" s="67"/>
      <c r="F102" s="67"/>
    </row>
    <row r="103" spans="1:6" s="66" customFormat="1" ht="12.75">
      <c r="A103" s="69">
        <v>12</v>
      </c>
      <c r="B103" s="62" t="s">
        <v>183</v>
      </c>
      <c r="C103" s="62"/>
      <c r="D103" s="62"/>
      <c r="E103" s="67"/>
      <c r="F103" s="67"/>
    </row>
    <row r="104" spans="1:6" s="66" customFormat="1" ht="12.75">
      <c r="A104" s="69"/>
      <c r="C104" s="62"/>
      <c r="D104" s="62"/>
      <c r="E104" s="67"/>
      <c r="F104" s="67"/>
    </row>
    <row r="105" spans="1:6" s="66" customFormat="1" ht="12.75">
      <c r="A105" s="69"/>
      <c r="B105" s="66" t="s">
        <v>284</v>
      </c>
      <c r="C105" s="62"/>
      <c r="D105" s="62"/>
      <c r="E105" s="67"/>
      <c r="F105" s="67"/>
    </row>
    <row r="106" spans="1:6" s="66" customFormat="1" ht="12.75">
      <c r="A106" s="69"/>
      <c r="B106" s="62"/>
      <c r="C106" s="62"/>
      <c r="D106" s="62"/>
      <c r="E106" s="67"/>
      <c r="F106" s="67"/>
    </row>
    <row r="107" spans="1:6" s="66" customFormat="1" ht="12.75">
      <c r="A107" s="254" t="s">
        <v>273</v>
      </c>
      <c r="B107" s="254"/>
      <c r="C107" s="254"/>
      <c r="D107" s="254"/>
      <c r="E107" s="254"/>
      <c r="F107" s="254"/>
    </row>
    <row r="108" spans="1:6" s="66" customFormat="1" ht="12.75">
      <c r="A108" s="91"/>
      <c r="B108" s="91"/>
      <c r="C108" s="91"/>
      <c r="D108" s="91"/>
      <c r="E108" s="91"/>
      <c r="F108" s="91"/>
    </row>
    <row r="109" spans="1:6" s="66" customFormat="1" ht="15.75">
      <c r="A109" s="239" t="s">
        <v>151</v>
      </c>
      <c r="B109" s="249"/>
      <c r="C109" s="249"/>
      <c r="D109" s="249"/>
      <c r="E109" s="249"/>
      <c r="F109" s="250"/>
    </row>
    <row r="110" spans="1:6" s="66" customFormat="1" ht="12.75">
      <c r="A110" s="251" t="s">
        <v>245</v>
      </c>
      <c r="B110" s="252"/>
      <c r="C110" s="252"/>
      <c r="D110" s="252"/>
      <c r="E110" s="252"/>
      <c r="F110" s="253"/>
    </row>
    <row r="111" spans="1:6" s="66" customFormat="1" ht="12.75">
      <c r="A111" s="69"/>
      <c r="B111" s="62"/>
      <c r="C111" s="62"/>
      <c r="D111" s="62"/>
      <c r="E111" s="67"/>
      <c r="F111" s="67"/>
    </row>
    <row r="112" spans="1:6" s="66" customFormat="1" ht="12.75">
      <c r="A112" s="69"/>
      <c r="B112" s="62" t="s">
        <v>236</v>
      </c>
      <c r="C112" s="62"/>
      <c r="D112" s="62"/>
      <c r="E112" s="67"/>
      <c r="F112" s="67"/>
    </row>
    <row r="113" spans="1:6" s="66" customFormat="1" ht="12.75">
      <c r="A113" s="69"/>
      <c r="B113" s="62" t="s">
        <v>237</v>
      </c>
      <c r="C113" s="62"/>
      <c r="D113" s="62"/>
      <c r="E113" s="67"/>
      <c r="F113" s="67"/>
    </row>
    <row r="114" spans="1:6" s="66" customFormat="1" ht="12.75">
      <c r="A114" s="69"/>
      <c r="B114" s="62"/>
      <c r="C114" s="62"/>
      <c r="D114" s="62"/>
      <c r="E114" s="67"/>
      <c r="F114" s="67"/>
    </row>
    <row r="115" spans="1:6" s="66" customFormat="1" ht="12.75">
      <c r="A115" s="69">
        <v>13</v>
      </c>
      <c r="B115" s="62" t="s">
        <v>274</v>
      </c>
      <c r="C115" s="62"/>
      <c r="D115" s="62"/>
      <c r="E115" s="67"/>
      <c r="F115" s="67"/>
    </row>
    <row r="116" spans="1:6" s="66" customFormat="1" ht="12.75">
      <c r="A116" s="69"/>
      <c r="B116"/>
      <c r="C116" s="62"/>
      <c r="D116" s="62"/>
      <c r="E116" s="67"/>
      <c r="F116" s="67"/>
    </row>
    <row r="117" spans="1:6" s="66" customFormat="1" ht="12.75">
      <c r="A117" s="69"/>
      <c r="B117" t="s">
        <v>139</v>
      </c>
      <c r="C117" s="62"/>
      <c r="D117" s="62"/>
      <c r="E117" s="67"/>
      <c r="F117" s="67"/>
    </row>
    <row r="118" spans="1:6" s="66" customFormat="1" ht="12.75">
      <c r="A118" s="69"/>
      <c r="B118" t="s">
        <v>324</v>
      </c>
      <c r="C118" s="62"/>
      <c r="D118" s="62"/>
      <c r="E118" s="67"/>
      <c r="F118" s="67"/>
    </row>
    <row r="119" spans="1:6" s="66" customFormat="1" ht="12.75">
      <c r="A119" s="69"/>
      <c r="B119" t="s">
        <v>77</v>
      </c>
      <c r="C119" s="62"/>
      <c r="D119" s="62"/>
      <c r="E119" s="67"/>
      <c r="F119" s="67"/>
    </row>
    <row r="120" spans="1:6" s="66" customFormat="1" ht="12.75">
      <c r="A120" s="69"/>
      <c r="B120" s="62"/>
      <c r="C120" s="62"/>
      <c r="D120" s="62"/>
      <c r="E120" s="67"/>
      <c r="F120" s="67"/>
    </row>
    <row r="121" spans="1:6" s="66" customFormat="1" ht="12.75">
      <c r="A121" s="69">
        <v>14</v>
      </c>
      <c r="B121" s="62" t="s">
        <v>69</v>
      </c>
      <c r="C121" s="62"/>
      <c r="D121" s="62"/>
      <c r="E121" s="67"/>
      <c r="F121" s="67"/>
    </row>
    <row r="122" spans="1:6" s="66" customFormat="1" ht="12.75">
      <c r="A122"/>
      <c r="B122"/>
      <c r="C122" s="62"/>
      <c r="D122" s="62"/>
      <c r="E122" s="67"/>
      <c r="F122" s="67"/>
    </row>
    <row r="123" spans="1:6" s="66" customFormat="1" ht="12.75">
      <c r="A123"/>
      <c r="B123" t="s">
        <v>140</v>
      </c>
      <c r="C123" s="62"/>
      <c r="D123" s="62"/>
      <c r="E123" s="67"/>
      <c r="F123" s="67"/>
    </row>
    <row r="124" spans="1:6" s="66" customFormat="1" ht="12.75">
      <c r="A124"/>
      <c r="B124" t="s">
        <v>341</v>
      </c>
      <c r="C124" s="62"/>
      <c r="D124" s="62"/>
      <c r="E124" s="67"/>
      <c r="F124" s="67"/>
    </row>
    <row r="125" spans="1:6" s="66" customFormat="1" ht="12.75">
      <c r="A125"/>
      <c r="B125" t="s">
        <v>337</v>
      </c>
      <c r="C125" s="62"/>
      <c r="D125" s="62"/>
      <c r="E125" s="67"/>
      <c r="F125" s="67"/>
    </row>
    <row r="126" spans="1:6" s="66" customFormat="1" ht="12.75">
      <c r="A126" s="69"/>
      <c r="B126" s="62"/>
      <c r="C126" s="62"/>
      <c r="D126" s="62"/>
      <c r="E126" s="67"/>
      <c r="F126" s="67"/>
    </row>
    <row r="127" spans="1:6" s="66" customFormat="1" ht="12.75">
      <c r="A127" s="69">
        <v>15</v>
      </c>
      <c r="B127" s="62" t="s">
        <v>275</v>
      </c>
      <c r="C127" s="62"/>
      <c r="D127" s="62"/>
      <c r="E127" s="67"/>
      <c r="F127" s="67"/>
    </row>
    <row r="128" spans="1:6" s="66" customFormat="1" ht="12.75">
      <c r="A128" s="69"/>
      <c r="B128" s="62"/>
      <c r="C128" s="62"/>
      <c r="D128" s="62"/>
      <c r="E128" s="67"/>
      <c r="F128" s="67"/>
    </row>
    <row r="129" spans="1:6" s="66" customFormat="1" ht="12.75">
      <c r="A129" s="69"/>
      <c r="B129" s="66" t="s">
        <v>120</v>
      </c>
      <c r="C129" s="62"/>
      <c r="D129" s="62"/>
      <c r="E129" s="67"/>
      <c r="F129" s="67"/>
    </row>
    <row r="130" spans="1:6" s="66" customFormat="1" ht="12.75">
      <c r="A130" s="69"/>
      <c r="B130" s="66" t="s">
        <v>336</v>
      </c>
      <c r="D130" s="62"/>
      <c r="E130" s="67"/>
      <c r="F130" s="67"/>
    </row>
    <row r="131" spans="1:6" s="66" customFormat="1" ht="12.75">
      <c r="A131" s="69"/>
      <c r="B131" s="66" t="s">
        <v>325</v>
      </c>
      <c r="D131" s="62"/>
      <c r="E131" s="67"/>
      <c r="F131" s="67"/>
    </row>
    <row r="132" spans="1:6" s="66" customFormat="1" ht="12.75">
      <c r="A132" s="69"/>
      <c r="C132"/>
      <c r="D132"/>
      <c r="E132"/>
      <c r="F132"/>
    </row>
    <row r="133" spans="1:6" s="66" customFormat="1" ht="12.75">
      <c r="A133" s="69"/>
      <c r="B133" s="66" t="s">
        <v>138</v>
      </c>
      <c r="C133"/>
      <c r="D133"/>
      <c r="E133"/>
      <c r="F133"/>
    </row>
    <row r="134" spans="1:6" s="66" customFormat="1" ht="12.75">
      <c r="A134" s="69"/>
      <c r="B134" s="66" t="s">
        <v>70</v>
      </c>
      <c r="C134"/>
      <c r="D134"/>
      <c r="E134"/>
      <c r="F134"/>
    </row>
    <row r="135" spans="1:6" s="66" customFormat="1" ht="12.75">
      <c r="A135" s="69"/>
      <c r="B135" s="66" t="s">
        <v>122</v>
      </c>
      <c r="C135"/>
      <c r="D135"/>
      <c r="E135"/>
      <c r="F135"/>
    </row>
    <row r="136" spans="1:6" s="66" customFormat="1" ht="12.75">
      <c r="A136" s="69"/>
      <c r="B136" s="66" t="s">
        <v>299</v>
      </c>
      <c r="C136"/>
      <c r="D136"/>
      <c r="E136"/>
      <c r="F136"/>
    </row>
    <row r="137" spans="1:6" s="66" customFormat="1" ht="12.75">
      <c r="A137" s="69"/>
      <c r="C137"/>
      <c r="D137"/>
      <c r="E137"/>
      <c r="F137"/>
    </row>
    <row r="138" spans="1:6" s="66" customFormat="1" ht="12.75">
      <c r="A138" s="69">
        <v>16</v>
      </c>
      <c r="B138" s="62" t="s">
        <v>276</v>
      </c>
      <c r="C138"/>
      <c r="D138"/>
      <c r="E138"/>
      <c r="F138"/>
    </row>
    <row r="139" spans="1:6" s="66" customFormat="1" ht="12.75">
      <c r="A139" s="69"/>
      <c r="B139"/>
      <c r="C139"/>
      <c r="D139"/>
      <c r="E139"/>
      <c r="F139"/>
    </row>
    <row r="140" spans="1:6" s="66" customFormat="1" ht="12.75">
      <c r="A140" s="69"/>
      <c r="B140" t="s">
        <v>315</v>
      </c>
      <c r="C140"/>
      <c r="D140"/>
      <c r="E140"/>
      <c r="F140"/>
    </row>
    <row r="141" spans="1:6" s="66" customFormat="1" ht="12.75">
      <c r="A141" s="69"/>
      <c r="C141"/>
      <c r="D141"/>
      <c r="E141"/>
      <c r="F141"/>
    </row>
    <row r="142" spans="1:6" s="66" customFormat="1" ht="12.75">
      <c r="A142" s="68"/>
      <c r="E142" s="67"/>
      <c r="F142" s="67"/>
    </row>
    <row r="143" spans="1:6" s="62" customFormat="1" ht="12.75">
      <c r="A143" s="69">
        <v>17</v>
      </c>
      <c r="B143" s="62" t="s">
        <v>164</v>
      </c>
      <c r="C143" s="62" t="s">
        <v>136</v>
      </c>
      <c r="E143" s="149" t="s">
        <v>135</v>
      </c>
      <c r="F143" s="67"/>
    </row>
    <row r="144" spans="1:6" s="66" customFormat="1" ht="14.25" customHeight="1">
      <c r="A144" s="68"/>
      <c r="C144" s="194">
        <v>37711</v>
      </c>
      <c r="D144" s="194">
        <v>37346</v>
      </c>
      <c r="E144" s="194">
        <v>37711</v>
      </c>
      <c r="F144" s="194">
        <v>37346</v>
      </c>
    </row>
    <row r="145" spans="1:6" s="66" customFormat="1" ht="12.75">
      <c r="A145" s="68"/>
      <c r="C145" s="149" t="s">
        <v>189</v>
      </c>
      <c r="D145" s="149" t="s">
        <v>189</v>
      </c>
      <c r="E145" s="149" t="s">
        <v>189</v>
      </c>
      <c r="F145" s="149" t="s">
        <v>189</v>
      </c>
    </row>
    <row r="146" spans="1:6" s="66" customFormat="1" ht="12.75">
      <c r="A146" s="68"/>
      <c r="D146"/>
      <c r="E146" s="152"/>
      <c r="F146" s="67"/>
    </row>
    <row r="147" spans="1:6" s="66" customFormat="1" ht="12.75">
      <c r="A147" s="68"/>
      <c r="B147" s="66" t="s">
        <v>283</v>
      </c>
      <c r="C147" s="212">
        <f>E147</f>
        <v>-44</v>
      </c>
      <c r="D147" s="212">
        <f>F147</f>
        <v>-3764</v>
      </c>
      <c r="E147" s="216">
        <v>-44</v>
      </c>
      <c r="F147" s="218">
        <v>-3764</v>
      </c>
    </row>
    <row r="148" spans="1:6" s="66" customFormat="1" ht="12.75">
      <c r="A148" s="68"/>
      <c r="C148" s="174"/>
      <c r="D148" s="212"/>
      <c r="E148" s="216"/>
      <c r="F148" s="218"/>
    </row>
    <row r="149" spans="1:6" s="66" customFormat="1" ht="12.75">
      <c r="A149" s="68"/>
      <c r="C149" s="174"/>
      <c r="D149" s="212"/>
      <c r="E149" s="217"/>
      <c r="F149" s="218"/>
    </row>
    <row r="150" spans="1:6" s="66" customFormat="1" ht="12.75">
      <c r="A150" s="68"/>
      <c r="B150" s="66" t="s">
        <v>123</v>
      </c>
      <c r="C150" s="174">
        <f>E150</f>
        <v>0</v>
      </c>
      <c r="D150" s="213">
        <f>F150</f>
        <v>-6100</v>
      </c>
      <c r="E150" s="217">
        <v>0</v>
      </c>
      <c r="F150" s="218">
        <v>-6100</v>
      </c>
    </row>
    <row r="151" spans="1:6" s="66" customFormat="1" ht="12.75">
      <c r="A151" s="68"/>
      <c r="C151" s="174"/>
      <c r="D151" s="214"/>
      <c r="E151" s="219"/>
      <c r="F151" s="218"/>
    </row>
    <row r="152" spans="1:6" s="66" customFormat="1" ht="13.5" thickBot="1">
      <c r="A152" s="68"/>
      <c r="C152" s="220">
        <f>C147+C150</f>
        <v>-44</v>
      </c>
      <c r="D152" s="220">
        <f>D147+D150</f>
        <v>-9864</v>
      </c>
      <c r="E152" s="220">
        <f>E147+E150</f>
        <v>-44</v>
      </c>
      <c r="F152" s="220">
        <f>F147+F150</f>
        <v>-9864</v>
      </c>
    </row>
    <row r="153" spans="1:6" s="66" customFormat="1" ht="13.5" thickTop="1">
      <c r="A153" s="68"/>
      <c r="D153" s="91"/>
      <c r="E153" s="149"/>
      <c r="F153" s="67"/>
    </row>
    <row r="154" spans="1:6" s="66" customFormat="1" ht="12.75">
      <c r="A154" s="68"/>
      <c r="B154" s="66" t="s">
        <v>333</v>
      </c>
      <c r="D154" s="91"/>
      <c r="E154" s="149"/>
      <c r="F154" s="67"/>
    </row>
    <row r="155" spans="1:6" s="66" customFormat="1" ht="12.75">
      <c r="A155" s="68"/>
      <c r="B155" s="66" t="s">
        <v>335</v>
      </c>
      <c r="D155" s="91"/>
      <c r="E155" s="149"/>
      <c r="F155" s="67"/>
    </row>
    <row r="156" spans="1:6" s="66" customFormat="1" ht="12.75">
      <c r="A156" s="68"/>
      <c r="B156" s="66" t="s">
        <v>334</v>
      </c>
      <c r="D156" s="91"/>
      <c r="E156" s="149"/>
      <c r="F156" s="67"/>
    </row>
    <row r="157" spans="1:6" s="66" customFormat="1" ht="12.75">
      <c r="A157" s="68"/>
      <c r="D157" s="91"/>
      <c r="E157" s="149"/>
      <c r="F157" s="67"/>
    </row>
    <row r="158" spans="1:6" s="66" customFormat="1" ht="12.75">
      <c r="A158" s="91" t="s">
        <v>127</v>
      </c>
      <c r="D158" s="91"/>
      <c r="E158" s="149"/>
      <c r="F158" s="67"/>
    </row>
    <row r="159" spans="1:6" s="66" customFormat="1" ht="12.75">
      <c r="A159" s="91"/>
      <c r="D159" s="91"/>
      <c r="E159" s="149"/>
      <c r="F159" s="67"/>
    </row>
    <row r="160" spans="1:6" s="66" customFormat="1" ht="12.75">
      <c r="A160" s="91"/>
      <c r="D160" s="91"/>
      <c r="E160" s="149"/>
      <c r="F160" s="67"/>
    </row>
    <row r="161" spans="1:6" s="66" customFormat="1" ht="15.75">
      <c r="A161" s="239" t="s">
        <v>151</v>
      </c>
      <c r="B161" s="249"/>
      <c r="C161" s="249"/>
      <c r="D161" s="249"/>
      <c r="E161" s="249"/>
      <c r="F161" s="250"/>
    </row>
    <row r="162" spans="1:6" s="66" customFormat="1" ht="12.75">
      <c r="A162" s="251" t="s">
        <v>245</v>
      </c>
      <c r="B162" s="252"/>
      <c r="C162" s="252"/>
      <c r="D162" s="252"/>
      <c r="E162" s="252"/>
      <c r="F162" s="253"/>
    </row>
    <row r="163" spans="1:6" s="66" customFormat="1" ht="12.75">
      <c r="A163" s="68"/>
      <c r="D163" s="91"/>
      <c r="E163" s="149"/>
      <c r="F163" s="67"/>
    </row>
    <row r="164" spans="1:6" s="66" customFormat="1" ht="12.75">
      <c r="A164" s="69">
        <v>18</v>
      </c>
      <c r="B164" s="62" t="s">
        <v>248</v>
      </c>
      <c r="C164" s="62"/>
      <c r="D164" s="62"/>
      <c r="E164" s="67"/>
      <c r="F164" s="67"/>
    </row>
    <row r="165" ht="6" customHeight="1"/>
    <row r="166" ht="12.75">
      <c r="B166" t="s">
        <v>326</v>
      </c>
    </row>
    <row r="167" spans="2:6" ht="12.75">
      <c r="B167" t="s">
        <v>300</v>
      </c>
      <c r="E167" s="65"/>
      <c r="F167" s="65"/>
    </row>
    <row r="168" spans="5:6" ht="12.75">
      <c r="E168" s="65"/>
      <c r="F168" s="65"/>
    </row>
    <row r="169" spans="1:6" ht="12.75">
      <c r="A169" s="50"/>
      <c r="B169" s="63"/>
      <c r="C169" s="63"/>
      <c r="D169" s="63"/>
      <c r="E169" s="64"/>
      <c r="F169" s="64"/>
    </row>
    <row r="170" spans="1:6" ht="12.75">
      <c r="A170" s="69">
        <v>19</v>
      </c>
      <c r="B170" s="62" t="s">
        <v>249</v>
      </c>
      <c r="C170" s="62"/>
      <c r="D170" s="62"/>
      <c r="E170" s="67"/>
      <c r="F170" s="64"/>
    </row>
    <row r="171" spans="1:6" ht="6" customHeight="1">
      <c r="A171" s="68"/>
      <c r="B171" s="62"/>
      <c r="C171" s="62"/>
      <c r="D171" s="62"/>
      <c r="E171" s="67"/>
      <c r="F171" s="64"/>
    </row>
    <row r="172" spans="1:6" ht="12.75">
      <c r="A172" s="68"/>
      <c r="B172" s="66" t="s">
        <v>310</v>
      </c>
      <c r="C172" s="66"/>
      <c r="D172" s="66"/>
      <c r="E172" s="67"/>
      <c r="F172" s="64"/>
    </row>
    <row r="173" spans="1:6" ht="12.75">
      <c r="A173" s="68"/>
      <c r="B173" t="s">
        <v>300</v>
      </c>
      <c r="D173" s="66"/>
      <c r="E173" s="67"/>
      <c r="F173" s="64"/>
    </row>
    <row r="174" spans="1:6" ht="12.75">
      <c r="A174" s="68"/>
      <c r="B174" s="66"/>
      <c r="C174" s="66"/>
      <c r="D174" s="66"/>
      <c r="E174" s="67"/>
      <c r="F174" s="64"/>
    </row>
    <row r="175" spans="1:6" ht="12.75">
      <c r="A175" s="68"/>
      <c r="B175" s="160"/>
      <c r="C175" s="66"/>
      <c r="D175" s="66"/>
      <c r="E175" s="67"/>
      <c r="F175" s="64"/>
    </row>
    <row r="176" spans="1:6" ht="12.75">
      <c r="A176" s="69">
        <v>20</v>
      </c>
      <c r="B176" s="62" t="s">
        <v>251</v>
      </c>
      <c r="C176" s="62"/>
      <c r="D176" s="62"/>
      <c r="E176" s="67"/>
      <c r="F176" s="64"/>
    </row>
    <row r="177" spans="1:6" ht="12.75">
      <c r="A177" s="68"/>
      <c r="B177" s="170" t="s">
        <v>215</v>
      </c>
      <c r="C177" s="66"/>
      <c r="D177" s="66"/>
      <c r="E177" s="67"/>
      <c r="F177" s="64"/>
    </row>
    <row r="178" spans="1:6" ht="12.75">
      <c r="A178" s="159"/>
      <c r="B178" s="170" t="s">
        <v>73</v>
      </c>
      <c r="C178" s="66"/>
      <c r="D178" s="66"/>
      <c r="E178" s="64"/>
      <c r="F178" s="64"/>
    </row>
    <row r="179" spans="1:6" ht="12.75">
      <c r="A179" s="159"/>
      <c r="B179" s="170"/>
      <c r="C179" s="66"/>
      <c r="D179" s="66"/>
      <c r="E179" s="64"/>
      <c r="F179" s="64"/>
    </row>
    <row r="180" spans="1:6" ht="12.75">
      <c r="A180" s="50"/>
      <c r="B180" s="170" t="s">
        <v>74</v>
      </c>
      <c r="C180" s="66"/>
      <c r="D180" s="66"/>
      <c r="E180" s="64"/>
      <c r="F180" s="64"/>
    </row>
    <row r="181" spans="1:6" ht="12.75">
      <c r="A181" s="50"/>
      <c r="B181" s="170" t="s">
        <v>105</v>
      </c>
      <c r="C181" s="66"/>
      <c r="D181" s="66"/>
      <c r="E181" s="64"/>
      <c r="F181" s="64"/>
    </row>
    <row r="182" spans="1:6" ht="12.75">
      <c r="A182" s="50"/>
      <c r="B182" s="170" t="s">
        <v>141</v>
      </c>
      <c r="C182" s="66"/>
      <c r="D182" s="66"/>
      <c r="E182" s="64"/>
      <c r="F182" s="64"/>
    </row>
    <row r="183" spans="1:6" ht="12.75">
      <c r="A183" s="50"/>
      <c r="B183" s="170"/>
      <c r="C183" s="66"/>
      <c r="D183" s="66"/>
      <c r="E183" s="64"/>
      <c r="F183" s="64"/>
    </row>
    <row r="184" spans="1:6" ht="12.75">
      <c r="A184" s="50"/>
      <c r="B184" s="170" t="s">
        <v>316</v>
      </c>
      <c r="C184" s="66"/>
      <c r="D184" s="66"/>
      <c r="E184" s="64"/>
      <c r="F184" s="64"/>
    </row>
    <row r="185" spans="1:6" ht="12.75">
      <c r="A185" s="50"/>
      <c r="B185" s="170" t="s">
        <v>307</v>
      </c>
      <c r="C185" s="66"/>
      <c r="D185" s="66"/>
      <c r="E185" s="64"/>
      <c r="F185" s="64"/>
    </row>
    <row r="186" spans="1:6" ht="12.75">
      <c r="A186" s="50"/>
      <c r="B186" s="170" t="s">
        <v>309</v>
      </c>
      <c r="C186" s="66"/>
      <c r="D186" s="66"/>
      <c r="E186" s="64"/>
      <c r="F186" s="64"/>
    </row>
    <row r="187" spans="1:6" ht="12.75">
      <c r="A187" s="50"/>
      <c r="B187" s="170" t="s">
        <v>308</v>
      </c>
      <c r="C187" s="66"/>
      <c r="D187" s="66"/>
      <c r="E187" s="64"/>
      <c r="F187" s="64"/>
    </row>
    <row r="188" spans="1:6" ht="12.75">
      <c r="A188" s="50"/>
      <c r="B188" s="66"/>
      <c r="C188" s="66"/>
      <c r="D188" s="66"/>
      <c r="E188" s="64"/>
      <c r="F188" s="64"/>
    </row>
    <row r="189" spans="1:6" ht="12.75" hidden="1">
      <c r="A189" s="50"/>
      <c r="B189" s="66"/>
      <c r="C189" s="66"/>
      <c r="D189" s="66"/>
      <c r="E189" s="64"/>
      <c r="F189" s="64"/>
    </row>
    <row r="190" spans="1:6" ht="12.75" hidden="1">
      <c r="A190" s="50"/>
      <c r="B190" s="66"/>
      <c r="C190" s="66"/>
      <c r="D190" s="66"/>
      <c r="E190" s="64"/>
      <c r="F190" s="64"/>
    </row>
    <row r="191" spans="1:6" ht="12.75">
      <c r="A191" s="50"/>
      <c r="B191" s="66"/>
      <c r="C191" s="66"/>
      <c r="D191" s="66"/>
      <c r="E191" s="64"/>
      <c r="F191" s="64"/>
    </row>
    <row r="192" spans="1:6" ht="12.75">
      <c r="A192" s="50"/>
      <c r="B192" s="66"/>
      <c r="C192" s="66"/>
      <c r="D192" s="66"/>
      <c r="E192" s="64"/>
      <c r="F192" s="64"/>
    </row>
    <row r="193" spans="1:6" ht="9" customHeight="1">
      <c r="A193" s="50"/>
      <c r="B193" s="66"/>
      <c r="C193" s="66"/>
      <c r="D193" s="66"/>
      <c r="E193" s="64"/>
      <c r="F193" s="64"/>
    </row>
    <row r="194" spans="1:6" ht="12.75">
      <c r="A194" s="69">
        <v>21</v>
      </c>
      <c r="B194" s="62" t="s">
        <v>254</v>
      </c>
      <c r="C194" s="62"/>
      <c r="D194" s="62"/>
      <c r="E194" s="66"/>
      <c r="F194" s="66"/>
    </row>
    <row r="195" spans="1:6" ht="6.75" customHeight="1">
      <c r="A195" s="66"/>
      <c r="B195" s="66"/>
      <c r="C195" s="66"/>
      <c r="D195" s="66"/>
      <c r="E195" s="66"/>
      <c r="F195" s="66"/>
    </row>
    <row r="196" spans="1:6" ht="12.75">
      <c r="A196" s="66"/>
      <c r="B196" s="66" t="s">
        <v>301</v>
      </c>
      <c r="C196" s="66"/>
      <c r="D196" s="66"/>
      <c r="E196" s="66"/>
      <c r="F196" s="66"/>
    </row>
    <row r="197" spans="1:6" ht="12.75">
      <c r="A197" s="66"/>
      <c r="B197" s="70"/>
      <c r="C197" s="71"/>
      <c r="D197" s="71"/>
      <c r="E197" s="156" t="s">
        <v>132</v>
      </c>
      <c r="F197" s="59"/>
    </row>
    <row r="198" spans="1:6" ht="12.75">
      <c r="A198" s="66"/>
      <c r="B198" s="161"/>
      <c r="C198" s="162"/>
      <c r="D198" s="162"/>
      <c r="E198" s="84" t="s">
        <v>134</v>
      </c>
      <c r="F198" s="84" t="s">
        <v>255</v>
      </c>
    </row>
    <row r="199" spans="1:6" ht="12.75">
      <c r="A199" s="66"/>
      <c r="B199" s="80" t="s">
        <v>260</v>
      </c>
      <c r="C199" s="81"/>
      <c r="D199" s="81"/>
      <c r="E199" s="157"/>
      <c r="F199" s="74"/>
    </row>
    <row r="200" spans="1:6" ht="12.75">
      <c r="A200" s="66"/>
      <c r="B200" s="72" t="s">
        <v>256</v>
      </c>
      <c r="C200" s="73"/>
      <c r="D200" s="73"/>
      <c r="E200" s="168"/>
      <c r="F200" s="75">
        <v>325388</v>
      </c>
    </row>
    <row r="201" spans="1:6" ht="12" customHeight="1">
      <c r="A201" s="66"/>
      <c r="B201" s="72" t="s">
        <v>257</v>
      </c>
      <c r="C201" s="73"/>
      <c r="D201" s="73"/>
      <c r="E201" s="74"/>
      <c r="F201" s="75">
        <v>38824</v>
      </c>
    </row>
    <row r="202" spans="1:6" ht="12" customHeight="1">
      <c r="A202" s="66"/>
      <c r="B202" s="72"/>
      <c r="C202" s="73"/>
      <c r="D202" s="73"/>
      <c r="E202" s="74"/>
      <c r="F202" s="75"/>
    </row>
    <row r="203" spans="1:6" ht="14.25" customHeight="1">
      <c r="A203" s="66"/>
      <c r="B203" s="72" t="s">
        <v>258</v>
      </c>
      <c r="C203" s="73"/>
      <c r="D203" s="73"/>
      <c r="E203" s="74"/>
      <c r="F203" s="172">
        <f>+F200+F201</f>
        <v>364212</v>
      </c>
    </row>
    <row r="204" spans="1:6" ht="14.25" customHeight="1">
      <c r="A204" s="66"/>
      <c r="B204" s="72"/>
      <c r="C204" s="73"/>
      <c r="D204" s="73"/>
      <c r="E204" s="74"/>
      <c r="F204" s="172"/>
    </row>
    <row r="205" spans="1:6" ht="12.75">
      <c r="A205" s="66"/>
      <c r="B205" s="80" t="s">
        <v>259</v>
      </c>
      <c r="C205" s="81"/>
      <c r="D205" s="81"/>
      <c r="E205" s="74"/>
      <c r="F205" s="75"/>
    </row>
    <row r="206" spans="1:6" ht="12.75">
      <c r="A206" s="66"/>
      <c r="B206" s="72" t="s">
        <v>256</v>
      </c>
      <c r="C206" s="73"/>
      <c r="D206" s="73"/>
      <c r="E206" s="74" t="s">
        <v>133</v>
      </c>
      <c r="F206" s="75">
        <v>353149</v>
      </c>
    </row>
    <row r="207" spans="1:6" ht="12.75">
      <c r="A207" s="66"/>
      <c r="B207" s="72"/>
      <c r="C207" s="73"/>
      <c r="D207" s="73"/>
      <c r="E207" s="74" t="s">
        <v>106</v>
      </c>
      <c r="F207" s="75">
        <v>923</v>
      </c>
    </row>
    <row r="208" spans="1:6" ht="12.75">
      <c r="A208" s="66"/>
      <c r="B208" s="72"/>
      <c r="C208" s="73"/>
      <c r="D208" s="73"/>
      <c r="E208" s="74" t="s">
        <v>149</v>
      </c>
      <c r="F208" s="75">
        <f>120000</f>
        <v>120000</v>
      </c>
    </row>
    <row r="209" spans="1:6" ht="12.75">
      <c r="A209" s="66"/>
      <c r="B209" s="72"/>
      <c r="C209" s="73"/>
      <c r="D209" s="73"/>
      <c r="E209" s="74" t="s">
        <v>107</v>
      </c>
      <c r="F209" s="75">
        <v>249</v>
      </c>
    </row>
    <row r="210" spans="1:6" ht="12.75">
      <c r="A210" s="66"/>
      <c r="B210" s="72" t="s">
        <v>257</v>
      </c>
      <c r="C210" s="73"/>
      <c r="D210" s="73"/>
      <c r="E210" s="74" t="s">
        <v>133</v>
      </c>
      <c r="F210" s="75">
        <v>19006</v>
      </c>
    </row>
    <row r="211" spans="1:6" ht="12.75">
      <c r="A211" s="66"/>
      <c r="B211" s="72"/>
      <c r="C211" s="73"/>
      <c r="D211" s="73"/>
      <c r="E211" s="157"/>
      <c r="F211" s="75"/>
    </row>
    <row r="212" spans="1:6" ht="7.5" customHeight="1">
      <c r="A212" s="66"/>
      <c r="B212" s="72"/>
      <c r="C212" s="73"/>
      <c r="D212" s="73"/>
      <c r="E212" s="157"/>
      <c r="F212" s="75"/>
    </row>
    <row r="213" spans="1:6" ht="13.5" thickBot="1">
      <c r="A213" s="66"/>
      <c r="B213" s="72" t="s">
        <v>258</v>
      </c>
      <c r="C213" s="73"/>
      <c r="D213" s="73"/>
      <c r="E213" s="158"/>
      <c r="F213" s="155">
        <f>SUM(F206:F212)</f>
        <v>493327</v>
      </c>
    </row>
    <row r="214" spans="1:6" ht="21" customHeight="1" thickBot="1">
      <c r="A214" s="66"/>
      <c r="B214" s="76" t="s">
        <v>160</v>
      </c>
      <c r="C214" s="77"/>
      <c r="D214" s="77"/>
      <c r="E214" s="77"/>
      <c r="F214" s="78">
        <f>F203+F213</f>
        <v>857539</v>
      </c>
    </row>
    <row r="215" spans="1:6" ht="12.75">
      <c r="A215" s="254" t="s">
        <v>71</v>
      </c>
      <c r="B215" s="254"/>
      <c r="C215" s="254"/>
      <c r="D215" s="254"/>
      <c r="E215" s="254"/>
      <c r="F215" s="254"/>
    </row>
    <row r="216" spans="1:8" ht="12.75">
      <c r="A216" s="254"/>
      <c r="B216" s="254"/>
      <c r="C216" s="254"/>
      <c r="D216" s="254"/>
      <c r="E216" s="254"/>
      <c r="F216" s="254"/>
      <c r="G216" s="91"/>
      <c r="H216" s="91"/>
    </row>
    <row r="219" spans="1:6" ht="15.75">
      <c r="A219" s="239" t="s">
        <v>151</v>
      </c>
      <c r="B219" s="249"/>
      <c r="C219" s="249"/>
      <c r="D219" s="249"/>
      <c r="E219" s="249"/>
      <c r="F219" s="250"/>
    </row>
    <row r="220" spans="1:6" ht="12.75">
      <c r="A220" s="251" t="s">
        <v>245</v>
      </c>
      <c r="B220" s="252"/>
      <c r="C220" s="252"/>
      <c r="D220" s="252"/>
      <c r="E220" s="252"/>
      <c r="F220" s="253"/>
    </row>
    <row r="222" spans="1:6" ht="12.75">
      <c r="A222" s="138"/>
      <c r="B222" s="138"/>
      <c r="C222" s="138"/>
      <c r="D222" s="138"/>
      <c r="E222" s="138"/>
      <c r="F222" s="138"/>
    </row>
    <row r="223" spans="1:6" ht="12.75">
      <c r="A223" s="69">
        <v>22</v>
      </c>
      <c r="B223" s="62" t="s">
        <v>261</v>
      </c>
      <c r="C223" s="62"/>
      <c r="D223" s="66"/>
      <c r="E223" s="66"/>
      <c r="F223" s="66"/>
    </row>
    <row r="224" spans="1:6" ht="12.75">
      <c r="A224" s="68"/>
      <c r="B224" s="66"/>
      <c r="C224" s="66"/>
      <c r="D224" s="66"/>
      <c r="E224" s="66"/>
      <c r="F224" s="66"/>
    </row>
    <row r="225" spans="1:6" ht="12.75">
      <c r="A225" s="68"/>
      <c r="B225" s="66" t="s">
        <v>331</v>
      </c>
      <c r="C225" s="66"/>
      <c r="D225" s="66"/>
      <c r="E225" s="66"/>
      <c r="F225" s="66"/>
    </row>
    <row r="226" spans="1:6" ht="12.75">
      <c r="A226" s="68"/>
      <c r="B226" s="66" t="s">
        <v>332</v>
      </c>
      <c r="C226" s="66"/>
      <c r="D226" s="66"/>
      <c r="E226" s="66"/>
      <c r="F226" s="66"/>
    </row>
    <row r="227" spans="1:6" ht="12.75">
      <c r="A227" s="68"/>
      <c r="B227" s="66"/>
      <c r="C227" s="66"/>
      <c r="D227" s="66"/>
      <c r="E227" s="66"/>
      <c r="F227" s="66"/>
    </row>
    <row r="228" spans="1:6" ht="12.75">
      <c r="A228" s="68"/>
      <c r="B228" s="66"/>
      <c r="C228" s="66"/>
      <c r="D228" s="66"/>
      <c r="E228" s="66"/>
      <c r="F228" s="66"/>
    </row>
    <row r="229" spans="1:6" ht="12.75">
      <c r="A229" s="69">
        <v>23</v>
      </c>
      <c r="B229" s="62" t="s">
        <v>262</v>
      </c>
      <c r="C229" s="62"/>
      <c r="D229" s="66"/>
      <c r="E229" s="66"/>
      <c r="F229" s="66"/>
    </row>
    <row r="230" spans="1:6" ht="12.75">
      <c r="A230" s="68"/>
      <c r="B230" s="66"/>
      <c r="C230" s="66"/>
      <c r="D230" s="66"/>
      <c r="E230" s="66"/>
      <c r="F230" s="66"/>
    </row>
    <row r="231" spans="1:6" ht="12.75">
      <c r="A231" s="68"/>
      <c r="B231" s="66" t="s">
        <v>271</v>
      </c>
      <c r="C231" s="66"/>
      <c r="D231" s="66"/>
      <c r="E231" s="66"/>
      <c r="F231" s="66"/>
    </row>
    <row r="232" spans="1:6" ht="12.75">
      <c r="A232" s="68"/>
      <c r="B232" s="66" t="s">
        <v>330</v>
      </c>
      <c r="C232" s="66"/>
      <c r="D232" s="66"/>
      <c r="E232" s="66"/>
      <c r="F232" s="66"/>
    </row>
    <row r="233" ht="12.75">
      <c r="A233" s="69"/>
    </row>
    <row r="234" spans="1:3" ht="12.75">
      <c r="A234" s="69">
        <v>24</v>
      </c>
      <c r="B234" s="62" t="s">
        <v>277</v>
      </c>
      <c r="C234" s="62"/>
    </row>
    <row r="235" ht="6" customHeight="1">
      <c r="A235" s="69"/>
    </row>
    <row r="236" spans="1:2" ht="12.75">
      <c r="A236" s="69"/>
      <c r="B236" t="s">
        <v>327</v>
      </c>
    </row>
    <row r="237" spans="1:2" ht="12.75">
      <c r="A237" s="69"/>
      <c r="B237" s="223" t="s">
        <v>108</v>
      </c>
    </row>
    <row r="238" ht="12.75">
      <c r="A238" s="69"/>
    </row>
    <row r="239" spans="1:2" ht="12.75">
      <c r="A239" s="69">
        <v>25</v>
      </c>
      <c r="B239" s="62" t="s">
        <v>184</v>
      </c>
    </row>
    <row r="240" spans="1:3" ht="12.75" hidden="1">
      <c r="A240" s="69">
        <v>22</v>
      </c>
      <c r="B240" s="62"/>
      <c r="C240" s="62"/>
    </row>
    <row r="241" ht="6" customHeight="1" hidden="1"/>
    <row r="242" ht="12.75" hidden="1"/>
    <row r="243" ht="12.75" hidden="1"/>
    <row r="244" ht="12.75" hidden="1"/>
    <row r="245" ht="12.75" hidden="1"/>
    <row r="246" ht="12.75" hidden="1"/>
    <row r="248" ht="12.75">
      <c r="B248" t="s">
        <v>328</v>
      </c>
    </row>
    <row r="249" ht="12.75">
      <c r="B249" t="s">
        <v>329</v>
      </c>
    </row>
    <row r="254" ht="12.75">
      <c r="A254" s="62" t="s">
        <v>278</v>
      </c>
    </row>
    <row r="255" ht="12.75">
      <c r="A255" s="62" t="s">
        <v>36</v>
      </c>
    </row>
    <row r="256" ht="12.75">
      <c r="A256" s="62"/>
    </row>
    <row r="257" ht="12.75">
      <c r="A257" s="62" t="s">
        <v>279</v>
      </c>
    </row>
    <row r="277" spans="1:6" ht="12.75">
      <c r="A277" s="254" t="s">
        <v>147</v>
      </c>
      <c r="B277" s="254"/>
      <c r="C277" s="254"/>
      <c r="D277" s="254"/>
      <c r="E277" s="254"/>
      <c r="F277" s="254"/>
    </row>
    <row r="283" spans="1:6" ht="12.75">
      <c r="A283" s="254"/>
      <c r="B283" s="254"/>
      <c r="C283" s="254"/>
      <c r="D283" s="254"/>
      <c r="E283" s="254"/>
      <c r="F283" s="254"/>
    </row>
    <row r="284" spans="2:7" ht="12.75">
      <c r="B284" s="254"/>
      <c r="C284" s="254"/>
      <c r="D284" s="254"/>
      <c r="E284" s="254"/>
      <c r="F284" s="254"/>
      <c r="G284" s="254"/>
    </row>
    <row r="285" spans="1:6" ht="12.75">
      <c r="A285" s="254"/>
      <c r="B285" s="254"/>
      <c r="C285" s="254"/>
      <c r="D285" s="254"/>
      <c r="E285" s="254"/>
      <c r="F285" s="254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spans="1:6" ht="12.75">
      <c r="A301" s="254" t="s">
        <v>147</v>
      </c>
      <c r="B301" s="254"/>
      <c r="C301" s="254"/>
      <c r="D301" s="254"/>
      <c r="E301" s="254"/>
      <c r="F301" s="254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spans="1:6" ht="12.75">
      <c r="A306" s="254"/>
      <c r="B306" s="254"/>
      <c r="C306" s="254"/>
      <c r="D306" s="254"/>
      <c r="E306" s="254"/>
      <c r="F306" s="254"/>
    </row>
    <row r="307" ht="12.75">
      <c r="A307" s="62"/>
    </row>
    <row r="308" ht="12.75">
      <c r="A308" s="62"/>
    </row>
    <row r="309" ht="12.75">
      <c r="A309" s="62"/>
    </row>
    <row r="310" ht="12.75">
      <c r="A310" s="62"/>
    </row>
    <row r="311" ht="12.75">
      <c r="A311" s="62"/>
    </row>
    <row r="312" ht="12.75">
      <c r="A312" s="62"/>
    </row>
    <row r="313" ht="12.75">
      <c r="A313" s="62"/>
    </row>
    <row r="314" ht="12.75">
      <c r="A314" s="62"/>
    </row>
    <row r="315" ht="12.75">
      <c r="A315" s="62"/>
    </row>
    <row r="316" ht="12.75">
      <c r="A316" s="62"/>
    </row>
    <row r="317" ht="12.75">
      <c r="A317" s="62"/>
    </row>
    <row r="318" ht="12.75">
      <c r="A318" s="62"/>
    </row>
    <row r="319" ht="12.75">
      <c r="A319" s="62"/>
    </row>
    <row r="320" ht="12.75">
      <c r="A320" s="62"/>
    </row>
    <row r="322" spans="1:6" ht="12.75">
      <c r="A322" s="254"/>
      <c r="B322" s="254"/>
      <c r="C322" s="254"/>
      <c r="D322" s="254"/>
      <c r="E322" s="254"/>
      <c r="F322" s="254"/>
    </row>
    <row r="323" ht="12.75">
      <c r="A323" s="62"/>
    </row>
    <row r="324" ht="12.75">
      <c r="A324" s="62"/>
    </row>
    <row r="325" ht="12.75">
      <c r="A325" s="62"/>
    </row>
    <row r="326" ht="12.75">
      <c r="A326" s="62"/>
    </row>
    <row r="327" spans="1:7" ht="12.75">
      <c r="A327" s="62"/>
      <c r="B327" s="254"/>
      <c r="C327" s="254"/>
      <c r="D327" s="254"/>
      <c r="E327" s="254"/>
      <c r="F327" s="254"/>
      <c r="G327" s="254"/>
    </row>
    <row r="328" spans="1:6" ht="12.75">
      <c r="A328" s="254" t="s">
        <v>147</v>
      </c>
      <c r="B328" s="254"/>
      <c r="C328" s="254"/>
      <c r="D328" s="254"/>
      <c r="E328" s="254"/>
      <c r="F328" s="254"/>
    </row>
  </sheetData>
  <mergeCells count="28">
    <mergeCell ref="A283:F283"/>
    <mergeCell ref="A109:F109"/>
    <mergeCell ref="A110:F110"/>
    <mergeCell ref="A161:F161"/>
    <mergeCell ref="A277:F277"/>
    <mergeCell ref="A216:F216"/>
    <mergeCell ref="A162:F162"/>
    <mergeCell ref="A219:F219"/>
    <mergeCell ref="A220:F220"/>
    <mergeCell ref="A215:F215"/>
    <mergeCell ref="A2:F2"/>
    <mergeCell ref="A5:F5"/>
    <mergeCell ref="A6:F6"/>
    <mergeCell ref="A328:F328"/>
    <mergeCell ref="B327:G327"/>
    <mergeCell ref="A322:F322"/>
    <mergeCell ref="A306:F306"/>
    <mergeCell ref="A285:F285"/>
    <mergeCell ref="A301:F301"/>
    <mergeCell ref="B284:G284"/>
    <mergeCell ref="A55:F55"/>
    <mergeCell ref="A56:F56"/>
    <mergeCell ref="A107:F107"/>
    <mergeCell ref="A3:F3"/>
    <mergeCell ref="A9:F9"/>
    <mergeCell ref="A4:F4"/>
    <mergeCell ref="A49:F49"/>
    <mergeCell ref="A50:F50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K1">
      <selection activeCell="K7" sqref="K7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151</v>
      </c>
      <c r="V1" s="2" t="s">
        <v>178</v>
      </c>
    </row>
    <row r="2" spans="1:22" ht="15.75">
      <c r="A2" s="2" t="s">
        <v>288</v>
      </c>
      <c r="V2" s="2" t="s">
        <v>288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97"/>
      <c r="B4" s="16" t="s">
        <v>153</v>
      </c>
      <c r="C4" s="17" t="s">
        <v>154</v>
      </c>
      <c r="D4" s="17" t="s">
        <v>155</v>
      </c>
      <c r="E4" s="17" t="s">
        <v>156</v>
      </c>
      <c r="F4" s="17" t="s">
        <v>157</v>
      </c>
      <c r="G4" s="17" t="s">
        <v>158</v>
      </c>
      <c r="H4" s="17" t="s">
        <v>159</v>
      </c>
      <c r="I4" s="101" t="s">
        <v>197</v>
      </c>
      <c r="J4" s="18"/>
      <c r="K4" s="19" t="s">
        <v>198</v>
      </c>
      <c r="L4" s="20" t="s">
        <v>199</v>
      </c>
      <c r="M4" s="20"/>
      <c r="N4" s="19" t="s">
        <v>198</v>
      </c>
      <c r="O4" s="18"/>
      <c r="P4" s="18"/>
      <c r="Q4" s="19" t="s">
        <v>169</v>
      </c>
      <c r="R4" s="18"/>
      <c r="S4" s="21" t="s">
        <v>168</v>
      </c>
      <c r="T4" s="19" t="s">
        <v>200</v>
      </c>
      <c r="V4" s="15" t="s">
        <v>165</v>
      </c>
      <c r="W4" s="16" t="s">
        <v>152</v>
      </c>
      <c r="X4" s="17" t="s">
        <v>6</v>
      </c>
      <c r="Y4" s="17" t="s">
        <v>173</v>
      </c>
      <c r="Z4" s="17" t="s">
        <v>174</v>
      </c>
      <c r="AA4" s="17" t="s">
        <v>175</v>
      </c>
      <c r="AB4" s="17" t="s">
        <v>201</v>
      </c>
      <c r="AC4" s="17" t="s">
        <v>177</v>
      </c>
      <c r="AD4" s="17" t="s">
        <v>176</v>
      </c>
      <c r="AE4" s="17" t="s">
        <v>179</v>
      </c>
      <c r="AF4" s="17" t="s">
        <v>202</v>
      </c>
      <c r="AG4" s="18"/>
      <c r="AH4" s="19" t="s">
        <v>203</v>
      </c>
      <c r="AJ4" s="19" t="s">
        <v>169</v>
      </c>
      <c r="AK4" s="18"/>
      <c r="AL4" s="21" t="s">
        <v>168</v>
      </c>
      <c r="AM4" s="19" t="s">
        <v>200</v>
      </c>
    </row>
    <row r="5" spans="1:39" ht="13.5" thickBot="1">
      <c r="A5" s="98" t="s">
        <v>204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102"/>
      <c r="K5" s="25"/>
      <c r="L5" s="18" t="s">
        <v>161</v>
      </c>
      <c r="M5" s="18" t="s">
        <v>162</v>
      </c>
      <c r="N5" s="19" t="s">
        <v>213</v>
      </c>
      <c r="O5" s="18"/>
      <c r="P5" s="26"/>
      <c r="Q5" s="27"/>
      <c r="R5" s="26"/>
      <c r="S5" s="27"/>
      <c r="T5" s="28"/>
      <c r="V5" s="22" t="s">
        <v>204</v>
      </c>
      <c r="W5" s="23">
        <v>1</v>
      </c>
      <c r="X5" s="29" t="s">
        <v>5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9"/>
      <c r="B6" s="32"/>
      <c r="C6" s="13"/>
      <c r="D6" s="13"/>
      <c r="E6" s="13"/>
      <c r="F6" s="13"/>
      <c r="G6" s="13"/>
      <c r="H6" s="13"/>
      <c r="I6" s="102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96" t="s">
        <v>166</v>
      </c>
      <c r="B7" s="33">
        <v>11717171</v>
      </c>
      <c r="C7" s="34">
        <v>15709428</v>
      </c>
      <c r="D7" s="34">
        <v>669901.26</v>
      </c>
      <c r="E7" s="34">
        <v>1868706.49</v>
      </c>
      <c r="F7" s="34">
        <f>5734855.64</f>
        <v>5734855.64</v>
      </c>
      <c r="G7" s="34">
        <v>0</v>
      </c>
      <c r="H7" s="34">
        <v>0</v>
      </c>
      <c r="I7" s="103">
        <f>AH7</f>
        <v>557525865.65</v>
      </c>
      <c r="J7" s="9"/>
      <c r="K7" s="35">
        <f>SUM(B7:I7)-B7</f>
        <v>581508757.04</v>
      </c>
      <c r="L7" s="10"/>
      <c r="M7" s="10"/>
      <c r="N7" s="35">
        <f>K7-L7</f>
        <v>581508757.04</v>
      </c>
      <c r="O7" s="10"/>
      <c r="P7" s="10"/>
      <c r="Q7" s="35">
        <v>358674721</v>
      </c>
      <c r="R7" s="10"/>
      <c r="S7" s="35">
        <f>K7-Q7</f>
        <v>222834036.03999996</v>
      </c>
      <c r="T7" s="36">
        <f>S7/Q7</f>
        <v>0.6212705356506013</v>
      </c>
      <c r="V7" s="25" t="s">
        <v>166</v>
      </c>
      <c r="W7" s="33">
        <v>43235894.67</v>
      </c>
      <c r="X7" s="34">
        <v>41749389</v>
      </c>
      <c r="Y7" s="34">
        <f>2070000*3.8</f>
        <v>7866000</v>
      </c>
      <c r="Z7" s="34">
        <v>460650027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557525865.65</v>
      </c>
      <c r="AJ7" s="35">
        <v>346259892</v>
      </c>
      <c r="AK7" s="10"/>
      <c r="AL7" s="35">
        <f>AH7-AJ7</f>
        <v>211265973.64999998</v>
      </c>
      <c r="AM7" s="36">
        <f>AL7/AJ7</f>
        <v>0.6101370055588188</v>
      </c>
    </row>
    <row r="8" spans="1:39" ht="21" customHeight="1" thickTop="1">
      <c r="A8" s="96" t="s">
        <v>170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104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170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96" t="s">
        <v>205</v>
      </c>
      <c r="B9" s="37">
        <f>107286+69.32+9.73</f>
        <v>107365.05</v>
      </c>
      <c r="C9" s="38">
        <v>137175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104">
        <f>AH9</f>
        <v>35317885.6</v>
      </c>
      <c r="J9" s="9"/>
      <c r="K9" s="39">
        <f>SUM(B9:I9)</f>
        <v>36006551.34</v>
      </c>
      <c r="L9" s="10"/>
      <c r="M9" s="10"/>
      <c r="N9" s="39">
        <f>K9</f>
        <v>36006551.34</v>
      </c>
      <c r="O9" s="10"/>
      <c r="P9" s="10"/>
      <c r="Q9" s="39">
        <v>17007728</v>
      </c>
      <c r="R9" s="10"/>
      <c r="S9" s="39">
        <f>K9-Q9</f>
        <v>18998823.340000004</v>
      </c>
      <c r="T9" s="36">
        <f>S9/Q9</f>
        <v>1.117070036632759</v>
      </c>
      <c r="V9" s="25" t="s">
        <v>205</v>
      </c>
      <c r="W9" s="37">
        <v>14351063.11</v>
      </c>
      <c r="X9" s="38">
        <v>143805</v>
      </c>
      <c r="Y9" s="38">
        <f>8000*3.8</f>
        <v>30400</v>
      </c>
      <c r="Z9" s="38">
        <v>20390000</v>
      </c>
      <c r="AA9" s="38">
        <v>210211.49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35317885.6</v>
      </c>
      <c r="AJ9" s="39">
        <v>11263550</v>
      </c>
      <c r="AK9" s="10"/>
      <c r="AL9" s="39">
        <f>AH9-AJ9</f>
        <v>24054335.6</v>
      </c>
      <c r="AM9" s="36">
        <f>AL9/AJ9</f>
        <v>2.135590963772523</v>
      </c>
    </row>
    <row r="10" spans="1:39" ht="33" customHeight="1">
      <c r="A10" s="96" t="s">
        <v>206</v>
      </c>
      <c r="B10" s="37"/>
      <c r="C10" s="38"/>
      <c r="D10" s="38"/>
      <c r="E10" s="38"/>
      <c r="F10" s="38"/>
      <c r="G10" s="38"/>
      <c r="H10" s="38"/>
      <c r="I10" s="104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206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96" t="s">
        <v>207</v>
      </c>
      <c r="B11" s="37"/>
      <c r="C11" s="38"/>
      <c r="D11" s="38"/>
      <c r="E11" s="38"/>
      <c r="F11" s="38"/>
      <c r="G11" s="38"/>
      <c r="H11" s="38"/>
      <c r="I11" s="104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207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96" t="s">
        <v>208</v>
      </c>
      <c r="B12" s="37">
        <f aca="true" t="shared" si="0" ref="B12:I12">B15+B13+B14</f>
        <v>15485854.44</v>
      </c>
      <c r="C12" s="38">
        <f t="shared" si="0"/>
        <v>-310053.85999999987</v>
      </c>
      <c r="D12" s="38">
        <f t="shared" si="0"/>
        <v>106238.92</v>
      </c>
      <c r="E12" s="38">
        <f t="shared" si="0"/>
        <v>25638.399999999998</v>
      </c>
      <c r="F12" s="38">
        <f t="shared" si="0"/>
        <v>3047939.4099999997</v>
      </c>
      <c r="G12" s="38">
        <f t="shared" si="0"/>
        <v>-78682</v>
      </c>
      <c r="H12" s="38">
        <f t="shared" si="0"/>
        <v>-1582466.69</v>
      </c>
      <c r="I12" s="104">
        <f t="shared" si="0"/>
        <v>47200822.41</v>
      </c>
      <c r="J12" s="9"/>
      <c r="K12" s="39">
        <f aca="true" t="shared" si="1" ref="K12:K19">SUM(B12:I12)</f>
        <v>63895291.029999994</v>
      </c>
      <c r="L12" s="10"/>
      <c r="M12" s="10"/>
      <c r="N12" s="39">
        <f>K12-L12</f>
        <v>63895291.029999994</v>
      </c>
      <c r="O12" s="10"/>
      <c r="P12" s="10"/>
      <c r="Q12" s="39">
        <f>Q15+Q13</f>
        <v>64240257</v>
      </c>
      <c r="R12" s="10"/>
      <c r="S12" s="39">
        <f>K12-Q12</f>
        <v>-344965.97000000626</v>
      </c>
      <c r="T12" s="36">
        <f>S12/Q12</f>
        <v>-0.0053699344633693835</v>
      </c>
      <c r="V12" s="25" t="s">
        <v>208</v>
      </c>
      <c r="W12" s="38">
        <f aca="true" t="shared" si="2" ref="W12:AF12">W15+W13+W14</f>
        <v>-28751025.660000004</v>
      </c>
      <c r="X12" s="38">
        <f t="shared" si="2"/>
        <v>-3408807.5</v>
      </c>
      <c r="Y12" s="38">
        <f t="shared" si="2"/>
        <v>729560</v>
      </c>
      <c r="Z12" s="38">
        <f t="shared" si="2"/>
        <v>78247983</v>
      </c>
      <c r="AA12" s="38">
        <f t="shared" si="2"/>
        <v>428212.75</v>
      </c>
      <c r="AB12" s="38">
        <f t="shared" si="2"/>
        <v>390590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47200822.41</v>
      </c>
      <c r="AJ12" s="39">
        <f>AJ15+AJ13</f>
        <v>58840816</v>
      </c>
      <c r="AK12" s="10"/>
      <c r="AL12" s="39">
        <f>AH12-AJ12</f>
        <v>-11639993.590000004</v>
      </c>
      <c r="AM12" s="36">
        <f>AL12/AJ12</f>
        <v>-0.19782175675469904</v>
      </c>
    </row>
    <row r="13" spans="1:39" ht="36" customHeight="1">
      <c r="A13" s="96" t="s">
        <v>171</v>
      </c>
      <c r="B13" s="6">
        <f>19423154.56+70213.7</f>
        <v>19493368.259999998</v>
      </c>
      <c r="C13" s="7">
        <f>109180+504889</f>
        <v>614069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105">
        <f aca="true" t="shared" si="4" ref="I13:I19">AH13</f>
        <v>27108834.56</v>
      </c>
      <c r="J13" s="9"/>
      <c r="K13" s="42">
        <f t="shared" si="1"/>
        <v>50572869.78999999</v>
      </c>
      <c r="L13" s="10"/>
      <c r="M13" s="10"/>
      <c r="N13" s="42">
        <f>K13</f>
        <v>50572869.78999999</v>
      </c>
      <c r="O13" s="10"/>
      <c r="P13" s="10"/>
      <c r="Q13" s="42">
        <v>29135318</v>
      </c>
      <c r="R13" s="10"/>
      <c r="S13" s="42">
        <f>K13-Q13</f>
        <v>21437551.78999999</v>
      </c>
      <c r="T13" s="36">
        <f>S13/Q13</f>
        <v>0.7357926139676935</v>
      </c>
      <c r="V13" s="25" t="s">
        <v>171</v>
      </c>
      <c r="W13" s="40">
        <v>25304583.4</v>
      </c>
      <c r="X13" s="41">
        <v>85037.5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27108834.56</v>
      </c>
      <c r="AJ13" s="42">
        <v>16915356</v>
      </c>
      <c r="AK13" s="10"/>
      <c r="AL13" s="42">
        <f>AH13-AJ13</f>
        <v>10193478.559999999</v>
      </c>
      <c r="AM13" s="36">
        <f>AL13/AJ13</f>
        <v>0.6026168506296881</v>
      </c>
    </row>
    <row r="14" spans="1:39" ht="36" customHeight="1">
      <c r="A14" s="96" t="s">
        <v>209</v>
      </c>
      <c r="B14" s="40">
        <v>96365.72</v>
      </c>
      <c r="C14" s="41">
        <v>923227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106">
        <f t="shared" si="4"/>
        <v>14336895.65</v>
      </c>
      <c r="J14" s="9"/>
      <c r="K14" s="42">
        <f t="shared" si="1"/>
        <v>15481215.38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209</v>
      </c>
      <c r="W14" s="37">
        <v>4780909</v>
      </c>
      <c r="X14" s="38">
        <v>1547030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14336895.65</v>
      </c>
      <c r="AJ14" s="39"/>
      <c r="AK14" s="10"/>
      <c r="AL14" s="39"/>
      <c r="AM14" s="36"/>
    </row>
    <row r="15" spans="1:39" ht="41.25" customHeight="1">
      <c r="A15" s="96" t="s">
        <v>210</v>
      </c>
      <c r="B15" s="37">
        <f>-3736200.1-367679.44</f>
        <v>-4103879.54</v>
      </c>
      <c r="C15" s="38">
        <f>-388743-504889-953717.86</f>
        <v>-1847349.8599999999</v>
      </c>
      <c r="D15" s="38">
        <v>37462.75</v>
      </c>
      <c r="E15" s="38">
        <v>-3008.86</v>
      </c>
      <c r="F15" s="38">
        <f>479118.93-815081.07</f>
        <v>-335962.13999999996</v>
      </c>
      <c r="G15" s="38">
        <v>-78682</v>
      </c>
      <c r="H15" s="38">
        <f>-59225-1523241.69</f>
        <v>-1582466.69</v>
      </c>
      <c r="I15" s="104">
        <f t="shared" si="4"/>
        <v>5755092.199999998</v>
      </c>
      <c r="J15" s="9"/>
      <c r="K15" s="39">
        <f t="shared" si="1"/>
        <v>-2158794.1400000015</v>
      </c>
      <c r="L15" s="10"/>
      <c r="M15" s="10"/>
      <c r="N15" s="39">
        <f>K15-L15</f>
        <v>-2158794.1400000015</v>
      </c>
      <c r="O15" s="10"/>
      <c r="P15" s="10"/>
      <c r="Q15" s="39">
        <v>35104939</v>
      </c>
      <c r="R15" s="10"/>
      <c r="S15" s="39">
        <f>K15-Q15</f>
        <v>-37263733.14</v>
      </c>
      <c r="T15" s="36">
        <f>S15/Q15</f>
        <v>-1.0614954533890517</v>
      </c>
      <c r="V15" s="25" t="s">
        <v>210</v>
      </c>
      <c r="W15" s="43">
        <f>-57411387.68-8425130.38+7000000</f>
        <v>-58836518.06</v>
      </c>
      <c r="X15" s="38">
        <v>-5040875</v>
      </c>
      <c r="Y15" s="38">
        <f>-80000*3.8</f>
        <v>-304000</v>
      </c>
      <c r="Z15" s="38">
        <v>70614983</v>
      </c>
      <c r="AA15" s="38">
        <v>334895.44</v>
      </c>
      <c r="AB15" s="38">
        <v>-534196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5755092.199999998</v>
      </c>
      <c r="AJ15" s="39">
        <v>41925460</v>
      </c>
      <c r="AK15" s="10"/>
      <c r="AL15" s="39">
        <f>AH15-AJ15</f>
        <v>-36170367.800000004</v>
      </c>
      <c r="AM15" s="36">
        <f>AL15/AJ15</f>
        <v>-0.8627303743357856</v>
      </c>
    </row>
    <row r="16" spans="1:39" ht="34.5" customHeight="1">
      <c r="A16" s="96" t="s">
        <v>164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106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164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96" t="s">
        <v>167</v>
      </c>
      <c r="B17" s="37">
        <f>B15+B16</f>
        <v>-3736200.1</v>
      </c>
      <c r="C17" s="38">
        <f aca="true" t="shared" si="5" ref="C17:H17">C15</f>
        <v>-1847349.8599999999</v>
      </c>
      <c r="D17" s="38">
        <f t="shared" si="5"/>
        <v>37462.75</v>
      </c>
      <c r="E17" s="38">
        <f t="shared" si="5"/>
        <v>-3008.86</v>
      </c>
      <c r="F17" s="38">
        <f t="shared" si="5"/>
        <v>-335962.13999999996</v>
      </c>
      <c r="G17" s="38">
        <f t="shared" si="5"/>
        <v>-78682</v>
      </c>
      <c r="H17" s="38">
        <f t="shared" si="5"/>
        <v>-1582466.69</v>
      </c>
      <c r="I17" s="104">
        <f t="shared" si="4"/>
        <v>5755092.199999998</v>
      </c>
      <c r="J17" s="9"/>
      <c r="K17" s="39">
        <f t="shared" si="1"/>
        <v>-1791114.700000002</v>
      </c>
      <c r="L17" s="10"/>
      <c r="M17" s="10"/>
      <c r="N17" s="39">
        <f>N15-N16</f>
        <v>-2158794.1400000015</v>
      </c>
      <c r="O17" s="10"/>
      <c r="P17" s="10"/>
      <c r="Q17" s="39">
        <f>Q15-Q16</f>
        <v>35104939</v>
      </c>
      <c r="R17" s="10"/>
      <c r="S17" s="39">
        <f>K17-Q17</f>
        <v>-36896053.7</v>
      </c>
      <c r="T17" s="36">
        <f>S17/Q17</f>
        <v>-1.0510217294495228</v>
      </c>
      <c r="V17" s="25" t="s">
        <v>167</v>
      </c>
      <c r="W17" s="37">
        <f aca="true" t="shared" si="6" ref="W17:AF17">W15-W16</f>
        <v>-58836518.06</v>
      </c>
      <c r="X17" s="38">
        <f t="shared" si="6"/>
        <v>-5040875</v>
      </c>
      <c r="Y17" s="38">
        <f t="shared" si="6"/>
        <v>-304000</v>
      </c>
      <c r="Z17" s="38">
        <f t="shared" si="6"/>
        <v>70614983</v>
      </c>
      <c r="AA17" s="38">
        <f t="shared" si="6"/>
        <v>334895.44</v>
      </c>
      <c r="AB17" s="38">
        <f t="shared" si="6"/>
        <v>-534196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5755092.199999998</v>
      </c>
      <c r="AJ17" s="39">
        <f>AJ15-AJ16</f>
        <v>41925460</v>
      </c>
      <c r="AK17" s="10"/>
      <c r="AL17" s="39">
        <f>AH17-AJ17</f>
        <v>-36170367.800000004</v>
      </c>
      <c r="AM17" s="36">
        <f>AL17/AJ17</f>
        <v>-0.8627303743357856</v>
      </c>
    </row>
    <row r="18" spans="1:39" ht="35.25" customHeight="1">
      <c r="A18" s="96" t="s">
        <v>211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106">
        <f t="shared" si="4"/>
        <v>41514882.396753415</v>
      </c>
      <c r="J18" s="9"/>
      <c r="K18" s="42">
        <f t="shared" si="1"/>
        <v>41528663.95275342</v>
      </c>
      <c r="L18" s="10"/>
      <c r="M18" s="10"/>
      <c r="N18" s="42">
        <f>K18</f>
        <v>41528663.95275342</v>
      </c>
      <c r="O18" s="10"/>
      <c r="P18" s="10"/>
      <c r="Q18" s="42">
        <v>28609038</v>
      </c>
      <c r="R18" s="10"/>
      <c r="S18" s="42">
        <f>K18-Q18</f>
        <v>12919625.952753417</v>
      </c>
      <c r="T18" s="36">
        <f>S18/Q18</f>
        <v>0.4515924636387081</v>
      </c>
      <c r="V18" s="25" t="s">
        <v>211</v>
      </c>
      <c r="W18" s="40">
        <v>0</v>
      </c>
      <c r="X18" s="108">
        <f>X17*0.1193*298/365</f>
        <v>-490986.7492465754</v>
      </c>
      <c r="Y18" s="41">
        <f>Y17*0.4</f>
        <v>-121600</v>
      </c>
      <c r="Z18" s="41">
        <f>Z17*0.6</f>
        <v>42368989.8</v>
      </c>
      <c r="AA18" s="41">
        <v>0</v>
      </c>
      <c r="AB18" s="41">
        <f>AB17*0.2</f>
        <v>-106839.20000000001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41514882.396753415</v>
      </c>
      <c r="AJ18" s="42">
        <v>28592382</v>
      </c>
      <c r="AK18" s="10"/>
      <c r="AL18" s="42">
        <f>AH18-AJ18</f>
        <v>12922500.396753415</v>
      </c>
      <c r="AM18" s="36">
        <f>AL18/AJ18</f>
        <v>0.4519560628685436</v>
      </c>
    </row>
    <row r="19" spans="1:39" ht="42" customHeight="1" thickBot="1">
      <c r="A19" s="100" t="s">
        <v>212</v>
      </c>
      <c r="B19" s="46">
        <f>B17</f>
        <v>-3736200.1</v>
      </c>
      <c r="C19" s="47">
        <f>C17</f>
        <v>-1847349.8599999999</v>
      </c>
      <c r="D19" s="47">
        <f>D17-D18</f>
        <v>22477.65</v>
      </c>
      <c r="E19" s="47">
        <f>E17-E18</f>
        <v>-1805.316</v>
      </c>
      <c r="F19" s="47">
        <f>F17</f>
        <v>-335962.13999999996</v>
      </c>
      <c r="G19" s="47">
        <f>G17</f>
        <v>-78682</v>
      </c>
      <c r="H19" s="47">
        <f>H17</f>
        <v>-1582466.69</v>
      </c>
      <c r="I19" s="107">
        <f t="shared" si="4"/>
        <v>-35759790.19675343</v>
      </c>
      <c r="J19" s="9"/>
      <c r="K19" s="48">
        <f t="shared" si="1"/>
        <v>-43319778.65275343</v>
      </c>
      <c r="L19" s="10"/>
      <c r="M19" s="10"/>
      <c r="N19" s="48">
        <f>N17-N18</f>
        <v>-43687458.09275342</v>
      </c>
      <c r="O19" s="10"/>
      <c r="P19" s="10"/>
      <c r="Q19" s="48">
        <f>Q17-Q18</f>
        <v>6495901</v>
      </c>
      <c r="R19" s="10"/>
      <c r="S19" s="48">
        <f>K19-Q19</f>
        <v>-49815679.65275343</v>
      </c>
      <c r="T19" s="49">
        <f>S19/Q19</f>
        <v>-7.668786770727175</v>
      </c>
      <c r="V19" s="45" t="s">
        <v>212</v>
      </c>
      <c r="W19" s="46">
        <f aca="true" t="shared" si="7" ref="W19:AF19">W17-W18</f>
        <v>-58836518.06</v>
      </c>
      <c r="X19" s="47">
        <f t="shared" si="7"/>
        <v>-4549888.250753425</v>
      </c>
      <c r="Y19" s="47">
        <f t="shared" si="7"/>
        <v>-182400</v>
      </c>
      <c r="Z19" s="47">
        <f t="shared" si="7"/>
        <v>28245993.200000003</v>
      </c>
      <c r="AA19" s="47">
        <f t="shared" si="7"/>
        <v>334895.44</v>
      </c>
      <c r="AB19" s="47">
        <f t="shared" si="7"/>
        <v>-427356.8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-35759790.19675343</v>
      </c>
      <c r="AJ19" s="48">
        <f>AJ17-AJ18</f>
        <v>13333078</v>
      </c>
      <c r="AK19" s="10"/>
      <c r="AL19" s="48">
        <f>AH19-AJ19</f>
        <v>-49092868.19675343</v>
      </c>
      <c r="AM19" s="49">
        <f>AL19/AJ19</f>
        <v>-3.68203562573874</v>
      </c>
    </row>
    <row r="20" spans="1:33" ht="26.25" customHeight="1">
      <c r="A20" s="50"/>
      <c r="V20" t="s">
        <v>7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PSCI</cp:lastModifiedBy>
  <cp:lastPrinted>2003-05-29T07:01:37Z</cp:lastPrinted>
  <dcterms:created xsi:type="dcterms:W3CDTF">1999-11-26T07:09:59Z</dcterms:created>
  <dcterms:modified xsi:type="dcterms:W3CDTF">2003-05-30T04:17:52Z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