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2655" tabRatio="599" firstSheet="2" activeTab="4"/>
  </bookViews>
  <sheets>
    <sheet name="D1" sheetId="1" state="hidden" r:id="rId1"/>
    <sheet name="Sheet1" sheetId="2" state="hidden" r:id="rId2"/>
    <sheet name="profit&amp;loss" sheetId="3" r:id="rId3"/>
    <sheet name="Balance Sheet" sheetId="4" r:id="rId4"/>
    <sheet name="Notes" sheetId="5" r:id="rId5"/>
    <sheet name="D2" sheetId="6" state="hidden" r:id="rId6"/>
  </sheets>
  <definedNames>
    <definedName name="_xlnm.Print_Area" localSheetId="4">'Notes'!$A$1:$F$289</definedName>
  </definedNames>
  <calcPr fullCalcOnLoad="1"/>
</workbook>
</file>

<file path=xl/sharedStrings.xml><?xml version="1.0" encoding="utf-8"?>
<sst xmlns="http://schemas.openxmlformats.org/spreadsheetml/2006/main" count="548" uniqueCount="362">
  <si>
    <t>Malaysia.</t>
  </si>
  <si>
    <t xml:space="preserve">statutory rate of tax applicable mainly due to  certain expenses disallowable for tax purposes, in </t>
  </si>
  <si>
    <t xml:space="preserve">addition to losses incurred by certain Group companies for which group relief is not available in </t>
  </si>
  <si>
    <t>Shipping &amp; Chartering Sdn Bhd.</t>
  </si>
  <si>
    <t>INDIVIDUAL QUARTER</t>
  </si>
  <si>
    <t>CUMULATIVE QUARTER</t>
  </si>
  <si>
    <t>TO DATE</t>
  </si>
  <si>
    <t>PERIOD</t>
  </si>
  <si>
    <t xml:space="preserve">YEAR </t>
  </si>
  <si>
    <t>derived from shipbuilding, shiprepair and steel fabrication activities.</t>
  </si>
  <si>
    <t>31/12/2001</t>
  </si>
  <si>
    <t>FOR THE 4TH QUARTER ENDED 31 DECEMBER 2001</t>
  </si>
  <si>
    <t>There were no extraordinary items for the financial period ended 31 December 2001.</t>
  </si>
  <si>
    <t>31 December 2001.</t>
  </si>
  <si>
    <t xml:space="preserve">The effective tax rate of the Group for current quarter and financial year to date is higher than the </t>
  </si>
  <si>
    <t xml:space="preserve">financial year ended 31 December 2001. The major contribution to the profit for the Group is </t>
  </si>
  <si>
    <t>The entitlement date and date of payment of the dividend would be fixed and announced at a later date.</t>
  </si>
  <si>
    <t>8% tax exempt ) in respect of the financial year ended 31 December 2001.</t>
  </si>
  <si>
    <t xml:space="preserve">The Board of Directors has recommended a first and final dividend of 8% less 28% income tax (2000: </t>
  </si>
  <si>
    <t>A first and final dividend of 8% less 28% income tax (2000 : 8% tax exempt)</t>
  </si>
  <si>
    <t>The above recommended dividend is however subject to the consent from the relevant creditor banks</t>
  </si>
  <si>
    <t>and approval from shareholders.</t>
  </si>
  <si>
    <t>current financial period ended 31 December 2001.</t>
  </si>
  <si>
    <t>Total Group Borrowings as at 31 December 2001 are as follows:-</t>
  </si>
  <si>
    <t>period ended 31 December 2001.</t>
  </si>
  <si>
    <t>Quarterly report on consolidated results for the financial quarter ended 31/12/2001.</t>
  </si>
  <si>
    <t>Not applicable</t>
  </si>
  <si>
    <t>AUD988</t>
  </si>
  <si>
    <t>CEDIS344,994</t>
  </si>
  <si>
    <t>for the fourth quarter ended 31 December 2001 in respect of which this announcement is made.</t>
  </si>
  <si>
    <t>Barring any unforeseen circumstances, the Board of Directors are confident that the Group's results</t>
  </si>
  <si>
    <t>in year 2001 would be surpassed in year 2002  due to  expected good progress of the patrol vessel</t>
  </si>
  <si>
    <t xml:space="preserve">The proposal which was announced on 6th December 2000 have been approved by the relevant </t>
  </si>
  <si>
    <t>Shipbuilding &amp; Construction Sdn Bhd ("PSC") which in turn is a wholly owned subsidiary of PSC</t>
  </si>
  <si>
    <t>Industries Bhd ("PSCI")</t>
  </si>
  <si>
    <t>PSCI earlier rescued Perstim, which was then under Receivership, when it acquired Perstim on 18 July</t>
  </si>
  <si>
    <t>Perstim had originally obtained banking facilities of RM90 million from Affin Bank Berhad, which is</t>
  </si>
  <si>
    <t>secured inter alia, by a debenture on the fixed and floating charge over all the present and future assets</t>
  </si>
  <si>
    <t xml:space="preserve">A sum of RMM62.98 million has been paid towards the banking facilities since PSC took over Perstim, </t>
  </si>
  <si>
    <t>of which RM50.54 million was paid since 27 December 1999 to 28 February 2001. The outstanding</t>
  </si>
  <si>
    <t>balance of the facilities as at 28 February 2001 was RM60.12 million.</t>
  </si>
  <si>
    <t>The banking facilities were restructured via a letter of offer dated 28 March 2001, which was accepted by</t>
  </si>
  <si>
    <t xml:space="preserve">31 December 2001 was paid by Perstim and received by Affin Merchant Bank on behalf of Affin Bank </t>
  </si>
  <si>
    <t>February 2002.</t>
  </si>
  <si>
    <t xml:space="preserve">Berhad on 31 January 2002. The cheque for the said payment was handed back to the Company on 4 </t>
  </si>
  <si>
    <t>The Company has filed for an interim injunction to restrain the Receivers &amp; Managers from exercising</t>
  </si>
  <si>
    <t xml:space="preserve">their rights and duties as their appointment is not proper and valid. This is due to the fact that Perstim </t>
  </si>
  <si>
    <t>has made the instalment payments towards the banking facilities based on accepted letter of offer dated</t>
  </si>
  <si>
    <t>Receivers and Managers at this juncture. Operationally, there is no impact expected on PSCI as Perstim</t>
  </si>
  <si>
    <t>2000. Perstim was acquired through PSCI's wholly owned subsidiary PSC from Perusahaan Sadur Timah</t>
  </si>
  <si>
    <t>Malaysia Berhad. Perstim was then already indebted to Affin Bank Berhad (formerly known as Perwira</t>
  </si>
  <si>
    <t>Affin Bank Bhd ) for banking facilities of more than RM103 million.</t>
  </si>
  <si>
    <t>of Perstim. Affin Bank Berhad had also taken a Judgment in Default against Perstim on 30 July 1999.</t>
  </si>
  <si>
    <t>Perstim on 30 March 2001. The restructured facilities are payable by way of 20 equal quarterly</t>
  </si>
  <si>
    <t>instalment of RM3,713,100 each commencing 31 March 2001 and ending on 30 June  2006.</t>
  </si>
  <si>
    <t>Perstim had paid all 3 instalments on the restuctured facilities whilst the last instalment due on</t>
  </si>
  <si>
    <t>28 March 2001. The hearing for the injuction is scheduled on 7 March 2002. Meanwhile the Company</t>
  </si>
  <si>
    <t>Authorities and further subject to the shareholders approval. The Securities Commission had on 11th</t>
  </si>
  <si>
    <t>proposals  to 15th September 2002.</t>
  </si>
  <si>
    <t xml:space="preserve">On 5 February 2002, Affin Bank Berhad has given notice of appointment of Kenneth Teh Ah Kiam and </t>
  </si>
  <si>
    <t xml:space="preserve">February 2002 further approved the extension of the completion date for the implementation of the </t>
  </si>
  <si>
    <t xml:space="preserve">The Group achieved a pre-tax profit of RM18.5 million for the quarter under review as compared to profit </t>
  </si>
  <si>
    <t xml:space="preserve">The group recorded a turnover of RM974.8 million and pre-tax profit of RM138.9 million during </t>
  </si>
  <si>
    <t xml:space="preserve">of RM29.1 million in the preceding quarter. The lower profit is mainly due to revision of profit margin </t>
  </si>
  <si>
    <t>during the current quarter for the projects undertaken by the Group and higher provision made .</t>
  </si>
  <si>
    <t xml:space="preserve">Chew Hoy Ping of PricewaterhouseCoopers as joint and several Receivers and Managers over the </t>
  </si>
  <si>
    <t xml:space="preserve">assets of Perstim Industries Sdn Bhd ("Perstim"). Perstim is a 99.86% subsidiary of Penang </t>
  </si>
  <si>
    <t>is considering other appropriate action towards resolving the matter.</t>
  </si>
  <si>
    <t>The Company is unable to ascertain the financial impact on PSCI Group arising from the appointment of</t>
  </si>
  <si>
    <t>is only an investment holding company.</t>
  </si>
  <si>
    <t>Page 5</t>
  </si>
  <si>
    <t xml:space="preserve"> Offshore Patrol Vessels Contract</t>
  </si>
  <si>
    <t xml:space="preserve"> investment property</t>
  </si>
  <si>
    <t xml:space="preserve"> financial period</t>
  </si>
  <si>
    <t xml:space="preserve">Taxation based on profit for the 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</si>
  <si>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</si>
  <si>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</si>
  <si>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</si>
  <si>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</si>
  <si>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</si>
  <si>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</si>
  <si>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</si>
  <si>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</si>
  <si>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</si>
  <si>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</si>
  <si>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</si>
  <si>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</si>
  <si>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</si>
  <si>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Deferred taxation</t>
  </si>
  <si>
    <t>Stocks</t>
  </si>
  <si>
    <t>Taxation</t>
  </si>
  <si>
    <t>PSC GROUP</t>
  </si>
  <si>
    <t>Turnover</t>
  </si>
  <si>
    <t>Exceptional items</t>
  </si>
  <si>
    <t>Profit after taxation</t>
  </si>
  <si>
    <t>VARIANCE</t>
  </si>
  <si>
    <t>BUDGET</t>
  </si>
  <si>
    <t>Investment income</t>
  </si>
  <si>
    <t>minority interests and extraordinary items</t>
  </si>
  <si>
    <t>Interest on borrowings</t>
  </si>
  <si>
    <t>Depreciation and amortisation</t>
  </si>
  <si>
    <t>extraordinary items</t>
  </si>
  <si>
    <t>attributable to members of the company</t>
  </si>
  <si>
    <t>deducting any provision for preference</t>
  </si>
  <si>
    <t>dividends, if any:-</t>
  </si>
  <si>
    <t>(i)</t>
  </si>
  <si>
    <t>(ii)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</si>
  <si>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</si>
  <si>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</si>
  <si>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</si>
  <si>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</si>
  <si>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</si>
  <si>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</si>
  <si>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</si>
  <si>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</si>
  <si>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The figures have not been audited.</t>
  </si>
  <si>
    <t>CONSOLIDATED INCOME STATEMENT</t>
  </si>
  <si>
    <t>CURRENT</t>
  </si>
  <si>
    <t>PRECEDING YEAR</t>
  </si>
  <si>
    <t>YEAR</t>
  </si>
  <si>
    <t>CORRESPONDING</t>
  </si>
  <si>
    <t>RM'000</t>
  </si>
  <si>
    <t>(a)</t>
  </si>
  <si>
    <t>(b)</t>
  </si>
  <si>
    <t>(c)</t>
  </si>
  <si>
    <t>(d)</t>
  </si>
  <si>
    <t>(e)</t>
  </si>
  <si>
    <t>(f)</t>
  </si>
  <si>
    <t>(g)</t>
  </si>
  <si>
    <t>(h)</t>
  </si>
  <si>
    <t>before deducting minority interests</t>
  </si>
  <si>
    <t>Less minority interests</t>
  </si>
  <si>
    <t>(j)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</si>
  <si>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</si>
  <si>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</si>
  <si>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</si>
  <si>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</si>
  <si>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</si>
  <si>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</si>
  <si>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Basic (based on </t>
  </si>
  <si>
    <t>ordinary shares) (sen)</t>
  </si>
  <si>
    <t>Fully diluted (based on</t>
  </si>
  <si>
    <t>CONSOLIDATED BALANCE SHEET</t>
  </si>
  <si>
    <t>AS AT</t>
  </si>
  <si>
    <t>END OF</t>
  </si>
  <si>
    <t>PRECEDING</t>
  </si>
  <si>
    <t>FINANCIAL</t>
  </si>
  <si>
    <t>YEAR END</t>
  </si>
  <si>
    <t>Trade Debtors</t>
  </si>
  <si>
    <t>Others</t>
  </si>
  <si>
    <t>Current Liabilities</t>
  </si>
  <si>
    <t>Trade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</si>
  <si>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</si>
  <si>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</si>
  <si>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</si>
  <si>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</si>
  <si>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</si>
  <si>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</si>
  <si>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</si>
  <si>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</si>
  <si>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</si>
  <si>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</si>
  <si>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</si>
  <si>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</si>
  <si>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</si>
  <si>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</si>
  <si>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</si>
  <si>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</si>
  <si>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</si>
  <si>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</si>
  <si>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</si>
  <si>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</si>
  <si>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</si>
  <si>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</si>
  <si>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</si>
  <si>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</si>
  <si>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</si>
  <si>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</si>
  <si>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Deferred Expenditure</t>
  </si>
  <si>
    <t>Investment Properties</t>
  </si>
  <si>
    <t>Deferred Assets</t>
  </si>
  <si>
    <t>Goodwill On Consolidation</t>
  </si>
  <si>
    <t>Other Debtors and prepayments</t>
  </si>
  <si>
    <t>Deposits with Licensed Banks and other Corporation</t>
  </si>
  <si>
    <t>Cash and Bank Balances</t>
  </si>
  <si>
    <t>Other Creditors and Accrued liabilities</t>
  </si>
  <si>
    <t>Term Loans</t>
  </si>
  <si>
    <t>Other Bank Borrowings</t>
  </si>
  <si>
    <t>Exchange Fluctuation Reserve</t>
  </si>
  <si>
    <t>Manufacturing</t>
  </si>
  <si>
    <t>Trading</t>
  </si>
  <si>
    <t>Construction</t>
  </si>
  <si>
    <t>(Company No.: 11106-V)</t>
  </si>
  <si>
    <t>NOTES TO THE UNAUDITED FINANCIAL STATEMENTS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</si>
  <si>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</si>
  <si>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</si>
  <si>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</si>
  <si>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</si>
  <si>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</si>
  <si>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Extraordinary Items</t>
  </si>
  <si>
    <t>Profits / (Losses) on Sale of Investment and/or Properties</t>
  </si>
  <si>
    <t>Quoted Securities</t>
  </si>
  <si>
    <t>Changes in the Composition of the Group</t>
  </si>
  <si>
    <t>Status of Corporate Proposals</t>
  </si>
  <si>
    <t>Page 1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</si>
  <si>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</si>
  <si>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</si>
  <si>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</si>
  <si>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</si>
  <si>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</si>
  <si>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</si>
  <si>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</si>
  <si>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</si>
  <si>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Contingent Liabilities</t>
  </si>
  <si>
    <t>Off Balance Sheet Financial Instruments</t>
  </si>
  <si>
    <t>There were no material financial instruments with off balance sheet risk during the current financial</t>
  </si>
  <si>
    <t>Material Litigation</t>
  </si>
  <si>
    <t>The Group is not engaged in any material litigation as at the date of this announcement.</t>
  </si>
  <si>
    <t>Segmental Reporting</t>
  </si>
  <si>
    <t>Assets</t>
  </si>
  <si>
    <t>Employed</t>
  </si>
  <si>
    <t>Page 2</t>
  </si>
  <si>
    <t>Review of Performance</t>
  </si>
  <si>
    <t>Current Year Prospects</t>
  </si>
  <si>
    <t>Variance of Actual Profit from Forecast Profit</t>
  </si>
  <si>
    <t>Not Applicable</t>
  </si>
  <si>
    <t>Dividend</t>
  </si>
  <si>
    <t>Page 3</t>
  </si>
  <si>
    <t>R. RAJAKUMARAN A/L M. RAJADURAI (MAICSA 7003699)</t>
  </si>
  <si>
    <t>Company Secretary</t>
  </si>
  <si>
    <t>Kuala Lumpur</t>
  </si>
  <si>
    <t>(The figures have not been audited)</t>
  </si>
  <si>
    <t>QUARTER</t>
  </si>
  <si>
    <t>Current Assets</t>
  </si>
  <si>
    <t>Net Current Assets / (Liabilities)</t>
  </si>
  <si>
    <t>Other Reserve</t>
  </si>
  <si>
    <t>There were no profits on sale of Investments and/or Properties for the current financial period ended</t>
  </si>
  <si>
    <t>There were no purchase or disposal of quoted securities for the current financial period ended</t>
  </si>
  <si>
    <t>share cancellations, shares held as treasury shares and resale of treasury shares during the</t>
  </si>
  <si>
    <t>Before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</si>
  <si>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</si>
  <si>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</si>
  <si>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</si>
  <si>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</si>
  <si>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</si>
  <si>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</si>
  <si>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Consolidated Profit &amp; Loss Account as at 31st December 1999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</si>
  <si>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</si>
  <si>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</si>
  <si>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</si>
  <si>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</si>
  <si>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</si>
  <si>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</si>
  <si>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</si>
  <si>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</si>
  <si>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</si>
  <si>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</si>
  <si>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</si>
  <si>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</si>
  <si>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</si>
  <si>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</si>
  <si>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</si>
  <si>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</si>
  <si>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</si>
  <si>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</si>
  <si>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</si>
  <si>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</si>
  <si>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</si>
  <si>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</si>
  <si>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</si>
  <si>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</si>
  <si>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</si>
  <si>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</si>
  <si>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</si>
  <si>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</si>
  <si>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</si>
  <si>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</si>
  <si>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</si>
  <si>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</si>
  <si>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</si>
  <si>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</si>
  <si>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</si>
  <si>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</si>
  <si>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</si>
  <si>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</si>
  <si>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</si>
  <si>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</si>
  <si>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</si>
  <si>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</si>
  <si>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</si>
  <si>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</si>
  <si>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</si>
  <si>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</si>
  <si>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</si>
  <si>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</si>
  <si>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</si>
  <si>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</si>
  <si>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</si>
  <si>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</si>
  <si>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</si>
  <si>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</si>
  <si>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</si>
  <si>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</si>
  <si>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</si>
  <si>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</si>
  <si>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</si>
  <si>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Offshore patrol vessels expenditure</t>
  </si>
  <si>
    <t>Contract sum receivables</t>
  </si>
  <si>
    <t>Page 4</t>
  </si>
  <si>
    <t>Investment Holdings</t>
  </si>
  <si>
    <t>QUARTERLY REPORT</t>
  </si>
  <si>
    <t>31/12/2000</t>
  </si>
  <si>
    <t>Revenue</t>
  </si>
  <si>
    <t>Shipbuilding and shiprepair related activities</t>
  </si>
  <si>
    <t>Other income</t>
  </si>
  <si>
    <t>depreciation and amortisation,</t>
  </si>
  <si>
    <t>exceptional items, income tax,</t>
  </si>
  <si>
    <t>Finance cost</t>
  </si>
  <si>
    <t>Profit/(loss) before finance cost,</t>
  </si>
  <si>
    <t>tax ,minority interests and</t>
  </si>
  <si>
    <t xml:space="preserve">Profit/(loss) before income </t>
  </si>
  <si>
    <t>Share of profits and losses of</t>
  </si>
  <si>
    <t>associated companies</t>
  </si>
  <si>
    <t>Profit/(loss)  before income</t>
  </si>
  <si>
    <t>tax, minority interests and</t>
  </si>
  <si>
    <t>Income tax</t>
  </si>
  <si>
    <t>Profit/(loss)  after income   tax</t>
  </si>
  <si>
    <t>pre-acquisition profit/(loss), if applicable</t>
  </si>
  <si>
    <t>Net profit/(loss) from ordinary activities</t>
  </si>
  <si>
    <t>(m)</t>
  </si>
  <si>
    <t>Net profit/(loss) attributable</t>
  </si>
  <si>
    <t>to members of the company</t>
  </si>
  <si>
    <t>Earnings per share based on 2(m) above after</t>
  </si>
  <si>
    <t>Property, plant and equipment</t>
  </si>
  <si>
    <t>Investment in associated companies</t>
  </si>
  <si>
    <t>Long term investments</t>
  </si>
  <si>
    <t>Intangible assets</t>
  </si>
  <si>
    <t>Transfer to/(from) deferred taxation</t>
  </si>
  <si>
    <t>Material events subsequent to the reporting period</t>
  </si>
  <si>
    <t>Foreign currrency</t>
  </si>
  <si>
    <t>-</t>
  </si>
  <si>
    <t>('000)</t>
  </si>
  <si>
    <t>There is no material  changes in contingent liabilities since the last annual balance sheet date.</t>
  </si>
  <si>
    <t xml:space="preserve"> Proposed Dividend</t>
  </si>
  <si>
    <t>Dividend per share</t>
  </si>
  <si>
    <t>Dividend Description</t>
  </si>
  <si>
    <t>AS AT END OF CURRENT QUARTER</t>
  </si>
  <si>
    <t>AS AT PRECEDING FINANCIAL</t>
  </si>
  <si>
    <t>Net tangible assets per share (RM)</t>
  </si>
  <si>
    <t xml:space="preserve">The exceptional item are in respect of: </t>
  </si>
  <si>
    <t xml:space="preserve">                         CUMULATIVE QUARTER</t>
  </si>
  <si>
    <t xml:space="preserve">       INDIVIDUAL QUARTER</t>
  </si>
  <si>
    <t xml:space="preserve">Unrealised gain arising from </t>
  </si>
  <si>
    <t xml:space="preserve">Loss arising from revaluation of </t>
  </si>
  <si>
    <t>PSCI's wholly owned subsidiary, Penang Shipbuilding &amp; Construction Sdn Bhd has on 14 August 2001</t>
  </si>
  <si>
    <t xml:space="preserve">entered into a Share Sale  Agreement to dispose of its entire 80% equity interest in Hasnar  </t>
  </si>
  <si>
    <t>Profit/(loss)</t>
  </si>
  <si>
    <t xml:space="preserve">There were no issuances or repayment of debts and equity securities, share buy-backs, </t>
  </si>
  <si>
    <t xml:space="preserve">There has not arisen in the interval between the end of the current quarter  and the date of this </t>
  </si>
  <si>
    <t>Profit arising from disposal</t>
  </si>
  <si>
    <t>of subsidiary</t>
  </si>
  <si>
    <t>project and steel fabrication activities.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</si>
</sst>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 * #,##0_ ;_ * \-#,##0_ ;_ * &quot;-&quot;??_ ;_ @_ "/>
    <numFmt numFmtId="169" formatCode="_(* #,##0.0000_);_(* \(#,##0.0000\);_(* &quot;-&quot;??_);_(@_)"/>
    <numFmt numFmtId="170" formatCode="_(* #,##0.000000_);_(* \(#,##0.000000\);_(* &quot;-&quot;??_);_(@_)"/>
    <numFmt numFmtId="171" formatCode="&quot;$&quot;#,##0\ ;\(&quot;$&quot;#,##0\)"/>
    <numFmt numFmtId="172" formatCode="m/d"/>
    <numFmt numFmtId="173" formatCode="0.000%"/>
    <numFmt numFmtId="174" formatCode="#,##0.000_);[Red]\(#,##0.000\)"/>
    <numFmt numFmtId="175" formatCode="#,##0.0_);[Red]\(#,##0.0\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0_);[Red]\(0.00\)"/>
    <numFmt numFmtId="180" formatCode="0.0_);[Red]\(0.0\)"/>
    <numFmt numFmtId="181" formatCode="#,##0.0_);\(#,##0.0\)"/>
    <numFmt numFmtId="182" formatCode="#,##0.000_);\(#,##0.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38" fontId="0" fillId="0" borderId="0" xfId="15" applyNumberFormat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7" xfId="0" applyBorder="1" applyAlignment="1">
      <alignment/>
    </xf>
    <xf numFmtId="38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5" xfId="15" applyNumberFormat="1" applyBorder="1" applyAlignment="1">
      <alignment/>
    </xf>
    <xf numFmtId="166" fontId="0" fillId="0" borderId="16" xfId="15" applyNumberFormat="1" applyBorder="1" applyAlignment="1">
      <alignment/>
    </xf>
    <xf numFmtId="166" fontId="1" fillId="0" borderId="17" xfId="15" applyNumberFormat="1" applyFont="1" applyBorder="1" applyAlignment="1">
      <alignment/>
    </xf>
    <xf numFmtId="9" fontId="1" fillId="0" borderId="13" xfId="27" applyFont="1" applyBorder="1" applyAlignment="1">
      <alignment horizontal="center"/>
    </xf>
    <xf numFmtId="166" fontId="0" fillId="0" borderId="14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1" fillId="0" borderId="13" xfId="15" applyNumberFormat="1" applyFont="1" applyBorder="1" applyAlignment="1">
      <alignment/>
    </xf>
    <xf numFmtId="166" fontId="0" fillId="0" borderId="18" xfId="15" applyNumberFormat="1" applyBorder="1" applyAlignment="1">
      <alignment/>
    </xf>
    <xf numFmtId="166" fontId="0" fillId="0" borderId="19" xfId="15" applyNumberFormat="1" applyBorder="1" applyAlignment="1">
      <alignment/>
    </xf>
    <xf numFmtId="166" fontId="1" fillId="0" borderId="20" xfId="15" applyNumberFormat="1" applyFont="1" applyBorder="1" applyAlignment="1">
      <alignment/>
    </xf>
    <xf numFmtId="166" fontId="0" fillId="0" borderId="14" xfId="15" applyNumberFormat="1" applyFill="1" applyBorder="1" applyAlignment="1">
      <alignment/>
    </xf>
    <xf numFmtId="166" fontId="0" fillId="0" borderId="19" xfId="15" applyNumberFormat="1" applyFont="1" applyBorder="1" applyAlignment="1">
      <alignment/>
    </xf>
    <xf numFmtId="0" fontId="1" fillId="0" borderId="21" xfId="0" applyFont="1" applyBorder="1" applyAlignment="1">
      <alignment/>
    </xf>
    <xf numFmtId="166" fontId="0" fillId="0" borderId="22" xfId="15" applyNumberFormat="1" applyBorder="1" applyAlignment="1">
      <alignment/>
    </xf>
    <xf numFmtId="166" fontId="0" fillId="0" borderId="23" xfId="15" applyNumberFormat="1" applyBorder="1" applyAlignment="1">
      <alignment/>
    </xf>
    <xf numFmtId="166" fontId="1" fillId="0" borderId="21" xfId="15" applyNumberFormat="1" applyFont="1" applyBorder="1" applyAlignment="1">
      <alignment/>
    </xf>
    <xf numFmtId="9" fontId="1" fillId="0" borderId="21" xfId="27" applyFont="1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6" fontId="1" fillId="0" borderId="25" xfId="15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38" fontId="0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166" fontId="1" fillId="0" borderId="11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/>
    </xf>
    <xf numFmtId="166" fontId="1" fillId="0" borderId="33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6" fontId="0" fillId="0" borderId="31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6" xfId="15" applyNumberFormat="1" applyBorder="1" applyAlignment="1">
      <alignment/>
    </xf>
    <xf numFmtId="166" fontId="0" fillId="0" borderId="30" xfId="15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6" fontId="0" fillId="0" borderId="38" xfId="15" applyNumberFormat="1" applyBorder="1" applyAlignment="1">
      <alignment/>
    </xf>
    <xf numFmtId="166" fontId="0" fillId="0" borderId="37" xfId="15" applyNumberFormat="1" applyBorder="1" applyAlignment="1">
      <alignment/>
    </xf>
    <xf numFmtId="166" fontId="0" fillId="0" borderId="39" xfId="15" applyNumberFormat="1" applyBorder="1" applyAlignment="1">
      <alignment/>
    </xf>
    <xf numFmtId="166" fontId="0" fillId="0" borderId="40" xfId="15" applyNumberFormat="1" applyBorder="1" applyAlignment="1">
      <alignment/>
    </xf>
    <xf numFmtId="166" fontId="0" fillId="0" borderId="41" xfId="15" applyNumberFormat="1" applyBorder="1" applyAlignment="1">
      <alignment/>
    </xf>
    <xf numFmtId="41" fontId="0" fillId="0" borderId="19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4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37" xfId="15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7" fillId="0" borderId="13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2" xfId="0" applyFont="1" applyBorder="1" applyAlignment="1">
      <alignment/>
    </xf>
    <xf numFmtId="166" fontId="8" fillId="0" borderId="36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6" xfId="0" applyFont="1" applyBorder="1" applyAlignment="1">
      <alignment/>
    </xf>
    <xf numFmtId="166" fontId="7" fillId="0" borderId="4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6" xfId="0" applyFont="1" applyBorder="1" applyAlignment="1">
      <alignment/>
    </xf>
    <xf numFmtId="166" fontId="8" fillId="0" borderId="36" xfId="15" applyNumberFormat="1" applyFont="1" applyBorder="1" applyAlignment="1">
      <alignment/>
    </xf>
    <xf numFmtId="166" fontId="0" fillId="0" borderId="33" xfId="0" applyNumberFormat="1" applyBorder="1" applyAlignment="1">
      <alignment/>
    </xf>
    <xf numFmtId="0" fontId="0" fillId="0" borderId="0" xfId="0" applyBorder="1" applyAlignment="1">
      <alignment horizontal="center"/>
    </xf>
    <xf numFmtId="38" fontId="0" fillId="0" borderId="25" xfId="0" applyNumberFormat="1" applyBorder="1" applyAlignment="1">
      <alignment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33" xfId="15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1" xfId="0" applyFill="1" applyBorder="1" applyAlignment="1">
      <alignment/>
    </xf>
    <xf numFmtId="166" fontId="0" fillId="0" borderId="3" xfId="15" applyNumberFormat="1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3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33" xfId="15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4" xfId="15" applyFill="1" applyBorder="1" applyAlignment="1">
      <alignment horizontal="center"/>
    </xf>
    <xf numFmtId="40" fontId="0" fillId="0" borderId="31" xfId="0" applyNumberFormat="1" applyBorder="1" applyAlignment="1">
      <alignment/>
    </xf>
    <xf numFmtId="40" fontId="0" fillId="0" borderId="3" xfId="0" applyNumberFormat="1" applyBorder="1" applyAlignment="1">
      <alignment/>
    </xf>
    <xf numFmtId="38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5" applyNumberFormat="1" applyFont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38" fontId="0" fillId="0" borderId="25" xfId="15" applyNumberFormat="1" applyFont="1" applyBorder="1" applyAlignment="1">
      <alignment horizontal="center"/>
    </xf>
    <xf numFmtId="166" fontId="0" fillId="0" borderId="31" xfId="15" applyNumberFormat="1" applyFont="1" applyBorder="1" applyAlignment="1">
      <alignment/>
    </xf>
    <xf numFmtId="166" fontId="3" fillId="0" borderId="3" xfId="15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5" xfId="0" applyFont="1" applyBorder="1" applyAlignment="1">
      <alignment/>
    </xf>
    <xf numFmtId="37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38" fontId="0" fillId="0" borderId="25" xfId="15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9" xfId="0" applyBorder="1" applyAlignment="1">
      <alignment/>
    </xf>
    <xf numFmtId="0" fontId="2" fillId="0" borderId="2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46" xfId="0" applyFont="1" applyBorder="1" applyAlignment="1">
      <alignment/>
    </xf>
    <xf numFmtId="182" fontId="0" fillId="0" borderId="0" xfId="15" applyNumberFormat="1" applyAlignment="1">
      <alignment horizontal="right"/>
    </xf>
    <xf numFmtId="182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center"/>
    </xf>
    <xf numFmtId="43" fontId="0" fillId="0" borderId="4" xfId="15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7" fontId="0" fillId="0" borderId="3" xfId="0" applyNumberFormat="1" applyBorder="1" applyAlignment="1">
      <alignment/>
    </xf>
    <xf numFmtId="39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82" fontId="0" fillId="0" borderId="24" xfId="15" applyNumberFormat="1" applyFont="1" applyFill="1" applyBorder="1" applyAlignment="1">
      <alignment horizontal="center"/>
    </xf>
    <xf numFmtId="182" fontId="0" fillId="0" borderId="25" xfId="15" applyNumberFormat="1" applyFill="1" applyBorder="1" applyAlignment="1">
      <alignment horizontal="center"/>
    </xf>
    <xf numFmtId="182" fontId="0" fillId="0" borderId="46" xfId="15" applyNumberFormat="1" applyFill="1" applyBorder="1" applyAlignment="1">
      <alignment horizontal="center"/>
    </xf>
    <xf numFmtId="182" fontId="0" fillId="0" borderId="24" xfId="0" applyNumberFormat="1" applyFill="1" applyBorder="1" applyAlignment="1">
      <alignment horizontal="center"/>
    </xf>
    <xf numFmtId="182" fontId="0" fillId="0" borderId="25" xfId="0" applyNumberFormat="1" applyFill="1" applyBorder="1" applyAlignment="1">
      <alignment horizontal="center"/>
    </xf>
    <xf numFmtId="182" fontId="0" fillId="0" borderId="46" xfId="0" applyNumberForma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43" fontId="0" fillId="0" borderId="24" xfId="15" applyFont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A6">
      <selection activeCell="H16" sqref="H16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7" customWidth="1"/>
    <col min="11" max="11" width="14.421875" style="0" customWidth="1"/>
    <col min="12" max="14" width="14.421875" style="0" hidden="1" customWidth="1"/>
    <col min="15" max="15" width="3.421875" style="17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7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75</v>
      </c>
      <c r="V1" s="2" t="s">
        <v>113</v>
      </c>
    </row>
    <row r="2" spans="1:22" ht="15.75">
      <c r="A2" s="2" t="s">
        <v>246</v>
      </c>
      <c r="V2" s="2" t="s">
        <v>246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18"/>
      <c r="B4" s="19" t="s">
        <v>77</v>
      </c>
      <c r="C4" s="20" t="s">
        <v>78</v>
      </c>
      <c r="D4" s="20" t="s">
        <v>79</v>
      </c>
      <c r="E4" s="20" t="s">
        <v>80</v>
      </c>
      <c r="F4" s="20" t="s">
        <v>81</v>
      </c>
      <c r="G4" s="20" t="s">
        <v>82</v>
      </c>
      <c r="H4" s="20" t="s">
        <v>83</v>
      </c>
      <c r="I4" s="122" t="s">
        <v>161</v>
      </c>
      <c r="J4" s="21"/>
      <c r="K4" s="22" t="s">
        <v>162</v>
      </c>
      <c r="L4" s="23" t="s">
        <v>163</v>
      </c>
      <c r="M4" s="23"/>
      <c r="N4" s="22" t="s">
        <v>162</v>
      </c>
      <c r="O4" s="21"/>
      <c r="P4" s="21"/>
      <c r="Q4" s="22" t="s">
        <v>96</v>
      </c>
      <c r="R4" s="21"/>
      <c r="S4" s="24" t="s">
        <v>95</v>
      </c>
      <c r="T4" s="22" t="s">
        <v>164</v>
      </c>
      <c r="V4" s="18" t="s">
        <v>91</v>
      </c>
      <c r="W4" s="19" t="s">
        <v>76</v>
      </c>
      <c r="X4" s="20" t="s">
        <v>107</v>
      </c>
      <c r="Y4" s="20" t="s">
        <v>108</v>
      </c>
      <c r="Z4" s="20" t="s">
        <v>109</v>
      </c>
      <c r="AA4" s="20" t="s">
        <v>110</v>
      </c>
      <c r="AB4" s="20" t="s">
        <v>165</v>
      </c>
      <c r="AC4" s="20" t="s">
        <v>112</v>
      </c>
      <c r="AD4" s="20" t="s">
        <v>111</v>
      </c>
      <c r="AE4" s="20" t="s">
        <v>114</v>
      </c>
      <c r="AF4" s="20" t="s">
        <v>166</v>
      </c>
      <c r="AG4" s="21"/>
      <c r="AH4" s="22" t="s">
        <v>167</v>
      </c>
      <c r="AJ4" s="22" t="s">
        <v>96</v>
      </c>
      <c r="AK4" s="21"/>
      <c r="AL4" s="24" t="s">
        <v>95</v>
      </c>
      <c r="AM4" s="22" t="s">
        <v>164</v>
      </c>
    </row>
    <row r="5" spans="1:39" ht="13.5" thickBot="1">
      <c r="A5" s="119" t="s">
        <v>168</v>
      </c>
      <c r="B5" s="26">
        <v>1</v>
      </c>
      <c r="C5" s="27">
        <v>1</v>
      </c>
      <c r="D5" s="27">
        <v>0.6</v>
      </c>
      <c r="E5" s="27">
        <v>0.6</v>
      </c>
      <c r="F5" s="27">
        <v>1</v>
      </c>
      <c r="G5" s="27">
        <v>1</v>
      </c>
      <c r="H5" s="27">
        <v>1</v>
      </c>
      <c r="I5" s="123"/>
      <c r="K5" s="28"/>
      <c r="L5" s="21" t="s">
        <v>85</v>
      </c>
      <c r="M5" s="21" t="s">
        <v>86</v>
      </c>
      <c r="N5" s="22" t="s">
        <v>177</v>
      </c>
      <c r="O5" s="21"/>
      <c r="P5" s="29"/>
      <c r="Q5" s="30"/>
      <c r="R5" s="29"/>
      <c r="S5" s="30"/>
      <c r="T5" s="31"/>
      <c r="V5" s="25" t="s">
        <v>168</v>
      </c>
      <c r="W5" s="26">
        <v>1</v>
      </c>
      <c r="X5" s="32">
        <v>0.8807</v>
      </c>
      <c r="Y5" s="27">
        <v>0.6</v>
      </c>
      <c r="Z5" s="27">
        <v>0.4</v>
      </c>
      <c r="AA5" s="27">
        <v>1</v>
      </c>
      <c r="AB5" s="27">
        <v>0.8</v>
      </c>
      <c r="AC5" s="27">
        <v>1</v>
      </c>
      <c r="AD5" s="27">
        <v>1</v>
      </c>
      <c r="AE5" s="27">
        <v>0.7</v>
      </c>
      <c r="AF5" s="27">
        <v>0.7</v>
      </c>
      <c r="AG5" s="33"/>
      <c r="AH5" s="28"/>
      <c r="AJ5" s="30"/>
      <c r="AK5" s="29"/>
      <c r="AL5" s="30"/>
      <c r="AM5" s="31"/>
    </row>
    <row r="6" spans="1:39" ht="12.75">
      <c r="A6" s="120"/>
      <c r="B6" s="35"/>
      <c r="C6" s="15"/>
      <c r="D6" s="15"/>
      <c r="E6" s="15"/>
      <c r="F6" s="15"/>
      <c r="G6" s="15"/>
      <c r="H6" s="15"/>
      <c r="I6" s="123"/>
      <c r="K6" s="28"/>
      <c r="L6" s="29"/>
      <c r="M6" s="29"/>
      <c r="N6" s="28"/>
      <c r="O6" s="29"/>
      <c r="P6" s="29"/>
      <c r="Q6" s="28"/>
      <c r="R6" s="29"/>
      <c r="S6" s="28"/>
      <c r="T6" s="31"/>
      <c r="V6" s="34"/>
      <c r="W6" s="35"/>
      <c r="X6" s="15"/>
      <c r="Y6" s="15"/>
      <c r="Z6" s="15"/>
      <c r="AA6" s="15"/>
      <c r="AB6" s="15"/>
      <c r="AC6" s="15"/>
      <c r="AD6" s="15"/>
      <c r="AE6" s="15"/>
      <c r="AF6" s="15"/>
      <c r="AH6" s="28"/>
      <c r="AJ6" s="28"/>
      <c r="AK6" s="29"/>
      <c r="AL6" s="28"/>
      <c r="AM6" s="31"/>
    </row>
    <row r="7" spans="1:39" ht="21" customHeight="1" thickBot="1">
      <c r="A7" s="117" t="s">
        <v>92</v>
      </c>
      <c r="B7" s="36">
        <v>0</v>
      </c>
      <c r="C7" s="37">
        <v>15709428</v>
      </c>
      <c r="D7" s="37">
        <v>669901.26</v>
      </c>
      <c r="E7" s="37">
        <v>1868706.49</v>
      </c>
      <c r="F7" s="37">
        <v>5734855.64</v>
      </c>
      <c r="G7" s="37">
        <v>0</v>
      </c>
      <c r="H7" s="37">
        <v>0</v>
      </c>
      <c r="I7" s="124">
        <f>AH7</f>
        <v>543779171.4833333</v>
      </c>
      <c r="J7" s="10"/>
      <c r="K7" s="38">
        <f>SUM(B7:I7)</f>
        <v>567762062.8733333</v>
      </c>
      <c r="L7" s="12"/>
      <c r="M7" s="12"/>
      <c r="N7" s="38">
        <f>K7-L7</f>
        <v>567762062.8733333</v>
      </c>
      <c r="O7" s="12"/>
      <c r="P7" s="12"/>
      <c r="Q7" s="38">
        <v>358674721</v>
      </c>
      <c r="R7" s="12"/>
      <c r="S7" s="38">
        <f>K7-Q7</f>
        <v>209087341.87333333</v>
      </c>
      <c r="T7" s="39">
        <f>S7/Q7</f>
        <v>0.5829441821001189</v>
      </c>
      <c r="V7" s="28" t="s">
        <v>92</v>
      </c>
      <c r="W7" s="36">
        <v>43235894.67</v>
      </c>
      <c r="X7" s="37">
        <v>41695852</v>
      </c>
      <c r="Y7" s="37">
        <f>8842498000/2400*3.8</f>
        <v>14000621.833333332</v>
      </c>
      <c r="Z7" s="37">
        <v>440822248</v>
      </c>
      <c r="AA7" s="37">
        <v>3780645.98</v>
      </c>
      <c r="AB7" s="37">
        <v>0</v>
      </c>
      <c r="AC7" s="37">
        <v>0</v>
      </c>
      <c r="AD7" s="37">
        <v>0</v>
      </c>
      <c r="AE7" s="37">
        <v>56480</v>
      </c>
      <c r="AF7" s="37">
        <v>187429</v>
      </c>
      <c r="AG7" s="10"/>
      <c r="AH7" s="38">
        <f>SUM(W7:AF7)</f>
        <v>543779171.4833333</v>
      </c>
      <c r="AJ7" s="38">
        <v>346259892</v>
      </c>
      <c r="AK7" s="12"/>
      <c r="AL7" s="38">
        <f>AH7-AJ7</f>
        <v>197519279.48333335</v>
      </c>
      <c r="AM7" s="39">
        <f>AL7/AJ7</f>
        <v>0.570436495958167</v>
      </c>
    </row>
    <row r="8" spans="1:39" ht="21" customHeight="1" thickTop="1">
      <c r="A8" s="117" t="s">
        <v>97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/>
      <c r="H8" s="41"/>
      <c r="I8" s="125"/>
      <c r="J8" s="10"/>
      <c r="K8" s="42"/>
      <c r="L8" s="12"/>
      <c r="M8" s="12"/>
      <c r="N8" s="42"/>
      <c r="O8" s="12"/>
      <c r="P8" s="12"/>
      <c r="Q8" s="42"/>
      <c r="R8" s="12"/>
      <c r="S8" s="42"/>
      <c r="T8" s="39"/>
      <c r="V8" s="28" t="s">
        <v>97</v>
      </c>
      <c r="W8" s="40">
        <v>-4171.18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10"/>
      <c r="AH8" s="42">
        <f>SUM(W8:AG8)</f>
        <v>-4171.18</v>
      </c>
      <c r="AJ8" s="42"/>
      <c r="AK8" s="12"/>
      <c r="AL8" s="42"/>
      <c r="AM8" s="39"/>
    </row>
    <row r="9" spans="1:39" ht="34.5" customHeight="1">
      <c r="A9" s="117" t="s">
        <v>169</v>
      </c>
      <c r="B9" s="40">
        <v>107365.05</v>
      </c>
      <c r="C9" s="41">
        <v>79842</v>
      </c>
      <c r="D9" s="41">
        <f>41389+837.96+1470.69</f>
        <v>43697.65</v>
      </c>
      <c r="E9" s="41">
        <f>18568.63+677.12</f>
        <v>19245.75</v>
      </c>
      <c r="F9" s="41">
        <v>318182.29</v>
      </c>
      <c r="G9" s="41">
        <v>0</v>
      </c>
      <c r="H9" s="41">
        <v>63000</v>
      </c>
      <c r="I9" s="125">
        <f>AH9</f>
        <v>39623680.6</v>
      </c>
      <c r="J9" s="10"/>
      <c r="K9" s="42">
        <f>SUM(B9:I9)</f>
        <v>40255013.34</v>
      </c>
      <c r="L9" s="12"/>
      <c r="M9" s="12"/>
      <c r="N9" s="42">
        <f>K9</f>
        <v>40255013.34</v>
      </c>
      <c r="O9" s="12"/>
      <c r="P9" s="12"/>
      <c r="Q9" s="42">
        <v>17007728</v>
      </c>
      <c r="R9" s="12"/>
      <c r="S9" s="42">
        <f>K9-Q9</f>
        <v>23247285.340000004</v>
      </c>
      <c r="T9" s="39">
        <f>S9/Q9</f>
        <v>1.3668660117330194</v>
      </c>
      <c r="V9" s="28" t="s">
        <v>169</v>
      </c>
      <c r="W9" s="40">
        <v>14351063.11</v>
      </c>
      <c r="X9" s="41">
        <v>0</v>
      </c>
      <c r="Y9" s="41">
        <v>0</v>
      </c>
      <c r="Z9" s="41">
        <v>25000000</v>
      </c>
      <c r="AA9" s="41">
        <v>80211.49</v>
      </c>
      <c r="AB9" s="41">
        <v>9302</v>
      </c>
      <c r="AC9" s="41"/>
      <c r="AD9" s="41"/>
      <c r="AE9" s="41">
        <v>0</v>
      </c>
      <c r="AF9" s="41">
        <v>183104</v>
      </c>
      <c r="AG9" s="10"/>
      <c r="AH9" s="42">
        <f>SUM(W9:AF9)</f>
        <v>39623680.6</v>
      </c>
      <c r="AJ9" s="42">
        <v>11263550</v>
      </c>
      <c r="AK9" s="12"/>
      <c r="AL9" s="42">
        <f>AH9-AJ9</f>
        <v>28360130.6</v>
      </c>
      <c r="AM9" s="39">
        <f>AL9/AJ9</f>
        <v>2.517867865814952</v>
      </c>
    </row>
    <row r="10" spans="1:39" ht="33" customHeight="1">
      <c r="A10" s="117" t="s">
        <v>170</v>
      </c>
      <c r="B10" s="40"/>
      <c r="C10" s="41"/>
      <c r="D10" s="41"/>
      <c r="E10" s="41"/>
      <c r="F10" s="41"/>
      <c r="G10" s="41"/>
      <c r="H10" s="41"/>
      <c r="I10" s="125"/>
      <c r="J10" s="10"/>
      <c r="K10" s="42"/>
      <c r="L10" s="12"/>
      <c r="M10" s="12"/>
      <c r="N10" s="42"/>
      <c r="O10" s="12"/>
      <c r="P10" s="12"/>
      <c r="Q10" s="42"/>
      <c r="R10" s="12"/>
      <c r="S10" s="42"/>
      <c r="T10" s="31"/>
      <c r="V10" s="28" t="s">
        <v>170</v>
      </c>
      <c r="W10" s="40"/>
      <c r="X10" s="41"/>
      <c r="Y10" s="41"/>
      <c r="Z10" s="41"/>
      <c r="AA10" s="41"/>
      <c r="AB10" s="41"/>
      <c r="AC10" s="41"/>
      <c r="AD10" s="41"/>
      <c r="AE10" s="41"/>
      <c r="AF10" s="41"/>
      <c r="AG10" s="10"/>
      <c r="AH10" s="42"/>
      <c r="AJ10" s="42"/>
      <c r="AK10" s="12"/>
      <c r="AL10" s="42"/>
      <c r="AM10" s="31"/>
    </row>
    <row r="11" spans="1:39" ht="12.75" customHeight="1">
      <c r="A11" s="117" t="s">
        <v>171</v>
      </c>
      <c r="B11" s="40"/>
      <c r="C11" s="41"/>
      <c r="D11" s="41"/>
      <c r="E11" s="41"/>
      <c r="F11" s="41"/>
      <c r="G11" s="41"/>
      <c r="H11" s="41"/>
      <c r="I11" s="125"/>
      <c r="J11" s="10"/>
      <c r="K11" s="42"/>
      <c r="L11" s="12"/>
      <c r="M11" s="12"/>
      <c r="N11" s="42"/>
      <c r="O11" s="12"/>
      <c r="P11" s="12"/>
      <c r="Q11" s="42"/>
      <c r="R11" s="12"/>
      <c r="S11" s="42"/>
      <c r="T11" s="31"/>
      <c r="V11" s="28" t="s">
        <v>171</v>
      </c>
      <c r="W11" s="40"/>
      <c r="X11" s="41"/>
      <c r="Y11" s="41"/>
      <c r="Z11" s="41"/>
      <c r="AA11" s="41"/>
      <c r="AB11" s="41"/>
      <c r="AC11" s="41"/>
      <c r="AD11" s="41"/>
      <c r="AE11" s="41"/>
      <c r="AF11" s="41"/>
      <c r="AG11" s="10"/>
      <c r="AH11" s="42"/>
      <c r="AJ11" s="42"/>
      <c r="AK11" s="12"/>
      <c r="AL11" s="42"/>
      <c r="AM11" s="31"/>
    </row>
    <row r="12" spans="1:39" ht="13.5" customHeight="1">
      <c r="A12" s="117" t="s">
        <v>172</v>
      </c>
      <c r="B12" s="40">
        <f aca="true" t="shared" si="0" ref="B12:I12">B15+B13+B14</f>
        <v>3501325.439999999</v>
      </c>
      <c r="C12" s="41">
        <f t="shared" si="0"/>
        <v>1059772</v>
      </c>
      <c r="D12" s="41">
        <f t="shared" si="0"/>
        <v>106238.92</v>
      </c>
      <c r="E12" s="41">
        <f t="shared" si="0"/>
        <v>25638.399999999998</v>
      </c>
      <c r="F12" s="41">
        <f t="shared" si="0"/>
        <v>3863020.48</v>
      </c>
      <c r="G12" s="41">
        <f t="shared" si="0"/>
        <v>-78682</v>
      </c>
      <c r="H12" s="41">
        <f t="shared" si="0"/>
        <v>-59225</v>
      </c>
      <c r="I12" s="125">
        <f t="shared" si="0"/>
        <v>57889898.38666666</v>
      </c>
      <c r="J12" s="10"/>
      <c r="K12" s="42">
        <f aca="true" t="shared" si="1" ref="K12:K19">SUM(B12:I12)</f>
        <v>66307986.626666665</v>
      </c>
      <c r="L12" s="12"/>
      <c r="M12" s="12"/>
      <c r="N12" s="42">
        <f>K12-L12</f>
        <v>66307986.626666665</v>
      </c>
      <c r="O12" s="12"/>
      <c r="P12" s="12"/>
      <c r="Q12" s="42">
        <f>Q15+Q13</f>
        <v>64240257</v>
      </c>
      <c r="R12" s="12"/>
      <c r="S12" s="42">
        <f>K12-Q12</f>
        <v>2067729.626666665</v>
      </c>
      <c r="T12" s="39">
        <f>S12/Q12</f>
        <v>0.03218744325177069</v>
      </c>
      <c r="V12" s="28" t="s">
        <v>172</v>
      </c>
      <c r="W12" s="41">
        <f aca="true" t="shared" si="2" ref="W12:AF12">W15+W13+W14</f>
        <v>-27325895.28</v>
      </c>
      <c r="X12" s="41">
        <f t="shared" si="2"/>
        <v>-3541640.5</v>
      </c>
      <c r="Y12" s="41">
        <f t="shared" si="2"/>
        <v>-50956.833333333256</v>
      </c>
      <c r="Z12" s="41">
        <f t="shared" si="2"/>
        <v>89779444</v>
      </c>
      <c r="AA12" s="41">
        <f t="shared" si="2"/>
        <v>296212.18000000005</v>
      </c>
      <c r="AB12" s="41">
        <f t="shared" si="2"/>
        <v>-831575</v>
      </c>
      <c r="AC12" s="41">
        <f t="shared" si="2"/>
        <v>-1333</v>
      </c>
      <c r="AD12" s="41">
        <f t="shared" si="2"/>
        <v>-24261</v>
      </c>
      <c r="AE12" s="41">
        <f t="shared" si="2"/>
        <v>-126518.18</v>
      </c>
      <c r="AF12" s="41">
        <f t="shared" si="2"/>
        <v>-283578</v>
      </c>
      <c r="AG12" s="10"/>
      <c r="AH12" s="42">
        <f aca="true" t="shared" si="3" ref="AH12:AH19">SUM(W12:AF12)</f>
        <v>57889898.38666667</v>
      </c>
      <c r="AJ12" s="42">
        <f>AJ15+AJ13</f>
        <v>58840816</v>
      </c>
      <c r="AK12" s="12"/>
      <c r="AL12" s="42">
        <f>AH12-AJ12</f>
        <v>-950917.6133333296</v>
      </c>
      <c r="AM12" s="39">
        <f>AL12/AJ12</f>
        <v>-0.016160850205295074</v>
      </c>
    </row>
    <row r="13" spans="1:39" ht="36" customHeight="1">
      <c r="A13" s="117" t="s">
        <v>99</v>
      </c>
      <c r="B13" s="6">
        <f>18598507.79+70213.7</f>
        <v>18668721.49</v>
      </c>
      <c r="C13" s="7">
        <v>108388</v>
      </c>
      <c r="D13" s="10">
        <v>15632.83</v>
      </c>
      <c r="E13" s="7">
        <v>19453.1</v>
      </c>
      <c r="F13" s="10">
        <v>3321512.04</v>
      </c>
      <c r="G13" s="7">
        <v>0</v>
      </c>
      <c r="H13" s="10">
        <v>0</v>
      </c>
      <c r="I13" s="126">
        <f aca="true" t="shared" si="4" ref="I13:I19">AH13</f>
        <v>27023797.06</v>
      </c>
      <c r="J13" s="10"/>
      <c r="K13" s="45">
        <f t="shared" si="1"/>
        <v>49157504.519999996</v>
      </c>
      <c r="L13" s="12"/>
      <c r="M13" s="12"/>
      <c r="N13" s="45">
        <f>K13</f>
        <v>49157504.519999996</v>
      </c>
      <c r="O13" s="12"/>
      <c r="P13" s="12"/>
      <c r="Q13" s="45">
        <v>29135318</v>
      </c>
      <c r="R13" s="12"/>
      <c r="S13" s="45">
        <f>K13-Q13</f>
        <v>20022186.519999996</v>
      </c>
      <c r="T13" s="39">
        <f>S13/Q13</f>
        <v>0.6872135914219297</v>
      </c>
      <c r="V13" s="28" t="s">
        <v>99</v>
      </c>
      <c r="W13" s="43">
        <v>25304583.4</v>
      </c>
      <c r="X13" s="44">
        <v>0</v>
      </c>
      <c r="Y13" s="44">
        <v>0</v>
      </c>
      <c r="Z13" s="44">
        <v>1133000</v>
      </c>
      <c r="AA13" s="44">
        <v>72633.66</v>
      </c>
      <c r="AB13" s="44">
        <v>513580</v>
      </c>
      <c r="AC13" s="44">
        <v>0</v>
      </c>
      <c r="AD13" s="44"/>
      <c r="AE13" s="44">
        <v>0</v>
      </c>
      <c r="AF13" s="44">
        <v>0</v>
      </c>
      <c r="AG13" s="10"/>
      <c r="AH13" s="45">
        <f t="shared" si="3"/>
        <v>27023797.06</v>
      </c>
      <c r="AJ13" s="45">
        <v>16915356</v>
      </c>
      <c r="AK13" s="12"/>
      <c r="AL13" s="45">
        <f>AH13-AJ13</f>
        <v>10108441.059999999</v>
      </c>
      <c r="AM13" s="39">
        <f>AL13/AJ13</f>
        <v>0.5975896138396377</v>
      </c>
    </row>
    <row r="14" spans="1:39" ht="36" customHeight="1">
      <c r="A14" s="117" t="s">
        <v>173</v>
      </c>
      <c r="B14" s="43">
        <v>96365.72</v>
      </c>
      <c r="C14" s="44">
        <v>908224</v>
      </c>
      <c r="D14" s="44">
        <v>53143.34</v>
      </c>
      <c r="E14" s="44">
        <v>9194.16</v>
      </c>
      <c r="F14" s="44">
        <v>62389.51</v>
      </c>
      <c r="G14" s="44">
        <v>0</v>
      </c>
      <c r="H14" s="44">
        <v>0</v>
      </c>
      <c r="I14" s="127">
        <f t="shared" si="4"/>
        <v>14488172.65</v>
      </c>
      <c r="J14" s="10"/>
      <c r="K14" s="45">
        <f t="shared" si="1"/>
        <v>15617489.38</v>
      </c>
      <c r="L14" s="12"/>
      <c r="M14" s="12"/>
      <c r="N14" s="42"/>
      <c r="O14" s="12"/>
      <c r="P14" s="12"/>
      <c r="Q14" s="42"/>
      <c r="R14" s="12"/>
      <c r="S14" s="42"/>
      <c r="T14" s="39"/>
      <c r="V14" s="28" t="s">
        <v>173</v>
      </c>
      <c r="W14" s="40">
        <v>4780909</v>
      </c>
      <c r="X14" s="41">
        <v>1698307</v>
      </c>
      <c r="Y14" s="41">
        <v>1033560</v>
      </c>
      <c r="Z14" s="41">
        <v>6500000</v>
      </c>
      <c r="AA14" s="41">
        <v>20683.65</v>
      </c>
      <c r="AB14" s="41">
        <v>411206</v>
      </c>
      <c r="AC14" s="41">
        <v>4665</v>
      </c>
      <c r="AD14" s="41"/>
      <c r="AE14" s="41">
        <v>0</v>
      </c>
      <c r="AF14" s="41">
        <v>38842</v>
      </c>
      <c r="AG14" s="10"/>
      <c r="AH14" s="45">
        <f t="shared" si="3"/>
        <v>14488172.65</v>
      </c>
      <c r="AJ14" s="42"/>
      <c r="AK14" s="12"/>
      <c r="AL14" s="42"/>
      <c r="AM14" s="39"/>
    </row>
    <row r="15" spans="1:39" ht="41.25" customHeight="1">
      <c r="A15" s="117" t="s">
        <v>174</v>
      </c>
      <c r="B15" s="40">
        <f>-19685813.95+4422052.18</f>
        <v>-15263761.77</v>
      </c>
      <c r="C15" s="41">
        <v>43160</v>
      </c>
      <c r="D15" s="41">
        <v>37462.75</v>
      </c>
      <c r="E15" s="41">
        <v>-3008.86</v>
      </c>
      <c r="F15" s="41">
        <v>479118.93</v>
      </c>
      <c r="G15" s="41">
        <v>-78682</v>
      </c>
      <c r="H15" s="41">
        <v>-59225</v>
      </c>
      <c r="I15" s="125">
        <f t="shared" si="4"/>
        <v>16377928.676666666</v>
      </c>
      <c r="J15" s="10"/>
      <c r="K15" s="42">
        <f t="shared" si="1"/>
        <v>1532992.7266666666</v>
      </c>
      <c r="L15" s="12"/>
      <c r="M15" s="12"/>
      <c r="N15" s="42">
        <f>K15-L15</f>
        <v>1532992.7266666666</v>
      </c>
      <c r="O15" s="12"/>
      <c r="P15" s="12"/>
      <c r="Q15" s="42">
        <v>35104939</v>
      </c>
      <c r="R15" s="12"/>
      <c r="S15" s="42">
        <f>K15-Q15</f>
        <v>-33571946.27333333</v>
      </c>
      <c r="T15" s="39">
        <f>S15/Q15</f>
        <v>-0.9563311382860781</v>
      </c>
      <c r="V15" s="28" t="s">
        <v>174</v>
      </c>
      <c r="W15" s="46">
        <v>-57411387.68</v>
      </c>
      <c r="X15" s="41">
        <f>-2095979*2.5</f>
        <v>-5239947.5</v>
      </c>
      <c r="Y15" s="41">
        <f>-684958000/2400*3.8</f>
        <v>-1084516.8333333333</v>
      </c>
      <c r="Z15" s="41">
        <v>82146444</v>
      </c>
      <c r="AA15" s="41">
        <v>202894.87</v>
      </c>
      <c r="AB15" s="41">
        <v>-1756361</v>
      </c>
      <c r="AC15" s="41">
        <v>-5998</v>
      </c>
      <c r="AD15" s="41">
        <v>-24261</v>
      </c>
      <c r="AE15" s="41">
        <v>-126518.18</v>
      </c>
      <c r="AF15" s="41">
        <v>-322420</v>
      </c>
      <c r="AG15" s="10"/>
      <c r="AH15" s="42">
        <f t="shared" si="3"/>
        <v>16377928.676666666</v>
      </c>
      <c r="AJ15" s="42">
        <v>41925460</v>
      </c>
      <c r="AK15" s="12"/>
      <c r="AL15" s="42">
        <f>AH15-AJ15</f>
        <v>-25547531.323333334</v>
      </c>
      <c r="AM15" s="39">
        <f>AL15/AJ15</f>
        <v>-0.6093560171631589</v>
      </c>
    </row>
    <row r="16" spans="1:39" ht="34.5" customHeight="1">
      <c r="A16" s="117" t="s">
        <v>90</v>
      </c>
      <c r="B16" s="43">
        <v>367679.44</v>
      </c>
      <c r="C16" s="47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27">
        <f t="shared" si="4"/>
        <v>0</v>
      </c>
      <c r="J16" s="10"/>
      <c r="K16" s="45">
        <f t="shared" si="1"/>
        <v>367679.44</v>
      </c>
      <c r="L16" s="12"/>
      <c r="M16" s="12"/>
      <c r="N16" s="45">
        <v>0</v>
      </c>
      <c r="O16" s="12"/>
      <c r="P16" s="12"/>
      <c r="Q16" s="45">
        <v>0</v>
      </c>
      <c r="R16" s="12"/>
      <c r="S16" s="45"/>
      <c r="T16" s="31"/>
      <c r="V16" s="28" t="s">
        <v>90</v>
      </c>
      <c r="W16" s="43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10"/>
      <c r="AH16" s="45">
        <f t="shared" si="3"/>
        <v>0</v>
      </c>
      <c r="AJ16" s="45">
        <v>0</v>
      </c>
      <c r="AK16" s="12"/>
      <c r="AL16" s="45">
        <v>0</v>
      </c>
      <c r="AM16" s="31"/>
    </row>
    <row r="17" spans="1:39" ht="37.5" customHeight="1">
      <c r="A17" s="117" t="s">
        <v>94</v>
      </c>
      <c r="B17" s="40">
        <f>B15+B16</f>
        <v>-14896082.33</v>
      </c>
      <c r="C17" s="41">
        <f aca="true" t="shared" si="5" ref="C17:H17">C15</f>
        <v>43160</v>
      </c>
      <c r="D17" s="41">
        <f t="shared" si="5"/>
        <v>37462.75</v>
      </c>
      <c r="E17" s="41">
        <f t="shared" si="5"/>
        <v>-3008.86</v>
      </c>
      <c r="F17" s="41">
        <f t="shared" si="5"/>
        <v>479118.93</v>
      </c>
      <c r="G17" s="41">
        <f t="shared" si="5"/>
        <v>-78682</v>
      </c>
      <c r="H17" s="41">
        <f t="shared" si="5"/>
        <v>-59225</v>
      </c>
      <c r="I17" s="125">
        <f t="shared" si="4"/>
        <v>16377928.676666666</v>
      </c>
      <c r="J17" s="10"/>
      <c r="K17" s="42">
        <f t="shared" si="1"/>
        <v>1900672.166666666</v>
      </c>
      <c r="L17" s="12"/>
      <c r="M17" s="12"/>
      <c r="N17" s="42">
        <f>N15-N16</f>
        <v>1532992.7266666666</v>
      </c>
      <c r="O17" s="12"/>
      <c r="P17" s="12"/>
      <c r="Q17" s="42">
        <f>Q15-Q16</f>
        <v>35104939</v>
      </c>
      <c r="R17" s="12"/>
      <c r="S17" s="42">
        <f>K17-Q17</f>
        <v>-33204266.833333336</v>
      </c>
      <c r="T17" s="39">
        <f>S17/Q17</f>
        <v>-0.9458574143465492</v>
      </c>
      <c r="V17" s="28" t="s">
        <v>94</v>
      </c>
      <c r="W17" s="40">
        <f aca="true" t="shared" si="6" ref="W17:AF17">W15-W16</f>
        <v>-57411387.68</v>
      </c>
      <c r="X17" s="41">
        <f t="shared" si="6"/>
        <v>-5239947.5</v>
      </c>
      <c r="Y17" s="41">
        <f t="shared" si="6"/>
        <v>-1084516.8333333333</v>
      </c>
      <c r="Z17" s="41">
        <f t="shared" si="6"/>
        <v>82146444</v>
      </c>
      <c r="AA17" s="41">
        <f t="shared" si="6"/>
        <v>202894.87</v>
      </c>
      <c r="AB17" s="41">
        <f t="shared" si="6"/>
        <v>-1756361</v>
      </c>
      <c r="AC17" s="41">
        <f t="shared" si="6"/>
        <v>-5998</v>
      </c>
      <c r="AD17" s="41">
        <f t="shared" si="6"/>
        <v>-24261</v>
      </c>
      <c r="AE17" s="41">
        <f t="shared" si="6"/>
        <v>-126518.18</v>
      </c>
      <c r="AF17" s="41">
        <f t="shared" si="6"/>
        <v>-322420</v>
      </c>
      <c r="AG17" s="10"/>
      <c r="AH17" s="42">
        <f t="shared" si="3"/>
        <v>16377928.676666666</v>
      </c>
      <c r="AJ17" s="42">
        <f>AJ15-AJ16</f>
        <v>41925460</v>
      </c>
      <c r="AK17" s="12"/>
      <c r="AL17" s="42">
        <f>AH17-AJ17</f>
        <v>-25547531.323333334</v>
      </c>
      <c r="AM17" s="39">
        <f>AL17/AJ17</f>
        <v>-0.6093560171631589</v>
      </c>
    </row>
    <row r="18" spans="1:39" ht="35.25" customHeight="1">
      <c r="A18" s="117" t="s">
        <v>175</v>
      </c>
      <c r="B18" s="43">
        <v>0</v>
      </c>
      <c r="C18" s="44">
        <v>0</v>
      </c>
      <c r="D18" s="44">
        <f>D17*0.4</f>
        <v>14985.1</v>
      </c>
      <c r="E18" s="44">
        <f>E17*0.4</f>
        <v>-1203.544</v>
      </c>
      <c r="F18" s="44">
        <v>0</v>
      </c>
      <c r="G18" s="44">
        <v>0</v>
      </c>
      <c r="H18" s="44">
        <v>0</v>
      </c>
      <c r="I18" s="127">
        <f t="shared" si="4"/>
        <v>47742980.27591666</v>
      </c>
      <c r="J18" s="10"/>
      <c r="K18" s="45">
        <f t="shared" si="1"/>
        <v>47756761.83191666</v>
      </c>
      <c r="L18" s="12"/>
      <c r="M18" s="12"/>
      <c r="N18" s="45">
        <f>K18</f>
        <v>47756761.83191666</v>
      </c>
      <c r="O18" s="12"/>
      <c r="P18" s="12"/>
      <c r="Q18" s="45">
        <v>28609038</v>
      </c>
      <c r="R18" s="12"/>
      <c r="S18" s="45">
        <f>K18-Q18</f>
        <v>19147723.83191666</v>
      </c>
      <c r="T18" s="39">
        <f>S18/Q18</f>
        <v>0.6692893284953049</v>
      </c>
      <c r="V18" s="28" t="s">
        <v>175</v>
      </c>
      <c r="W18" s="43">
        <v>0</v>
      </c>
      <c r="X18" s="44">
        <f>X17*0.1193</f>
        <v>-625125.73675</v>
      </c>
      <c r="Y18" s="44">
        <f>Y17*0.4</f>
        <v>-433806.73333333334</v>
      </c>
      <c r="Z18" s="44">
        <f>Z17*0.6</f>
        <v>49287866.4</v>
      </c>
      <c r="AA18" s="44">
        <v>0</v>
      </c>
      <c r="AB18" s="44">
        <f>AB17*0.2</f>
        <v>-351272.2</v>
      </c>
      <c r="AC18" s="44">
        <v>0</v>
      </c>
      <c r="AD18" s="44">
        <v>0</v>
      </c>
      <c r="AE18" s="44">
        <f>AE17*0.3</f>
        <v>-37955.454</v>
      </c>
      <c r="AF18" s="44">
        <f>AF17*0.3</f>
        <v>-96726</v>
      </c>
      <c r="AG18" s="10"/>
      <c r="AH18" s="45">
        <f t="shared" si="3"/>
        <v>47742980.27591666</v>
      </c>
      <c r="AJ18" s="45">
        <v>28592382</v>
      </c>
      <c r="AK18" s="12"/>
      <c r="AL18" s="45">
        <f>AH18-AJ18</f>
        <v>19150598.27591666</v>
      </c>
      <c r="AM18" s="39">
        <f>AL18/AJ18</f>
        <v>0.6697797432867488</v>
      </c>
    </row>
    <row r="19" spans="1:39" ht="42" customHeight="1" thickBot="1">
      <c r="A19" s="121" t="s">
        <v>176</v>
      </c>
      <c r="B19" s="49">
        <f>B17</f>
        <v>-14896082.33</v>
      </c>
      <c r="C19" s="50">
        <f>C17</f>
        <v>43160</v>
      </c>
      <c r="D19" s="50">
        <f>D17-D18</f>
        <v>22477.65</v>
      </c>
      <c r="E19" s="50">
        <f>E17-E18</f>
        <v>-1805.316</v>
      </c>
      <c r="F19" s="50">
        <f>F17</f>
        <v>479118.93</v>
      </c>
      <c r="G19" s="50">
        <f>G17</f>
        <v>-78682</v>
      </c>
      <c r="H19" s="50">
        <f>H17</f>
        <v>-59225</v>
      </c>
      <c r="I19" s="128">
        <f t="shared" si="4"/>
        <v>-31365051.59925</v>
      </c>
      <c r="J19" s="10"/>
      <c r="K19" s="51">
        <f t="shared" si="1"/>
        <v>-45856089.66525</v>
      </c>
      <c r="L19" s="12"/>
      <c r="M19" s="12"/>
      <c r="N19" s="51">
        <f>N17-N18</f>
        <v>-46223769.10524999</v>
      </c>
      <c r="O19" s="12"/>
      <c r="P19" s="12"/>
      <c r="Q19" s="51">
        <f>Q17-Q18</f>
        <v>6495901</v>
      </c>
      <c r="R19" s="12"/>
      <c r="S19" s="51">
        <f>K19-Q19</f>
        <v>-52351990.66525</v>
      </c>
      <c r="T19" s="52">
        <f>S19/Q19</f>
        <v>-8.059234687420576</v>
      </c>
      <c r="V19" s="48" t="s">
        <v>176</v>
      </c>
      <c r="W19" s="49">
        <f aca="true" t="shared" si="7" ref="W19:AF19">W17-W18</f>
        <v>-57411387.68</v>
      </c>
      <c r="X19" s="50">
        <f t="shared" si="7"/>
        <v>-4614821.76325</v>
      </c>
      <c r="Y19" s="50">
        <f t="shared" si="7"/>
        <v>-650710.0999999999</v>
      </c>
      <c r="Z19" s="50">
        <f t="shared" si="7"/>
        <v>32858577.6</v>
      </c>
      <c r="AA19" s="50">
        <f t="shared" si="7"/>
        <v>202894.87</v>
      </c>
      <c r="AB19" s="50">
        <f t="shared" si="7"/>
        <v>-1405088.8</v>
      </c>
      <c r="AC19" s="50">
        <f t="shared" si="7"/>
        <v>-5998</v>
      </c>
      <c r="AD19" s="50">
        <f t="shared" si="7"/>
        <v>-24261</v>
      </c>
      <c r="AE19" s="50">
        <f t="shared" si="7"/>
        <v>-88562.726</v>
      </c>
      <c r="AF19" s="50">
        <f t="shared" si="7"/>
        <v>-225694</v>
      </c>
      <c r="AG19" s="10"/>
      <c r="AH19" s="51">
        <f t="shared" si="3"/>
        <v>-31365051.59925</v>
      </c>
      <c r="AJ19" s="51">
        <f>AJ17-AJ18</f>
        <v>13333078</v>
      </c>
      <c r="AK19" s="12"/>
      <c r="AL19" s="51">
        <f>AH19-AJ19</f>
        <v>-44698129.59925</v>
      </c>
      <c r="AM19" s="52">
        <f>AL19/AJ19</f>
        <v>-3.3524239188617964</v>
      </c>
    </row>
    <row r="20" spans="1:33" ht="26.25" customHeight="1">
      <c r="A20" s="53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7"/>
      <c r="K25"/>
      <c r="L25"/>
      <c r="M25"/>
      <c r="N25"/>
      <c r="O25" s="17"/>
      <c r="P25"/>
      <c r="Q25"/>
      <c r="R25"/>
      <c r="S25"/>
      <c r="T25" s="3"/>
      <c r="U25"/>
      <c r="AG25" s="29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7"/>
      <c r="B54" s="54"/>
    </row>
    <row r="55" spans="1:2" ht="12.75">
      <c r="A55" s="17"/>
      <c r="B55" s="54"/>
    </row>
    <row r="56" spans="1:2" ht="12.75">
      <c r="A56" s="17"/>
      <c r="B56" s="54"/>
    </row>
    <row r="57" spans="1:2" ht="12.75">
      <c r="A57" s="17"/>
      <c r="B57" s="54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28">
      <selection activeCell="L24" sqref="L24"/>
    </sheetView>
  </sheetViews>
  <sheetFormatPr defaultColWidth="9.140625" defaultRowHeight="12.75"/>
  <cols>
    <col min="1" max="1" width="14.7109375" style="53" customWidth="1"/>
    <col min="2" max="2" width="12.28125" style="53" customWidth="1"/>
    <col min="3" max="3" width="1.28515625" style="53" customWidth="1"/>
    <col min="4" max="4" width="12.28125" style="53" customWidth="1"/>
    <col min="5" max="5" width="1.28515625" style="53" customWidth="1"/>
    <col min="6" max="6" width="12.28125" style="53" customWidth="1"/>
    <col min="7" max="7" width="1.28515625" style="53" customWidth="1"/>
    <col min="8" max="8" width="12.28125" style="53" customWidth="1"/>
    <col min="9" max="9" width="1.28515625" style="53" customWidth="1"/>
    <col min="10" max="10" width="12.28125" style="53" customWidth="1"/>
    <col min="11" max="11" width="1.28515625" style="53" customWidth="1"/>
    <col min="12" max="12" width="12.28125" style="53" customWidth="1"/>
    <col min="13" max="255" width="9.140625" style="53" customWidth="1"/>
    <col min="256" max="16384" width="9.140625" style="80" customWidth="1"/>
  </cols>
  <sheetData>
    <row r="1" ht="12.75">
      <c r="A1" s="130" t="s">
        <v>256</v>
      </c>
    </row>
    <row r="2" ht="12.75">
      <c r="A2" s="130" t="s">
        <v>255</v>
      </c>
    </row>
    <row r="3" ht="13.5" thickBot="1">
      <c r="A3" s="130"/>
    </row>
    <row r="4" spans="1:12" ht="12.75">
      <c r="A4" s="132"/>
      <c r="B4" s="138"/>
      <c r="C4" s="133"/>
      <c r="D4" s="141" t="s">
        <v>266</v>
      </c>
      <c r="E4" s="133"/>
      <c r="F4" s="141" t="s">
        <v>267</v>
      </c>
      <c r="G4" s="133"/>
      <c r="H4" s="141" t="s">
        <v>268</v>
      </c>
      <c r="I4" s="133"/>
      <c r="J4" s="141" t="s">
        <v>269</v>
      </c>
      <c r="K4" s="133"/>
      <c r="L4" s="141" t="s">
        <v>270</v>
      </c>
    </row>
    <row r="5" spans="1:12" ht="12.75">
      <c r="A5" s="134"/>
      <c r="B5" s="139" t="s">
        <v>264</v>
      </c>
      <c r="C5" s="135"/>
      <c r="D5" s="139" t="s">
        <v>265</v>
      </c>
      <c r="E5" s="135"/>
      <c r="F5" s="139" t="s">
        <v>265</v>
      </c>
      <c r="G5" s="135"/>
      <c r="H5" s="139" t="s">
        <v>265</v>
      </c>
      <c r="I5" s="135"/>
      <c r="J5" s="139" t="s">
        <v>265</v>
      </c>
      <c r="K5" s="135"/>
      <c r="L5" s="139" t="s">
        <v>265</v>
      </c>
    </row>
    <row r="6" spans="1:12" ht="12.75">
      <c r="A6" s="134"/>
      <c r="B6" s="140">
        <v>36160</v>
      </c>
      <c r="C6" s="135"/>
      <c r="D6" s="140">
        <v>36525</v>
      </c>
      <c r="E6" s="135"/>
      <c r="F6" s="140">
        <v>36525</v>
      </c>
      <c r="G6" s="135"/>
      <c r="H6" s="140">
        <v>36525</v>
      </c>
      <c r="I6" s="135"/>
      <c r="J6" s="140">
        <v>36525</v>
      </c>
      <c r="K6" s="135"/>
      <c r="L6" s="140">
        <v>36525</v>
      </c>
    </row>
    <row r="7" spans="1:12" ht="12.75">
      <c r="A7" s="134" t="s">
        <v>257</v>
      </c>
      <c r="B7" s="142">
        <v>435757801</v>
      </c>
      <c r="C7" s="143"/>
      <c r="D7" s="142">
        <v>580297757</v>
      </c>
      <c r="E7" s="144"/>
      <c r="F7" s="142">
        <f>D7</f>
        <v>580297757</v>
      </c>
      <c r="G7" s="144"/>
      <c r="H7" s="142">
        <f>F7</f>
        <v>580297757</v>
      </c>
      <c r="I7" s="144"/>
      <c r="J7" s="142">
        <f>H7</f>
        <v>580297757</v>
      </c>
      <c r="K7" s="143"/>
      <c r="L7" s="142">
        <f>J7</f>
        <v>580297757</v>
      </c>
    </row>
    <row r="8" spans="1:12" ht="12.75">
      <c r="A8" s="134"/>
      <c r="B8" s="142"/>
      <c r="C8" s="143"/>
      <c r="D8" s="142"/>
      <c r="E8" s="144"/>
      <c r="F8" s="142"/>
      <c r="G8" s="144"/>
      <c r="H8" s="142"/>
      <c r="I8" s="144"/>
      <c r="J8" s="142"/>
      <c r="K8" s="143"/>
      <c r="L8" s="142"/>
    </row>
    <row r="9" spans="1:12" ht="12.75">
      <c r="A9" s="134" t="s">
        <v>258</v>
      </c>
      <c r="B9" s="142">
        <v>5188949</v>
      </c>
      <c r="C9" s="143"/>
      <c r="D9" s="142">
        <v>-11122409</v>
      </c>
      <c r="E9" s="144"/>
      <c r="F9" s="142">
        <f>D9</f>
        <v>-11122409</v>
      </c>
      <c r="G9" s="144"/>
      <c r="H9" s="142">
        <f>F9+27967161.26</f>
        <v>16844752.26</v>
      </c>
      <c r="I9" s="144"/>
      <c r="J9" s="142">
        <f>H9+10932652</f>
        <v>27777404.26</v>
      </c>
      <c r="K9" s="143"/>
      <c r="L9" s="142">
        <f>J9+4265361</f>
        <v>32042765.26</v>
      </c>
    </row>
    <row r="10" spans="1:12" ht="12.75">
      <c r="A10" s="134"/>
      <c r="B10" s="142"/>
      <c r="C10" s="143"/>
      <c r="D10" s="142"/>
      <c r="E10" s="144"/>
      <c r="F10" s="142"/>
      <c r="G10" s="144"/>
      <c r="H10" s="142"/>
      <c r="I10" s="144"/>
      <c r="J10" s="142"/>
      <c r="K10" s="143"/>
      <c r="L10" s="142"/>
    </row>
    <row r="11" spans="1:12" ht="12.75">
      <c r="A11" s="134" t="s">
        <v>259</v>
      </c>
      <c r="B11" s="142">
        <v>52203714</v>
      </c>
      <c r="C11" s="143"/>
      <c r="D11" s="142">
        <v>0</v>
      </c>
      <c r="E11" s="144"/>
      <c r="F11" s="142">
        <v>76510478</v>
      </c>
      <c r="G11" s="144"/>
      <c r="H11" s="142">
        <f>F11</f>
        <v>76510478</v>
      </c>
      <c r="I11" s="144"/>
      <c r="J11" s="142">
        <f>H11</f>
        <v>76510478</v>
      </c>
      <c r="K11" s="143"/>
      <c r="L11" s="142">
        <f>J11</f>
        <v>76510478</v>
      </c>
    </row>
    <row r="12" spans="1:12" ht="12.75">
      <c r="A12" s="134"/>
      <c r="B12" s="142"/>
      <c r="C12" s="143"/>
      <c r="D12" s="142"/>
      <c r="E12" s="144"/>
      <c r="F12" s="142"/>
      <c r="G12" s="144"/>
      <c r="H12" s="142"/>
      <c r="I12" s="144"/>
      <c r="J12" s="142"/>
      <c r="K12" s="143"/>
      <c r="L12" s="142"/>
    </row>
    <row r="13" spans="1:12" ht="12.75">
      <c r="A13" s="134" t="s">
        <v>260</v>
      </c>
      <c r="B13" s="142">
        <v>57392663</v>
      </c>
      <c r="C13" s="143"/>
      <c r="D13" s="142">
        <f>D9+D11</f>
        <v>-11122409</v>
      </c>
      <c r="E13" s="144"/>
      <c r="F13" s="142">
        <f>F9+F11</f>
        <v>65388069</v>
      </c>
      <c r="G13" s="144"/>
      <c r="H13" s="142">
        <f>H9+H11</f>
        <v>93355230.26</v>
      </c>
      <c r="I13" s="144"/>
      <c r="J13" s="142">
        <f>J9+J11</f>
        <v>104287882.26</v>
      </c>
      <c r="K13" s="143"/>
      <c r="L13" s="142">
        <f>L9+L11</f>
        <v>108553243.26</v>
      </c>
    </row>
    <row r="14" spans="1:12" ht="12.75">
      <c r="A14" s="134"/>
      <c r="B14" s="142"/>
      <c r="C14" s="143"/>
      <c r="D14" s="142"/>
      <c r="E14" s="144"/>
      <c r="F14" s="142"/>
      <c r="G14" s="144"/>
      <c r="H14" s="142"/>
      <c r="I14" s="144"/>
      <c r="J14" s="142"/>
      <c r="K14" s="143"/>
      <c r="L14" s="142"/>
    </row>
    <row r="15" spans="1:12" ht="12.75">
      <c r="A15" s="134" t="s">
        <v>261</v>
      </c>
      <c r="B15" s="142">
        <v>-2374936</v>
      </c>
      <c r="C15" s="143"/>
      <c r="D15" s="142">
        <v>367679</v>
      </c>
      <c r="E15" s="144"/>
      <c r="F15" s="142">
        <v>367679</v>
      </c>
      <c r="G15" s="144"/>
      <c r="H15" s="142">
        <v>367679</v>
      </c>
      <c r="I15" s="144"/>
      <c r="J15" s="142">
        <v>367679</v>
      </c>
      <c r="K15" s="143"/>
      <c r="L15" s="142">
        <v>367679</v>
      </c>
    </row>
    <row r="16" spans="1:12" ht="12.75">
      <c r="A16" s="134"/>
      <c r="B16" s="142"/>
      <c r="C16" s="143"/>
      <c r="D16" s="142"/>
      <c r="E16" s="144"/>
      <c r="F16" s="142"/>
      <c r="G16" s="144"/>
      <c r="H16" s="142"/>
      <c r="I16" s="144"/>
      <c r="J16" s="142"/>
      <c r="K16" s="143"/>
      <c r="L16" s="142"/>
    </row>
    <row r="17" spans="1:12" ht="12.75">
      <c r="A17" s="134" t="s">
        <v>262</v>
      </c>
      <c r="B17" s="142">
        <v>55017727</v>
      </c>
      <c r="C17" s="143"/>
      <c r="D17" s="142">
        <f>D13+D15</f>
        <v>-10754730</v>
      </c>
      <c r="E17" s="144"/>
      <c r="F17" s="142">
        <f>F13+F15</f>
        <v>65755748</v>
      </c>
      <c r="G17" s="144"/>
      <c r="H17" s="142">
        <f>H13+H15</f>
        <v>93722909.26</v>
      </c>
      <c r="I17" s="144"/>
      <c r="J17" s="142">
        <f>J13+J15</f>
        <v>104655561.26</v>
      </c>
      <c r="K17" s="143"/>
      <c r="L17" s="142">
        <f>L13+L15</f>
        <v>108920922.26</v>
      </c>
    </row>
    <row r="18" spans="1:12" ht="12.75">
      <c r="A18" s="134"/>
      <c r="B18" s="142"/>
      <c r="C18" s="143"/>
      <c r="D18" s="142"/>
      <c r="E18" s="144"/>
      <c r="F18" s="142"/>
      <c r="G18" s="144"/>
      <c r="H18" s="142"/>
      <c r="I18" s="144"/>
      <c r="J18" s="142"/>
      <c r="K18" s="143"/>
      <c r="L18" s="142"/>
    </row>
    <row r="19" spans="1:12" ht="12.75">
      <c r="A19" s="134" t="s">
        <v>87</v>
      </c>
      <c r="B19" s="142">
        <v>-15147975</v>
      </c>
      <c r="C19" s="143"/>
      <c r="D19" s="142">
        <v>-40350495</v>
      </c>
      <c r="E19" s="144"/>
      <c r="F19" s="142">
        <f>D19-F11*0.6</f>
        <v>-86256781.8</v>
      </c>
      <c r="G19" s="144"/>
      <c r="H19" s="142">
        <f>F19</f>
        <v>-86256781.8</v>
      </c>
      <c r="I19" s="144"/>
      <c r="J19" s="142">
        <f>H19</f>
        <v>-86256781.8</v>
      </c>
      <c r="K19" s="143"/>
      <c r="L19" s="142">
        <f>J19</f>
        <v>-86256781.8</v>
      </c>
    </row>
    <row r="20" spans="1:12" ht="12.75">
      <c r="A20" s="134"/>
      <c r="B20" s="142"/>
      <c r="C20" s="143"/>
      <c r="D20" s="142"/>
      <c r="E20" s="144"/>
      <c r="F20" s="142"/>
      <c r="G20" s="144"/>
      <c r="H20" s="142"/>
      <c r="I20" s="144"/>
      <c r="J20" s="142"/>
      <c r="K20" s="143"/>
      <c r="L20" s="142"/>
    </row>
    <row r="21" spans="1:12" ht="12.75">
      <c r="A21" s="134" t="s">
        <v>263</v>
      </c>
      <c r="B21" s="142">
        <v>39869752</v>
      </c>
      <c r="C21" s="143"/>
      <c r="D21" s="142">
        <f>D17+D19</f>
        <v>-51105225</v>
      </c>
      <c r="E21" s="144"/>
      <c r="F21" s="142">
        <f>F17+F19</f>
        <v>-20501033.799999997</v>
      </c>
      <c r="G21" s="144"/>
      <c r="H21" s="142">
        <f>H17+H19</f>
        <v>7466127.460000008</v>
      </c>
      <c r="I21" s="144"/>
      <c r="J21" s="142">
        <f>J17+J19</f>
        <v>18398779.46000001</v>
      </c>
      <c r="K21" s="143"/>
      <c r="L21" s="142">
        <f>L17+L19</f>
        <v>22664140.46000001</v>
      </c>
    </row>
    <row r="22" spans="1:12" ht="13.5" thickBot="1">
      <c r="A22" s="137"/>
      <c r="B22" s="145"/>
      <c r="C22" s="146"/>
      <c r="D22" s="145"/>
      <c r="E22" s="146"/>
      <c r="F22" s="145"/>
      <c r="G22" s="146"/>
      <c r="H22" s="145"/>
      <c r="I22" s="146"/>
      <c r="J22" s="145"/>
      <c r="K22" s="146"/>
      <c r="L22" s="145"/>
    </row>
    <row r="24" ht="12.75">
      <c r="A24" s="131" t="s">
        <v>266</v>
      </c>
    </row>
    <row r="25" ht="12.75">
      <c r="A25" s="53" t="s">
        <v>301</v>
      </c>
    </row>
    <row r="26" ht="12.75">
      <c r="A26" s="53" t="s">
        <v>274</v>
      </c>
    </row>
    <row r="27" ht="12.75">
      <c r="A27" s="53" t="s">
        <v>271</v>
      </c>
    </row>
    <row r="28" ht="12.75">
      <c r="A28" s="53" t="s">
        <v>275</v>
      </c>
    </row>
    <row r="29" ht="12.75">
      <c r="A29" s="53" t="s">
        <v>272</v>
      </c>
    </row>
    <row r="30" ht="12.75">
      <c r="A30" s="53" t="s">
        <v>273</v>
      </c>
    </row>
    <row r="31" ht="12.75">
      <c r="A31" s="53" t="s">
        <v>276</v>
      </c>
    </row>
    <row r="33" ht="12.75">
      <c r="A33" s="131" t="s">
        <v>267</v>
      </c>
    </row>
    <row r="34" ht="12.75">
      <c r="A34" s="53" t="s">
        <v>298</v>
      </c>
    </row>
    <row r="36" ht="12.75">
      <c r="A36" s="131" t="s">
        <v>268</v>
      </c>
    </row>
    <row r="37" ht="12.75">
      <c r="A37" s="53" t="s">
        <v>302</v>
      </c>
    </row>
    <row r="38" ht="12.75">
      <c r="A38" s="53" t="s">
        <v>279</v>
      </c>
    </row>
    <row r="39" ht="12.75">
      <c r="A39" s="53" t="s">
        <v>299</v>
      </c>
    </row>
    <row r="41" ht="12.75">
      <c r="A41" s="131" t="s">
        <v>269</v>
      </c>
    </row>
    <row r="42" ht="12.75">
      <c r="A42" s="53" t="s">
        <v>280</v>
      </c>
    </row>
    <row r="43" ht="12.75">
      <c r="A43" s="53" t="s">
        <v>281</v>
      </c>
    </row>
    <row r="45" ht="12.75">
      <c r="A45" s="131" t="s">
        <v>270</v>
      </c>
    </row>
    <row r="46" ht="12.75">
      <c r="A46" s="53" t="s">
        <v>277</v>
      </c>
    </row>
    <row r="47" ht="12.75">
      <c r="A47" s="53" t="s">
        <v>278</v>
      </c>
    </row>
    <row r="48" ht="12.75">
      <c r="A48" s="53" t="s">
        <v>300</v>
      </c>
    </row>
    <row r="57" ht="12.75">
      <c r="A57" s="53" t="s">
        <v>282</v>
      </c>
    </row>
    <row r="58" ht="6.75" customHeight="1" thickBot="1"/>
    <row r="59" spans="1:6" ht="12.75">
      <c r="A59" s="150" t="s">
        <v>283</v>
      </c>
      <c r="B59" s="133"/>
      <c r="C59" s="133"/>
      <c r="D59" s="151"/>
      <c r="E59" s="150"/>
      <c r="F59" s="154">
        <v>3400000</v>
      </c>
    </row>
    <row r="60" spans="1:6" ht="12.75">
      <c r="A60" s="134" t="s">
        <v>284</v>
      </c>
      <c r="B60" s="135"/>
      <c r="C60" s="135"/>
      <c r="D60" s="152"/>
      <c r="E60" s="134"/>
      <c r="F60" s="136">
        <v>6000000</v>
      </c>
    </row>
    <row r="61" spans="1:6" ht="12.75">
      <c r="A61" s="134" t="s">
        <v>285</v>
      </c>
      <c r="B61" s="135"/>
      <c r="C61" s="135"/>
      <c r="D61" s="152"/>
      <c r="E61" s="134"/>
      <c r="F61" s="136">
        <v>981000</v>
      </c>
    </row>
    <row r="62" spans="1:6" ht="12.75">
      <c r="A62" s="134" t="s">
        <v>286</v>
      </c>
      <c r="B62" s="135"/>
      <c r="C62" s="135"/>
      <c r="D62" s="152"/>
      <c r="E62" s="134"/>
      <c r="F62" s="136">
        <v>1125000</v>
      </c>
    </row>
    <row r="63" spans="1:6" ht="12.75">
      <c r="A63" s="134" t="s">
        <v>287</v>
      </c>
      <c r="B63" s="135"/>
      <c r="C63" s="135"/>
      <c r="D63" s="152"/>
      <c r="E63" s="134"/>
      <c r="F63" s="136">
        <v>670068</v>
      </c>
    </row>
    <row r="64" spans="1:6" ht="12.75">
      <c r="A64" s="134" t="s">
        <v>288</v>
      </c>
      <c r="B64" s="135"/>
      <c r="C64" s="135"/>
      <c r="D64" s="152"/>
      <c r="E64" s="134"/>
      <c r="F64" s="136">
        <v>8431944</v>
      </c>
    </row>
    <row r="65" spans="1:6" ht="12.75">
      <c r="A65" s="134" t="s">
        <v>289</v>
      </c>
      <c r="B65" s="135"/>
      <c r="C65" s="135"/>
      <c r="D65" s="152"/>
      <c r="E65" s="134"/>
      <c r="F65" s="136">
        <v>455928</v>
      </c>
    </row>
    <row r="66" spans="1:6" ht="12.75">
      <c r="A66" s="134" t="s">
        <v>290</v>
      </c>
      <c r="B66" s="135"/>
      <c r="C66" s="135"/>
      <c r="D66" s="152"/>
      <c r="E66" s="134"/>
      <c r="F66" s="136">
        <v>245390</v>
      </c>
    </row>
    <row r="67" spans="1:6" ht="12.75">
      <c r="A67" s="134" t="s">
        <v>291</v>
      </c>
      <c r="B67" s="135"/>
      <c r="C67" s="135"/>
      <c r="D67" s="152"/>
      <c r="E67" s="134"/>
      <c r="F67" s="136">
        <v>76150</v>
      </c>
    </row>
    <row r="68" spans="1:6" ht="13.5" thickBot="1">
      <c r="A68" s="134" t="s">
        <v>292</v>
      </c>
      <c r="B68" s="135"/>
      <c r="C68" s="135"/>
      <c r="D68" s="152"/>
      <c r="E68" s="134"/>
      <c r="F68" s="136">
        <v>109720</v>
      </c>
    </row>
    <row r="69" spans="1:256" s="130" customFormat="1" ht="13.5" thickBot="1">
      <c r="A69" s="147" t="s">
        <v>84</v>
      </c>
      <c r="B69" s="148"/>
      <c r="C69" s="148"/>
      <c r="D69" s="153"/>
      <c r="E69" s="147"/>
      <c r="F69" s="149">
        <f>SUM(F59:F68)</f>
        <v>21495200</v>
      </c>
      <c r="IV69" s="75"/>
    </row>
    <row r="71" ht="12.75">
      <c r="A71" s="53" t="s">
        <v>293</v>
      </c>
    </row>
    <row r="72" ht="6.75" customHeight="1" thickBot="1"/>
    <row r="73" spans="1:6" ht="12.75">
      <c r="A73" s="150" t="s">
        <v>294</v>
      </c>
      <c r="B73" s="133"/>
      <c r="C73" s="133"/>
      <c r="D73" s="151"/>
      <c r="E73" s="150"/>
      <c r="F73" s="154">
        <v>523425</v>
      </c>
    </row>
    <row r="74" spans="1:6" ht="12.75">
      <c r="A74" s="134" t="s">
        <v>295</v>
      </c>
      <c r="B74" s="135"/>
      <c r="C74" s="135"/>
      <c r="D74" s="152"/>
      <c r="E74" s="134"/>
      <c r="F74" s="136">
        <v>594495</v>
      </c>
    </row>
    <row r="75" spans="1:6" ht="12.75">
      <c r="A75" s="134" t="s">
        <v>296</v>
      </c>
      <c r="B75" s="135"/>
      <c r="C75" s="135"/>
      <c r="D75" s="152"/>
      <c r="E75" s="134"/>
      <c r="F75" s="136">
        <v>518018</v>
      </c>
    </row>
    <row r="76" spans="1:6" ht="12.75">
      <c r="A76" s="134" t="s">
        <v>111</v>
      </c>
      <c r="B76" s="135"/>
      <c r="C76" s="135"/>
      <c r="D76" s="152"/>
      <c r="E76" s="134"/>
      <c r="F76" s="136">
        <v>473245</v>
      </c>
    </row>
    <row r="77" spans="1:6" ht="13.5" thickBot="1">
      <c r="A77" s="134" t="s">
        <v>297</v>
      </c>
      <c r="B77" s="135"/>
      <c r="C77" s="135"/>
      <c r="D77" s="152"/>
      <c r="E77" s="134"/>
      <c r="F77" s="136">
        <v>1097393</v>
      </c>
    </row>
    <row r="78" spans="1:6" ht="13.5" thickBot="1">
      <c r="A78" s="147" t="s">
        <v>84</v>
      </c>
      <c r="B78" s="155"/>
      <c r="C78" s="155"/>
      <c r="D78" s="157"/>
      <c r="E78" s="156"/>
      <c r="F78" s="158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75" zoomScaleNormal="75" workbookViewId="0" topLeftCell="A1">
      <selection activeCell="I27" sqref="I27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162" customWidth="1"/>
    <col min="9" max="9" width="19.8515625" style="0" customWidth="1"/>
    <col min="10" max="10" width="0.13671875" style="0" customWidth="1"/>
    <col min="11" max="11" width="19.28125" style="162" customWidth="1"/>
  </cols>
  <sheetData>
    <row r="1" ht="15.75">
      <c r="A1" s="2" t="s">
        <v>310</v>
      </c>
    </row>
    <row r="3" ht="12.75">
      <c r="A3" s="1" t="s">
        <v>25</v>
      </c>
    </row>
    <row r="4" ht="12.75">
      <c r="A4" s="1" t="s">
        <v>115</v>
      </c>
    </row>
    <row r="6" ht="15.75">
      <c r="A6" s="2" t="s">
        <v>116</v>
      </c>
    </row>
    <row r="8" spans="2:11" ht="12.75">
      <c r="B8" s="57"/>
      <c r="C8" s="58"/>
      <c r="D8" s="58"/>
      <c r="E8" s="61"/>
      <c r="F8" s="239" t="s">
        <v>4</v>
      </c>
      <c r="G8" s="240"/>
      <c r="H8" s="241"/>
      <c r="I8" s="242" t="s">
        <v>5</v>
      </c>
      <c r="J8" s="243"/>
      <c r="K8" s="244"/>
    </row>
    <row r="9" spans="2:11" ht="12.75">
      <c r="B9" s="62"/>
      <c r="C9" s="17"/>
      <c r="D9" s="17"/>
      <c r="E9" s="17"/>
      <c r="F9" s="63" t="s">
        <v>117</v>
      </c>
      <c r="G9" s="3"/>
      <c r="H9" s="163" t="s">
        <v>118</v>
      </c>
      <c r="I9" s="63" t="s">
        <v>117</v>
      </c>
      <c r="K9" s="163" t="s">
        <v>118</v>
      </c>
    </row>
    <row r="10" spans="2:11" ht="12.75">
      <c r="B10" s="62"/>
      <c r="C10" s="17"/>
      <c r="D10" s="17"/>
      <c r="E10" s="17"/>
      <c r="F10" s="64" t="s">
        <v>8</v>
      </c>
      <c r="G10" s="3"/>
      <c r="H10" s="164" t="s">
        <v>120</v>
      </c>
      <c r="I10" s="64" t="s">
        <v>119</v>
      </c>
      <c r="K10" s="164" t="s">
        <v>120</v>
      </c>
    </row>
    <row r="11" spans="2:11" ht="12.75">
      <c r="B11" s="62"/>
      <c r="C11" s="17"/>
      <c r="D11" s="17"/>
      <c r="E11" s="17"/>
      <c r="F11" s="64" t="s">
        <v>232</v>
      </c>
      <c r="G11" s="3"/>
      <c r="H11" s="164" t="s">
        <v>232</v>
      </c>
      <c r="I11" s="64" t="s">
        <v>6</v>
      </c>
      <c r="K11" s="164" t="s">
        <v>7</v>
      </c>
    </row>
    <row r="12" spans="2:11" ht="12.75">
      <c r="B12" s="62"/>
      <c r="C12" s="17"/>
      <c r="D12" s="17"/>
      <c r="E12" s="17"/>
      <c r="F12" s="116" t="s">
        <v>10</v>
      </c>
      <c r="G12" s="3"/>
      <c r="H12" s="165" t="s">
        <v>311</v>
      </c>
      <c r="I12" s="116" t="s">
        <v>10</v>
      </c>
      <c r="J12" s="3"/>
      <c r="K12" s="165" t="s">
        <v>311</v>
      </c>
    </row>
    <row r="13" spans="2:11" ht="12.75">
      <c r="B13" s="59"/>
      <c r="C13" s="60"/>
      <c r="D13" s="60"/>
      <c r="E13" s="60"/>
      <c r="F13" s="65" t="s">
        <v>121</v>
      </c>
      <c r="G13" s="3"/>
      <c r="H13" s="166" t="s">
        <v>121</v>
      </c>
      <c r="I13" s="65" t="s">
        <v>121</v>
      </c>
      <c r="J13" s="3"/>
      <c r="K13" s="166" t="s">
        <v>121</v>
      </c>
    </row>
    <row r="14" spans="2:11" ht="12.75">
      <c r="B14" s="57"/>
      <c r="C14" s="58"/>
      <c r="D14" s="57"/>
      <c r="E14" s="58"/>
      <c r="F14" s="66"/>
      <c r="H14" s="172"/>
      <c r="I14" s="66"/>
      <c r="K14" s="172"/>
    </row>
    <row r="15" spans="2:11" ht="12.75">
      <c r="B15" s="62">
        <v>1</v>
      </c>
      <c r="C15" s="17" t="s">
        <v>122</v>
      </c>
      <c r="D15" s="62" t="s">
        <v>312</v>
      </c>
      <c r="E15" s="17"/>
      <c r="F15" s="69">
        <f>I15-716205</f>
        <v>258589</v>
      </c>
      <c r="H15" s="173">
        <f>K15-617965</f>
        <v>137770</v>
      </c>
      <c r="I15" s="69">
        <v>974794</v>
      </c>
      <c r="K15" s="181">
        <v>755735</v>
      </c>
    </row>
    <row r="16" spans="2:11" ht="12.75">
      <c r="B16" s="59"/>
      <c r="C16" s="60"/>
      <c r="D16" s="59"/>
      <c r="E16" s="60"/>
      <c r="F16" s="68"/>
      <c r="G16" s="60"/>
      <c r="H16" s="174"/>
      <c r="I16" s="68"/>
      <c r="J16" s="60"/>
      <c r="K16" s="182"/>
    </row>
    <row r="17" spans="2:11" ht="12.75">
      <c r="B17" s="55"/>
      <c r="C17" s="56" t="s">
        <v>123</v>
      </c>
      <c r="D17" s="55" t="s">
        <v>97</v>
      </c>
      <c r="E17" s="56"/>
      <c r="F17" s="159">
        <v>0</v>
      </c>
      <c r="G17" s="56"/>
      <c r="H17" s="175">
        <v>0</v>
      </c>
      <c r="I17" s="159">
        <v>0</v>
      </c>
      <c r="J17" s="56"/>
      <c r="K17" s="183">
        <v>0</v>
      </c>
    </row>
    <row r="18" spans="2:11" ht="12.75">
      <c r="B18" s="62"/>
      <c r="C18" s="17"/>
      <c r="D18" s="62"/>
      <c r="E18" s="17"/>
      <c r="F18" s="67"/>
      <c r="H18" s="173"/>
      <c r="I18" s="67"/>
      <c r="K18" s="181"/>
    </row>
    <row r="19" spans="2:11" ht="12.75">
      <c r="B19" s="59"/>
      <c r="C19" s="60" t="s">
        <v>124</v>
      </c>
      <c r="D19" s="59" t="s">
        <v>314</v>
      </c>
      <c r="E19" s="60"/>
      <c r="F19" s="70">
        <f>I19-28528</f>
        <v>7147</v>
      </c>
      <c r="G19" s="60"/>
      <c r="H19" s="176">
        <f>K19-20054</f>
        <v>16288</v>
      </c>
      <c r="I19" s="70">
        <v>35675</v>
      </c>
      <c r="J19" s="60"/>
      <c r="K19" s="182">
        <v>36342</v>
      </c>
    </row>
    <row r="20" spans="2:11" ht="12.75">
      <c r="B20" s="62"/>
      <c r="C20" s="17"/>
      <c r="D20" s="62"/>
      <c r="E20" s="17"/>
      <c r="F20" s="67"/>
      <c r="H20" s="173"/>
      <c r="I20" s="67"/>
      <c r="K20" s="181"/>
    </row>
    <row r="21" spans="2:11" ht="12.75">
      <c r="B21" s="62">
        <v>2</v>
      </c>
      <c r="C21" s="17" t="s">
        <v>122</v>
      </c>
      <c r="D21" s="62" t="s">
        <v>318</v>
      </c>
      <c r="E21" s="17"/>
      <c r="F21" s="67"/>
      <c r="H21" s="173"/>
      <c r="I21" s="67"/>
      <c r="K21" s="181"/>
    </row>
    <row r="22" spans="2:11" ht="12.75">
      <c r="B22" s="62"/>
      <c r="C22" s="17"/>
      <c r="D22" s="62" t="s">
        <v>315</v>
      </c>
      <c r="E22" s="17"/>
      <c r="F22" s="67"/>
      <c r="H22" s="173"/>
      <c r="I22" s="67"/>
      <c r="K22" s="181"/>
    </row>
    <row r="23" spans="2:11" ht="12.75">
      <c r="B23" s="62"/>
      <c r="C23" s="17"/>
      <c r="D23" s="62" t="s">
        <v>316</v>
      </c>
      <c r="E23" s="17"/>
      <c r="F23" s="67"/>
      <c r="H23" s="173"/>
      <c r="I23" s="67"/>
      <c r="K23" s="181"/>
    </row>
    <row r="24" spans="2:11" ht="12.75">
      <c r="B24" s="59"/>
      <c r="C24" s="60"/>
      <c r="D24" s="59" t="s">
        <v>98</v>
      </c>
      <c r="E24" s="60"/>
      <c r="F24" s="70">
        <f>I24-147777</f>
        <v>31871</v>
      </c>
      <c r="G24" s="60"/>
      <c r="H24" s="176">
        <f>K24-135732</f>
        <v>-6573</v>
      </c>
      <c r="I24" s="9">
        <v>179648</v>
      </c>
      <c r="J24" s="60"/>
      <c r="K24" s="182">
        <v>129159</v>
      </c>
    </row>
    <row r="25" spans="2:11" ht="12.75">
      <c r="B25" s="62"/>
      <c r="C25" s="17"/>
      <c r="D25" s="62"/>
      <c r="E25" s="17"/>
      <c r="F25" s="67"/>
      <c r="H25" s="173"/>
      <c r="I25" s="67"/>
      <c r="K25" s="181"/>
    </row>
    <row r="26" spans="2:11" ht="12.75">
      <c r="B26" s="59"/>
      <c r="C26" s="60" t="s">
        <v>123</v>
      </c>
      <c r="D26" s="59" t="s">
        <v>317</v>
      </c>
      <c r="E26" s="60"/>
      <c r="F26" s="70">
        <f>I26+39463</f>
        <v>-12898</v>
      </c>
      <c r="G26" s="60"/>
      <c r="H26" s="176">
        <f>K26+37954</f>
        <v>-9082</v>
      </c>
      <c r="I26" s="70">
        <v>-52361</v>
      </c>
      <c r="J26" s="60"/>
      <c r="K26" s="182">
        <v>-47036</v>
      </c>
    </row>
    <row r="27" spans="2:11" ht="12.75">
      <c r="B27" s="62"/>
      <c r="C27" s="17"/>
      <c r="D27" s="62"/>
      <c r="E27" s="17"/>
      <c r="F27" s="67"/>
      <c r="H27" s="173"/>
      <c r="I27" s="67"/>
      <c r="K27" s="181"/>
    </row>
    <row r="28" spans="2:11" ht="12.75">
      <c r="B28" s="59"/>
      <c r="C28" s="60" t="s">
        <v>124</v>
      </c>
      <c r="D28" s="59" t="s">
        <v>100</v>
      </c>
      <c r="E28" s="60"/>
      <c r="F28" s="70">
        <f>I28+12099</f>
        <v>-436</v>
      </c>
      <c r="G28" s="60"/>
      <c r="H28" s="176">
        <f>K28+11190</f>
        <v>-3491</v>
      </c>
      <c r="I28" s="70">
        <v>-12535</v>
      </c>
      <c r="J28" s="60"/>
      <c r="K28" s="182">
        <v>-14681</v>
      </c>
    </row>
    <row r="29" spans="2:11" ht="12.75">
      <c r="B29" s="62"/>
      <c r="C29" s="17"/>
      <c r="D29" s="62"/>
      <c r="E29" s="17"/>
      <c r="F29" s="67"/>
      <c r="H29" s="173"/>
      <c r="I29" s="67"/>
      <c r="K29" s="181"/>
    </row>
    <row r="30" spans="2:11" ht="12.75">
      <c r="B30" s="59"/>
      <c r="C30" s="60" t="s">
        <v>125</v>
      </c>
      <c r="D30" s="59" t="s">
        <v>93</v>
      </c>
      <c r="E30" s="60"/>
      <c r="F30" s="70">
        <f>I30-24130</f>
        <v>0</v>
      </c>
      <c r="G30" s="60"/>
      <c r="H30" s="176">
        <f>K30</f>
        <v>36565</v>
      </c>
      <c r="I30" s="9">
        <v>24130</v>
      </c>
      <c r="J30" s="60"/>
      <c r="K30" s="182">
        <v>36565</v>
      </c>
    </row>
    <row r="31" spans="2:11" ht="12.75">
      <c r="B31" s="62"/>
      <c r="C31" s="17"/>
      <c r="D31" s="62"/>
      <c r="E31" s="17"/>
      <c r="F31" s="67"/>
      <c r="H31" s="173"/>
      <c r="I31" s="67"/>
      <c r="K31" s="181"/>
    </row>
    <row r="32" spans="2:11" ht="12.75">
      <c r="B32" s="62"/>
      <c r="C32" s="17" t="s">
        <v>126</v>
      </c>
      <c r="D32" s="62" t="s">
        <v>320</v>
      </c>
      <c r="E32" s="17"/>
      <c r="F32" s="67"/>
      <c r="H32" s="173"/>
      <c r="I32" s="67"/>
      <c r="K32" s="181"/>
    </row>
    <row r="33" spans="2:11" ht="12.75">
      <c r="B33" s="62"/>
      <c r="C33" s="17"/>
      <c r="D33" s="62" t="s">
        <v>319</v>
      </c>
      <c r="E33" s="17"/>
      <c r="F33" s="67"/>
      <c r="H33" s="173"/>
      <c r="I33" s="67"/>
      <c r="K33" s="181"/>
    </row>
    <row r="34" spans="2:13" ht="12.75">
      <c r="B34" s="59"/>
      <c r="C34" s="60"/>
      <c r="D34" s="59" t="s">
        <v>101</v>
      </c>
      <c r="E34" s="60"/>
      <c r="F34" s="70">
        <f>I34-120345</f>
        <v>18537</v>
      </c>
      <c r="G34" s="60"/>
      <c r="H34" s="176">
        <f>H24+H26+H28+H30</f>
        <v>17419</v>
      </c>
      <c r="I34" s="9">
        <f>I24+I26+I28+I30</f>
        <v>138882</v>
      </c>
      <c r="J34" s="60"/>
      <c r="K34" s="9">
        <f>K24+K26+K28+K30</f>
        <v>104007</v>
      </c>
      <c r="M34" s="113"/>
    </row>
    <row r="35" spans="2:11" ht="12.75">
      <c r="B35" s="62"/>
      <c r="C35" s="17"/>
      <c r="D35" s="62"/>
      <c r="E35" s="17"/>
      <c r="F35" s="67"/>
      <c r="H35" s="173"/>
      <c r="I35" s="67"/>
      <c r="K35" s="181"/>
    </row>
    <row r="36" spans="2:11" ht="12.75">
      <c r="B36" s="62"/>
      <c r="C36" s="17" t="s">
        <v>127</v>
      </c>
      <c r="D36" s="62" t="s">
        <v>321</v>
      </c>
      <c r="E36" s="17"/>
      <c r="F36" s="67"/>
      <c r="H36" s="173"/>
      <c r="I36" s="67"/>
      <c r="K36" s="181"/>
    </row>
    <row r="37" spans="2:11" ht="12.75">
      <c r="B37" s="62"/>
      <c r="C37" s="17"/>
      <c r="D37" s="62" t="s">
        <v>322</v>
      </c>
      <c r="E37" s="17"/>
      <c r="F37" s="167">
        <v>0</v>
      </c>
      <c r="H37" s="173">
        <v>0</v>
      </c>
      <c r="I37" s="167">
        <v>0</v>
      </c>
      <c r="K37" s="181">
        <v>0</v>
      </c>
    </row>
    <row r="38" spans="2:11" ht="12.75">
      <c r="B38" s="62"/>
      <c r="C38" s="17"/>
      <c r="D38" s="62"/>
      <c r="E38" s="17"/>
      <c r="F38" s="67"/>
      <c r="H38" s="173"/>
      <c r="I38" s="67"/>
      <c r="K38" s="181"/>
    </row>
    <row r="39" spans="2:11" ht="12.75">
      <c r="B39" s="62"/>
      <c r="C39" s="17" t="s">
        <v>128</v>
      </c>
      <c r="D39" s="62" t="s">
        <v>323</v>
      </c>
      <c r="E39" s="17"/>
      <c r="F39" s="67"/>
      <c r="H39" s="173"/>
      <c r="I39" s="67"/>
      <c r="K39" s="181"/>
    </row>
    <row r="40" spans="2:11" ht="12.75">
      <c r="B40" s="62"/>
      <c r="C40" s="17"/>
      <c r="D40" s="62" t="s">
        <v>324</v>
      </c>
      <c r="E40" s="17"/>
      <c r="F40" s="67"/>
      <c r="H40" s="173"/>
      <c r="I40" s="67"/>
      <c r="K40" s="181"/>
    </row>
    <row r="41" spans="2:11" ht="12.75">
      <c r="B41" s="59"/>
      <c r="C41" s="60"/>
      <c r="D41" s="59" t="s">
        <v>101</v>
      </c>
      <c r="E41" s="60"/>
      <c r="F41" s="70">
        <f>I41-120345</f>
        <v>18537</v>
      </c>
      <c r="G41" s="60"/>
      <c r="H41" s="176">
        <f>H34</f>
        <v>17419</v>
      </c>
      <c r="I41" s="9">
        <f>I34</f>
        <v>138882</v>
      </c>
      <c r="J41" s="60"/>
      <c r="K41" s="182">
        <f>K34</f>
        <v>104007</v>
      </c>
    </row>
    <row r="42" spans="2:11" ht="12.75">
      <c r="B42" s="62"/>
      <c r="C42" s="17"/>
      <c r="D42" s="62"/>
      <c r="E42" s="17"/>
      <c r="F42" s="67"/>
      <c r="H42" s="173"/>
      <c r="I42" s="67"/>
      <c r="K42" s="181"/>
    </row>
    <row r="43" spans="2:11" ht="12.75">
      <c r="B43" s="59"/>
      <c r="C43" s="60" t="s">
        <v>129</v>
      </c>
      <c r="D43" s="59" t="s">
        <v>325</v>
      </c>
      <c r="E43" s="60"/>
      <c r="F43" s="70">
        <f>I43+41731</f>
        <v>-13985</v>
      </c>
      <c r="G43" s="60"/>
      <c r="H43" s="176">
        <f>K43+20261</f>
        <v>-25622</v>
      </c>
      <c r="I43" s="9">
        <v>-55716</v>
      </c>
      <c r="J43" s="60"/>
      <c r="K43" s="182">
        <v>-45883</v>
      </c>
    </row>
    <row r="44" spans="2:11" ht="12.75">
      <c r="B44" s="62"/>
      <c r="C44" s="17"/>
      <c r="D44" s="62"/>
      <c r="E44" s="17"/>
      <c r="F44" s="67"/>
      <c r="H44" s="173"/>
      <c r="I44" s="67"/>
      <c r="K44" s="181"/>
    </row>
    <row r="45" spans="2:11" ht="12.75">
      <c r="B45" s="62"/>
      <c r="C45" s="17" t="s">
        <v>105</v>
      </c>
      <c r="D45" s="62" t="s">
        <v>105</v>
      </c>
      <c r="E45" s="17" t="s">
        <v>326</v>
      </c>
      <c r="F45" s="67"/>
      <c r="H45" s="173"/>
      <c r="I45" s="67"/>
      <c r="K45" s="181"/>
    </row>
    <row r="46" spans="2:11" ht="12.75">
      <c r="B46" s="59"/>
      <c r="C46" s="60"/>
      <c r="D46" s="59"/>
      <c r="E46" s="60" t="s">
        <v>130</v>
      </c>
      <c r="F46" s="70">
        <f>I46-78614</f>
        <v>4552</v>
      </c>
      <c r="G46" s="60"/>
      <c r="H46" s="176">
        <f>H41+H43</f>
        <v>-8203</v>
      </c>
      <c r="I46" s="9">
        <f>I41+I43</f>
        <v>83166</v>
      </c>
      <c r="J46" s="60"/>
      <c r="K46" s="9">
        <f>K41+K43</f>
        <v>58124</v>
      </c>
    </row>
    <row r="47" spans="2:11" ht="12.75">
      <c r="B47" s="62"/>
      <c r="C47" s="17"/>
      <c r="D47" s="62"/>
      <c r="E47" s="17"/>
      <c r="F47" s="67"/>
      <c r="H47" s="173"/>
      <c r="I47" s="67"/>
      <c r="K47" s="181"/>
    </row>
    <row r="48" spans="2:11" ht="12.75">
      <c r="B48" s="59"/>
      <c r="C48" s="60"/>
      <c r="D48" s="59" t="s">
        <v>106</v>
      </c>
      <c r="E48" s="60" t="s">
        <v>131</v>
      </c>
      <c r="F48" s="70">
        <f>I48+31954</f>
        <v>-5648</v>
      </c>
      <c r="G48" s="60"/>
      <c r="H48" s="176">
        <f>K48+46765</f>
        <v>7578</v>
      </c>
      <c r="I48" s="70">
        <v>-37602</v>
      </c>
      <c r="J48" s="60"/>
      <c r="K48" s="182">
        <v>-39187</v>
      </c>
    </row>
    <row r="49" spans="2:11" ht="12.75">
      <c r="B49" s="62"/>
      <c r="C49" s="17"/>
      <c r="D49" s="62"/>
      <c r="E49" s="17"/>
      <c r="F49" s="69"/>
      <c r="G49" s="17"/>
      <c r="H49" s="173"/>
      <c r="I49" s="69"/>
      <c r="J49" s="17"/>
      <c r="K49" s="181"/>
    </row>
    <row r="50" spans="2:11" ht="12.75">
      <c r="B50" s="62"/>
      <c r="C50" s="17" t="s">
        <v>132</v>
      </c>
      <c r="D50" s="62" t="s">
        <v>327</v>
      </c>
      <c r="E50" s="17"/>
      <c r="F50" s="69"/>
      <c r="G50" s="17"/>
      <c r="H50" s="173"/>
      <c r="I50" s="69"/>
      <c r="J50" s="17"/>
      <c r="K50" s="181"/>
    </row>
    <row r="51" spans="2:11" ht="12.75">
      <c r="B51" s="62"/>
      <c r="C51" s="60"/>
      <c r="D51" s="59"/>
      <c r="E51" s="60"/>
      <c r="F51" s="70"/>
      <c r="G51" s="60"/>
      <c r="H51" s="176"/>
      <c r="I51" s="70"/>
      <c r="J51" s="60"/>
      <c r="K51" s="182"/>
    </row>
    <row r="52" spans="2:11" ht="12.75">
      <c r="B52" s="62"/>
      <c r="C52" s="17"/>
      <c r="D52" s="62"/>
      <c r="E52" s="17"/>
      <c r="F52" s="67"/>
      <c r="H52" s="173"/>
      <c r="I52" s="67"/>
      <c r="K52" s="181"/>
    </row>
    <row r="53" spans="2:11" ht="12.75">
      <c r="B53" s="62"/>
      <c r="C53" s="17" t="s">
        <v>133</v>
      </c>
      <c r="D53" s="62" t="s">
        <v>328</v>
      </c>
      <c r="E53" s="17"/>
      <c r="F53" s="67"/>
      <c r="H53" s="173"/>
      <c r="I53" s="67"/>
      <c r="K53" s="181"/>
    </row>
    <row r="54" spans="2:11" ht="12.75">
      <c r="B54" s="59"/>
      <c r="C54" s="60"/>
      <c r="D54" s="59" t="s">
        <v>102</v>
      </c>
      <c r="E54" s="60"/>
      <c r="F54" s="70">
        <f>I54-46660</f>
        <v>-1096</v>
      </c>
      <c r="G54" s="60"/>
      <c r="H54" s="176">
        <f>H46+H48</f>
        <v>-625</v>
      </c>
      <c r="I54" s="70">
        <f>I46+I48</f>
        <v>45564</v>
      </c>
      <c r="J54" s="60"/>
      <c r="K54" s="182">
        <f>K46+K48</f>
        <v>18937</v>
      </c>
    </row>
    <row r="55" spans="2:11" ht="12.75">
      <c r="B55" s="62"/>
      <c r="C55" s="17"/>
      <c r="D55" s="62"/>
      <c r="E55" s="17"/>
      <c r="F55" s="67"/>
      <c r="H55" s="173"/>
      <c r="I55" s="67"/>
      <c r="K55" s="181"/>
    </row>
    <row r="56" spans="2:11" ht="12.75">
      <c r="B56" s="59"/>
      <c r="C56" s="60" t="s">
        <v>138</v>
      </c>
      <c r="D56" s="59" t="s">
        <v>105</v>
      </c>
      <c r="E56" s="60" t="s">
        <v>134</v>
      </c>
      <c r="F56" s="168">
        <v>0</v>
      </c>
      <c r="G56" s="60"/>
      <c r="H56" s="176">
        <v>0</v>
      </c>
      <c r="I56" s="168">
        <v>0</v>
      </c>
      <c r="J56" s="60"/>
      <c r="K56" s="182">
        <v>0</v>
      </c>
    </row>
    <row r="57" spans="2:11" ht="12.75">
      <c r="B57" s="55"/>
      <c r="C57" s="56"/>
      <c r="D57" s="55" t="s">
        <v>106</v>
      </c>
      <c r="E57" s="56" t="s">
        <v>131</v>
      </c>
      <c r="F57" s="169">
        <v>0</v>
      </c>
      <c r="G57" s="56"/>
      <c r="H57" s="175">
        <v>0</v>
      </c>
      <c r="I57" s="169">
        <v>0</v>
      </c>
      <c r="J57" s="56"/>
      <c r="K57" s="183">
        <v>0</v>
      </c>
    </row>
    <row r="58" spans="2:11" ht="12.75">
      <c r="B58" s="62"/>
      <c r="C58" s="17"/>
      <c r="D58" s="62" t="s">
        <v>135</v>
      </c>
      <c r="E58" s="17" t="s">
        <v>136</v>
      </c>
      <c r="F58" s="67"/>
      <c r="H58" s="173"/>
      <c r="I58" s="67"/>
      <c r="K58" s="181"/>
    </row>
    <row r="59" spans="2:11" ht="12.75">
      <c r="B59" s="59"/>
      <c r="C59" s="60"/>
      <c r="D59" s="59"/>
      <c r="E59" s="60" t="s">
        <v>137</v>
      </c>
      <c r="F59" s="168">
        <v>0</v>
      </c>
      <c r="G59" s="60"/>
      <c r="H59" s="176">
        <v>0</v>
      </c>
      <c r="I59" s="168">
        <v>0</v>
      </c>
      <c r="J59" s="60"/>
      <c r="K59" s="182">
        <v>0</v>
      </c>
    </row>
    <row r="60" spans="2:11" ht="12.75">
      <c r="B60" s="62"/>
      <c r="C60" s="17"/>
      <c r="D60" s="62"/>
      <c r="E60" s="17"/>
      <c r="F60" s="67"/>
      <c r="H60" s="173"/>
      <c r="I60" s="67"/>
      <c r="K60" s="181"/>
    </row>
    <row r="61" spans="2:11" ht="12.75">
      <c r="B61" s="62"/>
      <c r="C61" s="17" t="s">
        <v>329</v>
      </c>
      <c r="D61" s="62" t="s">
        <v>330</v>
      </c>
      <c r="E61" s="17"/>
      <c r="F61" s="67"/>
      <c r="H61" s="173"/>
      <c r="I61" s="67"/>
      <c r="K61" s="181"/>
    </row>
    <row r="62" spans="2:11" ht="12.75">
      <c r="B62" s="62"/>
      <c r="C62" s="17"/>
      <c r="D62" s="62" t="s">
        <v>331</v>
      </c>
      <c r="E62" s="17"/>
      <c r="F62" s="218">
        <f>F54-F56-F57-F59</f>
        <v>-1096</v>
      </c>
      <c r="H62" s="176">
        <f>H54</f>
        <v>-625</v>
      </c>
      <c r="I62" s="71">
        <f>I54-I56-I57-I59</f>
        <v>45564</v>
      </c>
      <c r="K62" s="182">
        <f>K54</f>
        <v>18937</v>
      </c>
    </row>
    <row r="63" spans="2:11" ht="12.75">
      <c r="B63" s="57"/>
      <c r="C63" s="58"/>
      <c r="D63" s="57"/>
      <c r="E63" s="58"/>
      <c r="F63" s="58"/>
      <c r="G63" s="58"/>
      <c r="H63" s="177"/>
      <c r="I63" s="58"/>
      <c r="J63" s="58"/>
      <c r="K63" s="184"/>
    </row>
    <row r="64" spans="2:11" ht="12.75">
      <c r="B64" s="62">
        <v>3</v>
      </c>
      <c r="C64" s="17"/>
      <c r="D64" s="62" t="s">
        <v>332</v>
      </c>
      <c r="E64" s="17"/>
      <c r="F64" s="17"/>
      <c r="G64" s="17"/>
      <c r="H64" s="178"/>
      <c r="I64" s="17"/>
      <c r="J64" s="17"/>
      <c r="K64" s="185"/>
    </row>
    <row r="65" spans="2:11" ht="12.75">
      <c r="B65" s="62"/>
      <c r="C65" s="17"/>
      <c r="D65" s="62" t="s">
        <v>103</v>
      </c>
      <c r="E65" s="17"/>
      <c r="F65" s="17"/>
      <c r="G65" s="17"/>
      <c r="H65" s="178"/>
      <c r="I65" s="17"/>
      <c r="J65" s="17"/>
      <c r="K65" s="185"/>
    </row>
    <row r="66" spans="2:11" ht="12.75">
      <c r="B66" s="59"/>
      <c r="C66" s="60"/>
      <c r="D66" s="59" t="s">
        <v>104</v>
      </c>
      <c r="E66" s="60"/>
      <c r="F66" s="60"/>
      <c r="G66" s="60"/>
      <c r="H66" s="179"/>
      <c r="I66" s="60"/>
      <c r="J66" s="60"/>
      <c r="K66" s="170"/>
    </row>
    <row r="67" spans="2:11" ht="12.75">
      <c r="B67" s="57"/>
      <c r="C67" s="58"/>
      <c r="D67" s="57"/>
      <c r="E67" s="58"/>
      <c r="F67" s="66"/>
      <c r="G67" s="58"/>
      <c r="H67" s="172"/>
      <c r="I67" s="66"/>
      <c r="J67" s="58"/>
      <c r="K67" s="172"/>
    </row>
    <row r="68" spans="2:11" ht="12.75">
      <c r="B68" s="62"/>
      <c r="C68" s="17"/>
      <c r="D68" s="62" t="s">
        <v>122</v>
      </c>
      <c r="E68" s="17" t="s">
        <v>139</v>
      </c>
      <c r="F68" s="67"/>
      <c r="G68" s="17"/>
      <c r="H68" s="180"/>
      <c r="I68" s="67"/>
      <c r="J68" s="17"/>
      <c r="K68" s="180"/>
    </row>
    <row r="69" spans="2:11" ht="12.75">
      <c r="B69" s="59"/>
      <c r="C69" s="60"/>
      <c r="D69" s="59"/>
      <c r="E69" s="60" t="s">
        <v>140</v>
      </c>
      <c r="F69" s="219">
        <f>I69-58.97</f>
        <v>-1.3880768112828434</v>
      </c>
      <c r="G69" s="73"/>
      <c r="H69" s="186">
        <f>H62/79129*100</f>
        <v>-0.7898494862818942</v>
      </c>
      <c r="I69" s="186">
        <f>I62/79129*100</f>
        <v>57.581923188717155</v>
      </c>
      <c r="J69" s="60"/>
      <c r="K69" s="186">
        <f>K62/79129*100</f>
        <v>23.931807554752364</v>
      </c>
    </row>
    <row r="70" spans="2:11" ht="12.75">
      <c r="B70" s="57"/>
      <c r="C70" s="58"/>
      <c r="D70" s="57"/>
      <c r="E70" s="58"/>
      <c r="F70" s="187"/>
      <c r="G70" s="58"/>
      <c r="H70" s="172"/>
      <c r="I70" s="112"/>
      <c r="J70" s="58"/>
      <c r="K70" s="172"/>
    </row>
    <row r="71" spans="2:11" ht="12.75">
      <c r="B71" s="62"/>
      <c r="C71" s="17"/>
      <c r="D71" s="62" t="s">
        <v>123</v>
      </c>
      <c r="E71" s="17" t="s">
        <v>141</v>
      </c>
      <c r="F71" s="188"/>
      <c r="G71" s="17"/>
      <c r="H71" s="180"/>
      <c r="I71" s="7"/>
      <c r="J71" s="17"/>
      <c r="K71" s="180"/>
    </row>
    <row r="72" spans="2:11" ht="12.75">
      <c r="B72" s="59"/>
      <c r="C72" s="60"/>
      <c r="D72" s="59"/>
      <c r="E72" s="60" t="s">
        <v>140</v>
      </c>
      <c r="F72" s="216" t="s">
        <v>26</v>
      </c>
      <c r="G72" s="73"/>
      <c r="H72" s="216" t="s">
        <v>26</v>
      </c>
      <c r="I72" s="216" t="s">
        <v>26</v>
      </c>
      <c r="J72" s="73"/>
      <c r="K72" s="216" t="s">
        <v>26</v>
      </c>
    </row>
    <row r="73" spans="2:11" ht="12.75">
      <c r="B73" s="57"/>
      <c r="C73" s="58"/>
      <c r="D73" s="57"/>
      <c r="E73" s="58"/>
      <c r="F73" s="66"/>
      <c r="G73" s="58"/>
      <c r="H73" s="172"/>
      <c r="I73" s="112"/>
      <c r="J73" s="58"/>
      <c r="K73" s="172"/>
    </row>
    <row r="74" spans="2:11" ht="12.75">
      <c r="B74" s="62">
        <v>4</v>
      </c>
      <c r="C74" s="17" t="s">
        <v>122</v>
      </c>
      <c r="D74" s="62" t="s">
        <v>344</v>
      </c>
      <c r="E74" s="17"/>
      <c r="F74" s="167">
        <v>8</v>
      </c>
      <c r="G74" s="17"/>
      <c r="H74" s="167">
        <v>8</v>
      </c>
      <c r="I74" s="167">
        <v>8</v>
      </c>
      <c r="J74" s="17"/>
      <c r="K74" s="167">
        <v>8</v>
      </c>
    </row>
    <row r="75" spans="2:11" ht="12.75">
      <c r="B75" s="62"/>
      <c r="C75" s="17"/>
      <c r="D75" s="62"/>
      <c r="E75" s="17"/>
      <c r="F75" s="67"/>
      <c r="G75" s="17"/>
      <c r="H75" s="180"/>
      <c r="I75" s="7"/>
      <c r="J75" s="17"/>
      <c r="K75" s="180"/>
    </row>
    <row r="76" spans="2:11" ht="12.75">
      <c r="B76" s="59"/>
      <c r="C76" s="60" t="s">
        <v>123</v>
      </c>
      <c r="D76" s="59" t="s">
        <v>345</v>
      </c>
      <c r="E76" s="60"/>
      <c r="F76" s="245" t="s">
        <v>19</v>
      </c>
      <c r="G76" s="246"/>
      <c r="H76" s="246"/>
      <c r="I76" s="246"/>
      <c r="J76" s="246"/>
      <c r="K76" s="247"/>
    </row>
    <row r="78" spans="2:11" ht="12.75">
      <c r="B78" s="57"/>
      <c r="C78" s="58"/>
      <c r="D78" s="58"/>
      <c r="E78" s="58"/>
      <c r="F78" s="248" t="s">
        <v>346</v>
      </c>
      <c r="G78" s="249"/>
      <c r="H78" s="250"/>
      <c r="I78" s="249" t="s">
        <v>347</v>
      </c>
      <c r="J78" s="249"/>
      <c r="K78" s="250"/>
    </row>
    <row r="79" spans="2:11" ht="12.75">
      <c r="B79" s="59"/>
      <c r="C79" s="60"/>
      <c r="D79" s="60"/>
      <c r="E79" s="60"/>
      <c r="F79" s="59"/>
      <c r="G79" s="60"/>
      <c r="H79" s="170"/>
      <c r="I79" s="231" t="s">
        <v>147</v>
      </c>
      <c r="J79" s="231"/>
      <c r="K79" s="232"/>
    </row>
    <row r="80" spans="2:11" ht="12.75">
      <c r="B80" s="55">
        <v>5</v>
      </c>
      <c r="C80" s="56"/>
      <c r="D80" s="55" t="s">
        <v>348</v>
      </c>
      <c r="E80" s="56"/>
      <c r="F80" s="233">
        <f>'Balance Sheet'!D74</f>
        <v>-0.3590466200760783</v>
      </c>
      <c r="G80" s="234"/>
      <c r="H80" s="235"/>
      <c r="I80" s="236">
        <v>-0.382</v>
      </c>
      <c r="J80" s="237"/>
      <c r="K80" s="238"/>
    </row>
  </sheetData>
  <mergeCells count="8">
    <mergeCell ref="I79:K79"/>
    <mergeCell ref="F80:H80"/>
    <mergeCell ref="I80:K80"/>
    <mergeCell ref="F8:H8"/>
    <mergeCell ref="I8:K8"/>
    <mergeCell ref="F76:K76"/>
    <mergeCell ref="F78:H78"/>
    <mergeCell ref="I78:K78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5" zoomScaleNormal="75" workbookViewId="0" topLeftCell="A1">
      <selection activeCell="C34" sqref="C34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25" t="s">
        <v>75</v>
      </c>
      <c r="B1" s="251"/>
      <c r="C1" s="251"/>
      <c r="D1" s="251"/>
      <c r="E1" s="251"/>
      <c r="F1" s="252"/>
    </row>
    <row r="2" spans="1:6" ht="12.75">
      <c r="A2" s="255" t="s">
        <v>192</v>
      </c>
      <c r="B2" s="256"/>
      <c r="C2" s="256"/>
      <c r="D2" s="256"/>
      <c r="E2" s="256"/>
      <c r="F2" s="257"/>
    </row>
    <row r="3" spans="1:6" ht="15.75">
      <c r="A3" s="109"/>
      <c r="B3" s="108"/>
      <c r="C3" s="108"/>
      <c r="D3" s="108"/>
      <c r="E3" s="108"/>
      <c r="F3" s="108"/>
    </row>
    <row r="4" spans="1:6" ht="15.75">
      <c r="A4" s="253" t="s">
        <v>142</v>
      </c>
      <c r="B4" s="230"/>
      <c r="C4" s="230"/>
      <c r="D4" s="230"/>
      <c r="E4" s="230"/>
      <c r="F4" s="230"/>
    </row>
    <row r="5" spans="1:6" ht="12.75">
      <c r="A5" s="228" t="s">
        <v>231</v>
      </c>
      <c r="B5" s="254"/>
      <c r="C5" s="254"/>
      <c r="D5" s="254"/>
      <c r="E5" s="254"/>
      <c r="F5" s="254"/>
    </row>
    <row r="7" spans="4:6" ht="12.75">
      <c r="D7" s="3" t="s">
        <v>143</v>
      </c>
      <c r="E7" s="3"/>
      <c r="F7" s="3" t="s">
        <v>143</v>
      </c>
    </row>
    <row r="8" spans="4:6" ht="12.75">
      <c r="D8" s="3" t="s">
        <v>144</v>
      </c>
      <c r="E8" s="3"/>
      <c r="F8" s="3" t="s">
        <v>145</v>
      </c>
    </row>
    <row r="9" spans="4:6" ht="12.75">
      <c r="D9" s="3" t="s">
        <v>117</v>
      </c>
      <c r="E9" s="3"/>
      <c r="F9" s="3" t="s">
        <v>146</v>
      </c>
    </row>
    <row r="10" spans="4:6" ht="12.75">
      <c r="D10" s="3" t="s">
        <v>232</v>
      </c>
      <c r="E10" s="3"/>
      <c r="F10" s="3" t="s">
        <v>147</v>
      </c>
    </row>
    <row r="11" spans="4:6" ht="12.75">
      <c r="D11" s="111" t="s">
        <v>10</v>
      </c>
      <c r="E11" s="3"/>
      <c r="F11" s="111" t="s">
        <v>311</v>
      </c>
    </row>
    <row r="12" spans="4:6" ht="12.75">
      <c r="D12" s="3" t="s">
        <v>121</v>
      </c>
      <c r="E12" s="3"/>
      <c r="F12" s="3" t="s">
        <v>121</v>
      </c>
    </row>
    <row r="14" spans="1:6" ht="12.75">
      <c r="A14">
        <v>1</v>
      </c>
      <c r="B14" t="s">
        <v>333</v>
      </c>
      <c r="D14" s="5">
        <v>282863</v>
      </c>
      <c r="F14" s="5">
        <v>216662</v>
      </c>
    </row>
    <row r="15" spans="4:6" ht="6" customHeight="1">
      <c r="D15" s="5"/>
      <c r="F15" s="5"/>
    </row>
    <row r="16" spans="1:6" ht="12.75">
      <c r="A16">
        <v>2</v>
      </c>
      <c r="B16" t="s">
        <v>179</v>
      </c>
      <c r="D16" s="5">
        <f>117000-47000</f>
        <v>70000</v>
      </c>
      <c r="F16" s="5">
        <v>117000</v>
      </c>
    </row>
    <row r="17" spans="4:6" ht="6" customHeight="1">
      <c r="D17" s="5"/>
      <c r="F17" s="5"/>
    </row>
    <row r="18" spans="1:6" ht="12.75">
      <c r="A18">
        <v>3</v>
      </c>
      <c r="B18" t="s">
        <v>334</v>
      </c>
      <c r="D18" s="5">
        <v>0</v>
      </c>
      <c r="F18" s="5">
        <v>2887</v>
      </c>
    </row>
    <row r="19" spans="4:6" ht="6" customHeight="1">
      <c r="D19" s="5"/>
      <c r="F19" s="5"/>
    </row>
    <row r="20" spans="1:6" ht="12.75">
      <c r="A20">
        <v>4</v>
      </c>
      <c r="B20" t="s">
        <v>335</v>
      </c>
      <c r="D20" s="5">
        <v>2981</v>
      </c>
      <c r="F20" s="5">
        <v>2987</v>
      </c>
    </row>
    <row r="21" spans="4:6" ht="6" customHeight="1">
      <c r="D21" s="5"/>
      <c r="F21" s="5"/>
    </row>
    <row r="22" spans="1:8" ht="12.75">
      <c r="A22">
        <v>5</v>
      </c>
      <c r="B22" t="s">
        <v>336</v>
      </c>
      <c r="D22" s="5">
        <v>1589</v>
      </c>
      <c r="F22" s="5">
        <v>2162</v>
      </c>
      <c r="H22" s="5"/>
    </row>
    <row r="23" spans="4:6" ht="6" customHeight="1">
      <c r="D23" s="5"/>
      <c r="F23" s="5"/>
    </row>
    <row r="24" spans="1:6" ht="12.75">
      <c r="A24">
        <v>6</v>
      </c>
      <c r="B24" t="s">
        <v>180</v>
      </c>
      <c r="D24" s="5">
        <v>79021</v>
      </c>
      <c r="F24" s="5">
        <v>82972</v>
      </c>
    </row>
    <row r="25" spans="4:6" ht="6" customHeight="1">
      <c r="D25" s="5"/>
      <c r="F25" s="5"/>
    </row>
    <row r="26" spans="1:6" ht="12.75">
      <c r="A26">
        <v>7</v>
      </c>
      <c r="B26" t="s">
        <v>178</v>
      </c>
      <c r="D26" s="5">
        <v>25495</v>
      </c>
      <c r="F26" s="5">
        <v>16566</v>
      </c>
    </row>
    <row r="27" spans="4:6" ht="6" customHeight="1">
      <c r="D27" s="5"/>
      <c r="F27" s="5"/>
    </row>
    <row r="28" spans="1:6" ht="12.75">
      <c r="A28">
        <v>8</v>
      </c>
      <c r="B28" t="s">
        <v>181</v>
      </c>
      <c r="D28" s="5">
        <v>212774</v>
      </c>
      <c r="F28" s="5">
        <v>213957</v>
      </c>
    </row>
    <row r="29" spans="4:6" ht="12.75">
      <c r="D29" s="5"/>
      <c r="F29" s="5"/>
    </row>
    <row r="30" spans="1:6" ht="12.75">
      <c r="A30">
        <v>9</v>
      </c>
      <c r="B30" s="75" t="s">
        <v>233</v>
      </c>
      <c r="D30" s="5"/>
      <c r="F30" s="5"/>
    </row>
    <row r="31" spans="3:6" ht="18.75" customHeight="1">
      <c r="C31" s="74" t="s">
        <v>306</v>
      </c>
      <c r="D31" s="112">
        <v>1163577</v>
      </c>
      <c r="F31" s="112">
        <v>1034151</v>
      </c>
    </row>
    <row r="32" spans="3:6" ht="12.75" customHeight="1">
      <c r="C32" s="74" t="s">
        <v>307</v>
      </c>
      <c r="D32" s="7">
        <v>79960</v>
      </c>
      <c r="F32" s="7">
        <v>46281</v>
      </c>
    </row>
    <row r="33" spans="3:6" ht="12.75">
      <c r="C33" s="4" t="s">
        <v>89</v>
      </c>
      <c r="D33" s="7">
        <v>11679</v>
      </c>
      <c r="F33" s="7">
        <v>9596</v>
      </c>
    </row>
    <row r="34" spans="3:6" ht="12.75">
      <c r="C34" s="4" t="s">
        <v>148</v>
      </c>
      <c r="D34" s="7">
        <v>147826</v>
      </c>
      <c r="F34" s="7">
        <v>147625</v>
      </c>
    </row>
    <row r="35" spans="3:6" ht="12.75">
      <c r="C35" s="4" t="s">
        <v>182</v>
      </c>
      <c r="D35" s="7">
        <v>120715</v>
      </c>
      <c r="F35" s="7">
        <v>126270</v>
      </c>
    </row>
    <row r="36" spans="3:6" ht="12.75">
      <c r="C36" s="4" t="s">
        <v>183</v>
      </c>
      <c r="D36" s="7">
        <v>601061</v>
      </c>
      <c r="F36" s="7">
        <v>951582</v>
      </c>
    </row>
    <row r="37" spans="3:6" ht="12.75">
      <c r="C37" s="4" t="s">
        <v>184</v>
      </c>
      <c r="D37" s="9">
        <v>916</v>
      </c>
      <c r="F37" s="9">
        <v>9480</v>
      </c>
    </row>
    <row r="38" spans="3:6" ht="4.5" customHeight="1">
      <c r="C38" s="4"/>
      <c r="D38" s="112"/>
      <c r="F38" s="112"/>
    </row>
    <row r="39" spans="3:6" ht="12.75">
      <c r="C39" s="4"/>
      <c r="D39" s="9">
        <f>SUM(D31:D38)</f>
        <v>2125734</v>
      </c>
      <c r="F39" s="9">
        <f>SUM(F31:F38)</f>
        <v>2324985</v>
      </c>
    </row>
    <row r="40" spans="3:6" ht="12.75">
      <c r="C40" s="113"/>
      <c r="D40" s="5"/>
      <c r="F40" s="5"/>
    </row>
    <row r="41" spans="1:6" ht="12.75">
      <c r="A41">
        <v>10</v>
      </c>
      <c r="B41" s="75" t="s">
        <v>150</v>
      </c>
      <c r="D41" s="5"/>
      <c r="F41" s="5"/>
    </row>
    <row r="42" spans="3:6" ht="18.75" customHeight="1">
      <c r="C42" s="4" t="s">
        <v>151</v>
      </c>
      <c r="D42" s="195">
        <v>1249797</v>
      </c>
      <c r="F42" s="112">
        <v>1620265</v>
      </c>
    </row>
    <row r="43" spans="3:6" ht="12.75">
      <c r="C43" s="4" t="s">
        <v>185</v>
      </c>
      <c r="D43" s="7">
        <f>79407+59356</f>
        <v>138763</v>
      </c>
      <c r="F43" s="7">
        <v>102803</v>
      </c>
    </row>
    <row r="44" spans="3:6" ht="12.75">
      <c r="C44" s="4" t="s">
        <v>186</v>
      </c>
      <c r="D44" s="7">
        <f>689150-179390</f>
        <v>509760</v>
      </c>
      <c r="F44" s="7">
        <v>406464</v>
      </c>
    </row>
    <row r="45" spans="3:6" ht="12.75">
      <c r="C45" s="4" t="s">
        <v>187</v>
      </c>
      <c r="D45" s="7">
        <v>179390</v>
      </c>
      <c r="F45" s="7">
        <v>170978</v>
      </c>
    </row>
    <row r="46" spans="3:6" ht="12.75">
      <c r="C46" s="4" t="s">
        <v>343</v>
      </c>
      <c r="D46" s="7">
        <v>4558</v>
      </c>
      <c r="F46" s="7">
        <v>6330</v>
      </c>
    </row>
    <row r="47" spans="3:6" ht="12.75">
      <c r="C47" s="4" t="s">
        <v>90</v>
      </c>
      <c r="D47" s="9">
        <v>71104</v>
      </c>
      <c r="F47" s="9">
        <v>19792</v>
      </c>
    </row>
    <row r="48" spans="3:6" ht="6" customHeight="1">
      <c r="C48" s="4"/>
      <c r="D48" s="112"/>
      <c r="F48" s="66"/>
    </row>
    <row r="49" spans="3:6" ht="12.75">
      <c r="C49" s="4"/>
      <c r="D49" s="9">
        <f>SUM(D42:D48)</f>
        <v>2153372</v>
      </c>
      <c r="F49" s="9">
        <f>SUM(F42:F48)</f>
        <v>2326632</v>
      </c>
    </row>
    <row r="50" spans="3:4" ht="12.75">
      <c r="C50" s="113"/>
      <c r="D50" s="5"/>
    </row>
    <row r="51" spans="1:6" ht="12.75">
      <c r="A51">
        <v>11</v>
      </c>
      <c r="B51" s="75" t="s">
        <v>234</v>
      </c>
      <c r="D51" s="5">
        <f>D39-D49</f>
        <v>-27638</v>
      </c>
      <c r="F51" s="5">
        <f>F39-F49</f>
        <v>-1647</v>
      </c>
    </row>
    <row r="52" ht="9" customHeight="1">
      <c r="D52" s="5"/>
    </row>
    <row r="53" spans="4:6" ht="21.75" customHeight="1" thickBot="1">
      <c r="D53" s="13">
        <f>SUM(D14:D28)+D51</f>
        <v>647085</v>
      </c>
      <c r="F53" s="13">
        <f>SUM(F14:F28)+F51</f>
        <v>653546</v>
      </c>
    </row>
    <row r="54" ht="13.5" thickTop="1">
      <c r="D54" s="5"/>
    </row>
    <row r="55" spans="1:4" ht="12.75">
      <c r="A55">
        <v>12</v>
      </c>
      <c r="B55" s="75" t="s">
        <v>152</v>
      </c>
      <c r="D55" s="5"/>
    </row>
    <row r="56" spans="2:6" ht="12.75">
      <c r="B56" t="s">
        <v>153</v>
      </c>
      <c r="D56" s="5">
        <v>79129</v>
      </c>
      <c r="F56" s="5">
        <v>79129</v>
      </c>
    </row>
    <row r="57" spans="2:6" ht="12.75">
      <c r="B57" s="75" t="s">
        <v>154</v>
      </c>
      <c r="D57" s="5"/>
      <c r="F57" s="5"/>
    </row>
    <row r="58" spans="3:6" ht="12.75">
      <c r="C58" s="4" t="s">
        <v>155</v>
      </c>
      <c r="D58" s="5">
        <v>81309</v>
      </c>
      <c r="F58" s="5">
        <v>81309</v>
      </c>
    </row>
    <row r="59" spans="3:6" ht="12.75">
      <c r="C59" s="4" t="s">
        <v>156</v>
      </c>
      <c r="D59" s="5">
        <f>10518-6096</f>
        <v>4422</v>
      </c>
      <c r="F59" s="5">
        <v>39328</v>
      </c>
    </row>
    <row r="60" spans="3:6" ht="12.75">
      <c r="C60" s="4" t="s">
        <v>188</v>
      </c>
      <c r="D60" s="5">
        <v>-5602</v>
      </c>
      <c r="F60" s="5">
        <v>-4541</v>
      </c>
    </row>
    <row r="61" spans="3:6" ht="12.75">
      <c r="C61" s="4" t="s">
        <v>157</v>
      </c>
      <c r="D61" s="5">
        <v>125114</v>
      </c>
      <c r="F61" s="5">
        <v>84108</v>
      </c>
    </row>
    <row r="62" spans="3:6" ht="12.75">
      <c r="C62" s="4" t="s">
        <v>235</v>
      </c>
      <c r="D62" s="11">
        <v>6096</v>
      </c>
      <c r="F62" s="11">
        <f>6096</f>
        <v>6096</v>
      </c>
    </row>
    <row r="63" spans="4:6" ht="12.75">
      <c r="D63" s="5">
        <f>SUM(D56:D62)</f>
        <v>290468</v>
      </c>
      <c r="F63" s="5">
        <f>SUM(F56:F62)</f>
        <v>285429</v>
      </c>
    </row>
    <row r="64" spans="4:6" ht="12.75">
      <c r="D64" s="5"/>
      <c r="F64" s="5"/>
    </row>
    <row r="65" spans="1:6" ht="12.75">
      <c r="A65">
        <v>13</v>
      </c>
      <c r="B65" t="s">
        <v>158</v>
      </c>
      <c r="D65" s="5">
        <v>150735</v>
      </c>
      <c r="F65" s="5">
        <v>113205</v>
      </c>
    </row>
    <row r="66" spans="4:6" ht="6" customHeight="1">
      <c r="D66" s="5"/>
      <c r="F66" s="5"/>
    </row>
    <row r="67" spans="1:6" ht="12.75">
      <c r="A67">
        <v>14</v>
      </c>
      <c r="B67" t="s">
        <v>159</v>
      </c>
      <c r="D67" s="5">
        <v>145309</v>
      </c>
      <c r="F67" s="5">
        <v>195159</v>
      </c>
    </row>
    <row r="68" spans="4:6" ht="6" customHeight="1">
      <c r="D68" s="5"/>
      <c r="F68" s="5"/>
    </row>
    <row r="69" spans="1:6" ht="12.75">
      <c r="A69">
        <v>15</v>
      </c>
      <c r="B69" t="s">
        <v>160</v>
      </c>
      <c r="D69" s="5">
        <f>2317</f>
        <v>2317</v>
      </c>
      <c r="F69" s="5">
        <f>3068</f>
        <v>3068</v>
      </c>
    </row>
    <row r="70" spans="4:6" ht="6.75" customHeight="1">
      <c r="D70" s="5"/>
      <c r="F70" s="5"/>
    </row>
    <row r="71" spans="1:6" ht="12.75">
      <c r="A71">
        <v>16</v>
      </c>
      <c r="B71" t="s">
        <v>88</v>
      </c>
      <c r="D71" s="8">
        <v>58256</v>
      </c>
      <c r="E71" s="14"/>
      <c r="F71" s="14">
        <v>56685</v>
      </c>
    </row>
    <row r="72" spans="4:6" ht="21.75" customHeight="1" thickBot="1">
      <c r="D72" s="13">
        <f>SUM(D63:D71)</f>
        <v>647085</v>
      </c>
      <c r="F72" s="13">
        <f>SUM(F63:F71)</f>
        <v>653546</v>
      </c>
    </row>
    <row r="73" ht="13.5" thickTop="1"/>
    <row r="74" spans="1:6" ht="12.75">
      <c r="A74">
        <v>16</v>
      </c>
      <c r="B74" t="s">
        <v>348</v>
      </c>
      <c r="D74" s="213">
        <f>(D63-D22-D24-D26-D28)/D56</f>
        <v>-0.3590466200760783</v>
      </c>
      <c r="E74" s="214"/>
      <c r="F74" s="213">
        <f>(F63-F22-F24-F26-F28)/F56</f>
        <v>-0.38200912434126555</v>
      </c>
    </row>
    <row r="77" ht="12.75">
      <c r="D77" s="113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9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1.00390625" style="0" customWidth="1"/>
    <col min="5" max="5" width="17.28125" style="0" customWidth="1"/>
    <col min="6" max="6" width="14.57421875" style="0" customWidth="1"/>
  </cols>
  <sheetData>
    <row r="1" ht="3.75" customHeight="1"/>
    <row r="2" spans="1:6" ht="15.75">
      <c r="A2" s="225" t="s">
        <v>75</v>
      </c>
      <c r="B2" s="226"/>
      <c r="C2" s="226"/>
      <c r="D2" s="226"/>
      <c r="E2" s="226"/>
      <c r="F2" s="227"/>
    </row>
    <row r="3" spans="1:6" ht="12.75">
      <c r="A3" s="222" t="s">
        <v>192</v>
      </c>
      <c r="B3" s="223"/>
      <c r="C3" s="223"/>
      <c r="D3" s="223"/>
      <c r="E3" s="223"/>
      <c r="F3" s="224"/>
    </row>
    <row r="4" spans="1:6" ht="12.75">
      <c r="A4" s="230"/>
      <c r="B4" s="230"/>
      <c r="C4" s="230"/>
      <c r="D4" s="230"/>
      <c r="E4" s="230"/>
      <c r="F4" s="230"/>
    </row>
    <row r="5" spans="1:6" s="53" customFormat="1" ht="12.75">
      <c r="A5" s="221" t="s">
        <v>193</v>
      </c>
      <c r="B5" s="221"/>
      <c r="C5" s="221"/>
      <c r="D5" s="221"/>
      <c r="E5" s="221"/>
      <c r="F5" s="221"/>
    </row>
    <row r="6" spans="1:6" s="53" customFormat="1" ht="12.75">
      <c r="A6" s="228" t="s">
        <v>11</v>
      </c>
      <c r="B6" s="228"/>
      <c r="C6" s="228"/>
      <c r="D6" s="228"/>
      <c r="E6" s="228"/>
      <c r="F6" s="228"/>
    </row>
    <row r="7" spans="1:6" s="53" customFormat="1" ht="12.75">
      <c r="A7" s="229"/>
      <c r="B7" s="230"/>
      <c r="C7" s="230"/>
      <c r="D7" s="230"/>
      <c r="E7" s="230"/>
      <c r="F7" s="230"/>
    </row>
    <row r="8" spans="1:6" s="80" customFormat="1" ht="12.75">
      <c r="A8" s="84">
        <v>1</v>
      </c>
      <c r="B8" s="75" t="s">
        <v>194</v>
      </c>
      <c r="C8" s="75"/>
      <c r="D8" s="75"/>
      <c r="E8" s="81"/>
      <c r="F8" s="81"/>
    </row>
    <row r="9" spans="1:6" s="80" customFormat="1" ht="6" customHeight="1">
      <c r="A9" s="83"/>
      <c r="E9" s="81"/>
      <c r="F9" s="81"/>
    </row>
    <row r="10" spans="1:6" s="80" customFormat="1" ht="12.75">
      <c r="A10" s="83"/>
      <c r="B10" s="80" t="s">
        <v>195</v>
      </c>
      <c r="E10" s="81"/>
      <c r="F10" s="81"/>
    </row>
    <row r="11" spans="1:6" s="80" customFormat="1" ht="12.75">
      <c r="A11" s="83"/>
      <c r="B11" s="80" t="s">
        <v>196</v>
      </c>
      <c r="E11" s="81"/>
      <c r="F11" s="81"/>
    </row>
    <row r="12" spans="1:6" s="80" customFormat="1" ht="12.75">
      <c r="A12" s="83"/>
      <c r="B12" s="80" t="s">
        <v>197</v>
      </c>
      <c r="E12" s="81"/>
      <c r="F12" s="81"/>
    </row>
    <row r="13" spans="1:6" s="80" customFormat="1" ht="12.75">
      <c r="A13" s="84"/>
      <c r="B13" s="75"/>
      <c r="C13" s="75"/>
      <c r="D13" s="75"/>
      <c r="E13" s="81"/>
      <c r="F13" s="81"/>
    </row>
    <row r="14" spans="1:6" s="80" customFormat="1" ht="12.75">
      <c r="A14" s="84">
        <v>2</v>
      </c>
      <c r="B14" s="75" t="s">
        <v>198</v>
      </c>
      <c r="C14" s="75"/>
      <c r="D14" s="75"/>
      <c r="E14" s="81"/>
      <c r="F14" s="81"/>
    </row>
    <row r="15" spans="1:6" s="80" customFormat="1" ht="12.75">
      <c r="A15" s="84"/>
      <c r="B15" s="80" t="s">
        <v>349</v>
      </c>
      <c r="D15" s="75"/>
      <c r="E15" s="81"/>
      <c r="F15" s="81"/>
    </row>
    <row r="16" spans="1:6" s="80" customFormat="1" ht="12.75">
      <c r="A16" s="84"/>
      <c r="B16" s="75"/>
      <c r="C16" s="75" t="s">
        <v>351</v>
      </c>
      <c r="D16" s="75"/>
      <c r="E16" s="189" t="s">
        <v>350</v>
      </c>
      <c r="F16" s="81"/>
    </row>
    <row r="17" spans="1:6" s="80" customFormat="1" ht="12.75">
      <c r="A17" s="84"/>
      <c r="B17" s="75"/>
      <c r="C17" s="110" t="s">
        <v>10</v>
      </c>
      <c r="D17" s="110" t="s">
        <v>311</v>
      </c>
      <c r="E17" s="189" t="s">
        <v>10</v>
      </c>
      <c r="F17" s="189" t="s">
        <v>311</v>
      </c>
    </row>
    <row r="18" spans="1:6" s="80" customFormat="1" ht="12.75">
      <c r="A18" s="84"/>
      <c r="B18" s="75"/>
      <c r="C18" s="189" t="s">
        <v>121</v>
      </c>
      <c r="D18" s="189" t="s">
        <v>121</v>
      </c>
      <c r="E18" s="189" t="s">
        <v>121</v>
      </c>
      <c r="F18" s="189" t="s">
        <v>121</v>
      </c>
    </row>
    <row r="19" spans="1:6" s="80" customFormat="1" ht="0.75" customHeight="1">
      <c r="A19" s="83"/>
      <c r="B19" s="75"/>
      <c r="C19" s="75"/>
      <c r="D19" s="75"/>
      <c r="E19" s="192"/>
      <c r="F19" s="81"/>
    </row>
    <row r="20" spans="1:6" s="80" customFormat="1" ht="12.75">
      <c r="A20" s="83"/>
      <c r="B20" s="80" t="s">
        <v>352</v>
      </c>
      <c r="E20" s="192"/>
      <c r="F20" s="81"/>
    </row>
    <row r="21" spans="1:6" s="80" customFormat="1" ht="12.75">
      <c r="A21" s="83"/>
      <c r="B21" s="80" t="s">
        <v>71</v>
      </c>
      <c r="C21" s="201" t="s">
        <v>340</v>
      </c>
      <c r="D21" s="192">
        <v>36565</v>
      </c>
      <c r="E21" s="192">
        <v>33147</v>
      </c>
      <c r="F21" s="192">
        <v>36565</v>
      </c>
    </row>
    <row r="22" spans="1:6" s="80" customFormat="1" ht="12.75">
      <c r="A22" s="83"/>
      <c r="B22" s="80" t="s">
        <v>359</v>
      </c>
      <c r="C22" s="201"/>
      <c r="D22" s="192"/>
      <c r="E22" s="192"/>
      <c r="F22" s="192"/>
    </row>
    <row r="23" spans="1:6" s="80" customFormat="1" ht="12.75">
      <c r="A23" s="83"/>
      <c r="B23" s="80" t="s">
        <v>360</v>
      </c>
      <c r="C23" s="201" t="s">
        <v>340</v>
      </c>
      <c r="D23" s="192"/>
      <c r="E23" s="192">
        <f>3077-2971</f>
        <v>106</v>
      </c>
      <c r="F23" s="192"/>
    </row>
    <row r="24" spans="1:6" s="80" customFormat="1" ht="12.75">
      <c r="A24" s="83"/>
      <c r="B24" s="80" t="s">
        <v>353</v>
      </c>
      <c r="E24" s="192"/>
      <c r="F24" s="81"/>
    </row>
    <row r="25" spans="1:6" s="80" customFormat="1" ht="12.75">
      <c r="A25" s="83"/>
      <c r="B25" s="80" t="s">
        <v>72</v>
      </c>
      <c r="C25" s="201" t="s">
        <v>340</v>
      </c>
      <c r="D25" s="192" t="s">
        <v>340</v>
      </c>
      <c r="E25" s="200">
        <v>-9123</v>
      </c>
      <c r="F25" s="192" t="s">
        <v>340</v>
      </c>
    </row>
    <row r="26" spans="1:6" s="80" customFormat="1" ht="12.75">
      <c r="A26" s="83"/>
      <c r="C26" s="194" t="s">
        <v>340</v>
      </c>
      <c r="D26" s="194">
        <f>SUM(D21:D25)</f>
        <v>36565</v>
      </c>
      <c r="E26" s="194">
        <f>SUM(E21:E25)</f>
        <v>24130</v>
      </c>
      <c r="F26" s="194">
        <f>SUM(F21:F25)</f>
        <v>36565</v>
      </c>
    </row>
    <row r="27" spans="1:6" s="80" customFormat="1" ht="12.75">
      <c r="A27" s="83"/>
      <c r="E27" s="16"/>
      <c r="F27" s="81"/>
    </row>
    <row r="28" spans="1:6" s="80" customFormat="1" ht="12.75">
      <c r="A28" s="84">
        <v>3</v>
      </c>
      <c r="B28" s="75" t="s">
        <v>199</v>
      </c>
      <c r="C28" s="75"/>
      <c r="D28" s="75"/>
      <c r="E28" s="81"/>
      <c r="F28" s="81"/>
    </row>
    <row r="29" spans="1:6" s="80" customFormat="1" ht="6" customHeight="1">
      <c r="A29" s="83"/>
      <c r="E29" s="81"/>
      <c r="F29" s="81"/>
    </row>
    <row r="30" spans="1:6" s="80" customFormat="1" ht="12.75">
      <c r="A30" s="83"/>
      <c r="B30" s="80" t="s">
        <v>12</v>
      </c>
      <c r="E30" s="81"/>
      <c r="F30" s="81"/>
    </row>
    <row r="31" spans="1:6" s="80" customFormat="1" ht="12.75">
      <c r="A31" s="83"/>
      <c r="E31" s="81"/>
      <c r="F31" s="81"/>
    </row>
    <row r="32" spans="1:6" s="75" customFormat="1" ht="12.75">
      <c r="A32" s="84">
        <v>4</v>
      </c>
      <c r="B32" s="75" t="s">
        <v>90</v>
      </c>
      <c r="C32" s="75" t="s">
        <v>351</v>
      </c>
      <c r="E32" s="189" t="s">
        <v>350</v>
      </c>
      <c r="F32" s="81"/>
    </row>
    <row r="33" spans="1:6" s="80" customFormat="1" ht="14.25" customHeight="1">
      <c r="A33" s="83"/>
      <c r="C33" s="110" t="s">
        <v>10</v>
      </c>
      <c r="D33" s="110" t="s">
        <v>311</v>
      </c>
      <c r="E33" s="189" t="s">
        <v>10</v>
      </c>
      <c r="F33" s="189" t="s">
        <v>311</v>
      </c>
    </row>
    <row r="34" spans="1:6" s="80" customFormat="1" ht="12.75">
      <c r="A34" s="83"/>
      <c r="C34" s="189" t="s">
        <v>121</v>
      </c>
      <c r="D34" s="189" t="s">
        <v>121</v>
      </c>
      <c r="E34" s="189" t="s">
        <v>121</v>
      </c>
      <c r="F34" s="189" t="s">
        <v>121</v>
      </c>
    </row>
    <row r="35" spans="1:6" s="80" customFormat="1" ht="12.75">
      <c r="A35" s="83"/>
      <c r="B35" s="80" t="s">
        <v>74</v>
      </c>
      <c r="D35"/>
      <c r="E35" s="192"/>
      <c r="F35" s="81"/>
    </row>
    <row r="36" spans="1:6" s="80" customFormat="1" ht="12.75">
      <c r="A36" s="83"/>
      <c r="B36" s="80" t="s">
        <v>73</v>
      </c>
      <c r="C36" s="94">
        <f>E36+52431</f>
        <v>-1720</v>
      </c>
      <c r="D36" s="14">
        <f>F36+20261</f>
        <v>675</v>
      </c>
      <c r="E36" s="192">
        <f>-47470-6681</f>
        <v>-54151</v>
      </c>
      <c r="F36" s="81">
        <f>-19560-26</f>
        <v>-19586</v>
      </c>
    </row>
    <row r="37" spans="1:6" s="80" customFormat="1" ht="12.75">
      <c r="A37" s="83"/>
      <c r="B37" s="80" t="s">
        <v>337</v>
      </c>
      <c r="C37" s="94">
        <f>E37-10700</f>
        <v>-12265</v>
      </c>
      <c r="D37" s="14">
        <f>F37</f>
        <v>-26297</v>
      </c>
      <c r="E37" s="193">
        <f>-3980+2415</f>
        <v>-1565</v>
      </c>
      <c r="F37" s="81">
        <f>-26297</f>
        <v>-26297</v>
      </c>
    </row>
    <row r="38" spans="1:6" s="80" customFormat="1" ht="12.75">
      <c r="A38" s="83"/>
      <c r="C38" s="203">
        <f>C36+C37</f>
        <v>-13985</v>
      </c>
      <c r="D38" s="161">
        <f>D36+D37</f>
        <v>-25622</v>
      </c>
      <c r="E38" s="194">
        <f>E36+E37</f>
        <v>-55716</v>
      </c>
      <c r="F38" s="202">
        <f>F36+F37</f>
        <v>-45883</v>
      </c>
    </row>
    <row r="39" spans="1:6" s="80" customFormat="1" ht="12.75">
      <c r="A39" s="83"/>
      <c r="D39" s="110"/>
      <c r="E39" s="189"/>
      <c r="F39" s="81"/>
    </row>
    <row r="40" spans="1:6" s="80" customFormat="1" ht="12.75">
      <c r="A40" s="83"/>
      <c r="B40" s="80" t="s">
        <v>14</v>
      </c>
      <c r="D40" s="110"/>
      <c r="E40" s="189"/>
      <c r="F40" s="81"/>
    </row>
    <row r="41" spans="1:6" s="80" customFormat="1" ht="12.75">
      <c r="A41" s="83"/>
      <c r="B41" s="80" t="s">
        <v>1</v>
      </c>
      <c r="D41" s="110"/>
      <c r="E41" s="189"/>
      <c r="F41" s="81"/>
    </row>
    <row r="42" spans="1:6" s="80" customFormat="1" ht="12.75">
      <c r="A42" s="83"/>
      <c r="B42" s="80" t="s">
        <v>2</v>
      </c>
      <c r="D42" s="110"/>
      <c r="E42" s="189"/>
      <c r="F42" s="81"/>
    </row>
    <row r="43" spans="1:6" s="80" customFormat="1" ht="12.75">
      <c r="A43" s="83"/>
      <c r="B43" s="80" t="s">
        <v>0</v>
      </c>
      <c r="D43" s="110"/>
      <c r="E43" s="189"/>
      <c r="F43" s="81"/>
    </row>
    <row r="44" spans="1:6" s="80" customFormat="1" ht="12.75">
      <c r="A44" s="83"/>
      <c r="D44" s="110"/>
      <c r="E44" s="189"/>
      <c r="F44" s="81"/>
    </row>
    <row r="45" spans="1:6" s="80" customFormat="1" ht="12.75">
      <c r="A45" s="84">
        <v>5</v>
      </c>
      <c r="B45" s="75" t="s">
        <v>200</v>
      </c>
      <c r="C45" s="75"/>
      <c r="D45" s="75"/>
      <c r="E45" s="81"/>
      <c r="F45" s="81"/>
    </row>
    <row r="46" ht="6" customHeight="1"/>
    <row r="47" ht="12.75">
      <c r="B47" t="s">
        <v>236</v>
      </c>
    </row>
    <row r="48" spans="2:6" ht="12.75">
      <c r="B48" t="s">
        <v>13</v>
      </c>
      <c r="E48" s="79"/>
      <c r="F48" s="79"/>
    </row>
    <row r="49" spans="1:6" ht="12.75">
      <c r="A49" s="53"/>
      <c r="B49" s="76"/>
      <c r="C49" s="76"/>
      <c r="D49" s="76"/>
      <c r="E49" s="77"/>
      <c r="F49" s="77"/>
    </row>
    <row r="50" spans="1:6" ht="12.75">
      <c r="A50" s="84">
        <v>6</v>
      </c>
      <c r="B50" s="75" t="s">
        <v>201</v>
      </c>
      <c r="C50" s="75"/>
      <c r="D50" s="75"/>
      <c r="E50" s="81"/>
      <c r="F50" s="77"/>
    </row>
    <row r="51" spans="1:6" ht="6" customHeight="1">
      <c r="A51" s="83"/>
      <c r="B51" s="75"/>
      <c r="C51" s="75"/>
      <c r="D51" s="75"/>
      <c r="E51" s="81"/>
      <c r="F51" s="77"/>
    </row>
    <row r="52" spans="1:6" ht="12.75">
      <c r="A52" s="83"/>
      <c r="B52" s="80" t="s">
        <v>237</v>
      </c>
      <c r="C52" s="80"/>
      <c r="D52" s="80"/>
      <c r="E52" s="81"/>
      <c r="F52" s="77"/>
    </row>
    <row r="53" spans="1:6" ht="12.75">
      <c r="A53" s="83"/>
      <c r="B53" t="s">
        <v>13</v>
      </c>
      <c r="D53" s="80"/>
      <c r="E53" s="81"/>
      <c r="F53" s="77"/>
    </row>
    <row r="54" spans="1:6" ht="12.75">
      <c r="A54" s="83"/>
      <c r="B54" s="80"/>
      <c r="C54" s="80"/>
      <c r="D54" s="80"/>
      <c r="E54" s="81"/>
      <c r="F54" s="77"/>
    </row>
    <row r="56" ht="6" customHeight="1"/>
    <row r="58" spans="1:6" ht="12.75">
      <c r="A58" s="221" t="s">
        <v>204</v>
      </c>
      <c r="B58" s="221"/>
      <c r="C58" s="221"/>
      <c r="D58" s="221"/>
      <c r="E58" s="221"/>
      <c r="F58" s="221"/>
    </row>
    <row r="59" ht="12.75" hidden="1"/>
    <row r="60" spans="1:6" ht="12.75">
      <c r="A60" s="221"/>
      <c r="B60" s="221"/>
      <c r="C60" s="221"/>
      <c r="D60" s="221"/>
      <c r="E60" s="221"/>
      <c r="F60" s="221"/>
    </row>
    <row r="61" spans="1:6" ht="15.75">
      <c r="A61" s="225" t="s">
        <v>75</v>
      </c>
      <c r="B61" s="226"/>
      <c r="C61" s="226"/>
      <c r="D61" s="226"/>
      <c r="E61" s="226"/>
      <c r="F61" s="227"/>
    </row>
    <row r="62" spans="1:6" ht="12.75">
      <c r="A62" s="222" t="s">
        <v>192</v>
      </c>
      <c r="B62" s="223"/>
      <c r="C62" s="223"/>
      <c r="D62" s="223"/>
      <c r="E62" s="223"/>
      <c r="F62" s="224"/>
    </row>
    <row r="63" spans="1:6" ht="12.75">
      <c r="A63" s="160"/>
      <c r="B63" s="160"/>
      <c r="C63" s="160"/>
      <c r="D63" s="160"/>
      <c r="E63" s="160"/>
      <c r="F63" s="160"/>
    </row>
    <row r="64" spans="1:6" ht="12.75">
      <c r="A64" s="84">
        <v>7</v>
      </c>
      <c r="B64" s="75" t="s">
        <v>202</v>
      </c>
      <c r="C64" s="75"/>
      <c r="D64" s="75"/>
      <c r="E64" s="81"/>
      <c r="F64" s="77"/>
    </row>
    <row r="65" spans="1:6" ht="12.75">
      <c r="A65" s="83"/>
      <c r="B65" s="80"/>
      <c r="C65" s="80"/>
      <c r="D65" s="80"/>
      <c r="E65" s="81"/>
      <c r="F65" s="77"/>
    </row>
    <row r="66" spans="1:6" ht="12.75">
      <c r="A66" s="83"/>
      <c r="B66" s="191" t="s">
        <v>354</v>
      </c>
      <c r="C66" s="80"/>
      <c r="D66" s="80"/>
      <c r="E66" s="81"/>
      <c r="F66" s="77"/>
    </row>
    <row r="67" spans="1:6" ht="12.75">
      <c r="A67" s="84"/>
      <c r="B67" s="191" t="s">
        <v>355</v>
      </c>
      <c r="D67" s="80"/>
      <c r="E67" s="82"/>
      <c r="F67" s="78"/>
    </row>
    <row r="68" spans="1:6" ht="12.75">
      <c r="A68" s="84"/>
      <c r="B68" s="205" t="s">
        <v>3</v>
      </c>
      <c r="D68" s="80"/>
      <c r="E68" s="82"/>
      <c r="F68" s="78"/>
    </row>
    <row r="69" spans="1:6" ht="12.75">
      <c r="A69" s="83"/>
      <c r="B69" s="205"/>
      <c r="C69" s="80"/>
      <c r="D69" s="80"/>
      <c r="E69" s="81"/>
      <c r="F69" s="77"/>
    </row>
    <row r="70" spans="1:6" ht="12.75">
      <c r="A70" s="83"/>
      <c r="B70" s="205"/>
      <c r="C70" s="80"/>
      <c r="D70" s="80"/>
      <c r="E70" s="81"/>
      <c r="F70" s="77"/>
    </row>
    <row r="71" spans="1:6" ht="12.75">
      <c r="A71" s="84">
        <v>8</v>
      </c>
      <c r="B71" s="75" t="s">
        <v>203</v>
      </c>
      <c r="C71" s="75"/>
      <c r="D71" s="75"/>
      <c r="E71" s="81"/>
      <c r="F71" s="77"/>
    </row>
    <row r="72" spans="1:6" ht="12.75">
      <c r="A72" s="83"/>
      <c r="B72" s="217" t="s">
        <v>32</v>
      </c>
      <c r="C72" s="80"/>
      <c r="D72" s="80"/>
      <c r="E72" s="81"/>
      <c r="F72" s="77"/>
    </row>
    <row r="73" spans="1:6" ht="12.75">
      <c r="A73" s="204"/>
      <c r="B73" s="217" t="s">
        <v>57</v>
      </c>
      <c r="C73" s="80"/>
      <c r="D73" s="80"/>
      <c r="E73" s="77"/>
      <c r="F73" s="77"/>
    </row>
    <row r="74" spans="1:6" ht="12.75">
      <c r="A74" s="53"/>
      <c r="B74" s="217" t="s">
        <v>60</v>
      </c>
      <c r="C74" s="80"/>
      <c r="D74" s="80"/>
      <c r="E74" s="77"/>
      <c r="F74" s="77"/>
    </row>
    <row r="75" spans="1:6" ht="12.75">
      <c r="A75" s="53"/>
      <c r="B75" s="217" t="s">
        <v>58</v>
      </c>
      <c r="C75" s="80"/>
      <c r="D75" s="80"/>
      <c r="E75" s="77"/>
      <c r="F75" s="77"/>
    </row>
    <row r="76" spans="1:6" ht="12.75">
      <c r="A76" s="53"/>
      <c r="B76" s="80"/>
      <c r="C76" s="80"/>
      <c r="D76" s="80"/>
      <c r="E76" s="77"/>
      <c r="F76" s="77"/>
    </row>
    <row r="77" spans="1:6" ht="12.75" hidden="1">
      <c r="A77" s="53"/>
      <c r="B77" s="80"/>
      <c r="C77" s="80"/>
      <c r="D77" s="80"/>
      <c r="E77" s="77"/>
      <c r="F77" s="77"/>
    </row>
    <row r="78" spans="1:6" ht="12.75" hidden="1">
      <c r="A78" s="53"/>
      <c r="B78" s="80"/>
      <c r="C78" s="80"/>
      <c r="D78" s="80"/>
      <c r="E78" s="77"/>
      <c r="F78" s="77"/>
    </row>
    <row r="79" spans="1:6" ht="12.75">
      <c r="A79" s="53"/>
      <c r="B79" s="80"/>
      <c r="C79" s="80"/>
      <c r="D79" s="80"/>
      <c r="E79" s="77"/>
      <c r="F79" s="77"/>
    </row>
    <row r="80" spans="1:6" ht="9" customHeight="1">
      <c r="A80" s="53"/>
      <c r="B80" s="80"/>
      <c r="C80" s="80"/>
      <c r="D80" s="80"/>
      <c r="E80" s="77"/>
      <c r="F80" s="77"/>
    </row>
    <row r="81" spans="1:6" ht="12.75">
      <c r="A81" s="84">
        <v>9</v>
      </c>
      <c r="B81" s="75" t="s">
        <v>205</v>
      </c>
      <c r="C81" s="75"/>
      <c r="D81" s="80"/>
      <c r="E81" s="77"/>
      <c r="F81" s="160"/>
    </row>
    <row r="82" spans="1:6" ht="12.75">
      <c r="A82" s="53"/>
      <c r="B82" s="80"/>
      <c r="C82" s="80"/>
      <c r="D82" s="80"/>
      <c r="E82" s="77"/>
      <c r="F82" s="160"/>
    </row>
    <row r="83" spans="1:6" ht="12.75">
      <c r="A83" s="53"/>
      <c r="B83" s="80" t="s">
        <v>357</v>
      </c>
      <c r="C83" s="80"/>
      <c r="D83" s="80"/>
      <c r="E83" s="77"/>
      <c r="F83" s="160"/>
    </row>
    <row r="84" spans="1:6" ht="12.75">
      <c r="A84" s="53"/>
      <c r="B84" s="80" t="s">
        <v>238</v>
      </c>
      <c r="C84" s="80"/>
      <c r="D84" s="80"/>
      <c r="E84" s="77"/>
      <c r="F84" s="160"/>
    </row>
    <row r="85" spans="1:6" ht="12.75">
      <c r="A85" s="53"/>
      <c r="B85" s="80" t="s">
        <v>22</v>
      </c>
      <c r="C85" s="80"/>
      <c r="D85" s="80"/>
      <c r="E85" s="77"/>
      <c r="F85" s="160"/>
    </row>
    <row r="86" spans="1:6" ht="12.75">
      <c r="A86" s="160"/>
      <c r="B86" s="160"/>
      <c r="C86" s="160"/>
      <c r="D86" s="160"/>
      <c r="E86" s="160"/>
      <c r="F86" s="160"/>
    </row>
    <row r="87" spans="1:6" ht="12.75">
      <c r="A87" s="53"/>
      <c r="B87" s="80"/>
      <c r="C87" s="80"/>
      <c r="D87" s="80"/>
      <c r="E87" s="77"/>
      <c r="F87" s="77"/>
    </row>
    <row r="88" spans="1:6" ht="12.75">
      <c r="A88" s="84">
        <v>10</v>
      </c>
      <c r="B88" s="75" t="s">
        <v>206</v>
      </c>
      <c r="C88" s="75"/>
      <c r="D88" s="75"/>
      <c r="E88" s="80"/>
      <c r="F88" s="80"/>
    </row>
    <row r="89" spans="1:6" ht="6.75" customHeight="1">
      <c r="A89" s="80"/>
      <c r="B89" s="80"/>
      <c r="C89" s="80"/>
      <c r="D89" s="80"/>
      <c r="E89" s="80"/>
      <c r="F89" s="80"/>
    </row>
    <row r="90" spans="1:6" ht="12.75">
      <c r="A90" s="80"/>
      <c r="B90" s="80" t="s">
        <v>23</v>
      </c>
      <c r="C90" s="80"/>
      <c r="D90" s="80"/>
      <c r="E90" s="80"/>
      <c r="F90" s="80"/>
    </row>
    <row r="91" spans="1:6" ht="12.75">
      <c r="A91" s="80"/>
      <c r="B91" s="85"/>
      <c r="C91" s="86"/>
      <c r="D91" s="86"/>
      <c r="E91" s="197" t="s">
        <v>339</v>
      </c>
      <c r="F91" s="66"/>
    </row>
    <row r="92" spans="1:6" ht="12.75">
      <c r="A92" s="80"/>
      <c r="B92" s="206"/>
      <c r="C92" s="207"/>
      <c r="D92" s="207"/>
      <c r="E92" s="102" t="s">
        <v>341</v>
      </c>
      <c r="F92" s="102" t="s">
        <v>207</v>
      </c>
    </row>
    <row r="93" spans="1:6" ht="12.75">
      <c r="A93" s="80"/>
      <c r="B93" s="96" t="s">
        <v>212</v>
      </c>
      <c r="C93" s="97"/>
      <c r="D93" s="97"/>
      <c r="E93" s="198"/>
      <c r="F93" s="89"/>
    </row>
    <row r="94" spans="1:6" ht="12.75">
      <c r="A94" s="80"/>
      <c r="B94" s="87" t="s">
        <v>208</v>
      </c>
      <c r="C94" s="88"/>
      <c r="D94" s="88"/>
      <c r="E94" s="215"/>
      <c r="F94" s="90">
        <v>145309</v>
      </c>
    </row>
    <row r="95" spans="1:6" ht="6" customHeight="1">
      <c r="A95" s="80"/>
      <c r="B95" s="87"/>
      <c r="C95" s="88"/>
      <c r="D95" s="88"/>
      <c r="E95" s="89"/>
      <c r="F95" s="90"/>
    </row>
    <row r="96" spans="1:6" ht="8.25" customHeight="1">
      <c r="A96" s="80"/>
      <c r="B96" s="87"/>
      <c r="C96" s="88"/>
      <c r="D96" s="88"/>
      <c r="E96" s="89"/>
      <c r="F96" s="90"/>
    </row>
    <row r="97" spans="1:6" ht="12.75">
      <c r="A97" s="80"/>
      <c r="B97" s="96" t="s">
        <v>211</v>
      </c>
      <c r="C97" s="97"/>
      <c r="D97" s="97"/>
      <c r="E97" s="89"/>
      <c r="F97" s="90"/>
    </row>
    <row r="98" spans="1:6" ht="12.75">
      <c r="A98" s="80"/>
      <c r="B98" s="87" t="s">
        <v>208</v>
      </c>
      <c r="C98" s="88"/>
      <c r="D98" s="88"/>
      <c r="E98" s="89" t="s">
        <v>340</v>
      </c>
      <c r="F98" s="90">
        <v>613754</v>
      </c>
    </row>
    <row r="99" spans="1:6" ht="12.75">
      <c r="A99" s="80"/>
      <c r="B99" s="87"/>
      <c r="C99" s="88"/>
      <c r="D99" s="88"/>
      <c r="E99" s="89" t="s">
        <v>27</v>
      </c>
      <c r="F99" s="90">
        <v>1898</v>
      </c>
    </row>
    <row r="100" spans="1:6" ht="12.75">
      <c r="A100" s="80"/>
      <c r="B100" s="87"/>
      <c r="C100" s="88"/>
      <c r="D100" s="88"/>
      <c r="E100" s="89" t="s">
        <v>28</v>
      </c>
      <c r="F100" s="90">
        <v>183</v>
      </c>
    </row>
    <row r="101" spans="1:6" ht="12.75">
      <c r="A101" s="80"/>
      <c r="B101" s="87" t="s">
        <v>209</v>
      </c>
      <c r="C101" s="88"/>
      <c r="D101" s="88"/>
      <c r="E101" s="89" t="s">
        <v>340</v>
      </c>
      <c r="F101" s="90">
        <v>73315</v>
      </c>
    </row>
    <row r="102" spans="1:6" ht="12.75">
      <c r="A102" s="80"/>
      <c r="B102" s="87"/>
      <c r="C102" s="88"/>
      <c r="D102" s="88"/>
      <c r="E102" s="198"/>
      <c r="F102" s="90"/>
    </row>
    <row r="103" spans="1:6" ht="7.5" customHeight="1">
      <c r="A103" s="80"/>
      <c r="B103" s="87"/>
      <c r="C103" s="88"/>
      <c r="D103" s="88"/>
      <c r="E103" s="198"/>
      <c r="F103" s="90"/>
    </row>
    <row r="104" spans="1:6" ht="13.5" thickBot="1">
      <c r="A104" s="80"/>
      <c r="B104" s="87" t="s">
        <v>210</v>
      </c>
      <c r="C104" s="88"/>
      <c r="D104" s="88"/>
      <c r="E104" s="199"/>
      <c r="F104" s="196">
        <f>SUM(F98:F103)</f>
        <v>689150</v>
      </c>
    </row>
    <row r="105" spans="1:6" ht="21" customHeight="1" thickBot="1">
      <c r="A105" s="80"/>
      <c r="B105" s="91" t="s">
        <v>84</v>
      </c>
      <c r="C105" s="92"/>
      <c r="D105" s="92"/>
      <c r="E105" s="92"/>
      <c r="F105" s="93">
        <f>F94+F104</f>
        <v>834459</v>
      </c>
    </row>
    <row r="106" spans="1:6" ht="12.75">
      <c r="A106" s="80"/>
      <c r="B106" s="80"/>
      <c r="C106" s="80"/>
      <c r="D106" s="80"/>
      <c r="E106" s="80"/>
      <c r="F106" s="80"/>
    </row>
    <row r="107" spans="1:6" ht="12.75">
      <c r="A107" s="221"/>
      <c r="B107" s="221"/>
      <c r="C107" s="221"/>
      <c r="D107" s="221"/>
      <c r="E107" s="221"/>
      <c r="F107" s="221"/>
    </row>
    <row r="108" ht="0.75" customHeight="1"/>
    <row r="109" ht="6" customHeight="1" hidden="1"/>
    <row r="111" spans="1:6" ht="12.75">
      <c r="A111" s="83"/>
      <c r="B111" s="80"/>
      <c r="C111" s="80"/>
      <c r="D111" s="80"/>
      <c r="E111" s="80"/>
      <c r="F111" s="80"/>
    </row>
    <row r="112" spans="1:6" ht="12.75">
      <c r="A112" s="221" t="s">
        <v>221</v>
      </c>
      <c r="B112" s="221"/>
      <c r="C112" s="221"/>
      <c r="D112" s="221"/>
      <c r="E112" s="221"/>
      <c r="F112" s="221"/>
    </row>
    <row r="113" spans="1:6" ht="15.75">
      <c r="A113" s="225" t="s">
        <v>75</v>
      </c>
      <c r="B113" s="226"/>
      <c r="C113" s="226"/>
      <c r="D113" s="226"/>
      <c r="E113" s="226"/>
      <c r="F113" s="227"/>
    </row>
    <row r="114" spans="1:6" ht="12.75">
      <c r="A114" s="222" t="s">
        <v>192</v>
      </c>
      <c r="B114" s="223"/>
      <c r="C114" s="223"/>
      <c r="D114" s="223"/>
      <c r="E114" s="223"/>
      <c r="F114" s="224"/>
    </row>
    <row r="115" spans="1:6" ht="12.75">
      <c r="A115" s="160"/>
      <c r="B115" s="160"/>
      <c r="C115" s="160"/>
      <c r="D115" s="160"/>
      <c r="E115" s="160"/>
      <c r="F115" s="160"/>
    </row>
    <row r="116" spans="1:6" ht="12.75">
      <c r="A116" s="84">
        <v>11</v>
      </c>
      <c r="B116" s="75" t="s">
        <v>213</v>
      </c>
      <c r="C116" s="75"/>
      <c r="D116" s="80"/>
      <c r="E116" s="80"/>
      <c r="F116" s="94"/>
    </row>
    <row r="117" spans="1:6" ht="12.75">
      <c r="A117" s="83"/>
      <c r="B117" s="80"/>
      <c r="C117" s="80"/>
      <c r="D117" s="80"/>
      <c r="E117" s="80"/>
      <c r="F117" s="80"/>
    </row>
    <row r="118" spans="1:6" ht="12.75">
      <c r="A118" s="83"/>
      <c r="B118" s="80"/>
      <c r="C118" s="80"/>
      <c r="D118" s="80"/>
      <c r="E118" s="80"/>
      <c r="F118" s="80"/>
    </row>
    <row r="119" spans="1:6" ht="12.75">
      <c r="A119" s="83"/>
      <c r="B119" s="80" t="s">
        <v>342</v>
      </c>
      <c r="C119" s="80"/>
      <c r="D119" s="80"/>
      <c r="E119" s="80"/>
      <c r="F119" s="80"/>
    </row>
    <row r="120" spans="1:6" ht="12.75">
      <c r="A120" s="160"/>
      <c r="B120" s="160"/>
      <c r="C120" s="160"/>
      <c r="D120" s="160"/>
      <c r="E120" s="160"/>
      <c r="F120" s="160"/>
    </row>
    <row r="121" spans="1:6" ht="12.75">
      <c r="A121" s="84">
        <v>12</v>
      </c>
      <c r="B121" s="75" t="s">
        <v>214</v>
      </c>
      <c r="C121" s="75"/>
      <c r="D121" s="80"/>
      <c r="E121" s="80"/>
      <c r="F121" s="80"/>
    </row>
    <row r="122" spans="1:6" ht="12.75">
      <c r="A122" s="83"/>
      <c r="B122" s="80"/>
      <c r="C122" s="80"/>
      <c r="D122" s="80"/>
      <c r="E122" s="80"/>
      <c r="F122" s="80"/>
    </row>
    <row r="123" spans="1:6" ht="12.75">
      <c r="A123" s="83"/>
      <c r="B123" s="80" t="s">
        <v>215</v>
      </c>
      <c r="C123" s="80"/>
      <c r="D123" s="80"/>
      <c r="E123" s="80"/>
      <c r="F123" s="80"/>
    </row>
    <row r="124" spans="1:6" ht="12.75">
      <c r="A124" s="83"/>
      <c r="B124" s="80" t="s">
        <v>24</v>
      </c>
      <c r="C124" s="80"/>
      <c r="D124" s="80"/>
      <c r="E124" s="80"/>
      <c r="F124" s="80"/>
    </row>
    <row r="125" spans="1:6" ht="12.75">
      <c r="A125" s="83"/>
      <c r="B125" s="80"/>
      <c r="C125" s="80"/>
      <c r="D125" s="80"/>
      <c r="E125" s="80"/>
      <c r="F125" s="80"/>
    </row>
    <row r="126" spans="1:6" ht="12.75">
      <c r="A126" s="84">
        <v>13</v>
      </c>
      <c r="B126" s="75" t="s">
        <v>216</v>
      </c>
      <c r="C126" s="75"/>
      <c r="D126" s="80"/>
      <c r="E126" s="80"/>
      <c r="F126" s="80"/>
    </row>
    <row r="127" spans="1:6" ht="12.75">
      <c r="A127" s="83"/>
      <c r="B127" s="80"/>
      <c r="C127" s="80"/>
      <c r="D127" s="80"/>
      <c r="E127" s="80"/>
      <c r="F127" s="80"/>
    </row>
    <row r="128" spans="1:6" ht="12.75">
      <c r="A128" s="83"/>
      <c r="B128" s="80" t="s">
        <v>217</v>
      </c>
      <c r="C128" s="80"/>
      <c r="D128" s="80"/>
      <c r="E128" s="80"/>
      <c r="F128" s="80"/>
    </row>
    <row r="129" spans="1:6" ht="12.75">
      <c r="A129" s="83"/>
      <c r="B129" s="80"/>
      <c r="C129" s="80"/>
      <c r="D129" s="80"/>
      <c r="E129" s="80"/>
      <c r="F129" s="80"/>
    </row>
    <row r="130" spans="1:6" ht="12.75">
      <c r="A130" s="83"/>
      <c r="B130" s="80"/>
      <c r="C130" s="80"/>
      <c r="D130" s="80"/>
      <c r="E130" s="80"/>
      <c r="F130" s="80"/>
    </row>
    <row r="131" spans="1:3" ht="12.75">
      <c r="A131" s="84">
        <v>14</v>
      </c>
      <c r="B131" s="75" t="s">
        <v>218</v>
      </c>
      <c r="C131" s="75"/>
    </row>
    <row r="132" spans="1:3" ht="6.75" customHeight="1">
      <c r="A132" s="84"/>
      <c r="B132" s="75"/>
      <c r="C132" s="75"/>
    </row>
    <row r="133" spans="1:3" ht="13.5" customHeight="1">
      <c r="A133" s="84"/>
      <c r="B133" s="75" t="s">
        <v>247</v>
      </c>
      <c r="C133" s="75"/>
    </row>
    <row r="134" spans="2:6" ht="12.75">
      <c r="B134" s="57"/>
      <c r="C134" s="61"/>
      <c r="D134" s="98" t="s">
        <v>92</v>
      </c>
      <c r="E134" s="95" t="s">
        <v>356</v>
      </c>
      <c r="F134" s="99" t="s">
        <v>219</v>
      </c>
    </row>
    <row r="135" spans="2:6" ht="12.75">
      <c r="B135" s="62"/>
      <c r="C135" s="15"/>
      <c r="D135" s="103"/>
      <c r="E135" s="105" t="s">
        <v>239</v>
      </c>
      <c r="F135" s="104" t="s">
        <v>220</v>
      </c>
    </row>
    <row r="136" spans="2:6" ht="12.75">
      <c r="B136" s="62"/>
      <c r="C136" s="15"/>
      <c r="D136" s="103"/>
      <c r="E136" s="105" t="s">
        <v>90</v>
      </c>
      <c r="F136" s="104"/>
    </row>
    <row r="137" spans="2:6" ht="12.75">
      <c r="B137" s="59"/>
      <c r="C137" s="209"/>
      <c r="D137" s="100" t="s">
        <v>207</v>
      </c>
      <c r="E137" s="102" t="s">
        <v>207</v>
      </c>
      <c r="F137" s="101" t="s">
        <v>207</v>
      </c>
    </row>
    <row r="138" spans="2:6" ht="18.75" customHeight="1">
      <c r="B138" s="208" t="s">
        <v>189</v>
      </c>
      <c r="C138" s="210"/>
      <c r="D138" s="112">
        <v>10651</v>
      </c>
      <c r="E138" s="114">
        <v>-2783</v>
      </c>
      <c r="F138" s="112">
        <v>17401</v>
      </c>
    </row>
    <row r="139" spans="2:6" ht="12.75">
      <c r="B139" s="96" t="s">
        <v>190</v>
      </c>
      <c r="C139" s="211"/>
      <c r="D139" s="7">
        <v>6137</v>
      </c>
      <c r="E139" s="115">
        <v>252</v>
      </c>
      <c r="F139" s="7">
        <v>8701</v>
      </c>
    </row>
    <row r="140" spans="2:6" ht="12.75">
      <c r="B140" s="96" t="s">
        <v>313</v>
      </c>
      <c r="C140" s="211"/>
      <c r="D140" s="7">
        <v>816541</v>
      </c>
      <c r="E140" s="115">
        <v>181382</v>
      </c>
      <c r="F140" s="7">
        <v>1846322</v>
      </c>
    </row>
    <row r="141" spans="2:6" ht="12.75">
      <c r="B141" s="96" t="s">
        <v>191</v>
      </c>
      <c r="C141" s="211"/>
      <c r="D141" s="7">
        <v>135463</v>
      </c>
      <c r="E141" s="115">
        <v>-12488</v>
      </c>
      <c r="F141" s="7">
        <v>572144</v>
      </c>
    </row>
    <row r="142" spans="2:6" ht="12.75">
      <c r="B142" s="96" t="s">
        <v>309</v>
      </c>
      <c r="C142" s="211"/>
      <c r="D142" s="7">
        <v>0</v>
      </c>
      <c r="E142" s="115">
        <v>-17402</v>
      </c>
      <c r="F142" s="7">
        <v>268628</v>
      </c>
    </row>
    <row r="143" spans="2:6" ht="12.75">
      <c r="B143" s="96" t="s">
        <v>179</v>
      </c>
      <c r="C143" s="211"/>
      <c r="D143" s="7">
        <v>6002</v>
      </c>
      <c r="E143" s="115">
        <v>-9695</v>
      </c>
      <c r="F143" s="7">
        <v>85473</v>
      </c>
    </row>
    <row r="144" spans="2:6" ht="12.75">
      <c r="B144" s="96" t="s">
        <v>149</v>
      </c>
      <c r="C144" s="211"/>
      <c r="D144" s="7">
        <v>0</v>
      </c>
      <c r="E144" s="115">
        <v>-384</v>
      </c>
      <c r="F144" s="7">
        <v>1788</v>
      </c>
    </row>
    <row r="145" spans="2:6" s="75" customFormat="1" ht="21.75" customHeight="1">
      <c r="B145" s="106" t="s">
        <v>84</v>
      </c>
      <c r="C145" s="212"/>
      <c r="D145" s="107">
        <f>SUM(D138:D144)</f>
        <v>974794</v>
      </c>
      <c r="E145" s="72">
        <f>SUM(E138:E144)</f>
        <v>138882</v>
      </c>
      <c r="F145" s="107">
        <f>SUM(F138:F144)</f>
        <v>2800457</v>
      </c>
    </row>
    <row r="146" ht="6.75" customHeight="1"/>
    <row r="147" spans="2:3" ht="12.75">
      <c r="B147" s="75" t="s">
        <v>248</v>
      </c>
      <c r="C147" s="75"/>
    </row>
    <row r="148" spans="2:6" ht="12.75">
      <c r="B148" s="57"/>
      <c r="C148" s="61"/>
      <c r="D148" s="98" t="s">
        <v>92</v>
      </c>
      <c r="E148" s="95" t="s">
        <v>356</v>
      </c>
      <c r="F148" s="99" t="s">
        <v>219</v>
      </c>
    </row>
    <row r="149" spans="2:6" ht="12.75">
      <c r="B149" s="62"/>
      <c r="C149" s="15"/>
      <c r="D149" s="103"/>
      <c r="E149" s="105" t="s">
        <v>239</v>
      </c>
      <c r="F149" s="104" t="s">
        <v>220</v>
      </c>
    </row>
    <row r="150" spans="2:6" ht="12.75">
      <c r="B150" s="62"/>
      <c r="C150" s="15"/>
      <c r="D150" s="103"/>
      <c r="E150" s="105" t="s">
        <v>90</v>
      </c>
      <c r="F150" s="104"/>
    </row>
    <row r="151" spans="2:6" ht="12.75">
      <c r="B151" s="59"/>
      <c r="C151" s="209"/>
      <c r="D151" s="100" t="s">
        <v>207</v>
      </c>
      <c r="E151" s="102" t="s">
        <v>207</v>
      </c>
      <c r="F151" s="101" t="s">
        <v>207</v>
      </c>
    </row>
    <row r="152" spans="2:6" ht="12.75">
      <c r="B152" s="208" t="s">
        <v>249</v>
      </c>
      <c r="C152" s="210"/>
      <c r="D152" s="112">
        <v>927696</v>
      </c>
      <c r="E152" s="114">
        <v>136842</v>
      </c>
      <c r="F152" s="112">
        <v>2767050</v>
      </c>
    </row>
    <row r="153" spans="2:6" ht="12.75">
      <c r="B153" s="96" t="s">
        <v>250</v>
      </c>
      <c r="C153" s="211"/>
      <c r="D153" s="7">
        <v>41063</v>
      </c>
      <c r="E153" s="115">
        <v>1719</v>
      </c>
      <c r="F153" s="7">
        <v>22905</v>
      </c>
    </row>
    <row r="154" spans="2:6" ht="12.75">
      <c r="B154" s="96" t="s">
        <v>251</v>
      </c>
      <c r="C154" s="211"/>
      <c r="D154" s="7">
        <v>6035</v>
      </c>
      <c r="E154" s="115">
        <v>321</v>
      </c>
      <c r="F154" s="7">
        <v>10502</v>
      </c>
    </row>
    <row r="155" spans="2:6" ht="21.75" customHeight="1">
      <c r="B155" s="106" t="s">
        <v>84</v>
      </c>
      <c r="C155" s="212"/>
      <c r="D155" s="107">
        <f>SUM(D149:D154)</f>
        <v>974794</v>
      </c>
      <c r="E155" s="72">
        <f>SUM(E149:E154)</f>
        <v>138882</v>
      </c>
      <c r="F155" s="107">
        <f>SUM(F149:F154)</f>
        <v>2800457</v>
      </c>
    </row>
    <row r="157" spans="1:3" ht="19.5" customHeight="1">
      <c r="A157" s="84">
        <v>15</v>
      </c>
      <c r="B157" s="75" t="s">
        <v>303</v>
      </c>
      <c r="C157" s="75"/>
    </row>
    <row r="158" ht="6" customHeight="1">
      <c r="A158" s="84"/>
    </row>
    <row r="159" spans="1:2" ht="12.75">
      <c r="A159" s="84"/>
      <c r="B159" t="s">
        <v>61</v>
      </c>
    </row>
    <row r="160" spans="1:2" ht="12.75">
      <c r="A160" s="84"/>
      <c r="B160" t="s">
        <v>63</v>
      </c>
    </row>
    <row r="161" spans="1:2" ht="12.75">
      <c r="A161" s="84"/>
      <c r="B161" t="s">
        <v>64</v>
      </c>
    </row>
    <row r="162" ht="12.75">
      <c r="A162" s="84"/>
    </row>
    <row r="163" ht="12.75">
      <c r="A163" s="84"/>
    </row>
    <row r="164" spans="1:6" ht="12.75">
      <c r="A164" s="221" t="s">
        <v>227</v>
      </c>
      <c r="B164" s="221"/>
      <c r="C164" s="221"/>
      <c r="D164" s="221"/>
      <c r="E164" s="221"/>
      <c r="F164" s="221"/>
    </row>
    <row r="165" ht="6" customHeight="1"/>
    <row r="166" ht="12.75" hidden="1"/>
    <row r="167" ht="12.75" hidden="1"/>
    <row r="168" ht="12.75" hidden="1"/>
    <row r="169" ht="12.75" hidden="1">
      <c r="A169" s="84"/>
    </row>
    <row r="170" ht="12.75" hidden="1"/>
    <row r="171" ht="12.75" hidden="1">
      <c r="A171" s="84"/>
    </row>
    <row r="172" spans="1:6" ht="15.75">
      <c r="A172" s="225" t="s">
        <v>75</v>
      </c>
      <c r="B172" s="226"/>
      <c r="C172" s="226"/>
      <c r="D172" s="226"/>
      <c r="E172" s="226"/>
      <c r="F172" s="227"/>
    </row>
    <row r="173" spans="1:6" ht="12.75">
      <c r="A173" s="222" t="s">
        <v>192</v>
      </c>
      <c r="B173" s="223"/>
      <c r="C173" s="223"/>
      <c r="D173" s="223"/>
      <c r="E173" s="223"/>
      <c r="F173" s="224"/>
    </row>
    <row r="174" spans="1:6" ht="12.75">
      <c r="A174" s="160"/>
      <c r="B174" s="160"/>
      <c r="C174" s="160"/>
      <c r="D174" s="160"/>
      <c r="E174" s="160"/>
      <c r="F174" s="160"/>
    </row>
    <row r="175" spans="1:3" ht="12.75">
      <c r="A175" s="84">
        <v>16</v>
      </c>
      <c r="B175" s="75" t="s">
        <v>222</v>
      </c>
      <c r="C175" s="75"/>
    </row>
    <row r="176" ht="12.75">
      <c r="A176" s="84"/>
    </row>
    <row r="177" spans="1:2" ht="12.75">
      <c r="A177" s="84"/>
      <c r="B177" t="s">
        <v>62</v>
      </c>
    </row>
    <row r="178" spans="1:2" ht="12.75">
      <c r="A178" s="84"/>
      <c r="B178" t="s">
        <v>15</v>
      </c>
    </row>
    <row r="179" spans="1:2" ht="12.75">
      <c r="A179" s="84"/>
      <c r="B179" t="s">
        <v>9</v>
      </c>
    </row>
    <row r="180" spans="1:6" ht="12.75">
      <c r="A180" s="160"/>
      <c r="B180" s="160"/>
      <c r="C180" s="160"/>
      <c r="D180" s="160"/>
      <c r="E180" s="160"/>
      <c r="F180" s="160"/>
    </row>
    <row r="181" spans="1:6" ht="12.75">
      <c r="A181" s="171">
        <v>17</v>
      </c>
      <c r="B181" s="190" t="s">
        <v>338</v>
      </c>
      <c r="C181" s="171"/>
      <c r="D181" s="160"/>
      <c r="E181" s="160"/>
      <c r="F181" s="160"/>
    </row>
    <row r="182" spans="1:6" ht="12.75">
      <c r="A182" s="171"/>
      <c r="B182" s="190"/>
      <c r="C182" s="171"/>
      <c r="D182" s="160"/>
      <c r="E182" s="160"/>
      <c r="F182" s="160"/>
    </row>
    <row r="183" spans="1:6" ht="12.75">
      <c r="A183" s="160"/>
      <c r="B183" s="191" t="s">
        <v>59</v>
      </c>
      <c r="C183" s="191"/>
      <c r="D183" s="160"/>
      <c r="E183" s="160"/>
      <c r="F183" s="160"/>
    </row>
    <row r="184" spans="1:6" ht="12.75">
      <c r="A184" s="160"/>
      <c r="B184" s="220" t="s">
        <v>65</v>
      </c>
      <c r="C184" s="160"/>
      <c r="D184" s="160"/>
      <c r="E184" s="160"/>
      <c r="F184" s="160"/>
    </row>
    <row r="185" spans="1:6" ht="12.75">
      <c r="A185" s="160"/>
      <c r="B185" s="220" t="s">
        <v>66</v>
      </c>
      <c r="C185" s="160"/>
      <c r="D185" s="160"/>
      <c r="E185" s="160"/>
      <c r="F185" s="160"/>
    </row>
    <row r="186" spans="1:6" ht="12.75">
      <c r="A186" s="160"/>
      <c r="B186" s="220" t="s">
        <v>33</v>
      </c>
      <c r="C186" s="160"/>
      <c r="D186" s="160"/>
      <c r="E186" s="160"/>
      <c r="F186" s="160"/>
    </row>
    <row r="187" spans="1:6" ht="12.75">
      <c r="A187" s="160"/>
      <c r="B187" s="220" t="s">
        <v>34</v>
      </c>
      <c r="C187" s="160"/>
      <c r="D187" s="160"/>
      <c r="E187" s="160"/>
      <c r="F187" s="160"/>
    </row>
    <row r="188" spans="1:6" ht="12.75">
      <c r="A188" s="160"/>
      <c r="B188" s="220"/>
      <c r="C188" s="160"/>
      <c r="D188" s="160"/>
      <c r="E188" s="160"/>
      <c r="F188" s="160"/>
    </row>
    <row r="189" spans="1:6" ht="12.75">
      <c r="A189" s="160"/>
      <c r="B189" s="220" t="s">
        <v>35</v>
      </c>
      <c r="C189" s="160"/>
      <c r="D189" s="160"/>
      <c r="E189" s="160"/>
      <c r="F189" s="160"/>
    </row>
    <row r="190" spans="1:6" ht="12.75">
      <c r="A190" s="160"/>
      <c r="B190" s="220" t="s">
        <v>49</v>
      </c>
      <c r="C190" s="160"/>
      <c r="D190" s="160"/>
      <c r="E190" s="160"/>
      <c r="F190" s="160"/>
    </row>
    <row r="191" spans="1:6" ht="12.75">
      <c r="A191" s="160"/>
      <c r="B191" s="220" t="s">
        <v>50</v>
      </c>
      <c r="C191" s="160"/>
      <c r="D191" s="160"/>
      <c r="E191" s="160"/>
      <c r="F191" s="160"/>
    </row>
    <row r="192" spans="1:6" ht="12.75">
      <c r="A192" s="160"/>
      <c r="B192" s="220" t="s">
        <v>51</v>
      </c>
      <c r="C192" s="160"/>
      <c r="D192" s="160"/>
      <c r="E192" s="160"/>
      <c r="F192" s="160"/>
    </row>
    <row r="193" spans="1:6" ht="12.75">
      <c r="A193" s="160"/>
      <c r="B193" s="220"/>
      <c r="C193" s="160"/>
      <c r="D193" s="160"/>
      <c r="E193" s="160"/>
      <c r="F193" s="160"/>
    </row>
    <row r="194" spans="1:6" ht="12.75">
      <c r="A194" s="160"/>
      <c r="B194" s="220" t="s">
        <v>36</v>
      </c>
      <c r="C194" s="160"/>
      <c r="D194" s="160"/>
      <c r="E194" s="160"/>
      <c r="F194" s="160"/>
    </row>
    <row r="195" spans="1:6" ht="12.75">
      <c r="A195" s="160"/>
      <c r="B195" s="220" t="s">
        <v>37</v>
      </c>
      <c r="C195" s="160"/>
      <c r="D195" s="160"/>
      <c r="E195" s="160"/>
      <c r="F195" s="160"/>
    </row>
    <row r="196" spans="1:6" ht="12.75">
      <c r="A196" s="160"/>
      <c r="B196" s="220" t="s">
        <v>52</v>
      </c>
      <c r="C196" s="160"/>
      <c r="D196" s="160"/>
      <c r="E196" s="160"/>
      <c r="F196" s="160"/>
    </row>
    <row r="197" spans="1:6" ht="12.75">
      <c r="A197" s="160"/>
      <c r="B197" s="220"/>
      <c r="C197" s="160"/>
      <c r="D197" s="160"/>
      <c r="E197" s="160"/>
      <c r="F197" s="160"/>
    </row>
    <row r="198" spans="1:6" ht="12.75">
      <c r="A198" s="160"/>
      <c r="B198" s="220" t="s">
        <v>38</v>
      </c>
      <c r="C198" s="160"/>
      <c r="D198" s="160"/>
      <c r="E198" s="160"/>
      <c r="F198" s="160"/>
    </row>
    <row r="199" spans="1:6" ht="12.75">
      <c r="A199" s="160"/>
      <c r="B199" s="220" t="s">
        <v>39</v>
      </c>
      <c r="C199" s="160"/>
      <c r="D199" s="160"/>
      <c r="E199" s="160"/>
      <c r="F199" s="160"/>
    </row>
    <row r="200" spans="1:6" ht="12.75">
      <c r="A200" s="160"/>
      <c r="B200" s="220" t="s">
        <v>40</v>
      </c>
      <c r="C200" s="160"/>
      <c r="D200" s="160"/>
      <c r="E200" s="160"/>
      <c r="F200" s="160"/>
    </row>
    <row r="201" spans="1:6" ht="12.75">
      <c r="A201" s="160"/>
      <c r="B201" s="220"/>
      <c r="C201" s="160"/>
      <c r="D201" s="160"/>
      <c r="E201" s="160"/>
      <c r="F201" s="160"/>
    </row>
    <row r="202" spans="1:6" ht="12.75">
      <c r="A202" s="160"/>
      <c r="B202" s="220" t="s">
        <v>41</v>
      </c>
      <c r="C202" s="160"/>
      <c r="D202" s="160"/>
      <c r="E202" s="160"/>
      <c r="F202" s="160"/>
    </row>
    <row r="203" spans="1:6" ht="12.75">
      <c r="A203" s="160"/>
      <c r="B203" s="220" t="s">
        <v>53</v>
      </c>
      <c r="C203" s="160"/>
      <c r="D203" s="160"/>
      <c r="E203" s="160"/>
      <c r="F203" s="160"/>
    </row>
    <row r="204" spans="1:6" ht="12.75">
      <c r="A204" s="160"/>
      <c r="B204" s="220" t="s">
        <v>54</v>
      </c>
      <c r="C204" s="160"/>
      <c r="D204" s="160"/>
      <c r="E204" s="160"/>
      <c r="F204" s="160"/>
    </row>
    <row r="205" spans="1:6" ht="12.75">
      <c r="A205" s="160"/>
      <c r="B205" s="220"/>
      <c r="C205" s="160"/>
      <c r="D205" s="160"/>
      <c r="E205" s="160"/>
      <c r="F205" s="160"/>
    </row>
    <row r="206" spans="1:6" ht="12.75">
      <c r="A206" s="160"/>
      <c r="B206" s="220" t="s">
        <v>55</v>
      </c>
      <c r="C206" s="160"/>
      <c r="D206" s="160"/>
      <c r="E206" s="160"/>
      <c r="F206" s="160"/>
    </row>
    <row r="207" spans="1:6" ht="12.75">
      <c r="A207" s="160"/>
      <c r="B207" s="220" t="s">
        <v>42</v>
      </c>
      <c r="C207" s="160"/>
      <c r="D207" s="160"/>
      <c r="E207" s="160"/>
      <c r="F207" s="160"/>
    </row>
    <row r="208" spans="1:6" ht="12.75">
      <c r="A208" s="160"/>
      <c r="B208" s="220" t="s">
        <v>44</v>
      </c>
      <c r="C208" s="160"/>
      <c r="D208" s="160"/>
      <c r="E208" s="160"/>
      <c r="F208" s="160"/>
    </row>
    <row r="209" spans="1:6" ht="12.75">
      <c r="A209" s="160"/>
      <c r="B209" s="220" t="s">
        <v>43</v>
      </c>
      <c r="C209" s="160"/>
      <c r="D209" s="160"/>
      <c r="E209" s="160"/>
      <c r="F209" s="160"/>
    </row>
    <row r="210" spans="1:6" ht="12.75">
      <c r="A210" s="160"/>
      <c r="B210" s="220"/>
      <c r="C210" s="160"/>
      <c r="D210" s="160"/>
      <c r="E210" s="160"/>
      <c r="F210" s="160"/>
    </row>
    <row r="211" spans="1:6" ht="12.75">
      <c r="A211" s="160"/>
      <c r="B211" s="220" t="s">
        <v>45</v>
      </c>
      <c r="C211" s="160"/>
      <c r="D211" s="160"/>
      <c r="E211" s="160"/>
      <c r="F211" s="160"/>
    </row>
    <row r="212" spans="1:6" ht="12.75">
      <c r="A212" s="160"/>
      <c r="B212" s="220" t="s">
        <v>46</v>
      </c>
      <c r="C212" s="160"/>
      <c r="D212" s="160"/>
      <c r="E212" s="160"/>
      <c r="F212" s="160"/>
    </row>
    <row r="213" spans="1:6" ht="12.75">
      <c r="A213" s="160"/>
      <c r="B213" s="220" t="s">
        <v>47</v>
      </c>
      <c r="C213" s="160"/>
      <c r="D213" s="160"/>
      <c r="E213" s="160"/>
      <c r="F213" s="160"/>
    </row>
    <row r="214" spans="1:6" ht="12.75">
      <c r="A214" s="160"/>
      <c r="B214" s="220" t="s">
        <v>56</v>
      </c>
      <c r="C214" s="160"/>
      <c r="D214" s="160"/>
      <c r="E214" s="160"/>
      <c r="F214" s="160"/>
    </row>
    <row r="215" spans="1:6" ht="12.75">
      <c r="A215" s="160"/>
      <c r="B215" s="220" t="s">
        <v>67</v>
      </c>
      <c r="C215" s="160"/>
      <c r="D215" s="160"/>
      <c r="E215" s="160"/>
      <c r="F215" s="160"/>
    </row>
    <row r="216" spans="1:6" ht="12.75">
      <c r="A216" s="160"/>
      <c r="B216" s="220"/>
      <c r="C216" s="160"/>
      <c r="D216" s="160"/>
      <c r="E216" s="160"/>
      <c r="F216" s="160"/>
    </row>
    <row r="217" spans="1:6" ht="12.75">
      <c r="A217" s="160"/>
      <c r="B217" s="220" t="s">
        <v>68</v>
      </c>
      <c r="C217" s="160"/>
      <c r="D217" s="160"/>
      <c r="E217" s="160"/>
      <c r="F217" s="160"/>
    </row>
    <row r="218" spans="1:6" ht="12.75">
      <c r="A218" s="160"/>
      <c r="B218" s="220" t="s">
        <v>48</v>
      </c>
      <c r="C218" s="160"/>
      <c r="D218" s="160"/>
      <c r="E218" s="160"/>
      <c r="F218" s="160"/>
    </row>
    <row r="219" spans="1:6" ht="12.75">
      <c r="A219" s="160"/>
      <c r="B219" s="220" t="s">
        <v>69</v>
      </c>
      <c r="C219" s="160"/>
      <c r="D219" s="160"/>
      <c r="E219" s="160"/>
      <c r="F219" s="160"/>
    </row>
    <row r="220" spans="1:6" ht="12.75">
      <c r="A220" s="160"/>
      <c r="B220" s="220"/>
      <c r="C220" s="160"/>
      <c r="D220" s="160"/>
      <c r="E220" s="160"/>
      <c r="F220" s="160"/>
    </row>
    <row r="221" spans="1:6" ht="12.75">
      <c r="A221" s="160"/>
      <c r="B221" s="220"/>
      <c r="C221" s="160"/>
      <c r="D221" s="160"/>
      <c r="E221" s="160"/>
      <c r="F221" s="160"/>
    </row>
    <row r="222" spans="1:6" ht="12.75">
      <c r="A222" s="160"/>
      <c r="B222" s="220"/>
      <c r="C222" s="160"/>
      <c r="D222" s="160"/>
      <c r="E222" s="160"/>
      <c r="F222" s="160"/>
    </row>
    <row r="223" spans="1:6" ht="12.75">
      <c r="A223" s="160"/>
      <c r="B223" s="220"/>
      <c r="C223" s="160"/>
      <c r="D223" s="160"/>
      <c r="E223" s="160"/>
      <c r="F223" s="160"/>
    </row>
    <row r="224" spans="1:6" ht="12.75">
      <c r="A224" s="221" t="s">
        <v>308</v>
      </c>
      <c r="B224" s="221"/>
      <c r="C224" s="221"/>
      <c r="D224" s="221"/>
      <c r="E224" s="221"/>
      <c r="F224" s="221"/>
    </row>
    <row r="225" ht="6" customHeight="1"/>
    <row r="226" ht="12.75" hidden="1"/>
    <row r="227" ht="12.75" hidden="1"/>
    <row r="228" ht="12.75" hidden="1"/>
    <row r="229" ht="12.75" hidden="1">
      <c r="A229" s="84"/>
    </row>
    <row r="230" ht="12.75" hidden="1"/>
    <row r="231" ht="12.75" hidden="1">
      <c r="A231" s="84"/>
    </row>
    <row r="232" spans="1:6" ht="15.75">
      <c r="A232" s="225" t="s">
        <v>75</v>
      </c>
      <c r="B232" s="226"/>
      <c r="C232" s="226"/>
      <c r="D232" s="226"/>
      <c r="E232" s="226"/>
      <c r="F232" s="227"/>
    </row>
    <row r="233" spans="1:6" ht="12.75">
      <c r="A233" s="222" t="s">
        <v>192</v>
      </c>
      <c r="B233" s="223"/>
      <c r="C233" s="223"/>
      <c r="D233" s="223"/>
      <c r="E233" s="223"/>
      <c r="F233" s="224"/>
    </row>
    <row r="234" spans="1:6" ht="12.75">
      <c r="A234" s="160"/>
      <c r="B234" s="160"/>
      <c r="C234" s="160"/>
      <c r="D234" s="160"/>
      <c r="E234" s="160"/>
      <c r="F234" s="160"/>
    </row>
    <row r="235" spans="1:3" ht="12.75">
      <c r="A235" s="84">
        <v>19</v>
      </c>
      <c r="B235" s="75" t="s">
        <v>223</v>
      </c>
      <c r="C235" s="75"/>
    </row>
    <row r="236" spans="1:3" ht="6" customHeight="1">
      <c r="A236" s="84"/>
      <c r="B236" s="75"/>
      <c r="C236" s="75"/>
    </row>
    <row r="237" spans="1:2" ht="12.75">
      <c r="A237" s="84"/>
      <c r="B237" s="80" t="s">
        <v>30</v>
      </c>
    </row>
    <row r="238" spans="1:2" ht="12.75">
      <c r="A238" s="84"/>
      <c r="B238" s="80" t="s">
        <v>31</v>
      </c>
    </row>
    <row r="239" spans="1:3" ht="12.75">
      <c r="A239" s="84"/>
      <c r="B239" s="80" t="s">
        <v>361</v>
      </c>
      <c r="C239" s="80"/>
    </row>
    <row r="240" spans="1:3" ht="12.75">
      <c r="A240" s="84"/>
      <c r="B240" s="80"/>
      <c r="C240" s="80"/>
    </row>
    <row r="241" spans="1:3" ht="12.75">
      <c r="A241" s="84"/>
      <c r="B241" s="80" t="s">
        <v>358</v>
      </c>
      <c r="C241" s="80"/>
    </row>
    <row r="242" spans="1:3" ht="12.75">
      <c r="A242" s="84"/>
      <c r="B242" s="80" t="s">
        <v>304</v>
      </c>
      <c r="C242" s="80"/>
    </row>
    <row r="243" spans="1:3" ht="12.75">
      <c r="A243" s="84"/>
      <c r="B243" s="80" t="s">
        <v>305</v>
      </c>
      <c r="C243" s="80"/>
    </row>
    <row r="244" spans="1:3" ht="12.75">
      <c r="A244" s="84"/>
      <c r="B244" s="80" t="s">
        <v>29</v>
      </c>
      <c r="C244" s="80"/>
    </row>
    <row r="245" spans="1:3" ht="12.75">
      <c r="A245" s="84"/>
      <c r="B245" s="80"/>
      <c r="C245" s="80"/>
    </row>
    <row r="246" spans="1:3" ht="12.75">
      <c r="A246" s="84"/>
      <c r="B246" s="80"/>
      <c r="C246" s="80"/>
    </row>
    <row r="247" spans="1:3" ht="12.75">
      <c r="A247" s="84">
        <v>20</v>
      </c>
      <c r="B247" s="75" t="s">
        <v>224</v>
      </c>
      <c r="C247" s="75"/>
    </row>
    <row r="248" ht="6" customHeight="1">
      <c r="A248" s="84"/>
    </row>
    <row r="249" spans="1:2" ht="12.75">
      <c r="A249" s="84"/>
      <c r="B249" t="s">
        <v>225</v>
      </c>
    </row>
    <row r="250" ht="12.75">
      <c r="A250" s="84"/>
    </row>
    <row r="251" spans="1:3" ht="12.75">
      <c r="A251" s="84">
        <v>21</v>
      </c>
      <c r="B251" s="75" t="s">
        <v>226</v>
      </c>
      <c r="C251" s="75"/>
    </row>
    <row r="252" ht="6" customHeight="1">
      <c r="A252" s="84"/>
    </row>
    <row r="253" spans="1:2" ht="12.75">
      <c r="A253" s="84"/>
      <c r="B253" t="s">
        <v>18</v>
      </c>
    </row>
    <row r="254" spans="1:2" ht="12.75">
      <c r="A254" s="84"/>
      <c r="B254" t="s">
        <v>17</v>
      </c>
    </row>
    <row r="255" ht="12.75">
      <c r="A255" s="84"/>
    </row>
    <row r="256" spans="1:3" ht="12.75" hidden="1">
      <c r="A256" s="84">
        <v>22</v>
      </c>
      <c r="B256" s="75" t="s">
        <v>240</v>
      </c>
      <c r="C256" s="75"/>
    </row>
    <row r="257" ht="6" customHeight="1" hidden="1"/>
    <row r="258" ht="12.75" hidden="1">
      <c r="B258" t="s">
        <v>241</v>
      </c>
    </row>
    <row r="259" ht="12.75" hidden="1">
      <c r="B259" t="s">
        <v>242</v>
      </c>
    </row>
    <row r="260" ht="12.75" hidden="1">
      <c r="B260" t="s">
        <v>243</v>
      </c>
    </row>
    <row r="261" ht="12.75" hidden="1">
      <c r="B261" t="s">
        <v>244</v>
      </c>
    </row>
    <row r="262" ht="12.75" hidden="1">
      <c r="B262" t="s">
        <v>245</v>
      </c>
    </row>
    <row r="263" ht="12.75">
      <c r="B263" t="s">
        <v>20</v>
      </c>
    </row>
    <row r="264" ht="12.75">
      <c r="B264" t="s">
        <v>21</v>
      </c>
    </row>
    <row r="266" ht="12.75">
      <c r="B266" t="s">
        <v>16</v>
      </c>
    </row>
    <row r="274" ht="12.75">
      <c r="A274" s="75" t="s">
        <v>229</v>
      </c>
    </row>
    <row r="275" ht="12.75">
      <c r="A275" s="75" t="s">
        <v>228</v>
      </c>
    </row>
    <row r="276" ht="12.75">
      <c r="A276" s="75"/>
    </row>
    <row r="277" ht="12.75">
      <c r="A277" s="75" t="s">
        <v>230</v>
      </c>
    </row>
    <row r="278" ht="12.75">
      <c r="A278" s="75"/>
    </row>
    <row r="279" ht="12.75">
      <c r="A279" s="75"/>
    </row>
    <row r="280" ht="12.75">
      <c r="A280" s="75"/>
    </row>
    <row r="281" ht="12.75">
      <c r="A281" s="75"/>
    </row>
    <row r="282" ht="12.75">
      <c r="A282" s="75"/>
    </row>
    <row r="283" ht="12.75">
      <c r="A283" s="75"/>
    </row>
    <row r="284" ht="12.75">
      <c r="A284" s="75"/>
    </row>
    <row r="285" ht="12.75">
      <c r="A285" s="75"/>
    </row>
    <row r="286" ht="12.75">
      <c r="A286" s="75"/>
    </row>
    <row r="287" ht="12.75">
      <c r="A287" s="75"/>
    </row>
    <row r="288" ht="12.75">
      <c r="A288" s="75"/>
    </row>
    <row r="289" spans="1:6" ht="12.75">
      <c r="A289" s="221" t="s">
        <v>70</v>
      </c>
      <c r="B289" s="221"/>
      <c r="C289" s="221"/>
      <c r="D289" s="221"/>
      <c r="E289" s="221"/>
      <c r="F289" s="221"/>
    </row>
  </sheetData>
  <mergeCells count="21">
    <mergeCell ref="A61:F61"/>
    <mergeCell ref="A232:F232"/>
    <mergeCell ref="A233:F233"/>
    <mergeCell ref="A3:F3"/>
    <mergeCell ref="A2:F2"/>
    <mergeCell ref="A5:F5"/>
    <mergeCell ref="A60:F60"/>
    <mergeCell ref="A6:F6"/>
    <mergeCell ref="A7:F7"/>
    <mergeCell ref="A4:F4"/>
    <mergeCell ref="A58:F58"/>
    <mergeCell ref="A112:F112"/>
    <mergeCell ref="A113:F113"/>
    <mergeCell ref="A172:F172"/>
    <mergeCell ref="A173:F173"/>
    <mergeCell ref="A114:F114"/>
    <mergeCell ref="A164:F164"/>
    <mergeCell ref="A224:F224"/>
    <mergeCell ref="A289:F289"/>
    <mergeCell ref="A62:F62"/>
    <mergeCell ref="A107:F107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112" max="4" man="1"/>
    <brk id="17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K1">
      <selection activeCell="K7" sqref="K7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7" customWidth="1"/>
    <col min="11" max="11" width="14.421875" style="0" customWidth="1"/>
    <col min="12" max="14" width="14.421875" style="0" hidden="1" customWidth="1"/>
    <col min="15" max="15" width="3.421875" style="17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7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75</v>
      </c>
      <c r="V1" s="2" t="s">
        <v>113</v>
      </c>
    </row>
    <row r="2" spans="1:22" ht="15.75">
      <c r="A2" s="2" t="s">
        <v>246</v>
      </c>
      <c r="V2" s="2" t="s">
        <v>246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18"/>
      <c r="B4" s="19" t="s">
        <v>77</v>
      </c>
      <c r="C4" s="20" t="s">
        <v>78</v>
      </c>
      <c r="D4" s="20" t="s">
        <v>79</v>
      </c>
      <c r="E4" s="20" t="s">
        <v>80</v>
      </c>
      <c r="F4" s="20" t="s">
        <v>81</v>
      </c>
      <c r="G4" s="20" t="s">
        <v>82</v>
      </c>
      <c r="H4" s="20" t="s">
        <v>83</v>
      </c>
      <c r="I4" s="122" t="s">
        <v>161</v>
      </c>
      <c r="J4" s="21"/>
      <c r="K4" s="22" t="s">
        <v>162</v>
      </c>
      <c r="L4" s="23" t="s">
        <v>163</v>
      </c>
      <c r="M4" s="23"/>
      <c r="N4" s="22" t="s">
        <v>162</v>
      </c>
      <c r="O4" s="21"/>
      <c r="P4" s="21"/>
      <c r="Q4" s="22" t="s">
        <v>96</v>
      </c>
      <c r="R4" s="21"/>
      <c r="S4" s="24" t="s">
        <v>95</v>
      </c>
      <c r="T4" s="22" t="s">
        <v>164</v>
      </c>
      <c r="V4" s="18" t="s">
        <v>91</v>
      </c>
      <c r="W4" s="19" t="s">
        <v>76</v>
      </c>
      <c r="X4" s="20" t="s">
        <v>253</v>
      </c>
      <c r="Y4" s="20" t="s">
        <v>108</v>
      </c>
      <c r="Z4" s="20" t="s">
        <v>109</v>
      </c>
      <c r="AA4" s="20" t="s">
        <v>110</v>
      </c>
      <c r="AB4" s="20" t="s">
        <v>165</v>
      </c>
      <c r="AC4" s="20" t="s">
        <v>112</v>
      </c>
      <c r="AD4" s="20" t="s">
        <v>111</v>
      </c>
      <c r="AE4" s="20" t="s">
        <v>114</v>
      </c>
      <c r="AF4" s="20" t="s">
        <v>166</v>
      </c>
      <c r="AG4" s="21"/>
      <c r="AH4" s="22" t="s">
        <v>167</v>
      </c>
      <c r="AJ4" s="22" t="s">
        <v>96</v>
      </c>
      <c r="AK4" s="21"/>
      <c r="AL4" s="24" t="s">
        <v>95</v>
      </c>
      <c r="AM4" s="22" t="s">
        <v>164</v>
      </c>
    </row>
    <row r="5" spans="1:39" ht="13.5" thickBot="1">
      <c r="A5" s="119" t="s">
        <v>168</v>
      </c>
      <c r="B5" s="26">
        <v>1</v>
      </c>
      <c r="C5" s="27">
        <v>1</v>
      </c>
      <c r="D5" s="27">
        <v>0.6</v>
      </c>
      <c r="E5" s="27">
        <v>0.6</v>
      </c>
      <c r="F5" s="27">
        <v>1</v>
      </c>
      <c r="G5" s="27">
        <v>1</v>
      </c>
      <c r="H5" s="27">
        <v>1</v>
      </c>
      <c r="I5" s="123"/>
      <c r="K5" s="28"/>
      <c r="L5" s="21" t="s">
        <v>85</v>
      </c>
      <c r="M5" s="21" t="s">
        <v>86</v>
      </c>
      <c r="N5" s="22" t="s">
        <v>177</v>
      </c>
      <c r="O5" s="21"/>
      <c r="P5" s="29"/>
      <c r="Q5" s="30"/>
      <c r="R5" s="29"/>
      <c r="S5" s="30"/>
      <c r="T5" s="31"/>
      <c r="V5" s="25" t="s">
        <v>168</v>
      </c>
      <c r="W5" s="26">
        <v>1</v>
      </c>
      <c r="X5" s="32" t="s">
        <v>252</v>
      </c>
      <c r="Y5" s="27">
        <v>0.6</v>
      </c>
      <c r="Z5" s="27">
        <v>0.4</v>
      </c>
      <c r="AA5" s="27">
        <v>1</v>
      </c>
      <c r="AB5" s="27">
        <v>0.8</v>
      </c>
      <c r="AC5" s="27">
        <v>1</v>
      </c>
      <c r="AD5" s="27">
        <v>1</v>
      </c>
      <c r="AE5" s="27">
        <v>0.7</v>
      </c>
      <c r="AF5" s="27">
        <v>0.7</v>
      </c>
      <c r="AG5" s="33"/>
      <c r="AH5" s="28"/>
      <c r="AJ5" s="30"/>
      <c r="AK5" s="29"/>
      <c r="AL5" s="30"/>
      <c r="AM5" s="31"/>
    </row>
    <row r="6" spans="1:39" ht="12.75">
      <c r="A6" s="120"/>
      <c r="B6" s="35"/>
      <c r="C6" s="15"/>
      <c r="D6" s="15"/>
      <c r="E6" s="15"/>
      <c r="F6" s="15"/>
      <c r="G6" s="15"/>
      <c r="H6" s="15"/>
      <c r="I6" s="123"/>
      <c r="K6" s="28"/>
      <c r="L6" s="29"/>
      <c r="M6" s="29"/>
      <c r="N6" s="28"/>
      <c r="O6" s="29"/>
      <c r="P6" s="29"/>
      <c r="Q6" s="28"/>
      <c r="R6" s="29"/>
      <c r="S6" s="28"/>
      <c r="T6" s="31"/>
      <c r="V6" s="34"/>
      <c r="W6" s="35"/>
      <c r="X6" s="15"/>
      <c r="Y6" s="15"/>
      <c r="Z6" s="15"/>
      <c r="AA6" s="15"/>
      <c r="AB6" s="15"/>
      <c r="AC6" s="15"/>
      <c r="AD6" s="15"/>
      <c r="AE6" s="15"/>
      <c r="AF6" s="15"/>
      <c r="AH6" s="28"/>
      <c r="AJ6" s="28"/>
      <c r="AK6" s="29"/>
      <c r="AL6" s="28"/>
      <c r="AM6" s="31"/>
    </row>
    <row r="7" spans="1:39" ht="21" customHeight="1" thickBot="1">
      <c r="A7" s="117" t="s">
        <v>92</v>
      </c>
      <c r="B7" s="36">
        <v>11717171</v>
      </c>
      <c r="C7" s="37">
        <v>15709428</v>
      </c>
      <c r="D7" s="37">
        <v>669901.26</v>
      </c>
      <c r="E7" s="37">
        <v>1868706.49</v>
      </c>
      <c r="F7" s="37">
        <f>5734855.64</f>
        <v>5734855.64</v>
      </c>
      <c r="G7" s="37">
        <v>0</v>
      </c>
      <c r="H7" s="37">
        <v>0</v>
      </c>
      <c r="I7" s="124">
        <f>AH7</f>
        <v>557525865.65</v>
      </c>
      <c r="J7" s="10"/>
      <c r="K7" s="38">
        <f>SUM(B7:I7)-B7</f>
        <v>581508757.04</v>
      </c>
      <c r="L7" s="12"/>
      <c r="M7" s="12"/>
      <c r="N7" s="38">
        <f>K7-L7</f>
        <v>581508757.04</v>
      </c>
      <c r="O7" s="12"/>
      <c r="P7" s="12"/>
      <c r="Q7" s="38">
        <v>358674721</v>
      </c>
      <c r="R7" s="12"/>
      <c r="S7" s="38">
        <f>K7-Q7</f>
        <v>222834036.03999996</v>
      </c>
      <c r="T7" s="39">
        <f>S7/Q7</f>
        <v>0.6212705356506013</v>
      </c>
      <c r="V7" s="28" t="s">
        <v>92</v>
      </c>
      <c r="W7" s="36">
        <v>43235894.67</v>
      </c>
      <c r="X7" s="37">
        <v>41749389</v>
      </c>
      <c r="Y7" s="37">
        <f>2070000*3.8</f>
        <v>7866000</v>
      </c>
      <c r="Z7" s="37">
        <v>460650027</v>
      </c>
      <c r="AA7" s="37">
        <v>3780645.98</v>
      </c>
      <c r="AB7" s="37">
        <v>0</v>
      </c>
      <c r="AC7" s="37">
        <v>0</v>
      </c>
      <c r="AD7" s="37">
        <v>0</v>
      </c>
      <c r="AE7" s="37">
        <v>56480</v>
      </c>
      <c r="AF7" s="37">
        <v>187429</v>
      </c>
      <c r="AG7" s="10"/>
      <c r="AH7" s="38">
        <f>SUM(W7:AF7)</f>
        <v>557525865.65</v>
      </c>
      <c r="AJ7" s="38">
        <v>346259892</v>
      </c>
      <c r="AK7" s="12"/>
      <c r="AL7" s="38">
        <f>AH7-AJ7</f>
        <v>211265973.64999998</v>
      </c>
      <c r="AM7" s="39">
        <f>AL7/AJ7</f>
        <v>0.6101370055588188</v>
      </c>
    </row>
    <row r="8" spans="1:39" ht="21" customHeight="1" thickTop="1">
      <c r="A8" s="117" t="s">
        <v>97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/>
      <c r="H8" s="41"/>
      <c r="I8" s="125"/>
      <c r="J8" s="10"/>
      <c r="K8" s="42"/>
      <c r="L8" s="12"/>
      <c r="M8" s="12"/>
      <c r="N8" s="42"/>
      <c r="O8" s="12"/>
      <c r="P8" s="12"/>
      <c r="Q8" s="42"/>
      <c r="R8" s="12"/>
      <c r="S8" s="42"/>
      <c r="T8" s="39"/>
      <c r="V8" s="28" t="s">
        <v>97</v>
      </c>
      <c r="W8" s="40">
        <v>-4171.18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10"/>
      <c r="AH8" s="42">
        <f>SUM(W8:AG8)</f>
        <v>-4171.18</v>
      </c>
      <c r="AJ8" s="42"/>
      <c r="AK8" s="12"/>
      <c r="AL8" s="42"/>
      <c r="AM8" s="39"/>
    </row>
    <row r="9" spans="1:39" ht="34.5" customHeight="1">
      <c r="A9" s="117" t="s">
        <v>169</v>
      </c>
      <c r="B9" s="40">
        <f>107286+69.32+9.73</f>
        <v>107365.05</v>
      </c>
      <c r="C9" s="41">
        <v>137175</v>
      </c>
      <c r="D9" s="41">
        <f>41389+837.96+1470.69</f>
        <v>43697.65</v>
      </c>
      <c r="E9" s="41">
        <f>18568.63+677.12</f>
        <v>19245.75</v>
      </c>
      <c r="F9" s="41">
        <v>318182.29</v>
      </c>
      <c r="G9" s="41">
        <v>0</v>
      </c>
      <c r="H9" s="41">
        <v>63000</v>
      </c>
      <c r="I9" s="125">
        <f>AH9</f>
        <v>35317885.6</v>
      </c>
      <c r="J9" s="10"/>
      <c r="K9" s="42">
        <f>SUM(B9:I9)</f>
        <v>36006551.34</v>
      </c>
      <c r="L9" s="12"/>
      <c r="M9" s="12"/>
      <c r="N9" s="42">
        <f>K9</f>
        <v>36006551.34</v>
      </c>
      <c r="O9" s="12"/>
      <c r="P9" s="12"/>
      <c r="Q9" s="42">
        <v>17007728</v>
      </c>
      <c r="R9" s="12"/>
      <c r="S9" s="42">
        <f>K9-Q9</f>
        <v>18998823.340000004</v>
      </c>
      <c r="T9" s="39">
        <f>S9/Q9</f>
        <v>1.117070036632759</v>
      </c>
      <c r="V9" s="28" t="s">
        <v>169</v>
      </c>
      <c r="W9" s="40">
        <v>14351063.11</v>
      </c>
      <c r="X9" s="41">
        <v>143805</v>
      </c>
      <c r="Y9" s="41">
        <f>8000*3.8</f>
        <v>30400</v>
      </c>
      <c r="Z9" s="41">
        <v>20390000</v>
      </c>
      <c r="AA9" s="41">
        <v>210211.49</v>
      </c>
      <c r="AB9" s="41">
        <v>9302</v>
      </c>
      <c r="AC9" s="41"/>
      <c r="AD9" s="41"/>
      <c r="AE9" s="41">
        <v>0</v>
      </c>
      <c r="AF9" s="41">
        <v>183104</v>
      </c>
      <c r="AG9" s="10"/>
      <c r="AH9" s="42">
        <f>SUM(W9:AF9)</f>
        <v>35317885.6</v>
      </c>
      <c r="AJ9" s="42">
        <v>11263550</v>
      </c>
      <c r="AK9" s="12"/>
      <c r="AL9" s="42">
        <f>AH9-AJ9</f>
        <v>24054335.6</v>
      </c>
      <c r="AM9" s="39">
        <f>AL9/AJ9</f>
        <v>2.135590963772523</v>
      </c>
    </row>
    <row r="10" spans="1:39" ht="33" customHeight="1">
      <c r="A10" s="117" t="s">
        <v>170</v>
      </c>
      <c r="B10" s="40"/>
      <c r="C10" s="41"/>
      <c r="D10" s="41"/>
      <c r="E10" s="41"/>
      <c r="F10" s="41"/>
      <c r="G10" s="41"/>
      <c r="H10" s="41"/>
      <c r="I10" s="125"/>
      <c r="J10" s="10"/>
      <c r="K10" s="42"/>
      <c r="L10" s="12"/>
      <c r="M10" s="12"/>
      <c r="N10" s="42"/>
      <c r="O10" s="12"/>
      <c r="P10" s="12"/>
      <c r="Q10" s="42"/>
      <c r="R10" s="12"/>
      <c r="S10" s="42"/>
      <c r="T10" s="31"/>
      <c r="V10" s="28" t="s">
        <v>170</v>
      </c>
      <c r="W10" s="40"/>
      <c r="X10" s="41"/>
      <c r="Y10" s="41"/>
      <c r="Z10" s="41"/>
      <c r="AA10" s="41"/>
      <c r="AB10" s="41"/>
      <c r="AC10" s="41"/>
      <c r="AD10" s="41"/>
      <c r="AE10" s="41"/>
      <c r="AF10" s="41"/>
      <c r="AG10" s="10"/>
      <c r="AH10" s="42"/>
      <c r="AJ10" s="42"/>
      <c r="AK10" s="12"/>
      <c r="AL10" s="42"/>
      <c r="AM10" s="31"/>
    </row>
    <row r="11" spans="1:39" ht="12.75" customHeight="1">
      <c r="A11" s="117" t="s">
        <v>171</v>
      </c>
      <c r="B11" s="40"/>
      <c r="C11" s="41"/>
      <c r="D11" s="41"/>
      <c r="E11" s="41"/>
      <c r="F11" s="41"/>
      <c r="G11" s="41"/>
      <c r="H11" s="41"/>
      <c r="I11" s="125"/>
      <c r="J11" s="10"/>
      <c r="K11" s="42"/>
      <c r="L11" s="12"/>
      <c r="M11" s="12"/>
      <c r="N11" s="42"/>
      <c r="O11" s="12"/>
      <c r="P11" s="12"/>
      <c r="Q11" s="42"/>
      <c r="R11" s="12"/>
      <c r="S11" s="42"/>
      <c r="T11" s="31"/>
      <c r="V11" s="28" t="s">
        <v>171</v>
      </c>
      <c r="W11" s="40"/>
      <c r="X11" s="41"/>
      <c r="Y11" s="41"/>
      <c r="Z11" s="41"/>
      <c r="AA11" s="41"/>
      <c r="AB11" s="41"/>
      <c r="AC11" s="41"/>
      <c r="AD11" s="41"/>
      <c r="AE11" s="41"/>
      <c r="AF11" s="41"/>
      <c r="AG11" s="10"/>
      <c r="AH11" s="42"/>
      <c r="AJ11" s="42"/>
      <c r="AK11" s="12"/>
      <c r="AL11" s="42"/>
      <c r="AM11" s="31"/>
    </row>
    <row r="12" spans="1:39" ht="13.5" customHeight="1">
      <c r="A12" s="117" t="s">
        <v>172</v>
      </c>
      <c r="B12" s="40">
        <f aca="true" t="shared" si="0" ref="B12:I12">B15+B13+B14</f>
        <v>15485854.44</v>
      </c>
      <c r="C12" s="41">
        <f t="shared" si="0"/>
        <v>-310053.85999999987</v>
      </c>
      <c r="D12" s="41">
        <f t="shared" si="0"/>
        <v>106238.92</v>
      </c>
      <c r="E12" s="41">
        <f t="shared" si="0"/>
        <v>25638.399999999998</v>
      </c>
      <c r="F12" s="41">
        <f t="shared" si="0"/>
        <v>3047939.4099999997</v>
      </c>
      <c r="G12" s="41">
        <f t="shared" si="0"/>
        <v>-78682</v>
      </c>
      <c r="H12" s="41">
        <f t="shared" si="0"/>
        <v>-1582466.69</v>
      </c>
      <c r="I12" s="125">
        <f t="shared" si="0"/>
        <v>47200822.41</v>
      </c>
      <c r="J12" s="10"/>
      <c r="K12" s="42">
        <f aca="true" t="shared" si="1" ref="K12:K19">SUM(B12:I12)</f>
        <v>63895291.029999994</v>
      </c>
      <c r="L12" s="12"/>
      <c r="M12" s="12"/>
      <c r="N12" s="42">
        <f>K12-L12</f>
        <v>63895291.029999994</v>
      </c>
      <c r="O12" s="12"/>
      <c r="P12" s="12"/>
      <c r="Q12" s="42">
        <f>Q15+Q13</f>
        <v>64240257</v>
      </c>
      <c r="R12" s="12"/>
      <c r="S12" s="42">
        <f>K12-Q12</f>
        <v>-344965.97000000626</v>
      </c>
      <c r="T12" s="39">
        <f>S12/Q12</f>
        <v>-0.0053699344633693835</v>
      </c>
      <c r="V12" s="28" t="s">
        <v>172</v>
      </c>
      <c r="W12" s="41">
        <f aca="true" t="shared" si="2" ref="W12:AF12">W15+W13+W14</f>
        <v>-28751025.660000004</v>
      </c>
      <c r="X12" s="41">
        <f t="shared" si="2"/>
        <v>-3408807.5</v>
      </c>
      <c r="Y12" s="41">
        <f t="shared" si="2"/>
        <v>729560</v>
      </c>
      <c r="Z12" s="41">
        <f t="shared" si="2"/>
        <v>78247983</v>
      </c>
      <c r="AA12" s="41">
        <f t="shared" si="2"/>
        <v>428212.75</v>
      </c>
      <c r="AB12" s="41">
        <f t="shared" si="2"/>
        <v>390590</v>
      </c>
      <c r="AC12" s="41">
        <f t="shared" si="2"/>
        <v>-1333</v>
      </c>
      <c r="AD12" s="41">
        <f t="shared" si="2"/>
        <v>-24261</v>
      </c>
      <c r="AE12" s="41">
        <f t="shared" si="2"/>
        <v>-126518.18</v>
      </c>
      <c r="AF12" s="41">
        <f t="shared" si="2"/>
        <v>-283578</v>
      </c>
      <c r="AG12" s="10"/>
      <c r="AH12" s="42">
        <f aca="true" t="shared" si="3" ref="AH12:AH19">SUM(W12:AF12)</f>
        <v>47200822.41</v>
      </c>
      <c r="AJ12" s="42">
        <f>AJ15+AJ13</f>
        <v>58840816</v>
      </c>
      <c r="AK12" s="12"/>
      <c r="AL12" s="42">
        <f>AH12-AJ12</f>
        <v>-11639993.590000004</v>
      </c>
      <c r="AM12" s="39">
        <f>AL12/AJ12</f>
        <v>-0.19782175675469904</v>
      </c>
    </row>
    <row r="13" spans="1:39" ht="36" customHeight="1">
      <c r="A13" s="117" t="s">
        <v>99</v>
      </c>
      <c r="B13" s="6">
        <f>19423154.56+70213.7</f>
        <v>19493368.259999998</v>
      </c>
      <c r="C13" s="7">
        <f>109180+504889</f>
        <v>614069</v>
      </c>
      <c r="D13" s="10">
        <v>15632.83</v>
      </c>
      <c r="E13" s="7">
        <v>19453.1</v>
      </c>
      <c r="F13" s="10">
        <v>3321512.04</v>
      </c>
      <c r="G13" s="7">
        <v>0</v>
      </c>
      <c r="H13" s="10">
        <v>0</v>
      </c>
      <c r="I13" s="126">
        <f aca="true" t="shared" si="4" ref="I13:I19">AH13</f>
        <v>27108834.56</v>
      </c>
      <c r="J13" s="10"/>
      <c r="K13" s="45">
        <f t="shared" si="1"/>
        <v>50572869.78999999</v>
      </c>
      <c r="L13" s="12"/>
      <c r="M13" s="12"/>
      <c r="N13" s="45">
        <f>K13</f>
        <v>50572869.78999999</v>
      </c>
      <c r="O13" s="12"/>
      <c r="P13" s="12"/>
      <c r="Q13" s="45">
        <v>29135318</v>
      </c>
      <c r="R13" s="12"/>
      <c r="S13" s="45">
        <f>K13-Q13</f>
        <v>21437551.78999999</v>
      </c>
      <c r="T13" s="39">
        <f>S13/Q13</f>
        <v>0.7357926139676935</v>
      </c>
      <c r="V13" s="28" t="s">
        <v>99</v>
      </c>
      <c r="W13" s="43">
        <v>25304583.4</v>
      </c>
      <c r="X13" s="44">
        <v>85037.5</v>
      </c>
      <c r="Y13" s="44">
        <v>0</v>
      </c>
      <c r="Z13" s="44">
        <v>1133000</v>
      </c>
      <c r="AA13" s="44">
        <v>72633.66</v>
      </c>
      <c r="AB13" s="44">
        <v>513580</v>
      </c>
      <c r="AC13" s="44">
        <v>0</v>
      </c>
      <c r="AD13" s="44"/>
      <c r="AE13" s="44">
        <v>0</v>
      </c>
      <c r="AF13" s="44">
        <v>0</v>
      </c>
      <c r="AG13" s="10"/>
      <c r="AH13" s="45">
        <f t="shared" si="3"/>
        <v>27108834.56</v>
      </c>
      <c r="AJ13" s="45">
        <v>16915356</v>
      </c>
      <c r="AK13" s="12"/>
      <c r="AL13" s="45">
        <f>AH13-AJ13</f>
        <v>10193478.559999999</v>
      </c>
      <c r="AM13" s="39">
        <f>AL13/AJ13</f>
        <v>0.6026168506296881</v>
      </c>
    </row>
    <row r="14" spans="1:39" ht="36" customHeight="1">
      <c r="A14" s="117" t="s">
        <v>173</v>
      </c>
      <c r="B14" s="43">
        <v>96365.72</v>
      </c>
      <c r="C14" s="44">
        <v>923227</v>
      </c>
      <c r="D14" s="44">
        <v>53143.34</v>
      </c>
      <c r="E14" s="44">
        <v>9194.16</v>
      </c>
      <c r="F14" s="44">
        <v>62389.51</v>
      </c>
      <c r="G14" s="44">
        <v>0</v>
      </c>
      <c r="H14" s="44">
        <v>0</v>
      </c>
      <c r="I14" s="127">
        <f t="shared" si="4"/>
        <v>14336895.65</v>
      </c>
      <c r="J14" s="10"/>
      <c r="K14" s="45">
        <f t="shared" si="1"/>
        <v>15481215.38</v>
      </c>
      <c r="L14" s="12"/>
      <c r="M14" s="12"/>
      <c r="N14" s="42"/>
      <c r="O14" s="12"/>
      <c r="P14" s="12"/>
      <c r="Q14" s="42"/>
      <c r="R14" s="12"/>
      <c r="S14" s="42"/>
      <c r="T14" s="39"/>
      <c r="V14" s="28" t="s">
        <v>173</v>
      </c>
      <c r="W14" s="40">
        <v>4780909</v>
      </c>
      <c r="X14" s="41">
        <v>1547030</v>
      </c>
      <c r="Y14" s="41">
        <v>1033560</v>
      </c>
      <c r="Z14" s="41">
        <v>6500000</v>
      </c>
      <c r="AA14" s="41">
        <v>20683.65</v>
      </c>
      <c r="AB14" s="41">
        <v>411206</v>
      </c>
      <c r="AC14" s="41">
        <v>4665</v>
      </c>
      <c r="AD14" s="41"/>
      <c r="AE14" s="41">
        <v>0</v>
      </c>
      <c r="AF14" s="41">
        <v>38842</v>
      </c>
      <c r="AG14" s="10"/>
      <c r="AH14" s="45">
        <f t="shared" si="3"/>
        <v>14336895.65</v>
      </c>
      <c r="AJ14" s="42"/>
      <c r="AK14" s="12"/>
      <c r="AL14" s="42"/>
      <c r="AM14" s="39"/>
    </row>
    <row r="15" spans="1:39" ht="41.25" customHeight="1">
      <c r="A15" s="117" t="s">
        <v>174</v>
      </c>
      <c r="B15" s="40">
        <f>-3736200.1-367679.44</f>
        <v>-4103879.54</v>
      </c>
      <c r="C15" s="41">
        <f>-388743-504889-953717.86</f>
        <v>-1847349.8599999999</v>
      </c>
      <c r="D15" s="41">
        <v>37462.75</v>
      </c>
      <c r="E15" s="41">
        <v>-3008.86</v>
      </c>
      <c r="F15" s="41">
        <f>479118.93-815081.07</f>
        <v>-335962.13999999996</v>
      </c>
      <c r="G15" s="41">
        <v>-78682</v>
      </c>
      <c r="H15" s="41">
        <f>-59225-1523241.69</f>
        <v>-1582466.69</v>
      </c>
      <c r="I15" s="125">
        <f t="shared" si="4"/>
        <v>5755092.199999998</v>
      </c>
      <c r="J15" s="10"/>
      <c r="K15" s="42">
        <f t="shared" si="1"/>
        <v>-2158794.1400000015</v>
      </c>
      <c r="L15" s="12"/>
      <c r="M15" s="12"/>
      <c r="N15" s="42">
        <f>K15-L15</f>
        <v>-2158794.1400000015</v>
      </c>
      <c r="O15" s="12"/>
      <c r="P15" s="12"/>
      <c r="Q15" s="42">
        <v>35104939</v>
      </c>
      <c r="R15" s="12"/>
      <c r="S15" s="42">
        <f>K15-Q15</f>
        <v>-37263733.14</v>
      </c>
      <c r="T15" s="39">
        <f>S15/Q15</f>
        <v>-1.0614954533890517</v>
      </c>
      <c r="V15" s="28" t="s">
        <v>174</v>
      </c>
      <c r="W15" s="46">
        <f>-57411387.68-8425130.38+7000000</f>
        <v>-58836518.06</v>
      </c>
      <c r="X15" s="41">
        <v>-5040875</v>
      </c>
      <c r="Y15" s="41">
        <f>-80000*3.8</f>
        <v>-304000</v>
      </c>
      <c r="Z15" s="41">
        <v>70614983</v>
      </c>
      <c r="AA15" s="41">
        <v>334895.44</v>
      </c>
      <c r="AB15" s="41">
        <v>-534196</v>
      </c>
      <c r="AC15" s="41">
        <v>-5998</v>
      </c>
      <c r="AD15" s="41">
        <v>-24261</v>
      </c>
      <c r="AE15" s="41">
        <v>-126518.18</v>
      </c>
      <c r="AF15" s="41">
        <v>-322420</v>
      </c>
      <c r="AG15" s="10"/>
      <c r="AH15" s="42">
        <f t="shared" si="3"/>
        <v>5755092.199999998</v>
      </c>
      <c r="AJ15" s="42">
        <v>41925460</v>
      </c>
      <c r="AK15" s="12"/>
      <c r="AL15" s="42">
        <f>AH15-AJ15</f>
        <v>-36170367.800000004</v>
      </c>
      <c r="AM15" s="39">
        <f>AL15/AJ15</f>
        <v>-0.8627303743357856</v>
      </c>
    </row>
    <row r="16" spans="1:39" ht="34.5" customHeight="1">
      <c r="A16" s="117" t="s">
        <v>90</v>
      </c>
      <c r="B16" s="43">
        <v>367679.44</v>
      </c>
      <c r="C16" s="47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27">
        <f t="shared" si="4"/>
        <v>0</v>
      </c>
      <c r="J16" s="10"/>
      <c r="K16" s="45">
        <f t="shared" si="1"/>
        <v>367679.44</v>
      </c>
      <c r="L16" s="12"/>
      <c r="M16" s="12"/>
      <c r="N16" s="45">
        <v>0</v>
      </c>
      <c r="O16" s="12"/>
      <c r="P16" s="12"/>
      <c r="Q16" s="45">
        <v>0</v>
      </c>
      <c r="R16" s="12"/>
      <c r="S16" s="45"/>
      <c r="T16" s="31"/>
      <c r="V16" s="28" t="s">
        <v>90</v>
      </c>
      <c r="W16" s="43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10"/>
      <c r="AH16" s="45">
        <f t="shared" si="3"/>
        <v>0</v>
      </c>
      <c r="AJ16" s="45">
        <v>0</v>
      </c>
      <c r="AK16" s="12"/>
      <c r="AL16" s="45">
        <v>0</v>
      </c>
      <c r="AM16" s="31"/>
    </row>
    <row r="17" spans="1:39" ht="37.5" customHeight="1">
      <c r="A17" s="117" t="s">
        <v>94</v>
      </c>
      <c r="B17" s="40">
        <f>B15+B16</f>
        <v>-3736200.1</v>
      </c>
      <c r="C17" s="41">
        <f aca="true" t="shared" si="5" ref="C17:H17">C15</f>
        <v>-1847349.8599999999</v>
      </c>
      <c r="D17" s="41">
        <f t="shared" si="5"/>
        <v>37462.75</v>
      </c>
      <c r="E17" s="41">
        <f t="shared" si="5"/>
        <v>-3008.86</v>
      </c>
      <c r="F17" s="41">
        <f t="shared" si="5"/>
        <v>-335962.13999999996</v>
      </c>
      <c r="G17" s="41">
        <f t="shared" si="5"/>
        <v>-78682</v>
      </c>
      <c r="H17" s="41">
        <f t="shared" si="5"/>
        <v>-1582466.69</v>
      </c>
      <c r="I17" s="125">
        <f t="shared" si="4"/>
        <v>5755092.199999998</v>
      </c>
      <c r="J17" s="10"/>
      <c r="K17" s="42">
        <f t="shared" si="1"/>
        <v>-1791114.700000002</v>
      </c>
      <c r="L17" s="12"/>
      <c r="M17" s="12"/>
      <c r="N17" s="42">
        <f>N15-N16</f>
        <v>-2158794.1400000015</v>
      </c>
      <c r="O17" s="12"/>
      <c r="P17" s="12"/>
      <c r="Q17" s="42">
        <f>Q15-Q16</f>
        <v>35104939</v>
      </c>
      <c r="R17" s="12"/>
      <c r="S17" s="42">
        <f>K17-Q17</f>
        <v>-36896053.7</v>
      </c>
      <c r="T17" s="39">
        <f>S17/Q17</f>
        <v>-1.0510217294495228</v>
      </c>
      <c r="V17" s="28" t="s">
        <v>94</v>
      </c>
      <c r="W17" s="40">
        <f aca="true" t="shared" si="6" ref="W17:AF17">W15-W16</f>
        <v>-58836518.06</v>
      </c>
      <c r="X17" s="41">
        <f t="shared" si="6"/>
        <v>-5040875</v>
      </c>
      <c r="Y17" s="41">
        <f t="shared" si="6"/>
        <v>-304000</v>
      </c>
      <c r="Z17" s="41">
        <f t="shared" si="6"/>
        <v>70614983</v>
      </c>
      <c r="AA17" s="41">
        <f t="shared" si="6"/>
        <v>334895.44</v>
      </c>
      <c r="AB17" s="41">
        <f t="shared" si="6"/>
        <v>-534196</v>
      </c>
      <c r="AC17" s="41">
        <f t="shared" si="6"/>
        <v>-5998</v>
      </c>
      <c r="AD17" s="41">
        <f t="shared" si="6"/>
        <v>-24261</v>
      </c>
      <c r="AE17" s="41">
        <f t="shared" si="6"/>
        <v>-126518.18</v>
      </c>
      <c r="AF17" s="41">
        <f t="shared" si="6"/>
        <v>-322420</v>
      </c>
      <c r="AG17" s="10"/>
      <c r="AH17" s="42">
        <f t="shared" si="3"/>
        <v>5755092.199999998</v>
      </c>
      <c r="AJ17" s="42">
        <f>AJ15-AJ16</f>
        <v>41925460</v>
      </c>
      <c r="AK17" s="12"/>
      <c r="AL17" s="42">
        <f>AH17-AJ17</f>
        <v>-36170367.800000004</v>
      </c>
      <c r="AM17" s="39">
        <f>AL17/AJ17</f>
        <v>-0.8627303743357856</v>
      </c>
    </row>
    <row r="18" spans="1:39" ht="35.25" customHeight="1">
      <c r="A18" s="117" t="s">
        <v>175</v>
      </c>
      <c r="B18" s="43">
        <v>0</v>
      </c>
      <c r="C18" s="44">
        <v>0</v>
      </c>
      <c r="D18" s="44">
        <f>D17*0.4</f>
        <v>14985.1</v>
      </c>
      <c r="E18" s="44">
        <f>E17*0.4</f>
        <v>-1203.544</v>
      </c>
      <c r="F18" s="44">
        <v>0</v>
      </c>
      <c r="G18" s="44">
        <v>0</v>
      </c>
      <c r="H18" s="44">
        <v>0</v>
      </c>
      <c r="I18" s="127">
        <f t="shared" si="4"/>
        <v>41514882.396753415</v>
      </c>
      <c r="J18" s="10"/>
      <c r="K18" s="45">
        <f t="shared" si="1"/>
        <v>41528663.95275342</v>
      </c>
      <c r="L18" s="12"/>
      <c r="M18" s="12"/>
      <c r="N18" s="45">
        <f>K18</f>
        <v>41528663.95275342</v>
      </c>
      <c r="O18" s="12"/>
      <c r="P18" s="12"/>
      <c r="Q18" s="45">
        <v>28609038</v>
      </c>
      <c r="R18" s="12"/>
      <c r="S18" s="45">
        <f>K18-Q18</f>
        <v>12919625.952753417</v>
      </c>
      <c r="T18" s="39">
        <f>S18/Q18</f>
        <v>0.4515924636387081</v>
      </c>
      <c r="V18" s="28" t="s">
        <v>175</v>
      </c>
      <c r="W18" s="43">
        <v>0</v>
      </c>
      <c r="X18" s="129">
        <f>X17*0.1193*298/365</f>
        <v>-490986.7492465754</v>
      </c>
      <c r="Y18" s="44">
        <f>Y17*0.4</f>
        <v>-121600</v>
      </c>
      <c r="Z18" s="44">
        <f>Z17*0.6</f>
        <v>42368989.8</v>
      </c>
      <c r="AA18" s="44">
        <v>0</v>
      </c>
      <c r="AB18" s="44">
        <f>AB17*0.2</f>
        <v>-106839.20000000001</v>
      </c>
      <c r="AC18" s="44">
        <v>0</v>
      </c>
      <c r="AD18" s="44">
        <v>0</v>
      </c>
      <c r="AE18" s="44">
        <f>AE17*0.3</f>
        <v>-37955.454</v>
      </c>
      <c r="AF18" s="44">
        <f>AF17*0.3</f>
        <v>-96726</v>
      </c>
      <c r="AG18" s="10"/>
      <c r="AH18" s="45">
        <f t="shared" si="3"/>
        <v>41514882.396753415</v>
      </c>
      <c r="AJ18" s="45">
        <v>28592382</v>
      </c>
      <c r="AK18" s="12"/>
      <c r="AL18" s="45">
        <f>AH18-AJ18</f>
        <v>12922500.396753415</v>
      </c>
      <c r="AM18" s="39">
        <f>AL18/AJ18</f>
        <v>0.4519560628685436</v>
      </c>
    </row>
    <row r="19" spans="1:39" ht="42" customHeight="1" thickBot="1">
      <c r="A19" s="121" t="s">
        <v>176</v>
      </c>
      <c r="B19" s="49">
        <f>B17</f>
        <v>-3736200.1</v>
      </c>
      <c r="C19" s="50">
        <f>C17</f>
        <v>-1847349.8599999999</v>
      </c>
      <c r="D19" s="50">
        <f>D17-D18</f>
        <v>22477.65</v>
      </c>
      <c r="E19" s="50">
        <f>E17-E18</f>
        <v>-1805.316</v>
      </c>
      <c r="F19" s="50">
        <f>F17</f>
        <v>-335962.13999999996</v>
      </c>
      <c r="G19" s="50">
        <f>G17</f>
        <v>-78682</v>
      </c>
      <c r="H19" s="50">
        <f>H17</f>
        <v>-1582466.69</v>
      </c>
      <c r="I19" s="128">
        <f t="shared" si="4"/>
        <v>-35759790.19675343</v>
      </c>
      <c r="J19" s="10"/>
      <c r="K19" s="51">
        <f t="shared" si="1"/>
        <v>-43319778.65275343</v>
      </c>
      <c r="L19" s="12"/>
      <c r="M19" s="12"/>
      <c r="N19" s="51">
        <f>N17-N18</f>
        <v>-43687458.09275342</v>
      </c>
      <c r="O19" s="12"/>
      <c r="P19" s="12"/>
      <c r="Q19" s="51">
        <f>Q17-Q18</f>
        <v>6495901</v>
      </c>
      <c r="R19" s="12"/>
      <c r="S19" s="51">
        <f>K19-Q19</f>
        <v>-49815679.65275343</v>
      </c>
      <c r="T19" s="52">
        <f>S19/Q19</f>
        <v>-7.668786770727175</v>
      </c>
      <c r="V19" s="48" t="s">
        <v>176</v>
      </c>
      <c r="W19" s="49">
        <f aca="true" t="shared" si="7" ref="W19:AF19">W17-W18</f>
        <v>-58836518.06</v>
      </c>
      <c r="X19" s="50">
        <f t="shared" si="7"/>
        <v>-4549888.250753425</v>
      </c>
      <c r="Y19" s="50">
        <f t="shared" si="7"/>
        <v>-182400</v>
      </c>
      <c r="Z19" s="50">
        <f t="shared" si="7"/>
        <v>28245993.200000003</v>
      </c>
      <c r="AA19" s="50">
        <f t="shared" si="7"/>
        <v>334895.44</v>
      </c>
      <c r="AB19" s="50">
        <f t="shared" si="7"/>
        <v>-427356.8</v>
      </c>
      <c r="AC19" s="50">
        <f t="shared" si="7"/>
        <v>-5998</v>
      </c>
      <c r="AD19" s="50">
        <f t="shared" si="7"/>
        <v>-24261</v>
      </c>
      <c r="AE19" s="50">
        <f t="shared" si="7"/>
        <v>-88562.726</v>
      </c>
      <c r="AF19" s="50">
        <f t="shared" si="7"/>
        <v>-225694</v>
      </c>
      <c r="AG19" s="10"/>
      <c r="AH19" s="51">
        <f t="shared" si="3"/>
        <v>-35759790.19675343</v>
      </c>
      <c r="AJ19" s="51">
        <f>AJ17-AJ18</f>
        <v>13333078</v>
      </c>
      <c r="AK19" s="12"/>
      <c r="AL19" s="51">
        <f>AH19-AJ19</f>
        <v>-49092868.19675343</v>
      </c>
      <c r="AM19" s="52">
        <f>AL19/AJ19</f>
        <v>-3.68203562573874</v>
      </c>
    </row>
    <row r="20" spans="1:33" ht="26.25" customHeight="1">
      <c r="A20" s="53"/>
      <c r="V20" t="s">
        <v>254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7"/>
      <c r="K25"/>
      <c r="L25"/>
      <c r="M25"/>
      <c r="N25"/>
      <c r="O25" s="17"/>
      <c r="P25"/>
      <c r="Q25"/>
      <c r="R25"/>
      <c r="S25"/>
      <c r="T25" s="3"/>
      <c r="U25"/>
      <c r="AG25" s="29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7"/>
      <c r="B54" s="54"/>
    </row>
    <row r="55" spans="1:2" ht="12.75">
      <c r="A55" s="17"/>
      <c r="B55" s="54"/>
    </row>
    <row r="56" spans="1:2" ht="12.75">
      <c r="A56" s="17"/>
      <c r="B56" s="54"/>
    </row>
    <row r="57" spans="1:2" ht="12.75">
      <c r="A57" s="17"/>
      <c r="B57" s="54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2002-02-28T10:16:28Z</cp:lastPrinted>
  <dcterms:created xsi:type="dcterms:W3CDTF">1999-11-26T07:09:59Z</dcterms:created>
  <dcterms:modified xsi:type="dcterms:W3CDTF">2002-02-28T10:08:13Z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