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3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<sst xmlns="http://schemas.openxmlformats.org/spreadsheetml/2006/main" count="207" uniqueCount="166">
  <si>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</si>
  <si>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</si>
  <si>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</si>
  <si>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</si>
  <si>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</si>
  <si>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</si>
  <si>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Taxation</t>
  </si>
  <si>
    <t>Minority interest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</si>
  <si>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</si>
  <si>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</si>
  <si>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</si>
  <si>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</si>
  <si>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</si>
  <si>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</si>
  <si>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</si>
  <si>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</si>
  <si>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</si>
  <si>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</si>
  <si>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</si>
  <si>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</si>
  <si>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</si>
  <si>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</si>
  <si>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Share capital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</si>
  <si>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</si>
  <si>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</si>
  <si>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</si>
  <si>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</si>
  <si>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</si>
  <si>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</si>
  <si>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</si>
  <si>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</si>
  <si>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</si>
  <si>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</si>
  <si>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Interest expense</t>
  </si>
  <si>
    <t xml:space="preserve">  Interest income</t>
  </si>
  <si>
    <t>Changes in working capital</t>
  </si>
  <si>
    <t xml:space="preserve">  Inventories</t>
  </si>
  <si>
    <t xml:space="preserve">  Receivables</t>
  </si>
  <si>
    <t xml:space="preserve">  Payables</t>
  </si>
  <si>
    <t>Interest paid</t>
  </si>
  <si>
    <t>Tax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</si>
  <si>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</si>
  <si>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</si>
  <si>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</si>
  <si>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</si>
  <si>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</si>
  <si>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</si>
  <si>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</si>
  <si>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</si>
  <si>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</si>
  <si>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</si>
  <si>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>Proceeds from disposal of property, plant &amp; equipment</t>
  </si>
  <si>
    <t xml:space="preserve">  3 Months Ended</t>
  </si>
  <si>
    <t>QUARTERLY REPORT ON UNAUDITED CONSOLIDATED RESULTS</t>
  </si>
  <si>
    <t>Proceeds from term loan drawdown</t>
  </si>
  <si>
    <t>Other investments</t>
  </si>
  <si>
    <t>Exchange</t>
  </si>
  <si>
    <t>Fluctuation</t>
  </si>
  <si>
    <t>Reserve</t>
  </si>
  <si>
    <t>Minority Interests</t>
  </si>
  <si>
    <t>Dividends</t>
  </si>
  <si>
    <t>Repayment of term loan</t>
  </si>
  <si>
    <t>Effect Of Foreign Exchange Rate Change On</t>
  </si>
  <si>
    <t>Consolidation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</si>
  <si>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</si>
  <si>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</si>
  <si>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</si>
  <si>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</si>
  <si>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</si>
  <si>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</si>
  <si>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</si>
  <si>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</si>
  <si>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</si>
  <si>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</si>
  <si>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</si>
  <si>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>Development expenditure</t>
  </si>
  <si>
    <t>Investment in an associated company</t>
  </si>
  <si>
    <t>Tax recoverable</t>
  </si>
  <si>
    <t>ASSETS</t>
  </si>
  <si>
    <t>TOTAL ASSETS</t>
  </si>
  <si>
    <t>EQUITY AND LIABILITIES</t>
  </si>
  <si>
    <t>Equity Attributable To Equity Holders Of The Company</t>
  </si>
  <si>
    <t>Reserves</t>
  </si>
  <si>
    <t>Total Equity</t>
  </si>
  <si>
    <t>Non Current Liabilities</t>
  </si>
  <si>
    <t>Term loans</t>
  </si>
  <si>
    <t>Hire purchase liabilities</t>
  </si>
  <si>
    <t>Deferred tax liabilities</t>
  </si>
  <si>
    <t>Tax payable</t>
  </si>
  <si>
    <t>Total Liabilities</t>
  </si>
  <si>
    <t>TOTAL EQUITY AND LIABILITIES</t>
  </si>
  <si>
    <t>------------</t>
  </si>
  <si>
    <t>--------------</t>
  </si>
  <si>
    <t>As at 1 January 2007</t>
  </si>
  <si>
    <t>Tax refund</t>
  </si>
  <si>
    <t>31.12.2007</t>
  </si>
  <si>
    <t>Audited Financial Statements of the Group for the year ended 31 December 2007.</t>
  </si>
  <si>
    <t>Prepaid lease payment</t>
  </si>
  <si>
    <t>Intangible assets</t>
  </si>
  <si>
    <t>with the Annual Audited Financial Statements of the Group for the year ended 31 December 2007.</t>
  </si>
  <si>
    <t>As at 1 January 2008</t>
  </si>
  <si>
    <t xml:space="preserve">  Year To Date Ended</t>
  </si>
  <si>
    <t>(Loss)/Profit before taxation</t>
  </si>
  <si>
    <t>Operating (loss)/profit before working capital changes</t>
  </si>
  <si>
    <t>Net Increase/(Decrease) In Cash And Cash Equivalents</t>
  </si>
  <si>
    <t>Deferred income</t>
  </si>
  <si>
    <t xml:space="preserve">  Amortisation of intangible assets</t>
  </si>
  <si>
    <t xml:space="preserve">  Depreciation </t>
  </si>
  <si>
    <t>Dividend paid</t>
  </si>
  <si>
    <t>Cash generated from operations</t>
  </si>
  <si>
    <t>Net cash generated from operating activities</t>
  </si>
  <si>
    <t>Net cash (outflow)/inflow from financing activities</t>
  </si>
  <si>
    <t>Gross (loss)/profit</t>
  </si>
  <si>
    <t>(Loss)/Profit attributable to :</t>
  </si>
  <si>
    <t>Net loss for the financial period</t>
  </si>
  <si>
    <t xml:space="preserve">  Inventory written off</t>
  </si>
  <si>
    <t xml:space="preserve">  Gain on disposal of an associate </t>
  </si>
  <si>
    <t xml:space="preserve">Proceeds from disposal of an associate </t>
  </si>
  <si>
    <t xml:space="preserve">   - Sale of goods</t>
  </si>
  <si>
    <t xml:space="preserve">   - Dividend received</t>
  </si>
  <si>
    <t>Other income</t>
  </si>
  <si>
    <t>Administrative expenses</t>
  </si>
  <si>
    <t>Distribution costs</t>
  </si>
  <si>
    <t>Other expenses</t>
  </si>
  <si>
    <t xml:space="preserve">Operating (Loss)/Profit </t>
  </si>
  <si>
    <t>Finance costs</t>
  </si>
  <si>
    <t>Share of results of an associate</t>
  </si>
  <si>
    <t>(Loss)/Profit for the period</t>
  </si>
  <si>
    <t>Equity holders of the Company</t>
  </si>
  <si>
    <t>(Loss)/Earnings per share attributable to equity holders</t>
  </si>
  <si>
    <t>of the Company (sen) :-</t>
  </si>
  <si>
    <t xml:space="preserve">   - Basic </t>
  </si>
  <si>
    <t xml:space="preserve">   - Diluted </t>
  </si>
  <si>
    <t>Provision for warranty costs</t>
  </si>
  <si>
    <t xml:space="preserve">   - overdrafts</t>
  </si>
  <si>
    <t xml:space="preserve">   - other borrowings</t>
  </si>
  <si>
    <t xml:space="preserve">  Allowance for slow moving stock</t>
  </si>
  <si>
    <t xml:space="preserve">  Allowance for doubtful debts</t>
  </si>
  <si>
    <t>FOR THE FINANCIAL QUARTER ENDED 31 DECEMBER 2008</t>
  </si>
  <si>
    <t>31.12.2008</t>
  </si>
  <si>
    <t>12 Months</t>
  </si>
  <si>
    <t>As at 31 December 2008</t>
  </si>
  <si>
    <t>As at 31 December 2007</t>
  </si>
  <si>
    <t xml:space="preserve">  Amortisation of prepaid lease payments</t>
  </si>
  <si>
    <t xml:space="preserve">  Bad debts written off</t>
  </si>
  <si>
    <t xml:space="preserve">  Development expenditure written off</t>
  </si>
  <si>
    <t xml:space="preserve">  Dividend income</t>
  </si>
  <si>
    <t xml:space="preserve">  Loss/(gain) on disposal of property, plant &amp; equipment</t>
  </si>
  <si>
    <t xml:space="preserve">  Inventory written down</t>
  </si>
  <si>
    <t xml:space="preserve">  Provision for employee's benefits</t>
  </si>
  <si>
    <t xml:space="preserve">  Provision for warranty costs</t>
  </si>
  <si>
    <t xml:space="preserve">  Share of results of an associated company</t>
  </si>
  <si>
    <t>Warranty cost paid</t>
  </si>
  <si>
    <t>Purchase of computer software</t>
  </si>
  <si>
    <t>Cash And Cash Equivalents As At 31 December</t>
  </si>
  <si>
    <t>Net profit for the financial year</t>
  </si>
  <si>
    <t xml:space="preserve">  Amortisation of development costs</t>
  </si>
  <si>
    <t xml:space="preserve">  Fixed assets written off</t>
  </si>
  <si>
    <t>Dividend income received</t>
  </si>
  <si>
    <t xml:space="preserve">  Impairment of property, plant &amp; equipment</t>
  </si>
  <si>
    <t xml:space="preserve">  Deposit written off</t>
  </si>
  <si>
    <t xml:space="preserve">  Unrealised (gain)/loss of foreign exchange</t>
  </si>
  <si>
    <t>Grant received</t>
  </si>
  <si>
    <t>Proceeds from disposal of intangible assets</t>
  </si>
  <si>
    <t xml:space="preserve">  Deferred income released</t>
  </si>
  <si>
    <t>Net cash outflow from investing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</si>
</sst>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8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 quotePrefix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0" fontId="0" fillId="0" borderId="0" xfId="0" applyFont="1" applyAlignment="1">
      <alignment/>
    </xf>
    <xf numFmtId="38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1" fontId="0" fillId="0" borderId="0" xfId="0" applyNumberFormat="1" applyFill="1" applyAlignment="1">
      <alignment/>
    </xf>
    <xf numFmtId="41" fontId="0" fillId="0" borderId="8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0" fillId="0" borderId="0" xfId="0" applyFill="1" applyAlignment="1" quotePrefix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38" fontId="8" fillId="2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25">
      <selection activeCell="I55" sqref="I55"/>
    </sheetView>
  </sheetViews>
  <sheetFormatPr defaultColWidth="9.140625" defaultRowHeight="12.75"/>
  <cols>
    <col min="1" max="4" width="9.140625" style="20" customWidth="1"/>
    <col min="5" max="5" width="11.140625" style="20" customWidth="1"/>
    <col min="6" max="6" width="10.140625" style="20" customWidth="1"/>
    <col min="7" max="8" width="6.140625" style="20" customWidth="1"/>
    <col min="9" max="9" width="11.140625" style="20" customWidth="1"/>
    <col min="10" max="10" width="10.140625" style="20" bestFit="1" customWidth="1"/>
    <col min="11" max="16384" width="9.140625" style="20" customWidth="1"/>
  </cols>
  <sheetData>
    <row r="1" ht="18">
      <c r="A1" s="19" t="s">
        <v>0</v>
      </c>
    </row>
    <row r="2" ht="15.75">
      <c r="A2" s="21" t="s">
        <v>53</v>
      </c>
    </row>
    <row r="3" ht="15.75">
      <c r="A3" s="21" t="s">
        <v>138</v>
      </c>
    </row>
    <row r="5" ht="15">
      <c r="A5" s="22" t="s">
        <v>1</v>
      </c>
    </row>
    <row r="7" spans="5:10" ht="12.75">
      <c r="E7" s="23" t="s">
        <v>52</v>
      </c>
      <c r="F7" s="23"/>
      <c r="G7" s="23"/>
      <c r="H7" s="23"/>
      <c r="I7" s="24" t="s">
        <v>101</v>
      </c>
      <c r="J7" s="23"/>
    </row>
    <row r="8" spans="5:10" ht="12.75">
      <c r="E8" s="25" t="s">
        <v>139</v>
      </c>
      <c r="F8" s="25" t="s">
        <v>95</v>
      </c>
      <c r="G8" s="25"/>
      <c r="H8" s="25"/>
      <c r="I8" s="25" t="s">
        <v>139</v>
      </c>
      <c r="J8" s="25" t="s">
        <v>95</v>
      </c>
    </row>
    <row r="9" spans="4:10" ht="12.75">
      <c r="D9" s="25" t="s">
        <v>3</v>
      </c>
      <c r="E9" s="25" t="s">
        <v>2</v>
      </c>
      <c r="F9" s="25" t="s">
        <v>2</v>
      </c>
      <c r="G9" s="23"/>
      <c r="H9" s="23"/>
      <c r="I9" s="25" t="s">
        <v>2</v>
      </c>
      <c r="J9" s="25" t="s">
        <v>2</v>
      </c>
    </row>
    <row r="10" spans="5:11" ht="12.75">
      <c r="E10" s="26"/>
      <c r="F10" s="26"/>
      <c r="G10" s="26"/>
      <c r="H10" s="26"/>
      <c r="I10" s="26"/>
      <c r="J10" s="26"/>
      <c r="K10" s="26"/>
    </row>
    <row r="11" spans="1:11" ht="12.75">
      <c r="A11" s="20" t="s">
        <v>4</v>
      </c>
      <c r="E11" s="26"/>
      <c r="F11" s="26"/>
      <c r="G11" s="26"/>
      <c r="H11" s="26"/>
      <c r="I11" s="26"/>
      <c r="J11" s="26"/>
      <c r="K11" s="26"/>
    </row>
    <row r="12" spans="1:11" ht="12.75">
      <c r="A12" s="20" t="s">
        <v>118</v>
      </c>
      <c r="E12" s="26">
        <f>13859821/1000</f>
        <v>13859.821</v>
      </c>
      <c r="F12" s="26">
        <f>30641619/1000</f>
        <v>30641.619</v>
      </c>
      <c r="G12" s="26"/>
      <c r="H12" s="26"/>
      <c r="I12" s="26">
        <f>104507802/1000-I13</f>
        <v>103950.802</v>
      </c>
      <c r="J12" s="26">
        <f>144248510/1000-115</f>
        <v>144133.51</v>
      </c>
      <c r="K12" s="26"/>
    </row>
    <row r="13" spans="1:11" ht="12.75">
      <c r="A13" s="20" t="s">
        <v>119</v>
      </c>
      <c r="E13" s="27">
        <v>0</v>
      </c>
      <c r="F13" s="27">
        <v>0</v>
      </c>
      <c r="G13" s="26"/>
      <c r="H13" s="26"/>
      <c r="I13" s="27">
        <v>557</v>
      </c>
      <c r="J13" s="27">
        <v>115</v>
      </c>
      <c r="K13" s="26"/>
    </row>
    <row r="14" spans="5:11" ht="12.75">
      <c r="E14" s="28">
        <f>SUM(E12:E13)</f>
        <v>13859.821</v>
      </c>
      <c r="F14" s="28">
        <f>SUM(F12:F13)</f>
        <v>30641.619</v>
      </c>
      <c r="G14" s="26"/>
      <c r="H14" s="26"/>
      <c r="I14" s="28">
        <f>SUM(I12:I13)</f>
        <v>104507.802</v>
      </c>
      <c r="J14" s="28">
        <f>SUM(J12:J13)</f>
        <v>144248.51</v>
      </c>
      <c r="K14" s="26"/>
    </row>
    <row r="15" spans="5:11" ht="12.75">
      <c r="E15" s="26"/>
      <c r="F15" s="26"/>
      <c r="G15" s="26"/>
      <c r="H15" s="26"/>
      <c r="I15" s="26"/>
      <c r="J15" s="26"/>
      <c r="K15" s="26"/>
    </row>
    <row r="16" spans="1:11" ht="12.75">
      <c r="A16" s="20" t="s">
        <v>5</v>
      </c>
      <c r="E16" s="26">
        <v>-15390</v>
      </c>
      <c r="F16" s="26">
        <f>-32052469/1000+0.5</f>
        <v>-32051.969</v>
      </c>
      <c r="G16" s="26"/>
      <c r="H16" s="26"/>
      <c r="I16" s="26">
        <v>-97177</v>
      </c>
      <c r="J16" s="26">
        <f>-117627300/1000+0.5</f>
        <v>-117626.8</v>
      </c>
      <c r="K16" s="26"/>
    </row>
    <row r="17" spans="5:11" ht="12.75">
      <c r="E17" s="26"/>
      <c r="F17" s="26"/>
      <c r="G17" s="26"/>
      <c r="H17" s="26"/>
      <c r="I17" s="26"/>
      <c r="J17" s="26"/>
      <c r="K17" s="26"/>
    </row>
    <row r="18" spans="1:11" ht="12.75">
      <c r="A18" s="20" t="s">
        <v>112</v>
      </c>
      <c r="E18" s="29">
        <f>SUM(E14:E17)</f>
        <v>-1530.179</v>
      </c>
      <c r="F18" s="29">
        <f>SUM(F14:F17)</f>
        <v>-1410.3500000000022</v>
      </c>
      <c r="G18" s="26"/>
      <c r="H18" s="26"/>
      <c r="I18" s="29">
        <f>SUM(I14:I17)</f>
        <v>7330.801999999996</v>
      </c>
      <c r="J18" s="29">
        <f>SUM(J14:J17)</f>
        <v>26621.710000000006</v>
      </c>
      <c r="K18" s="26"/>
    </row>
    <row r="19" spans="5:11" ht="12.75">
      <c r="E19" s="26"/>
      <c r="F19" s="26"/>
      <c r="G19" s="26"/>
      <c r="H19" s="26"/>
      <c r="I19" s="26"/>
      <c r="J19" s="26"/>
      <c r="K19" s="26"/>
    </row>
    <row r="20" spans="1:11" ht="12.75">
      <c r="A20" s="20" t="s">
        <v>120</v>
      </c>
      <c r="E20" s="26">
        <v>979</v>
      </c>
      <c r="F20" s="26">
        <f>431112/1000</f>
        <v>431.112</v>
      </c>
      <c r="G20" s="26"/>
      <c r="H20" s="26"/>
      <c r="I20" s="26">
        <v>5313</v>
      </c>
      <c r="J20" s="26">
        <f>1828558/1000</f>
        <v>1828.558</v>
      </c>
      <c r="K20" s="26"/>
    </row>
    <row r="21" spans="5:11" ht="12.75">
      <c r="E21" s="26"/>
      <c r="F21" s="26"/>
      <c r="G21" s="26"/>
      <c r="H21" s="26"/>
      <c r="I21" s="26"/>
      <c r="J21" s="26"/>
      <c r="K21" s="26"/>
    </row>
    <row r="22" spans="1:11" ht="12.75">
      <c r="A22" s="20" t="s">
        <v>121</v>
      </c>
      <c r="E22" s="26">
        <v>-9460</v>
      </c>
      <c r="F22" s="26">
        <f>-8294084/1000</f>
        <v>-8294.084</v>
      </c>
      <c r="G22" s="26"/>
      <c r="H22" s="26"/>
      <c r="I22" s="26">
        <v>-21826</v>
      </c>
      <c r="J22" s="26">
        <f>-18915200/1000+0.28</f>
        <v>-18914.920000000002</v>
      </c>
      <c r="K22" s="26"/>
    </row>
    <row r="23" spans="1:11" ht="12.75">
      <c r="A23" s="20" t="s">
        <v>122</v>
      </c>
      <c r="E23" s="26">
        <v>-938</v>
      </c>
      <c r="F23" s="26">
        <f>-928600/1000</f>
        <v>-928.6</v>
      </c>
      <c r="G23" s="26"/>
      <c r="H23" s="26"/>
      <c r="I23" s="26">
        <v>-6338</v>
      </c>
      <c r="J23" s="26">
        <f>-4239371/1000-0.15</f>
        <v>-4239.521</v>
      </c>
      <c r="K23" s="26"/>
    </row>
    <row r="24" spans="1:11" ht="12.75">
      <c r="A24" s="20" t="s">
        <v>123</v>
      </c>
      <c r="E24" s="26">
        <v>-5389</v>
      </c>
      <c r="F24" s="26">
        <f>218978/1000</f>
        <v>218.978</v>
      </c>
      <c r="G24" s="26"/>
      <c r="H24" s="26"/>
      <c r="I24" s="26">
        <v>-6277</v>
      </c>
      <c r="J24" s="26">
        <f>-311094/1000</f>
        <v>-311.094</v>
      </c>
      <c r="K24" s="26"/>
    </row>
    <row r="25" spans="5:11" ht="12.75">
      <c r="E25" s="26"/>
      <c r="F25" s="26"/>
      <c r="G25" s="26"/>
      <c r="H25" s="26"/>
      <c r="I25" s="26"/>
      <c r="J25" s="26"/>
      <c r="K25" s="26"/>
    </row>
    <row r="26" spans="1:11" ht="12.75">
      <c r="A26" s="20" t="s">
        <v>124</v>
      </c>
      <c r="E26" s="29">
        <f>+E18+SUM(E20:E25)</f>
        <v>-16338.179</v>
      </c>
      <c r="F26" s="29">
        <f>+F18+SUM(F20:F25)</f>
        <v>-9982.944000000003</v>
      </c>
      <c r="G26" s="26"/>
      <c r="H26" s="26"/>
      <c r="I26" s="29">
        <f>+I18+SUM(I20:I25)</f>
        <v>-21797.198000000004</v>
      </c>
      <c r="J26" s="29">
        <f>+J18+SUM(J20:J25)</f>
        <v>4984.733000000004</v>
      </c>
      <c r="K26" s="26"/>
    </row>
    <row r="27" spans="5:11" ht="12.75">
      <c r="E27" s="26"/>
      <c r="F27" s="26"/>
      <c r="G27" s="26"/>
      <c r="H27" s="26"/>
      <c r="I27" s="26"/>
      <c r="J27" s="26"/>
      <c r="K27" s="26"/>
    </row>
    <row r="28" spans="1:11" ht="12.75">
      <c r="A28" s="20" t="s">
        <v>125</v>
      </c>
      <c r="E28" s="26">
        <v>-1324</v>
      </c>
      <c r="F28" s="26">
        <f>-1379921/1000</f>
        <v>-1379.921</v>
      </c>
      <c r="G28" s="26"/>
      <c r="H28" s="26"/>
      <c r="I28" s="26">
        <v>-4939</v>
      </c>
      <c r="J28" s="26">
        <f>-4668943/1000</f>
        <v>-4668.943</v>
      </c>
      <c r="K28" s="26"/>
    </row>
    <row r="29" spans="5:11" ht="12.75">
      <c r="E29" s="26"/>
      <c r="F29" s="26"/>
      <c r="G29" s="26"/>
      <c r="H29" s="26"/>
      <c r="I29" s="26"/>
      <c r="J29" s="26"/>
      <c r="K29" s="26"/>
    </row>
    <row r="30" spans="1:11" ht="12.75">
      <c r="A30" s="20" t="s">
        <v>126</v>
      </c>
      <c r="E30" s="26">
        <v>0</v>
      </c>
      <c r="F30" s="26">
        <f>-44333/1000</f>
        <v>-44.333</v>
      </c>
      <c r="G30" s="26"/>
      <c r="H30" s="26"/>
      <c r="I30" s="26">
        <v>134</v>
      </c>
      <c r="J30" s="26">
        <f>672257/1000</f>
        <v>672.257</v>
      </c>
      <c r="K30" s="26"/>
    </row>
    <row r="31" spans="5:11" ht="12.75">
      <c r="E31" s="26"/>
      <c r="F31" s="26"/>
      <c r="G31" s="26"/>
      <c r="H31" s="26"/>
      <c r="I31" s="26"/>
      <c r="J31" s="26"/>
      <c r="K31" s="26"/>
    </row>
    <row r="32" spans="1:11" ht="12.75">
      <c r="A32" s="20" t="s">
        <v>102</v>
      </c>
      <c r="E32" s="29">
        <f>+E26+E28+E30</f>
        <v>-17662.179</v>
      </c>
      <c r="F32" s="29">
        <f>+F26+F28+F30</f>
        <v>-11407.198000000004</v>
      </c>
      <c r="G32" s="26"/>
      <c r="H32" s="26"/>
      <c r="I32" s="29">
        <f>+I26+I28+I30</f>
        <v>-26602.198000000004</v>
      </c>
      <c r="J32" s="29">
        <f>+J26+J28+J30</f>
        <v>988.0470000000035</v>
      </c>
      <c r="K32" s="26"/>
    </row>
    <row r="33" spans="5:11" ht="12.75">
      <c r="E33" s="26"/>
      <c r="F33" s="26"/>
      <c r="G33" s="26"/>
      <c r="H33" s="26"/>
      <c r="I33" s="26"/>
      <c r="J33" s="26"/>
      <c r="K33" s="26"/>
    </row>
    <row r="34" spans="1:11" ht="12.75">
      <c r="A34" s="20" t="s">
        <v>6</v>
      </c>
      <c r="E34" s="26">
        <v>-470</v>
      </c>
      <c r="F34" s="26">
        <f>4729925/1000</f>
        <v>4729.925</v>
      </c>
      <c r="G34" s="26"/>
      <c r="H34" s="26"/>
      <c r="I34" s="26">
        <v>-857</v>
      </c>
      <c r="J34" s="26">
        <f>2608964/1000</f>
        <v>2608.964</v>
      </c>
      <c r="K34" s="26"/>
    </row>
    <row r="35" spans="5:11" ht="12.75">
      <c r="E35" s="26"/>
      <c r="F35" s="26"/>
      <c r="G35" s="26"/>
      <c r="H35" s="26"/>
      <c r="I35" s="26"/>
      <c r="J35" s="26"/>
      <c r="K35" s="26"/>
    </row>
    <row r="36" spans="1:11" ht="13.5" thickBot="1">
      <c r="A36" s="20" t="s">
        <v>127</v>
      </c>
      <c r="E36" s="30">
        <f>+E32+E34</f>
        <v>-18132.179</v>
      </c>
      <c r="F36" s="30">
        <f>+F32+F34</f>
        <v>-6677.273000000004</v>
      </c>
      <c r="G36" s="26"/>
      <c r="H36" s="26"/>
      <c r="I36" s="30">
        <f>+I32+I34</f>
        <v>-27459.198000000004</v>
      </c>
      <c r="J36" s="30">
        <f>+J32+J34</f>
        <v>3597.0110000000036</v>
      </c>
      <c r="K36" s="26"/>
    </row>
    <row r="37" spans="5:11" ht="13.5" thickTop="1">
      <c r="E37" s="26"/>
      <c r="F37" s="26"/>
      <c r="G37" s="26"/>
      <c r="H37" s="26"/>
      <c r="I37" s="26"/>
      <c r="J37" s="26"/>
      <c r="K37" s="26"/>
    </row>
    <row r="38" spans="1:11" ht="12.75">
      <c r="A38" s="31" t="s">
        <v>113</v>
      </c>
      <c r="E38" s="26"/>
      <c r="F38" s="26"/>
      <c r="G38" s="26"/>
      <c r="H38" s="26"/>
      <c r="I38" s="26"/>
      <c r="J38" s="26"/>
      <c r="K38" s="26"/>
    </row>
    <row r="39" spans="1:11" ht="12.75">
      <c r="A39" s="20" t="s">
        <v>128</v>
      </c>
      <c r="E39" s="26">
        <v>-19291</v>
      </c>
      <c r="F39" s="26">
        <f>F36</f>
        <v>-6677.273000000004</v>
      </c>
      <c r="G39" s="26"/>
      <c r="H39" s="26"/>
      <c r="I39" s="26">
        <v>-28618</v>
      </c>
      <c r="J39" s="26">
        <f>J36</f>
        <v>3597.0110000000036</v>
      </c>
      <c r="K39" s="26"/>
    </row>
    <row r="40" spans="1:11" ht="12.75">
      <c r="A40" s="20" t="s">
        <v>7</v>
      </c>
      <c r="E40" s="26">
        <v>1159</v>
      </c>
      <c r="F40" s="26">
        <v>0</v>
      </c>
      <c r="G40" s="26"/>
      <c r="H40" s="26"/>
      <c r="I40" s="26">
        <f>1159035/1000+0.4</f>
        <v>1159.4350000000002</v>
      </c>
      <c r="J40" s="26">
        <v>0</v>
      </c>
      <c r="K40" s="26"/>
    </row>
    <row r="41" spans="5:11" ht="12.75">
      <c r="E41" s="26"/>
      <c r="F41" s="26"/>
      <c r="G41" s="26"/>
      <c r="H41" s="26"/>
      <c r="I41" s="26"/>
      <c r="J41" s="26"/>
      <c r="K41" s="26"/>
    </row>
    <row r="42" spans="5:11" ht="13.5" thickBot="1">
      <c r="E42" s="30">
        <f>SUM(E39:E41)</f>
        <v>-18132</v>
      </c>
      <c r="F42" s="30">
        <f>SUM(F39:F41)</f>
        <v>-6677.273000000004</v>
      </c>
      <c r="G42" s="26"/>
      <c r="H42" s="26"/>
      <c r="I42" s="30">
        <f>SUM(I39:I41)</f>
        <v>-27458.565</v>
      </c>
      <c r="J42" s="30">
        <f>SUM(J39:J41)</f>
        <v>3597.0110000000036</v>
      </c>
      <c r="K42" s="26"/>
    </row>
    <row r="43" spans="5:11" ht="13.5" thickTop="1">
      <c r="E43" s="26"/>
      <c r="F43" s="26"/>
      <c r="G43" s="26"/>
      <c r="H43" s="26"/>
      <c r="I43" s="26"/>
      <c r="J43" s="26"/>
      <c r="K43" s="26"/>
    </row>
    <row r="44" spans="1:11" ht="12.75">
      <c r="A44" s="31" t="s">
        <v>129</v>
      </c>
      <c r="E44" s="26"/>
      <c r="F44" s="26"/>
      <c r="G44" s="26"/>
      <c r="H44" s="26"/>
      <c r="I44" s="26"/>
      <c r="J44" s="26"/>
      <c r="K44" s="26"/>
    </row>
    <row r="45" spans="1:11" ht="12.75">
      <c r="A45" s="20" t="s">
        <v>130</v>
      </c>
      <c r="E45" s="26"/>
      <c r="F45" s="26"/>
      <c r="G45" s="26"/>
      <c r="H45" s="26"/>
      <c r="I45" s="26"/>
      <c r="J45" s="26"/>
      <c r="K45" s="26"/>
    </row>
    <row r="46" spans="1:11" ht="12.75">
      <c r="A46" s="20" t="s">
        <v>131</v>
      </c>
      <c r="E46" s="32">
        <f>+E39/133243.05*100</f>
        <v>-14.478053451943648</v>
      </c>
      <c r="F46" s="32">
        <f>+F42/133243.05*100</f>
        <v>-5.011348059054491</v>
      </c>
      <c r="G46" s="32"/>
      <c r="H46" s="32"/>
      <c r="I46" s="32">
        <f>+I39/133243.05*100</f>
        <v>-21.478043320083113</v>
      </c>
      <c r="J46" s="32">
        <f>+J42/133243.05*100</f>
        <v>2.6995862073106283</v>
      </c>
      <c r="K46" s="26"/>
    </row>
    <row r="47" spans="5:11" ht="12.75">
      <c r="E47" s="32"/>
      <c r="F47" s="32"/>
      <c r="G47" s="32"/>
      <c r="H47" s="32"/>
      <c r="I47" s="32"/>
      <c r="J47" s="32"/>
      <c r="K47" s="26"/>
    </row>
    <row r="48" spans="1:11" ht="12.75">
      <c r="A48" s="20" t="s">
        <v>132</v>
      </c>
      <c r="E48" s="32">
        <v>-14.48</v>
      </c>
      <c r="F48" s="32">
        <f>+F42/133243.05*100</f>
        <v>-5.011348059054491</v>
      </c>
      <c r="G48" s="32"/>
      <c r="H48" s="32"/>
      <c r="I48" s="32">
        <v>-21.48</v>
      </c>
      <c r="J48" s="32">
        <f>+J42/133243.05*100</f>
        <v>2.6995862073106283</v>
      </c>
      <c r="K48" s="26"/>
    </row>
    <row r="49" spans="5:11" ht="12.75">
      <c r="E49" s="26"/>
      <c r="F49" s="26"/>
      <c r="G49" s="26"/>
      <c r="H49" s="26"/>
      <c r="I49" s="26"/>
      <c r="J49" s="26"/>
      <c r="K49" s="26"/>
    </row>
    <row r="50" spans="5:11" ht="12.75">
      <c r="E50" s="26"/>
      <c r="F50" s="26"/>
      <c r="G50" s="26"/>
      <c r="H50" s="26"/>
      <c r="I50" s="26"/>
      <c r="J50" s="26"/>
      <c r="K50" s="26"/>
    </row>
    <row r="51" spans="1:11" ht="12.75">
      <c r="A51" s="20" t="s">
        <v>50</v>
      </c>
      <c r="E51" s="26"/>
      <c r="F51" s="26"/>
      <c r="G51" s="26"/>
      <c r="H51" s="26"/>
      <c r="I51" s="26"/>
      <c r="J51" s="26"/>
      <c r="K51" s="26"/>
    </row>
    <row r="52" spans="1:11" ht="12.75">
      <c r="A52" s="20" t="s">
        <v>96</v>
      </c>
      <c r="E52" s="26"/>
      <c r="F52" s="26"/>
      <c r="G52" s="26"/>
      <c r="H52" s="26"/>
      <c r="I52" s="26"/>
      <c r="J52" s="26"/>
      <c r="K52" s="26"/>
    </row>
    <row r="53" spans="5:11" ht="12.75">
      <c r="E53" s="26"/>
      <c r="F53" s="26"/>
      <c r="G53" s="26"/>
      <c r="H53" s="26"/>
      <c r="I53" s="26"/>
      <c r="J53" s="26"/>
      <c r="K53" s="26"/>
    </row>
    <row r="54" spans="1:11" ht="12.75">
      <c r="A54" s="33"/>
      <c r="E54" s="26"/>
      <c r="F54" s="26"/>
      <c r="G54" s="26"/>
      <c r="H54" s="26"/>
      <c r="I54" s="26"/>
      <c r="J54" s="26"/>
      <c r="K54" s="26"/>
    </row>
    <row r="55" spans="1:11" ht="12.75">
      <c r="A55" s="33"/>
      <c r="E55" s="26"/>
      <c r="F55" s="26"/>
      <c r="G55" s="26"/>
      <c r="H55" s="26"/>
      <c r="I55" s="26"/>
      <c r="J55" s="26"/>
      <c r="K55" s="2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showGridLines="0" workbookViewId="0" topLeftCell="A29">
      <selection activeCell="G59" sqref="G59"/>
    </sheetView>
  </sheetViews>
  <sheetFormatPr defaultColWidth="9.140625" defaultRowHeight="12.75"/>
  <cols>
    <col min="1" max="1" width="3.7109375" style="0" customWidth="1"/>
    <col min="7" max="7" width="10.281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53</v>
      </c>
    </row>
    <row r="3" ht="15.75">
      <c r="A3" s="1" t="s">
        <v>138</v>
      </c>
    </row>
    <row r="5" ht="15">
      <c r="A5" s="4" t="s">
        <v>8</v>
      </c>
    </row>
    <row r="6" spans="7:9" ht="12.75">
      <c r="G6" s="3" t="s">
        <v>47</v>
      </c>
      <c r="I6" s="5" t="s">
        <v>48</v>
      </c>
    </row>
    <row r="7" spans="6:9" ht="12.75">
      <c r="F7" s="3"/>
      <c r="G7" s="5" t="s">
        <v>9</v>
      </c>
      <c r="H7" s="5"/>
      <c r="I7" s="5" t="s">
        <v>9</v>
      </c>
    </row>
    <row r="8" spans="6:9" ht="12.75">
      <c r="F8" s="3"/>
      <c r="G8" s="5" t="s">
        <v>139</v>
      </c>
      <c r="H8" s="5"/>
      <c r="I8" s="5" t="s">
        <v>95</v>
      </c>
    </row>
    <row r="9" spans="6:9" ht="12.75">
      <c r="F9" s="5"/>
      <c r="G9" s="5" t="s">
        <v>2</v>
      </c>
      <c r="H9" s="5"/>
      <c r="I9" s="5" t="s">
        <v>2</v>
      </c>
    </row>
    <row r="10" spans="1:10" ht="12.75">
      <c r="A10" s="3" t="s">
        <v>78</v>
      </c>
      <c r="G10" s="6"/>
      <c r="H10" s="6"/>
      <c r="I10" s="6"/>
      <c r="J10" s="6"/>
    </row>
    <row r="11" spans="1:10" ht="12.75">
      <c r="A11" s="3" t="s">
        <v>10</v>
      </c>
      <c r="G11" s="6"/>
      <c r="H11" s="6"/>
      <c r="I11" s="6"/>
      <c r="J11" s="6"/>
    </row>
    <row r="12" spans="2:10" ht="12.75">
      <c r="B12" t="s">
        <v>11</v>
      </c>
      <c r="G12" s="6">
        <v>113775</v>
      </c>
      <c r="H12" s="6"/>
      <c r="I12" s="6">
        <v>123531</v>
      </c>
      <c r="J12" s="6"/>
    </row>
    <row r="13" spans="2:10" ht="12.75">
      <c r="B13" t="s">
        <v>97</v>
      </c>
      <c r="G13" s="6">
        <v>7496</v>
      </c>
      <c r="H13" s="6"/>
      <c r="I13" s="6">
        <v>7634</v>
      </c>
      <c r="J13" s="6"/>
    </row>
    <row r="14" spans="2:10" ht="12.75">
      <c r="B14" t="s">
        <v>76</v>
      </c>
      <c r="G14" s="6">
        <v>0</v>
      </c>
      <c r="H14" s="6"/>
      <c r="I14" s="6">
        <v>2242</v>
      </c>
      <c r="J14" s="6"/>
    </row>
    <row r="15" spans="2:10" ht="12.75">
      <c r="B15" t="s">
        <v>55</v>
      </c>
      <c r="G15" s="6">
        <f>4859900/1000</f>
        <v>4859.9</v>
      </c>
      <c r="H15" s="6"/>
      <c r="I15" s="6">
        <v>4860</v>
      </c>
      <c r="J15" s="6"/>
    </row>
    <row r="16" spans="2:10" ht="12.75">
      <c r="B16" t="s">
        <v>98</v>
      </c>
      <c r="G16" s="6">
        <v>15338</v>
      </c>
      <c r="H16" s="6"/>
      <c r="I16" s="6">
        <v>7688</v>
      </c>
      <c r="J16" s="6"/>
    </row>
    <row r="17" spans="7:10" ht="12.75">
      <c r="G17" s="10">
        <f>SUM(G12:G16)</f>
        <v>141468.9</v>
      </c>
      <c r="H17" s="6"/>
      <c r="I17" s="10">
        <f>SUM(I12:I16)</f>
        <v>145955</v>
      </c>
      <c r="J17" s="6"/>
    </row>
    <row r="18" spans="7:10" ht="12.75">
      <c r="G18" s="6"/>
      <c r="H18" s="6"/>
      <c r="I18" s="6"/>
      <c r="J18" s="6"/>
    </row>
    <row r="19" spans="1:10" ht="12.75">
      <c r="A19" s="3" t="s">
        <v>12</v>
      </c>
      <c r="G19" s="6"/>
      <c r="H19" s="6"/>
      <c r="I19" s="6"/>
      <c r="J19" s="6"/>
    </row>
    <row r="20" spans="2:10" ht="12.75">
      <c r="B20" t="s">
        <v>13</v>
      </c>
      <c r="G20" s="6">
        <v>27877</v>
      </c>
      <c r="H20" s="6"/>
      <c r="I20" s="6">
        <v>27989</v>
      </c>
      <c r="J20" s="6"/>
    </row>
    <row r="21" spans="2:10" ht="12.75">
      <c r="B21" t="s">
        <v>18</v>
      </c>
      <c r="G21" s="6">
        <v>17581</v>
      </c>
      <c r="H21" s="6"/>
      <c r="I21" s="6">
        <v>40184</v>
      </c>
      <c r="J21" s="6"/>
    </row>
    <row r="22" spans="2:10" ht="12.75">
      <c r="B22" t="s">
        <v>14</v>
      </c>
      <c r="G22" s="6">
        <v>6434</v>
      </c>
      <c r="H22" s="6"/>
      <c r="I22" s="6">
        <v>9188</v>
      </c>
      <c r="J22" s="6"/>
    </row>
    <row r="23" spans="2:10" ht="12.75">
      <c r="B23" t="s">
        <v>77</v>
      </c>
      <c r="G23" s="6">
        <v>521</v>
      </c>
      <c r="H23" s="6"/>
      <c r="I23" s="6">
        <v>2776</v>
      </c>
      <c r="J23" s="6"/>
    </row>
    <row r="24" spans="2:10" ht="12.75">
      <c r="B24" t="s">
        <v>15</v>
      </c>
      <c r="G24" s="6">
        <f>4650475/1000</f>
        <v>4650.475</v>
      </c>
      <c r="H24" s="6"/>
      <c r="I24" s="6">
        <v>1894</v>
      </c>
      <c r="J24" s="6"/>
    </row>
    <row r="25" spans="7:10" ht="12.75">
      <c r="G25" s="10">
        <f>SUM(G20:G24)</f>
        <v>57063.475</v>
      </c>
      <c r="H25" s="6"/>
      <c r="I25" s="10">
        <f>SUM(I20:I24)</f>
        <v>82031</v>
      </c>
      <c r="J25" s="6"/>
    </row>
    <row r="26" spans="7:10" ht="13.5" thickBot="1">
      <c r="G26" s="6"/>
      <c r="H26" s="6"/>
      <c r="I26" s="6"/>
      <c r="J26" s="6"/>
    </row>
    <row r="27" spans="1:10" ht="14.25" thickBot="1" thickTop="1">
      <c r="A27" s="3" t="s">
        <v>79</v>
      </c>
      <c r="G27" s="11">
        <f>+G17+G25</f>
        <v>198532.375</v>
      </c>
      <c r="H27" s="6"/>
      <c r="I27" s="11">
        <f>+I17+I25</f>
        <v>227986</v>
      </c>
      <c r="J27" s="6"/>
    </row>
    <row r="28" spans="7:10" ht="13.5" thickTop="1">
      <c r="G28" s="6"/>
      <c r="H28" s="6"/>
      <c r="I28" s="6"/>
      <c r="J28" s="6"/>
    </row>
    <row r="29" spans="7:10" ht="12.75">
      <c r="G29" s="6"/>
      <c r="H29" s="6"/>
      <c r="I29" s="6"/>
      <c r="J29" s="6"/>
    </row>
    <row r="30" spans="1:10" ht="12.75">
      <c r="A30" s="3" t="s">
        <v>80</v>
      </c>
      <c r="G30" s="6"/>
      <c r="H30" s="6"/>
      <c r="I30" s="6"/>
      <c r="J30" s="6"/>
    </row>
    <row r="31" spans="1:10" ht="12.75">
      <c r="A31" s="3" t="s">
        <v>81</v>
      </c>
      <c r="G31" s="6"/>
      <c r="H31" s="6"/>
      <c r="I31" s="6"/>
      <c r="J31" s="6"/>
    </row>
    <row r="32" spans="2:10" ht="12.75">
      <c r="B32" t="s">
        <v>22</v>
      </c>
      <c r="G32" s="6">
        <v>66622</v>
      </c>
      <c r="H32" s="6"/>
      <c r="I32" s="6">
        <v>66622</v>
      </c>
      <c r="J32" s="6"/>
    </row>
    <row r="33" spans="2:10" ht="12.75">
      <c r="B33" t="s">
        <v>82</v>
      </c>
      <c r="G33" s="6">
        <v>17570</v>
      </c>
      <c r="H33" s="6"/>
      <c r="I33" s="6">
        <v>51392</v>
      </c>
      <c r="J33" s="6"/>
    </row>
    <row r="34" spans="7:10" ht="12.75">
      <c r="G34" s="7">
        <f>SUM(G32:G33)</f>
        <v>84192</v>
      </c>
      <c r="H34" s="6"/>
      <c r="I34" s="7">
        <f>SUM(I32:I33)</f>
        <v>118014</v>
      </c>
      <c r="J34" s="6"/>
    </row>
    <row r="35" spans="1:10" ht="12.75">
      <c r="A35" s="3" t="s">
        <v>59</v>
      </c>
      <c r="G35" s="6">
        <f>1159</f>
        <v>1159</v>
      </c>
      <c r="H35" s="6"/>
      <c r="I35" s="6">
        <v>0</v>
      </c>
      <c r="J35" s="6"/>
    </row>
    <row r="36" spans="1:10" ht="12.75">
      <c r="A36" s="3" t="s">
        <v>83</v>
      </c>
      <c r="G36" s="10">
        <f>+SUM(G34:G35)</f>
        <v>85351</v>
      </c>
      <c r="H36" s="6"/>
      <c r="I36" s="10">
        <f>+SUM(I34:I35)</f>
        <v>118014</v>
      </c>
      <c r="J36" s="6"/>
    </row>
    <row r="37" spans="1:10" ht="12.75">
      <c r="A37" s="3"/>
      <c r="G37" s="6"/>
      <c r="H37" s="6"/>
      <c r="I37" s="6"/>
      <c r="J37" s="6"/>
    </row>
    <row r="38" spans="1:10" ht="12.75">
      <c r="A38" s="3" t="s">
        <v>84</v>
      </c>
      <c r="G38" s="6"/>
      <c r="H38" s="6"/>
      <c r="I38" s="6"/>
      <c r="J38" s="6"/>
    </row>
    <row r="39" spans="2:10" ht="12.75">
      <c r="B39" t="s">
        <v>85</v>
      </c>
      <c r="G39" s="14">
        <f>48894-90</f>
        <v>48804</v>
      </c>
      <c r="H39" s="6"/>
      <c r="I39" s="14">
        <v>51838</v>
      </c>
      <c r="J39" s="6"/>
    </row>
    <row r="40" spans="2:10" ht="12.75">
      <c r="B40" t="s">
        <v>86</v>
      </c>
      <c r="G40" s="15">
        <v>0</v>
      </c>
      <c r="H40" s="6"/>
      <c r="I40" s="15">
        <v>76</v>
      </c>
      <c r="J40" s="6"/>
    </row>
    <row r="41" spans="2:10" ht="12.75">
      <c r="B41" t="s">
        <v>105</v>
      </c>
      <c r="G41" s="15">
        <f>8820897/1000+0.2</f>
        <v>8821.097000000002</v>
      </c>
      <c r="H41" s="6"/>
      <c r="I41" s="15">
        <v>319</v>
      </c>
      <c r="J41" s="6"/>
    </row>
    <row r="42" spans="2:10" ht="12.75">
      <c r="B42" t="s">
        <v>87</v>
      </c>
      <c r="G42" s="15">
        <f>2495000/1000</f>
        <v>2495</v>
      </c>
      <c r="H42" s="6"/>
      <c r="I42" s="15">
        <v>2372</v>
      </c>
      <c r="J42" s="6"/>
    </row>
    <row r="43" spans="1:10" ht="12.75">
      <c r="A43" s="3"/>
      <c r="G43" s="16">
        <f>SUM(G39:G42)</f>
        <v>60120.097</v>
      </c>
      <c r="H43" s="6"/>
      <c r="I43" s="16">
        <f>SUM(I39:I42)</f>
        <v>54605</v>
      </c>
      <c r="J43" s="6"/>
    </row>
    <row r="44" spans="1:10" ht="12.75">
      <c r="A44" s="3" t="s">
        <v>16</v>
      </c>
      <c r="G44" s="15"/>
      <c r="H44" s="6"/>
      <c r="I44" s="15"/>
      <c r="J44" s="6"/>
    </row>
    <row r="45" spans="1:10" ht="12.75">
      <c r="A45" s="3"/>
      <c r="B45" t="s">
        <v>17</v>
      </c>
      <c r="G45" s="15">
        <v>17168</v>
      </c>
      <c r="H45" s="6"/>
      <c r="I45" s="15">
        <v>21900</v>
      </c>
      <c r="J45" s="6"/>
    </row>
    <row r="46" spans="1:10" ht="12.75">
      <c r="A46" s="3"/>
      <c r="B46" t="s">
        <v>19</v>
      </c>
      <c r="G46" s="15">
        <v>7405</v>
      </c>
      <c r="H46" s="6"/>
      <c r="I46" s="15">
        <f>6946</f>
        <v>6946</v>
      </c>
      <c r="J46" s="6"/>
    </row>
    <row r="47" spans="1:10" ht="12.75">
      <c r="A47" s="3"/>
      <c r="B47" t="s">
        <v>133</v>
      </c>
      <c r="G47" s="15">
        <f>328805/1000-0.3</f>
        <v>328.505</v>
      </c>
      <c r="H47" s="6"/>
      <c r="I47" s="15">
        <v>360</v>
      </c>
      <c r="J47" s="6"/>
    </row>
    <row r="48" spans="1:10" ht="12.75">
      <c r="A48" s="3"/>
      <c r="B48" t="s">
        <v>20</v>
      </c>
      <c r="G48" s="15">
        <f>76347/1000</f>
        <v>76.347</v>
      </c>
      <c r="H48" s="6"/>
      <c r="I48" s="15">
        <v>295</v>
      </c>
      <c r="J48" s="6"/>
    </row>
    <row r="49" spans="1:10" ht="12.75">
      <c r="A49" s="3"/>
      <c r="B49" t="s">
        <v>21</v>
      </c>
      <c r="G49" s="15"/>
      <c r="H49" s="6"/>
      <c r="I49" s="15"/>
      <c r="J49" s="6"/>
    </row>
    <row r="50" spans="1:10" ht="12.75">
      <c r="A50" s="3"/>
      <c r="B50" t="s">
        <v>134</v>
      </c>
      <c r="G50" s="15">
        <f>1341805/1000</f>
        <v>1341.805</v>
      </c>
      <c r="H50" s="6"/>
      <c r="I50" s="15">
        <v>2610</v>
      </c>
      <c r="J50" s="6"/>
    </row>
    <row r="51" spans="1:10" ht="12.75">
      <c r="A51" s="3"/>
      <c r="B51" t="s">
        <v>135</v>
      </c>
      <c r="G51" s="15">
        <f>26651+90</f>
        <v>26741</v>
      </c>
      <c r="H51" s="6"/>
      <c r="I51" s="15">
        <f>19423+3830</f>
        <v>23253</v>
      </c>
      <c r="J51" s="6"/>
    </row>
    <row r="52" spans="1:10" ht="12.75">
      <c r="A52" s="3"/>
      <c r="B52" t="s">
        <v>88</v>
      </c>
      <c r="G52" s="15">
        <v>0</v>
      </c>
      <c r="H52" s="6"/>
      <c r="I52" s="15">
        <v>3</v>
      </c>
      <c r="J52" s="6"/>
    </row>
    <row r="53" spans="1:10" ht="12.75">
      <c r="A53" s="3"/>
      <c r="G53" s="16">
        <f>SUM(G45:G52)+0.5</f>
        <v>53061.15700000001</v>
      </c>
      <c r="H53" s="6"/>
      <c r="I53" s="16">
        <f>SUM(I45:I52)</f>
        <v>55367</v>
      </c>
      <c r="J53" s="6"/>
    </row>
    <row r="54" spans="1:10" ht="12.75">
      <c r="A54" s="3" t="s">
        <v>89</v>
      </c>
      <c r="G54" s="10">
        <f>+G43+G53-0.3</f>
        <v>113180.95400000001</v>
      </c>
      <c r="H54" s="6"/>
      <c r="I54" s="10">
        <f>+I43+I53</f>
        <v>109972</v>
      </c>
      <c r="J54" s="6"/>
    </row>
    <row r="55" spans="7:10" ht="13.5" thickBot="1">
      <c r="G55" s="6"/>
      <c r="H55" s="6"/>
      <c r="I55" s="6"/>
      <c r="J55" s="6"/>
    </row>
    <row r="56" spans="1:10" ht="14.25" thickBot="1" thickTop="1">
      <c r="A56" s="3" t="s">
        <v>90</v>
      </c>
      <c r="G56" s="11">
        <f>+G36+G54</f>
        <v>198531.95400000003</v>
      </c>
      <c r="H56" s="6"/>
      <c r="I56" s="11">
        <f>+I36+I54</f>
        <v>227986</v>
      </c>
      <c r="J56" s="6"/>
    </row>
    <row r="57" spans="7:10" ht="13.5" thickTop="1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1:10" ht="12.75">
      <c r="A59" t="s">
        <v>23</v>
      </c>
      <c r="G59" s="6"/>
      <c r="H59" s="6"/>
      <c r="I59" s="6"/>
      <c r="J59" s="6"/>
    </row>
    <row r="60" spans="1:10" ht="12.75">
      <c r="A60" t="s">
        <v>96</v>
      </c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1:10" ht="12.75">
      <c r="A62" s="17"/>
      <c r="G62" s="6"/>
      <c r="H62" s="6"/>
      <c r="I62" s="6"/>
      <c r="J62" s="6"/>
    </row>
    <row r="63" spans="1:10" ht="12.75">
      <c r="A63" s="17"/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  <row r="81" spans="7:10" ht="12.75">
      <c r="G81" s="6"/>
      <c r="H81" s="6"/>
      <c r="I81" s="6"/>
      <c r="J81" s="6"/>
    </row>
    <row r="82" spans="7:10" ht="12.75">
      <c r="G82" s="6"/>
      <c r="H82" s="6"/>
      <c r="I82" s="6"/>
      <c r="J82" s="6"/>
    </row>
    <row r="83" spans="7:10" ht="12.75">
      <c r="G83" s="6"/>
      <c r="H83" s="6"/>
      <c r="I83" s="6"/>
      <c r="J83" s="6"/>
    </row>
    <row r="84" spans="7:10" ht="12.75">
      <c r="G84" s="6"/>
      <c r="H84" s="6"/>
      <c r="I84" s="6"/>
      <c r="J84" s="6"/>
    </row>
    <row r="85" spans="7:10" ht="12.75">
      <c r="G85" s="6"/>
      <c r="H85" s="6"/>
      <c r="I85" s="6"/>
      <c r="J85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showGridLines="0" workbookViewId="0" topLeftCell="A57">
      <selection activeCell="I86" sqref="I86"/>
    </sheetView>
  </sheetViews>
  <sheetFormatPr defaultColWidth="9.140625" defaultRowHeight="12.75"/>
  <cols>
    <col min="1" max="1" width="4.57421875" style="20" customWidth="1"/>
    <col min="2" max="3" width="9.140625" style="20" customWidth="1"/>
    <col min="4" max="4" width="26.140625" style="20" customWidth="1"/>
    <col min="5" max="5" width="3.57421875" style="20" customWidth="1"/>
    <col min="6" max="6" width="2.00390625" style="20" customWidth="1"/>
    <col min="7" max="7" width="10.8515625" style="26" bestFit="1" customWidth="1"/>
    <col min="8" max="8" width="9.140625" style="20" customWidth="1"/>
    <col min="9" max="9" width="10.28125" style="20" customWidth="1"/>
    <col min="10" max="16384" width="9.140625" style="20" customWidth="1"/>
  </cols>
  <sheetData>
    <row r="1" ht="18">
      <c r="A1" s="19" t="s">
        <v>0</v>
      </c>
    </row>
    <row r="2" ht="15.75">
      <c r="A2" s="21" t="s">
        <v>53</v>
      </c>
    </row>
    <row r="3" ht="15.75">
      <c r="A3" s="21" t="s">
        <v>138</v>
      </c>
    </row>
    <row r="5" ht="15">
      <c r="A5" s="22" t="s">
        <v>29</v>
      </c>
    </row>
    <row r="7" spans="7:9" ht="12.75">
      <c r="G7" s="40" t="s">
        <v>140</v>
      </c>
      <c r="I7" s="23" t="s">
        <v>140</v>
      </c>
    </row>
    <row r="8" spans="7:9" ht="12.75">
      <c r="G8" s="40" t="s">
        <v>30</v>
      </c>
      <c r="I8" s="23" t="s">
        <v>30</v>
      </c>
    </row>
    <row r="9" spans="7:9" ht="12.75">
      <c r="G9" s="40" t="s">
        <v>139</v>
      </c>
      <c r="I9" s="23" t="s">
        <v>95</v>
      </c>
    </row>
    <row r="10" spans="7:9" ht="12.75">
      <c r="G10" s="41" t="s">
        <v>2</v>
      </c>
      <c r="I10" s="25" t="s">
        <v>2</v>
      </c>
    </row>
    <row r="11" spans="1:9" s="33" customFormat="1" ht="12.75">
      <c r="A11" s="23" t="s">
        <v>31</v>
      </c>
      <c r="G11" s="34"/>
      <c r="H11" s="34"/>
      <c r="I11" s="34"/>
    </row>
    <row r="12" spans="1:9" s="33" customFormat="1" ht="12.75">
      <c r="A12" s="23"/>
      <c r="G12" s="34"/>
      <c r="H12" s="34"/>
      <c r="I12" s="34"/>
    </row>
    <row r="13" spans="2:9" s="33" customFormat="1" ht="12.75">
      <c r="B13" s="33" t="s">
        <v>102</v>
      </c>
      <c r="G13" s="34">
        <f>+Inc!I32</f>
        <v>-26602.198000000004</v>
      </c>
      <c r="H13" s="34"/>
      <c r="I13" s="34">
        <f>987417/1000</f>
        <v>987.417</v>
      </c>
    </row>
    <row r="14" spans="2:9" s="33" customFormat="1" ht="12.75">
      <c r="B14" s="33" t="s">
        <v>32</v>
      </c>
      <c r="G14" s="34"/>
      <c r="H14" s="34"/>
      <c r="I14" s="34"/>
    </row>
    <row r="15" spans="2:9" s="33" customFormat="1" ht="12.75">
      <c r="B15" s="33" t="s">
        <v>137</v>
      </c>
      <c r="G15" s="34">
        <v>463</v>
      </c>
      <c r="H15" s="34"/>
      <c r="I15" s="34">
        <f>1139439/1000</f>
        <v>1139.439</v>
      </c>
    </row>
    <row r="16" spans="2:9" s="33" customFormat="1" ht="12.75">
      <c r="B16" s="33" t="s">
        <v>106</v>
      </c>
      <c r="G16" s="34">
        <v>350</v>
      </c>
      <c r="H16" s="34"/>
      <c r="I16" s="34">
        <f>190078/1000</f>
        <v>190.078</v>
      </c>
    </row>
    <row r="17" spans="2:9" ht="12.75">
      <c r="B17" s="33" t="s">
        <v>143</v>
      </c>
      <c r="G17" s="26">
        <v>138</v>
      </c>
      <c r="I17" s="26">
        <f>137731/1000</f>
        <v>137.731</v>
      </c>
    </row>
    <row r="18" spans="2:9" s="33" customFormat="1" ht="15.75">
      <c r="B18" s="42" t="s">
        <v>164</v>
      </c>
      <c r="G18" s="34">
        <v>-683</v>
      </c>
      <c r="H18" s="34"/>
      <c r="I18" s="34">
        <v>0</v>
      </c>
    </row>
    <row r="19" spans="2:9" s="33" customFormat="1" ht="12.75">
      <c r="B19" s="33" t="s">
        <v>156</v>
      </c>
      <c r="G19" s="34">
        <v>636</v>
      </c>
      <c r="H19" s="34"/>
      <c r="I19" s="34">
        <v>0</v>
      </c>
    </row>
    <row r="20" spans="2:9" s="33" customFormat="1" ht="12.75">
      <c r="B20" s="33" t="s">
        <v>159</v>
      </c>
      <c r="G20" s="34">
        <v>2850</v>
      </c>
      <c r="H20" s="34"/>
      <c r="I20" s="34">
        <v>0</v>
      </c>
    </row>
    <row r="21" spans="2:9" ht="12.75">
      <c r="B21" s="33" t="s">
        <v>144</v>
      </c>
      <c r="G21" s="26">
        <v>53</v>
      </c>
      <c r="I21" s="26">
        <f>661208/1000</f>
        <v>661.208</v>
      </c>
    </row>
    <row r="22" spans="2:9" s="33" customFormat="1" ht="12.75">
      <c r="B22" s="33" t="s">
        <v>107</v>
      </c>
      <c r="G22" s="34">
        <v>6411</v>
      </c>
      <c r="H22" s="34"/>
      <c r="I22" s="34">
        <f>6378288/1000</f>
        <v>6378.288</v>
      </c>
    </row>
    <row r="23" spans="2:9" s="33" customFormat="1" ht="12.75">
      <c r="B23" s="33" t="s">
        <v>145</v>
      </c>
      <c r="G23" s="34">
        <v>243</v>
      </c>
      <c r="H23" s="34"/>
      <c r="I23" s="34">
        <f>80040/1000</f>
        <v>80.04</v>
      </c>
    </row>
    <row r="24" spans="2:9" s="33" customFormat="1" ht="12.75">
      <c r="B24" s="33" t="s">
        <v>146</v>
      </c>
      <c r="G24" s="34">
        <v>-557</v>
      </c>
      <c r="H24" s="34"/>
      <c r="I24" s="34">
        <f>-115329/1000</f>
        <v>-115.329</v>
      </c>
    </row>
    <row r="25" spans="2:9" s="33" customFormat="1" ht="12.75">
      <c r="B25" s="18" t="s">
        <v>147</v>
      </c>
      <c r="G25" s="34">
        <v>-50</v>
      </c>
      <c r="H25" s="34"/>
      <c r="I25" s="34">
        <f>-82700/1000</f>
        <v>-82.7</v>
      </c>
    </row>
    <row r="26" spans="2:9" s="33" customFormat="1" ht="12.75">
      <c r="B26" s="33" t="s">
        <v>33</v>
      </c>
      <c r="G26" s="34">
        <v>4792</v>
      </c>
      <c r="H26" s="34"/>
      <c r="I26" s="34">
        <f>4562509/1000</f>
        <v>4562.509</v>
      </c>
    </row>
    <row r="27" spans="2:9" s="33" customFormat="1" ht="12.75">
      <c r="B27" s="33" t="s">
        <v>34</v>
      </c>
      <c r="G27" s="34">
        <v>-53</v>
      </c>
      <c r="H27" s="34"/>
      <c r="I27" s="34">
        <f>-420496/1000</f>
        <v>-420.496</v>
      </c>
    </row>
    <row r="28" spans="2:9" s="33" customFormat="1" ht="12.75">
      <c r="B28" s="33" t="s">
        <v>157</v>
      </c>
      <c r="G28" s="34">
        <v>395</v>
      </c>
      <c r="H28" s="34"/>
      <c r="I28" s="34">
        <v>0</v>
      </c>
    </row>
    <row r="29" spans="2:9" s="33" customFormat="1" ht="12.75">
      <c r="B29" s="33" t="s">
        <v>115</v>
      </c>
      <c r="G29" s="34">
        <v>0</v>
      </c>
      <c r="H29" s="34"/>
      <c r="I29" s="34">
        <f>2283922/1000</f>
        <v>2283.922</v>
      </c>
    </row>
    <row r="30" spans="2:9" s="33" customFormat="1" ht="12.75">
      <c r="B30" s="33" t="s">
        <v>148</v>
      </c>
      <c r="G30" s="34">
        <v>2515</v>
      </c>
      <c r="H30" s="34"/>
      <c r="I30" s="34">
        <f>230845/1000</f>
        <v>230.845</v>
      </c>
    </row>
    <row r="31" spans="2:9" s="33" customFormat="1" ht="12.75">
      <c r="B31" s="33" t="s">
        <v>160</v>
      </c>
      <c r="G31" s="34">
        <v>268</v>
      </c>
      <c r="H31" s="34"/>
      <c r="I31" s="34">
        <v>0</v>
      </c>
    </row>
    <row r="32" spans="2:9" s="33" customFormat="1" ht="12.75">
      <c r="B32" s="33" t="s">
        <v>136</v>
      </c>
      <c r="G32" s="34">
        <v>3394</v>
      </c>
      <c r="H32" s="34"/>
      <c r="I32" s="34">
        <v>0</v>
      </c>
    </row>
    <row r="33" spans="2:9" s="33" customFormat="1" ht="12.75">
      <c r="B33" s="33" t="s">
        <v>149</v>
      </c>
      <c r="G33" s="34">
        <v>-97</v>
      </c>
      <c r="H33" s="34"/>
      <c r="I33" s="34">
        <f>-4147/1000</f>
        <v>-4.147</v>
      </c>
    </row>
    <row r="34" spans="2:9" s="33" customFormat="1" ht="12.75">
      <c r="B34" s="33" t="s">
        <v>150</v>
      </c>
      <c r="G34" s="34">
        <v>-116</v>
      </c>
      <c r="H34" s="34"/>
      <c r="I34" s="34">
        <f>187726/1000+0.3</f>
        <v>188.026</v>
      </c>
    </row>
    <row r="35" spans="2:9" s="33" customFormat="1" ht="12.75">
      <c r="B35" s="33" t="s">
        <v>151</v>
      </c>
      <c r="G35" s="34">
        <v>-134</v>
      </c>
      <c r="H35" s="34"/>
      <c r="I35" s="34">
        <f>-672257/1000+0.2</f>
        <v>-672.0569999999999</v>
      </c>
    </row>
    <row r="36" spans="2:9" s="33" customFormat="1" ht="12.75">
      <c r="B36" s="18" t="s">
        <v>116</v>
      </c>
      <c r="G36" s="34">
        <v>-1424</v>
      </c>
      <c r="H36" s="34"/>
      <c r="I36" s="34">
        <v>0</v>
      </c>
    </row>
    <row r="37" spans="2:9" s="33" customFormat="1" ht="12.75">
      <c r="B37" s="18" t="s">
        <v>161</v>
      </c>
      <c r="G37" s="34">
        <v>-317</v>
      </c>
      <c r="H37" s="34"/>
      <c r="I37" s="34">
        <v>60</v>
      </c>
    </row>
    <row r="38" spans="7:9" s="33" customFormat="1" ht="12.75">
      <c r="G38" s="34"/>
      <c r="H38" s="34"/>
      <c r="I38" s="34"/>
    </row>
    <row r="39" spans="2:9" s="33" customFormat="1" ht="12.75">
      <c r="B39" s="33" t="s">
        <v>103</v>
      </c>
      <c r="G39" s="35">
        <f>SUM(G13:G38)</f>
        <v>-7525.198000000004</v>
      </c>
      <c r="H39" s="34"/>
      <c r="I39" s="35">
        <f>SUM(I13:I38)</f>
        <v>15604.774</v>
      </c>
    </row>
    <row r="40" spans="7:9" s="33" customFormat="1" ht="12.75">
      <c r="G40" s="34"/>
      <c r="H40" s="34"/>
      <c r="I40" s="34"/>
    </row>
    <row r="41" spans="2:9" s="33" customFormat="1" ht="12.75">
      <c r="B41" s="33" t="s">
        <v>35</v>
      </c>
      <c r="G41" s="34"/>
      <c r="H41" s="34"/>
      <c r="I41" s="34"/>
    </row>
    <row r="42" spans="2:9" s="33" customFormat="1" ht="12.75">
      <c r="B42" s="33" t="s">
        <v>36</v>
      </c>
      <c r="G42" s="34">
        <v>-5797</v>
      </c>
      <c r="H42" s="34"/>
      <c r="I42" s="34">
        <f>-3339023/1000</f>
        <v>-3339.023</v>
      </c>
    </row>
    <row r="43" spans="2:9" s="33" customFormat="1" ht="12.75">
      <c r="B43" s="33" t="s">
        <v>37</v>
      </c>
      <c r="G43" s="34">
        <v>24869</v>
      </c>
      <c r="H43" s="34"/>
      <c r="I43" s="34">
        <v>-5747</v>
      </c>
    </row>
    <row r="44" spans="2:9" s="33" customFormat="1" ht="12.75">
      <c r="B44" s="33" t="s">
        <v>38</v>
      </c>
      <c r="G44" s="34">
        <v>-4069</v>
      </c>
      <c r="H44" s="34"/>
      <c r="I44" s="34">
        <f>14577273/1000</f>
        <v>14577.273</v>
      </c>
    </row>
    <row r="45" spans="7:9" s="33" customFormat="1" ht="12.75">
      <c r="G45" s="34"/>
      <c r="H45" s="34"/>
      <c r="I45" s="34"/>
    </row>
    <row r="46" spans="2:9" s="33" customFormat="1" ht="12.75">
      <c r="B46" s="33" t="s">
        <v>109</v>
      </c>
      <c r="G46" s="35">
        <f>SUM(G39:G45)</f>
        <v>7477.801999999996</v>
      </c>
      <c r="H46" s="34"/>
      <c r="I46" s="35">
        <f>SUM(I39:I45)</f>
        <v>21096.023999999998</v>
      </c>
    </row>
    <row r="47" spans="7:9" s="33" customFormat="1" ht="12.75">
      <c r="G47" s="34"/>
      <c r="H47" s="34"/>
      <c r="I47" s="34"/>
    </row>
    <row r="48" spans="2:9" s="33" customFormat="1" ht="12.75">
      <c r="B48" s="33" t="s">
        <v>39</v>
      </c>
      <c r="G48" s="34">
        <v>-4795</v>
      </c>
      <c r="H48" s="34"/>
      <c r="I48" s="34">
        <f>-4667928/1000</f>
        <v>-4667.928</v>
      </c>
    </row>
    <row r="49" spans="2:9" s="33" customFormat="1" ht="12.75">
      <c r="B49" s="33" t="s">
        <v>162</v>
      </c>
      <c r="G49" s="34">
        <v>9185</v>
      </c>
      <c r="H49" s="34"/>
      <c r="I49" s="34">
        <v>319</v>
      </c>
    </row>
    <row r="50" spans="2:9" s="33" customFormat="1" ht="12.75">
      <c r="B50" s="33" t="s">
        <v>94</v>
      </c>
      <c r="G50" s="34">
        <v>1859</v>
      </c>
      <c r="H50" s="34"/>
      <c r="I50" s="34">
        <f>294990/1000</f>
        <v>294.99</v>
      </c>
    </row>
    <row r="51" spans="2:9" s="33" customFormat="1" ht="12.75">
      <c r="B51" s="33" t="s">
        <v>40</v>
      </c>
      <c r="G51" s="34">
        <v>-339</v>
      </c>
      <c r="H51" s="34"/>
      <c r="I51" s="34">
        <f>-992222/1000</f>
        <v>-992.222</v>
      </c>
    </row>
    <row r="52" spans="2:9" s="33" customFormat="1" ht="12.75">
      <c r="B52" s="33" t="s">
        <v>152</v>
      </c>
      <c r="G52" s="34">
        <v>0</v>
      </c>
      <c r="H52" s="34"/>
      <c r="I52" s="34">
        <f>-57126/1000</f>
        <v>-57.126</v>
      </c>
    </row>
    <row r="53" spans="7:9" s="33" customFormat="1" ht="12.75">
      <c r="G53" s="34"/>
      <c r="H53" s="34"/>
      <c r="I53" s="34"/>
    </row>
    <row r="54" spans="2:9" s="33" customFormat="1" ht="12.75">
      <c r="B54" s="33" t="s">
        <v>110</v>
      </c>
      <c r="G54" s="36">
        <f>SUM(G46:G52)</f>
        <v>13387.801999999996</v>
      </c>
      <c r="H54" s="34"/>
      <c r="I54" s="36">
        <f>SUM(I46:I52)</f>
        <v>15992.738</v>
      </c>
    </row>
    <row r="55" spans="7:9" s="33" customFormat="1" ht="12.75">
      <c r="G55" s="34"/>
      <c r="H55" s="34"/>
      <c r="I55" s="34"/>
    </row>
    <row r="56" spans="1:9" s="33" customFormat="1" ht="12.75">
      <c r="A56" s="23" t="s">
        <v>41</v>
      </c>
      <c r="G56" s="34"/>
      <c r="H56" s="34"/>
      <c r="I56" s="34"/>
    </row>
    <row r="57" spans="7:9" s="33" customFormat="1" ht="12.75">
      <c r="G57" s="34"/>
      <c r="H57" s="34"/>
      <c r="I57" s="34"/>
    </row>
    <row r="58" spans="2:9" s="33" customFormat="1" ht="12.75">
      <c r="B58" s="33" t="s">
        <v>158</v>
      </c>
      <c r="G58" s="34">
        <v>557</v>
      </c>
      <c r="H58" s="34"/>
      <c r="I58" s="34">
        <f>115329/1000</f>
        <v>115.329</v>
      </c>
    </row>
    <row r="59" spans="2:9" s="33" customFormat="1" ht="12.75">
      <c r="B59" s="33" t="s">
        <v>43</v>
      </c>
      <c r="G59" s="34">
        <v>53</v>
      </c>
      <c r="H59" s="34"/>
      <c r="I59" s="34">
        <f>420496/1000</f>
        <v>420.496</v>
      </c>
    </row>
    <row r="60" spans="2:9" s="33" customFormat="1" ht="12.75">
      <c r="B60" s="33" t="s">
        <v>75</v>
      </c>
      <c r="G60" s="34">
        <v>-7321</v>
      </c>
      <c r="H60" s="34"/>
      <c r="I60" s="34">
        <f>-3018153/1000-0.3</f>
        <v>-3018.453</v>
      </c>
    </row>
    <row r="61" spans="2:9" s="33" customFormat="1" ht="12.75">
      <c r="B61" s="33" t="s">
        <v>163</v>
      </c>
      <c r="G61" s="34">
        <v>2</v>
      </c>
      <c r="H61" s="34"/>
      <c r="I61" s="34"/>
    </row>
    <row r="62" spans="2:9" s="33" customFormat="1" ht="12.75">
      <c r="B62" s="33" t="s">
        <v>51</v>
      </c>
      <c r="G62" s="34">
        <v>1174</v>
      </c>
      <c r="H62" s="34"/>
      <c r="I62" s="34">
        <f>122199/1000-0.2</f>
        <v>121.999</v>
      </c>
    </row>
    <row r="63" spans="2:9" s="33" customFormat="1" ht="12.75">
      <c r="B63" s="33" t="s">
        <v>153</v>
      </c>
      <c r="G63" s="34">
        <v>-500</v>
      </c>
      <c r="H63" s="34"/>
      <c r="I63" s="34">
        <f>-1728907/1000</f>
        <v>-1728.907</v>
      </c>
    </row>
    <row r="64" spans="2:9" s="33" customFormat="1" ht="12.75">
      <c r="B64" s="33" t="s">
        <v>42</v>
      </c>
      <c r="G64" s="34">
        <v>-2074</v>
      </c>
      <c r="H64" s="34"/>
      <c r="I64" s="34">
        <f>-19412977/1000</f>
        <v>-19412.977</v>
      </c>
    </row>
    <row r="65" spans="2:9" s="33" customFormat="1" ht="12.75">
      <c r="B65" s="43" t="s">
        <v>117</v>
      </c>
      <c r="C65" s="43"/>
      <c r="D65" s="43"/>
      <c r="G65" s="34">
        <v>3800</v>
      </c>
      <c r="H65" s="34"/>
      <c r="I65" s="34">
        <v>0</v>
      </c>
    </row>
    <row r="66" spans="7:9" s="33" customFormat="1" ht="12.75">
      <c r="G66" s="34"/>
      <c r="H66" s="34"/>
      <c r="I66" s="34"/>
    </row>
    <row r="67" spans="2:9" s="33" customFormat="1" ht="12.75">
      <c r="B67" s="33" t="s">
        <v>165</v>
      </c>
      <c r="G67" s="36">
        <f>SUM(G58:G66)</f>
        <v>-4309</v>
      </c>
      <c r="H67" s="34"/>
      <c r="I67" s="36">
        <f>SUM(I58:I66)</f>
        <v>-23502.513</v>
      </c>
    </row>
    <row r="68" spans="7:9" s="33" customFormat="1" ht="12.75">
      <c r="G68" s="34"/>
      <c r="H68" s="34"/>
      <c r="I68" s="34"/>
    </row>
    <row r="69" spans="1:9" s="33" customFormat="1" ht="12.75">
      <c r="A69" s="23" t="s">
        <v>44</v>
      </c>
      <c r="G69" s="34"/>
      <c r="H69" s="34"/>
      <c r="I69" s="34"/>
    </row>
    <row r="70" spans="7:9" s="33" customFormat="1" ht="12.75">
      <c r="G70" s="34"/>
      <c r="H70" s="34"/>
      <c r="I70" s="34"/>
    </row>
    <row r="71" spans="2:9" s="33" customFormat="1" ht="12.75">
      <c r="B71" s="33" t="s">
        <v>108</v>
      </c>
      <c r="G71" s="34">
        <v>-5330</v>
      </c>
      <c r="H71" s="34"/>
      <c r="I71" s="34">
        <f>-5329722/1000</f>
        <v>-5329.722</v>
      </c>
    </row>
    <row r="72" spans="2:9" s="33" customFormat="1" ht="12.75">
      <c r="B72" s="33" t="s">
        <v>21</v>
      </c>
      <c r="G72" s="34">
        <v>4808</v>
      </c>
      <c r="H72" s="34"/>
      <c r="I72" s="34">
        <f>12115000/1000</f>
        <v>12115</v>
      </c>
    </row>
    <row r="73" spans="2:9" s="33" customFormat="1" ht="12.75">
      <c r="B73" s="33" t="s">
        <v>54</v>
      </c>
      <c r="G73" s="34">
        <v>0</v>
      </c>
      <c r="H73" s="34"/>
      <c r="I73" s="34">
        <v>0</v>
      </c>
    </row>
    <row r="74" spans="2:9" s="33" customFormat="1" ht="12.75">
      <c r="B74" s="33" t="s">
        <v>20</v>
      </c>
      <c r="G74" s="34">
        <v>-295</v>
      </c>
      <c r="H74" s="34"/>
      <c r="I74" s="34">
        <f>-303426/1000</f>
        <v>-303.426</v>
      </c>
    </row>
    <row r="75" spans="2:9" s="33" customFormat="1" ht="12.75">
      <c r="B75" s="33" t="s">
        <v>61</v>
      </c>
      <c r="G75" s="34">
        <v>-4354</v>
      </c>
      <c r="H75" s="34"/>
      <c r="I75" s="34">
        <f>-4149072/1000</f>
        <v>-4149.072</v>
      </c>
    </row>
    <row r="76" spans="7:9" s="33" customFormat="1" ht="12.75">
      <c r="G76" s="34"/>
      <c r="H76" s="34"/>
      <c r="I76" s="34"/>
    </row>
    <row r="77" spans="2:9" s="33" customFormat="1" ht="12.75">
      <c r="B77" s="33" t="s">
        <v>111</v>
      </c>
      <c r="G77" s="36">
        <f>SUM(G71:G76)</f>
        <v>-5171</v>
      </c>
      <c r="H77" s="34"/>
      <c r="I77" s="36">
        <f>SUM(I71:I76)</f>
        <v>2332.7799999999997</v>
      </c>
    </row>
    <row r="78" spans="7:9" s="33" customFormat="1" ht="12.75">
      <c r="G78" s="37"/>
      <c r="H78" s="34"/>
      <c r="I78" s="37"/>
    </row>
    <row r="79" spans="1:9" s="33" customFormat="1" ht="12.75">
      <c r="A79" s="23" t="s">
        <v>62</v>
      </c>
      <c r="G79" s="37"/>
      <c r="H79" s="34"/>
      <c r="I79" s="37"/>
    </row>
    <row r="80" spans="1:9" s="33" customFormat="1" ht="12.75">
      <c r="A80" s="23" t="s">
        <v>63</v>
      </c>
      <c r="G80" s="36">
        <v>117</v>
      </c>
      <c r="H80" s="34"/>
      <c r="I80" s="36">
        <f>3878/1000-0.2</f>
        <v>3.678</v>
      </c>
    </row>
    <row r="81" spans="7:9" s="33" customFormat="1" ht="12.75">
      <c r="G81" s="34"/>
      <c r="H81" s="34"/>
      <c r="I81" s="34"/>
    </row>
    <row r="82" spans="1:9" s="33" customFormat="1" ht="12.75">
      <c r="A82" s="23" t="s">
        <v>104</v>
      </c>
      <c r="G82" s="34">
        <f>+G54+G67+G77+G80</f>
        <v>4024.801999999996</v>
      </c>
      <c r="H82" s="34"/>
      <c r="I82" s="34">
        <f>+I54+I67+I77+I80</f>
        <v>-5173.317</v>
      </c>
    </row>
    <row r="83" spans="1:9" s="33" customFormat="1" ht="12.75">
      <c r="A83" s="23" t="s">
        <v>45</v>
      </c>
      <c r="G83" s="34">
        <f>I84</f>
        <v>-715.8719999999994</v>
      </c>
      <c r="H83" s="34"/>
      <c r="I83" s="34">
        <f>4457645/1000-0.2</f>
        <v>4457.445000000001</v>
      </c>
    </row>
    <row r="84" spans="1:9" s="33" customFormat="1" ht="13.5" thickBot="1">
      <c r="A84" s="23" t="s">
        <v>154</v>
      </c>
      <c r="G84" s="38">
        <f>SUM(G82:G83)</f>
        <v>3308.9299999999967</v>
      </c>
      <c r="H84" s="34"/>
      <c r="I84" s="38">
        <f>SUM(I82:I83)</f>
        <v>-715.8719999999994</v>
      </c>
    </row>
    <row r="85" spans="1:8" s="33" customFormat="1" ht="13.5" thickTop="1">
      <c r="A85" s="33" t="s">
        <v>46</v>
      </c>
      <c r="G85" s="34"/>
      <c r="H85" s="34"/>
    </row>
    <row r="86" spans="1:8" s="33" customFormat="1" ht="12.75">
      <c r="A86" s="33" t="s">
        <v>96</v>
      </c>
      <c r="G86" s="34"/>
      <c r="H86" s="34"/>
    </row>
    <row r="87" spans="7:8" s="33" customFormat="1" ht="12.75">
      <c r="G87" s="34"/>
      <c r="H87" s="34"/>
    </row>
    <row r="88" spans="1:8" s="33" customFormat="1" ht="12.75">
      <c r="A88" s="39"/>
      <c r="G88" s="34"/>
      <c r="H88" s="34"/>
    </row>
    <row r="89" spans="7:8" s="33" customFormat="1" ht="12.75">
      <c r="G89" s="34"/>
      <c r="H89" s="34"/>
    </row>
    <row r="90" spans="7:8" s="33" customFormat="1" ht="12.75">
      <c r="G90" s="34"/>
      <c r="H90" s="34"/>
    </row>
    <row r="91" spans="7:8" s="33" customFormat="1" ht="12.75">
      <c r="G91" s="34"/>
      <c r="H91" s="34"/>
    </row>
    <row r="92" spans="7:8" s="33" customFormat="1" ht="12.75">
      <c r="G92" s="34"/>
      <c r="H92" s="34"/>
    </row>
    <row r="93" spans="7:8" s="33" customFormat="1" ht="12.75">
      <c r="G93" s="34"/>
      <c r="H93" s="34"/>
    </row>
    <row r="94" spans="7:8" s="33" customFormat="1" ht="12.75">
      <c r="G94" s="34"/>
      <c r="H94" s="34"/>
    </row>
    <row r="95" spans="7:8" s="33" customFormat="1" ht="12.75">
      <c r="G95" s="34"/>
      <c r="H95" s="34"/>
    </row>
    <row r="96" spans="7:8" s="33" customFormat="1" ht="12.75">
      <c r="G96" s="34"/>
      <c r="H96" s="34"/>
    </row>
    <row r="97" spans="7:8" s="33" customFormat="1" ht="12.75">
      <c r="G97" s="34"/>
      <c r="H97" s="34"/>
    </row>
    <row r="98" spans="7:8" s="33" customFormat="1" ht="12.75">
      <c r="G98" s="34"/>
      <c r="H98" s="34"/>
    </row>
    <row r="99" spans="7:8" s="33" customFormat="1" ht="12.75">
      <c r="G99" s="34"/>
      <c r="H99" s="34"/>
    </row>
    <row r="100" spans="7:8" s="33" customFormat="1" ht="12.75">
      <c r="G100" s="34"/>
      <c r="H100" s="34"/>
    </row>
    <row r="101" spans="7:8" s="33" customFormat="1" ht="12.75">
      <c r="G101" s="34"/>
      <c r="H101" s="34"/>
    </row>
    <row r="102" spans="7:8" s="33" customFormat="1" ht="12.75">
      <c r="G102" s="34"/>
      <c r="H102" s="34"/>
    </row>
    <row r="103" spans="7:8" s="33" customFormat="1" ht="12.75">
      <c r="G103" s="34"/>
      <c r="H103" s="34"/>
    </row>
    <row r="104" spans="7:8" s="33" customFormat="1" ht="12.75">
      <c r="G104" s="34"/>
      <c r="H104" s="34"/>
    </row>
    <row r="105" spans="7:8" s="33" customFormat="1" ht="12.75">
      <c r="G105" s="34"/>
      <c r="H105" s="34"/>
    </row>
    <row r="106" s="33" customFormat="1" ht="12.75">
      <c r="G106" s="34"/>
    </row>
    <row r="107" s="33" customFormat="1" ht="12.75">
      <c r="G107" s="34"/>
    </row>
    <row r="108" s="33" customFormat="1" ht="12.75">
      <c r="G108" s="34"/>
    </row>
    <row r="109" s="33" customFormat="1" ht="12.75">
      <c r="G109" s="34"/>
    </row>
    <row r="110" s="33" customFormat="1" ht="12.75">
      <c r="G110" s="34"/>
    </row>
    <row r="111" s="33" customFormat="1" ht="12.75">
      <c r="G111" s="34"/>
    </row>
    <row r="112" s="33" customFormat="1" ht="12.75">
      <c r="G112" s="34"/>
    </row>
    <row r="113" s="33" customFormat="1" ht="12.75">
      <c r="G113" s="34"/>
    </row>
    <row r="114" s="33" customFormat="1" ht="12.75">
      <c r="G114" s="34"/>
    </row>
    <row r="115" s="33" customFormat="1" ht="12.75">
      <c r="G115" s="34"/>
    </row>
    <row r="116" s="33" customFormat="1" ht="12.75">
      <c r="G116" s="34"/>
    </row>
    <row r="117" s="33" customFormat="1" ht="12.75">
      <c r="G117" s="34"/>
    </row>
    <row r="118" s="33" customFormat="1" ht="12.75">
      <c r="G118" s="34"/>
    </row>
    <row r="119" s="33" customFormat="1" ht="12.75">
      <c r="G119" s="34"/>
    </row>
    <row r="120" s="33" customFormat="1" ht="12.75">
      <c r="G120" s="34"/>
    </row>
    <row r="121" s="33" customFormat="1" ht="12.75">
      <c r="G121" s="34"/>
    </row>
    <row r="122" s="33" customFormat="1" ht="12.75">
      <c r="G122" s="34"/>
    </row>
    <row r="123" s="33" customFormat="1" ht="12.75">
      <c r="G123" s="34"/>
    </row>
    <row r="124" s="33" customFormat="1" ht="12.75">
      <c r="G124" s="34"/>
    </row>
    <row r="125" s="33" customFormat="1" ht="12.75">
      <c r="G125" s="34"/>
    </row>
    <row r="126" s="33" customFormat="1" ht="12.75">
      <c r="G126" s="34"/>
    </row>
    <row r="127" s="33" customFormat="1" ht="12.75">
      <c r="G127" s="34"/>
    </row>
    <row r="128" s="33" customFormat="1" ht="12.75">
      <c r="G128" s="34"/>
    </row>
    <row r="129" s="33" customFormat="1" ht="12.75">
      <c r="G129" s="34"/>
    </row>
    <row r="130" s="33" customFormat="1" ht="12.75">
      <c r="G130" s="34"/>
    </row>
    <row r="131" s="33" customFormat="1" ht="12.75">
      <c r="G131" s="34"/>
    </row>
    <row r="132" s="33" customFormat="1" ht="12.75">
      <c r="G132" s="34"/>
    </row>
    <row r="133" s="33" customFormat="1" ht="12.75">
      <c r="G133" s="34"/>
    </row>
    <row r="134" s="33" customFormat="1" ht="12.75">
      <c r="G134" s="34"/>
    </row>
    <row r="135" s="33" customFormat="1" ht="12.75">
      <c r="G135" s="34"/>
    </row>
    <row r="136" s="33" customFormat="1" ht="12.75">
      <c r="G136" s="34"/>
    </row>
    <row r="137" s="33" customFormat="1" ht="12.75">
      <c r="G137" s="34"/>
    </row>
    <row r="138" s="33" customFormat="1" ht="12.75">
      <c r="G138" s="34"/>
    </row>
    <row r="139" s="33" customFormat="1" ht="12.75">
      <c r="G139" s="34"/>
    </row>
    <row r="140" s="33" customFormat="1" ht="12.75">
      <c r="G140" s="34"/>
    </row>
    <row r="141" s="33" customFormat="1" ht="12.75">
      <c r="G141" s="34"/>
    </row>
    <row r="142" s="33" customFormat="1" ht="12.75">
      <c r="G142" s="34"/>
    </row>
    <row r="143" s="33" customFormat="1" ht="12.75">
      <c r="G143" s="34"/>
    </row>
    <row r="144" s="33" customFormat="1" ht="12.75">
      <c r="G144" s="34"/>
    </row>
    <row r="145" s="33" customFormat="1" ht="12.75">
      <c r="G145" s="34"/>
    </row>
    <row r="146" s="33" customFormat="1" ht="12.75">
      <c r="G146" s="34"/>
    </row>
    <row r="147" s="33" customFormat="1" ht="12.75">
      <c r="G147" s="34"/>
    </row>
  </sheetData>
  <mergeCells count="1">
    <mergeCell ref="B65:D6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showGridLines="0"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11" sqref="J11"/>
    </sheetView>
  </sheetViews>
  <sheetFormatPr defaultColWidth="9.140625" defaultRowHeight="12.75"/>
  <cols>
    <col min="4" max="4" width="10.28125" style="0" bestFit="1" customWidth="1"/>
    <col min="5" max="5" width="9.28125" style="0" bestFit="1" customWidth="1"/>
    <col min="6" max="6" width="13.28125" style="0" customWidth="1"/>
    <col min="7" max="7" width="10.28125" style="0" bestFit="1" customWidth="1"/>
    <col min="8" max="8" width="6.421875" style="0" customWidth="1"/>
    <col min="9" max="9" width="10.28125" style="0" bestFit="1" customWidth="1"/>
    <col min="10" max="10" width="9.28125" style="0" bestFit="1" customWidth="1"/>
    <col min="11" max="11" width="10.28125" style="0" bestFit="1" customWidth="1"/>
  </cols>
  <sheetData>
    <row r="1" ht="18">
      <c r="A1" s="2" t="s">
        <v>0</v>
      </c>
    </row>
    <row r="2" ht="15.75">
      <c r="A2" s="1" t="s">
        <v>53</v>
      </c>
    </row>
    <row r="3" ht="15.75">
      <c r="A3" s="1" t="s">
        <v>138</v>
      </c>
    </row>
    <row r="5" ht="15">
      <c r="A5" s="4" t="s">
        <v>24</v>
      </c>
    </row>
    <row r="7" spans="5:7" ht="12.75">
      <c r="E7" s="13" t="s">
        <v>91</v>
      </c>
      <c r="F7" s="3" t="s">
        <v>82</v>
      </c>
      <c r="G7" s="13" t="s">
        <v>92</v>
      </c>
    </row>
    <row r="8" spans="4:11" ht="12.75">
      <c r="D8" s="3"/>
      <c r="E8" s="12" t="s">
        <v>71</v>
      </c>
      <c r="F8" s="3"/>
      <c r="G8" s="3" t="s">
        <v>26</v>
      </c>
      <c r="H8" s="3"/>
      <c r="I8" s="3"/>
      <c r="J8" s="3"/>
      <c r="K8" s="3"/>
    </row>
    <row r="9" spans="4:11" ht="12.75">
      <c r="D9" s="5" t="s">
        <v>25</v>
      </c>
      <c r="E9" s="5" t="s">
        <v>25</v>
      </c>
      <c r="F9" s="5" t="s">
        <v>56</v>
      </c>
      <c r="G9" s="5" t="s">
        <v>49</v>
      </c>
      <c r="H9" s="5"/>
      <c r="I9" s="5" t="s">
        <v>67</v>
      </c>
      <c r="J9" s="3" t="s">
        <v>64</v>
      </c>
      <c r="K9" s="3" t="s">
        <v>27</v>
      </c>
    </row>
    <row r="10" spans="4:11" ht="12.75">
      <c r="D10" s="5" t="s">
        <v>73</v>
      </c>
      <c r="E10" s="5" t="s">
        <v>72</v>
      </c>
      <c r="F10" s="5" t="s">
        <v>57</v>
      </c>
      <c r="G10" s="5" t="s">
        <v>70</v>
      </c>
      <c r="H10" s="5"/>
      <c r="I10" s="5" t="s">
        <v>68</v>
      </c>
      <c r="J10" s="3" t="s">
        <v>65</v>
      </c>
      <c r="K10" s="3" t="s">
        <v>66</v>
      </c>
    </row>
    <row r="11" spans="4:11" ht="12.75">
      <c r="D11" s="5"/>
      <c r="E11" s="5"/>
      <c r="F11" s="5" t="s">
        <v>58</v>
      </c>
      <c r="G11" s="5"/>
      <c r="H11" s="5"/>
      <c r="I11" s="5" t="s">
        <v>69</v>
      </c>
      <c r="J11" s="3"/>
      <c r="K11" s="3"/>
    </row>
    <row r="12" spans="4:11" ht="12.75">
      <c r="D12" s="5" t="s">
        <v>2</v>
      </c>
      <c r="E12" s="5" t="s">
        <v>2</v>
      </c>
      <c r="F12" s="5" t="s">
        <v>2</v>
      </c>
      <c r="G12" s="5" t="s">
        <v>2</v>
      </c>
      <c r="H12" s="5"/>
      <c r="I12" s="5" t="s">
        <v>2</v>
      </c>
      <c r="J12" s="5" t="s">
        <v>2</v>
      </c>
      <c r="K12" s="5" t="s">
        <v>2</v>
      </c>
    </row>
    <row r="13" spans="4:9" ht="12.75">
      <c r="D13" s="6"/>
      <c r="E13" s="6"/>
      <c r="F13" s="6"/>
      <c r="G13" s="6"/>
      <c r="H13" s="6"/>
      <c r="I13" s="6"/>
    </row>
    <row r="14" spans="1:11" ht="12.75">
      <c r="A14" t="s">
        <v>100</v>
      </c>
      <c r="D14" s="6">
        <f>D37</f>
        <v>66622</v>
      </c>
      <c r="E14" s="6">
        <f>E37</f>
        <v>4865</v>
      </c>
      <c r="F14" s="6">
        <f>F37</f>
        <v>3</v>
      </c>
      <c r="G14" s="6">
        <f>G37</f>
        <v>46524</v>
      </c>
      <c r="H14" s="6"/>
      <c r="I14" s="6">
        <f>SUM(D14:H14)</f>
        <v>118014</v>
      </c>
      <c r="J14" s="6">
        <v>0</v>
      </c>
      <c r="K14" s="6">
        <f>+I14+J14</f>
        <v>118014</v>
      </c>
    </row>
    <row r="15" spans="4:11" ht="12.75"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74</v>
      </c>
      <c r="D16" s="6">
        <v>0</v>
      </c>
      <c r="E16" s="6">
        <v>0</v>
      </c>
      <c r="F16" s="6">
        <v>126</v>
      </c>
      <c r="G16" s="6">
        <v>0</v>
      </c>
      <c r="H16" s="6"/>
      <c r="I16" s="6">
        <f>SUM(D16:H16)</f>
        <v>126</v>
      </c>
      <c r="J16" s="6"/>
      <c r="K16" s="6">
        <f>+I16+J16</f>
        <v>126</v>
      </c>
    </row>
    <row r="17" spans="4:11" ht="12.75"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114</v>
      </c>
      <c r="D19" s="6">
        <v>0</v>
      </c>
      <c r="E19" s="6">
        <v>0</v>
      </c>
      <c r="F19" s="6">
        <v>0</v>
      </c>
      <c r="G19" s="6">
        <f>+Inc!I39</f>
        <v>-28618</v>
      </c>
      <c r="H19" s="6"/>
      <c r="I19" s="6">
        <f>SUM(D19:H19)</f>
        <v>-28618</v>
      </c>
      <c r="J19" s="6">
        <f>1159036/1000</f>
        <v>1159.036</v>
      </c>
      <c r="K19" s="6">
        <f>+I19+J19</f>
        <v>-27458.964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1:11" ht="12.75">
      <c r="A21" t="s">
        <v>60</v>
      </c>
      <c r="D21" s="6">
        <v>0</v>
      </c>
      <c r="E21" s="6">
        <v>0</v>
      </c>
      <c r="F21" s="6">
        <v>0</v>
      </c>
      <c r="G21" s="6">
        <v>-5330</v>
      </c>
      <c r="H21" s="6"/>
      <c r="I21" s="6">
        <f>SUM(D21:H21)</f>
        <v>-5330</v>
      </c>
      <c r="J21" s="6">
        <v>0</v>
      </c>
      <c r="K21" s="6">
        <f>+I21+J21</f>
        <v>-5330</v>
      </c>
    </row>
    <row r="22" spans="4:11" ht="12.75">
      <c r="D22" s="6"/>
      <c r="E22" s="6"/>
      <c r="F22" s="6"/>
      <c r="G22" s="6"/>
      <c r="H22" s="6"/>
      <c r="I22" s="6"/>
      <c r="J22" s="6"/>
      <c r="K22" s="6"/>
    </row>
    <row r="23" spans="4:11" ht="12.75">
      <c r="D23" s="6"/>
      <c r="E23" s="6"/>
      <c r="F23" s="6"/>
      <c r="G23" s="6"/>
      <c r="H23" s="6"/>
      <c r="I23" s="6"/>
      <c r="J23" s="6"/>
      <c r="K23" s="6"/>
    </row>
    <row r="24" spans="1:11" s="6" customFormat="1" ht="13.5" thickBot="1">
      <c r="A24" s="6" t="s">
        <v>141</v>
      </c>
      <c r="D24" s="8">
        <f>SUM(D14:D23)</f>
        <v>66622</v>
      </c>
      <c r="E24" s="8">
        <f>SUM(E14:E23)</f>
        <v>4865</v>
      </c>
      <c r="F24" s="8">
        <f>SUM(F14:F23)</f>
        <v>129</v>
      </c>
      <c r="G24" s="8">
        <f>SUM(G14:G23)</f>
        <v>12576</v>
      </c>
      <c r="I24" s="8">
        <f>SUM(I14:I23)</f>
        <v>84192</v>
      </c>
      <c r="J24" s="8">
        <f>SUM(J14:J23)</f>
        <v>1159.036</v>
      </c>
      <c r="K24" s="8">
        <f>SUM(K14:K23)</f>
        <v>85351.036</v>
      </c>
    </row>
    <row r="25" spans="4:9" ht="13.5" thickTop="1">
      <c r="D25" s="6"/>
      <c r="E25" s="6"/>
      <c r="F25" s="6"/>
      <c r="G25" s="6"/>
      <c r="H25" s="6"/>
      <c r="I25" s="6"/>
    </row>
    <row r="26" spans="4:9" ht="12.75">
      <c r="D26" s="6"/>
      <c r="E26" s="6"/>
      <c r="F26" s="6"/>
      <c r="G26" s="6"/>
      <c r="H26" s="6"/>
      <c r="I26" s="6"/>
    </row>
    <row r="27" spans="1:11" ht="12.75">
      <c r="A27" t="s">
        <v>93</v>
      </c>
      <c r="D27" s="6">
        <v>66622</v>
      </c>
      <c r="E27" s="6">
        <v>4865</v>
      </c>
      <c r="F27" s="6">
        <v>4.324</v>
      </c>
      <c r="G27" s="6">
        <v>48258</v>
      </c>
      <c r="H27" s="6"/>
      <c r="I27" s="6">
        <f>SUM(D27:H27)</f>
        <v>119749.324</v>
      </c>
      <c r="J27" s="6">
        <v>0</v>
      </c>
      <c r="K27" s="6">
        <f>+I27+J27</f>
        <v>119749.324</v>
      </c>
    </row>
    <row r="28" spans="4:11" ht="12.75">
      <c r="D28" s="6"/>
      <c r="E28" s="6"/>
      <c r="F28" s="6"/>
      <c r="G28" s="6"/>
      <c r="H28" s="6"/>
      <c r="I28" s="6"/>
      <c r="J28" s="6"/>
      <c r="K28" s="6"/>
    </row>
    <row r="29" spans="4:11" ht="12.75">
      <c r="D29" s="6"/>
      <c r="E29" s="6"/>
      <c r="F29" s="6"/>
      <c r="G29" s="6"/>
      <c r="H29" s="6"/>
      <c r="I29" s="6"/>
      <c r="J29" s="6"/>
      <c r="K29" s="6"/>
    </row>
    <row r="30" spans="1:11" ht="12.75">
      <c r="A30" t="s">
        <v>74</v>
      </c>
      <c r="D30" s="6">
        <v>0</v>
      </c>
      <c r="E30" s="6">
        <v>0</v>
      </c>
      <c r="F30" s="6">
        <v>-1</v>
      </c>
      <c r="G30" s="6">
        <v>0</v>
      </c>
      <c r="H30" s="6"/>
      <c r="I30" s="6">
        <f>SUM(D30:H30)</f>
        <v>-1</v>
      </c>
      <c r="J30" s="6">
        <v>0</v>
      </c>
      <c r="K30" s="6">
        <f>+I30+J30</f>
        <v>-1</v>
      </c>
    </row>
    <row r="31" spans="4:11" ht="12.75">
      <c r="D31" s="6"/>
      <c r="E31" s="6"/>
      <c r="F31" s="6"/>
      <c r="G31" s="6"/>
      <c r="H31" s="6"/>
      <c r="I31" s="6"/>
      <c r="J31" s="6"/>
      <c r="K31" s="6"/>
    </row>
    <row r="32" spans="4:11" ht="12.75">
      <c r="D32" s="6"/>
      <c r="E32" s="6"/>
      <c r="F32" s="6"/>
      <c r="G32" s="6"/>
      <c r="H32" s="6"/>
      <c r="I32" s="6"/>
      <c r="J32" s="6"/>
      <c r="K32" s="6"/>
    </row>
    <row r="33" spans="1:11" ht="12.75">
      <c r="A33" t="s">
        <v>155</v>
      </c>
      <c r="D33" s="6">
        <v>0</v>
      </c>
      <c r="E33" s="6">
        <v>0</v>
      </c>
      <c r="F33" s="6">
        <v>0</v>
      </c>
      <c r="G33" s="6">
        <v>3596</v>
      </c>
      <c r="H33" s="6"/>
      <c r="I33" s="6">
        <f>SUM(D33:H33)</f>
        <v>3596</v>
      </c>
      <c r="J33" s="6">
        <v>0</v>
      </c>
      <c r="K33" s="6">
        <f>+I33+J33</f>
        <v>3596</v>
      </c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60</v>
      </c>
      <c r="D35" s="6">
        <v>0</v>
      </c>
      <c r="E35" s="6">
        <v>0</v>
      </c>
      <c r="F35" s="6">
        <v>0</v>
      </c>
      <c r="G35" s="6">
        <v>-5330</v>
      </c>
      <c r="H35" s="6"/>
      <c r="I35" s="6">
        <f>SUM(D35:H35)</f>
        <v>-5330</v>
      </c>
      <c r="J35" s="6">
        <v>0</v>
      </c>
      <c r="K35" s="6">
        <f>+I35+J35</f>
        <v>-5330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3.5" thickBot="1">
      <c r="A37" t="s">
        <v>142</v>
      </c>
      <c r="D37" s="8">
        <f>SUM(D27:D36)</f>
        <v>66622</v>
      </c>
      <c r="E37" s="8">
        <f>SUM(E27:E36)</f>
        <v>4865</v>
      </c>
      <c r="F37" s="8">
        <v>3</v>
      </c>
      <c r="G37" s="8">
        <f>SUM(G27:G36)</f>
        <v>46524</v>
      </c>
      <c r="H37" s="6"/>
      <c r="I37" s="8">
        <f>SUM(I27:I36)</f>
        <v>118014.324</v>
      </c>
      <c r="J37" s="8">
        <f>SUM(J27:J36)</f>
        <v>0</v>
      </c>
      <c r="K37" s="8">
        <f>SUM(K27:K36)</f>
        <v>118014.324</v>
      </c>
    </row>
    <row r="38" spans="4:11" ht="13.5" thickTop="1">
      <c r="D38" s="6"/>
      <c r="E38" s="6"/>
      <c r="F38" s="6"/>
      <c r="G38" s="6"/>
      <c r="H38" s="6"/>
      <c r="I38" s="6"/>
      <c r="J38" s="6"/>
      <c r="K38" s="6"/>
    </row>
    <row r="39" spans="4:11" ht="12.75">
      <c r="D39" s="6"/>
      <c r="E39" s="6"/>
      <c r="F39" s="6"/>
      <c r="G39" s="6"/>
      <c r="H39" s="6"/>
      <c r="I39" s="6"/>
      <c r="J39" s="6"/>
      <c r="K39" s="6"/>
    </row>
    <row r="40" spans="4:11" ht="12.75">
      <c r="D40" s="6"/>
      <c r="E40" s="6"/>
      <c r="F40" s="6"/>
      <c r="G40" s="6"/>
      <c r="H40" s="6"/>
      <c r="I40" s="6"/>
      <c r="J40" s="6"/>
      <c r="K40" s="6"/>
    </row>
    <row r="41" spans="4:9" ht="12.75">
      <c r="D41" s="6"/>
      <c r="E41" s="6"/>
      <c r="F41" s="6"/>
      <c r="G41" s="6"/>
      <c r="H41" s="6"/>
      <c r="I41" s="6"/>
    </row>
    <row r="42" spans="1:9" ht="12.75">
      <c r="A42" t="s">
        <v>28</v>
      </c>
      <c r="D42" s="6"/>
      <c r="E42" s="6"/>
      <c r="F42" s="6"/>
      <c r="G42" s="6"/>
      <c r="H42" s="6"/>
      <c r="I42" s="6"/>
    </row>
    <row r="43" spans="1:9" ht="12.75">
      <c r="A43" t="s">
        <v>99</v>
      </c>
      <c r="D43" s="6"/>
      <c r="E43" s="6"/>
      <c r="F43" s="6"/>
      <c r="G43" s="6"/>
      <c r="H43" s="6"/>
      <c r="I43" s="6"/>
    </row>
    <row r="44" spans="4:9" ht="12.75">
      <c r="D44" s="6"/>
      <c r="E44" s="6"/>
      <c r="F44" s="6"/>
      <c r="G44" s="6"/>
      <c r="H44" s="6"/>
      <c r="I44" s="6"/>
    </row>
    <row r="45" spans="1:9" ht="12.75">
      <c r="A45" s="9"/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Pentamaster</cp:lastModifiedBy>
  <cp:lastPrinted>2009-02-27T08:32:04Z</cp:lastPrinted>
  <dcterms:created xsi:type="dcterms:W3CDTF">1996-10-14T23:33:28Z</dcterms:created>
  <dcterms:modified xsi:type="dcterms:W3CDTF">2009-02-27T08:32:08Z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