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3"/>
  </bookViews>
  <sheets>
    <sheet name="Inc" sheetId="1" r:id="rId1"/>
    <sheet name="BS" sheetId="2" r:id="rId2"/>
    <sheet name="CF" sheetId="3" r:id="rId3"/>
    <sheet name="E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<sst xmlns="http://schemas.openxmlformats.org/spreadsheetml/2006/main" count="180" uniqueCount="141">
  <si>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</si>
  <si>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</si>
  <si>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</si>
  <si>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</si>
  <si>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</si>
  <si>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</si>
  <si>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</si>
  <si>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</si>
  <si>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</si>
  <si>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Finance cost</t>
  </si>
  <si>
    <t>Taxation</t>
  </si>
  <si>
    <t>Minority interest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</si>
  <si>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</si>
  <si>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</si>
  <si>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</si>
  <si>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</si>
  <si>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</si>
  <si>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</si>
  <si>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</si>
  <si>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</si>
  <si>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</si>
  <si>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</si>
  <si>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</si>
  <si>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</si>
  <si>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</si>
  <si>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</si>
  <si>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</si>
  <si>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</si>
  <si>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Share capital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</si>
  <si>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</si>
  <si>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</si>
  <si>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</si>
  <si>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</si>
  <si>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</si>
  <si>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</si>
  <si>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</si>
  <si>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</si>
  <si>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</si>
  <si>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</si>
  <si>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</si>
  <si>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Interest expense</t>
  </si>
  <si>
    <t xml:space="preserve">  Interest income</t>
  </si>
  <si>
    <t>Changes in working capital</t>
  </si>
  <si>
    <t xml:space="preserve">  Inventories</t>
  </si>
  <si>
    <t xml:space="preserve">  Receivables</t>
  </si>
  <si>
    <t xml:space="preserve">  Payables</t>
  </si>
  <si>
    <t>Interest paid</t>
  </si>
  <si>
    <t>Tax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</si>
  <si>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</si>
  <si>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</si>
  <si>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</si>
  <si>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</si>
  <si>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</si>
  <si>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</si>
  <si>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</si>
  <si>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</si>
  <si>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</si>
  <si>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</si>
  <si>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>Proceeds from disposal of property, plant &amp; equipment</t>
  </si>
  <si>
    <t xml:space="preserve">  3 Months Ended</t>
  </si>
  <si>
    <t>QUARTERLY REPORT ON UNAUDITED CONSOLIDATED RESULTS</t>
  </si>
  <si>
    <t>Proceeds from term loan drawdown</t>
  </si>
  <si>
    <t>Other investments</t>
  </si>
  <si>
    <t>Exchange</t>
  </si>
  <si>
    <t>Fluctuation</t>
  </si>
  <si>
    <t>Reserve</t>
  </si>
  <si>
    <t xml:space="preserve">  Unrealised (gain)/loss on foreign exchange</t>
  </si>
  <si>
    <t>Minority Interests</t>
  </si>
  <si>
    <t>Dividends</t>
  </si>
  <si>
    <t>Repayment of term loan</t>
  </si>
  <si>
    <t>Effect Of Foreign Exchange Rate Change On</t>
  </si>
  <si>
    <t>Consolidation</t>
  </si>
  <si>
    <t>Profit attributable to :</t>
  </si>
  <si>
    <t>Equity holders of the parent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</si>
  <si>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</si>
  <si>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</si>
  <si>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</si>
  <si>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</si>
  <si>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</si>
  <si>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</si>
  <si>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</si>
  <si>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</si>
  <si>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</si>
  <si>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</si>
  <si>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</si>
  <si>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>Development expenditure</t>
  </si>
  <si>
    <t>Investment in an associated company</t>
  </si>
  <si>
    <t>Tax recoverable</t>
  </si>
  <si>
    <t>Fixed deposits and short term fund</t>
  </si>
  <si>
    <t>ASSETS</t>
  </si>
  <si>
    <t>TOTAL ASSETS</t>
  </si>
  <si>
    <t>EQUITY AND LIABILITIES</t>
  </si>
  <si>
    <t>Equity Attributable To Equity Holders Of The Company</t>
  </si>
  <si>
    <t>Reserves</t>
  </si>
  <si>
    <t>Total Equity</t>
  </si>
  <si>
    <t>Non Current Liabilities</t>
  </si>
  <si>
    <t>Term loans</t>
  </si>
  <si>
    <t>Hire purchase liabilities</t>
  </si>
  <si>
    <t>Deferred tax liabilities</t>
  </si>
  <si>
    <t>Tax payable</t>
  </si>
  <si>
    <t>Total Liabilities</t>
  </si>
  <si>
    <t>TOTAL EQUITY AND LIABILITIES</t>
  </si>
  <si>
    <t>------------</t>
  </si>
  <si>
    <t>--------------</t>
  </si>
  <si>
    <t>As at 1 January 2007</t>
  </si>
  <si>
    <t>Tax refund</t>
  </si>
  <si>
    <t>31.12.2007</t>
  </si>
  <si>
    <t>Audited Financial Statements of the Group for the year ended 31 December 2007.</t>
  </si>
  <si>
    <t>Prepaid lease payment</t>
  </si>
  <si>
    <t>Intangible assets</t>
  </si>
  <si>
    <t>with the Annual Audited Financial Statements of the Group for the year ended 31 December 2007.</t>
  </si>
  <si>
    <t>As at 1 January 2008</t>
  </si>
  <si>
    <t xml:space="preserve">  Year To Date Ended</t>
  </si>
  <si>
    <t>(Loss)/Profit from operations</t>
  </si>
  <si>
    <t>Share of (loss)/profit of associate</t>
  </si>
  <si>
    <t>(Loss)/Profit before taxation</t>
  </si>
  <si>
    <t>(Loss)/Profit after taxation</t>
  </si>
  <si>
    <t>Operating (loss)/profit before working capital changes</t>
  </si>
  <si>
    <t>Net cash outflow from investing activities</t>
  </si>
  <si>
    <t>Cash generated from/(used in) operations</t>
  </si>
  <si>
    <t>Net cash inflow from financing activities</t>
  </si>
  <si>
    <t>Net Increase/(Decrease) In Cash And Cash Equivalents</t>
  </si>
  <si>
    <t>Net cash generated from/(used in) operating activities</t>
  </si>
  <si>
    <t>FOR THE FINANCIAL QUARTER ENDED 30 JUNE 2008</t>
  </si>
  <si>
    <t>30.06.2007</t>
  </si>
  <si>
    <t>30.06.2008</t>
  </si>
  <si>
    <t>30.6.2008</t>
  </si>
  <si>
    <t>6 Months</t>
  </si>
  <si>
    <t>30.6.2007</t>
  </si>
  <si>
    <t>As at 30 June 2008</t>
  </si>
  <si>
    <t>As at 30 June 2007</t>
  </si>
  <si>
    <t>Deferred income</t>
  </si>
  <si>
    <t xml:space="preserve">  Depreciation of </t>
  </si>
  <si>
    <t xml:space="preserve">  Amortisation of intangible assets</t>
  </si>
  <si>
    <t xml:space="preserve">  Gain on disposal of property, plant &amp; equipment</t>
  </si>
  <si>
    <t xml:space="preserve">  Allowance for doubtful debts</t>
  </si>
  <si>
    <t xml:space="preserve">  Share of results of associated company</t>
  </si>
  <si>
    <t xml:space="preserve">  Bad debts recovered</t>
  </si>
  <si>
    <t>Government grant received</t>
  </si>
  <si>
    <t xml:space="preserve">  Amortisation of deferred government grants</t>
  </si>
  <si>
    <t>Cash And Cash Equivalents As At 30 June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</si>
</sst>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 quotePrefix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38" fontId="4" fillId="0" borderId="0" xfId="0" applyFont="1" applyAlignment="1">
      <alignment/>
    </xf>
    <xf numFmtId="38" fontId="8" fillId="0" borderId="0" xfId="0" applyAlignment="1">
      <alignment/>
    </xf>
    <xf numFmtId="38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ing%20file\Monthly%20accounts\Q2%2008\June%2008\Conso_Penta_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S"/>
      <sheetName val="PI"/>
      <sheetName val="PE"/>
      <sheetName val="PU"/>
      <sheetName val="PEM"/>
      <sheetName val="PC"/>
      <sheetName val="PCM"/>
      <sheetName val="PP"/>
      <sheetName val="PMAE"/>
      <sheetName val="PMAE-RMB"/>
      <sheetName val="consolaadj_current"/>
      <sheetName val="consoladj_permanent"/>
      <sheetName val="consolpl_month_jan~june"/>
      <sheetName val="consolpl_quarterly"/>
      <sheetName val="Summary"/>
      <sheetName val="INTER-COM"/>
      <sheetName val="consolpl_month_july~dec"/>
      <sheetName val="consolbs 1"/>
      <sheetName val="consolbs 2"/>
      <sheetName val="CFS_YTD"/>
      <sheetName val="CFS_quater"/>
      <sheetName val="consolbs July~Dec"/>
      <sheetName val="goodwill"/>
      <sheetName val="consoleq"/>
      <sheetName val="schedule"/>
      <sheetName val="PL(segment)"/>
      <sheetName val="PL(sgmt_d)"/>
      <sheetName val="PL(segment)(Q2)"/>
      <sheetName val="PL(sgmt_d)(Q2)"/>
      <sheetName val="PL(segment) (Q1)"/>
      <sheetName val="PL(sgmt_d) (Q1)"/>
      <sheetName val="PL(segment)(YTD)"/>
      <sheetName val="PL(sgmt_d)(YTD)"/>
    </sheetNames>
    <sheetDataSet>
      <sheetData sheetId="14">
        <row r="22">
          <cell r="AE22">
            <v>32994908.909320556</v>
          </cell>
        </row>
        <row r="30">
          <cell r="AE30">
            <v>-25771960.592779007</v>
          </cell>
        </row>
        <row r="34">
          <cell r="AE34">
            <v>1002206.9347806503</v>
          </cell>
        </row>
        <row r="36">
          <cell r="AE36">
            <v>-3884911.4367348673</v>
          </cell>
        </row>
        <row r="38">
          <cell r="AE38">
            <v>-1287677.4959919066</v>
          </cell>
        </row>
        <row r="40">
          <cell r="AE40">
            <v>-434958.989460409</v>
          </cell>
        </row>
        <row r="44">
          <cell r="AE44">
            <v>-1249307.2932494231</v>
          </cell>
        </row>
        <row r="46">
          <cell r="AE46">
            <v>-1583.68</v>
          </cell>
        </row>
        <row r="50">
          <cell r="AE50">
            <v>-518541</v>
          </cell>
        </row>
      </sheetData>
      <sheetData sheetId="18">
        <row r="9">
          <cell r="P9">
            <v>121194550.59131594</v>
          </cell>
        </row>
        <row r="11">
          <cell r="P11">
            <v>7565210</v>
          </cell>
        </row>
        <row r="13">
          <cell r="P13">
            <v>9533736</v>
          </cell>
        </row>
        <row r="25">
          <cell r="P25">
            <v>2094719.8201000001</v>
          </cell>
        </row>
        <row r="28">
          <cell r="P28">
            <v>4859900</v>
          </cell>
        </row>
        <row r="38">
          <cell r="P38">
            <v>37110396.60617025</v>
          </cell>
        </row>
        <row r="39">
          <cell r="P39">
            <v>40236468.19767663</v>
          </cell>
        </row>
        <row r="40">
          <cell r="P40">
            <v>7528133.338411726</v>
          </cell>
        </row>
        <row r="43">
          <cell r="P43">
            <v>1178416.67</v>
          </cell>
        </row>
        <row r="45">
          <cell r="P45">
            <v>5009725.8486002665</v>
          </cell>
        </row>
        <row r="50">
          <cell r="P50">
            <v>24419401.13085317</v>
          </cell>
        </row>
        <row r="51">
          <cell r="P51">
            <v>6357768.408518377</v>
          </cell>
        </row>
        <row r="53">
          <cell r="P53">
            <v>360200</v>
          </cell>
        </row>
        <row r="56">
          <cell r="P56">
            <v>226067</v>
          </cell>
        </row>
        <row r="57">
          <cell r="P57">
            <v>29828000</v>
          </cell>
        </row>
        <row r="58">
          <cell r="P58">
            <v>1710932</v>
          </cell>
        </row>
        <row r="59">
          <cell r="P59">
            <v>4669231</v>
          </cell>
        </row>
        <row r="60">
          <cell r="P60">
            <v>2974</v>
          </cell>
        </row>
        <row r="68">
          <cell r="P68">
            <v>66621525</v>
          </cell>
        </row>
        <row r="79">
          <cell r="P79">
            <v>4865159</v>
          </cell>
        </row>
        <row r="85">
          <cell r="P85">
            <v>50766.1779082446</v>
          </cell>
        </row>
        <row r="86">
          <cell r="P86">
            <v>43846828.92057474</v>
          </cell>
        </row>
        <row r="105">
          <cell r="P105">
            <v>48842152</v>
          </cell>
        </row>
        <row r="106">
          <cell r="P106">
            <v>2041252</v>
          </cell>
        </row>
        <row r="107">
          <cell r="P107">
            <v>2469000</v>
          </cell>
        </row>
      </sheetData>
      <sheetData sheetId="20">
        <row r="14">
          <cell r="N14">
            <v>70462</v>
          </cell>
        </row>
        <row r="15">
          <cell r="N15">
            <v>-1713003</v>
          </cell>
        </row>
        <row r="16">
          <cell r="N16">
            <v>3996180</v>
          </cell>
        </row>
        <row r="18">
          <cell r="N18">
            <v>53266</v>
          </cell>
        </row>
        <row r="19">
          <cell r="N19">
            <v>-119000</v>
          </cell>
        </row>
        <row r="20">
          <cell r="N20">
            <v>-12332</v>
          </cell>
        </row>
        <row r="22">
          <cell r="N22">
            <v>147224.1799</v>
          </cell>
        </row>
        <row r="23">
          <cell r="N23">
            <v>2831714</v>
          </cell>
        </row>
        <row r="24">
          <cell r="N24">
            <v>-30229</v>
          </cell>
        </row>
        <row r="28">
          <cell r="N28">
            <v>-9121529.606170252</v>
          </cell>
        </row>
        <row r="29">
          <cell r="N29">
            <v>13343.802323371172</v>
          </cell>
        </row>
        <row r="30">
          <cell r="N30">
            <v>1659936.661588274</v>
          </cell>
        </row>
        <row r="33">
          <cell r="N33">
            <v>2519331.1308531687</v>
          </cell>
        </row>
        <row r="34">
          <cell r="N34">
            <v>-588063.5914816232</v>
          </cell>
        </row>
        <row r="40">
          <cell r="N40">
            <v>-2831714</v>
          </cell>
        </row>
        <row r="42">
          <cell r="N42">
            <v>1412901.33</v>
          </cell>
        </row>
        <row r="48">
          <cell r="N48">
            <v>-2056730.59131594</v>
          </cell>
        </row>
        <row r="49">
          <cell r="N49">
            <v>25500</v>
          </cell>
        </row>
        <row r="50">
          <cell r="N50">
            <v>-1455640</v>
          </cell>
        </row>
        <row r="51">
          <cell r="N51">
            <v>3435267</v>
          </cell>
        </row>
        <row r="52">
          <cell r="N52">
            <v>30229</v>
          </cell>
        </row>
        <row r="57">
          <cell r="N57">
            <v>2170000</v>
          </cell>
        </row>
        <row r="58">
          <cell r="N58">
            <v>-2157297</v>
          </cell>
        </row>
        <row r="59">
          <cell r="N59">
            <v>-145695</v>
          </cell>
        </row>
        <row r="60">
          <cell r="N60">
            <v>8234999</v>
          </cell>
        </row>
        <row r="66">
          <cell r="N66">
            <v>40552.1779082446</v>
          </cell>
        </row>
        <row r="68">
          <cell r="N68">
            <v>-715520</v>
          </cell>
        </row>
      </sheetData>
      <sheetData sheetId="24">
        <row r="40">
          <cell r="B40">
            <v>66621525</v>
          </cell>
          <cell r="C40">
            <v>4865159</v>
          </cell>
          <cell r="D40">
            <v>2658</v>
          </cell>
          <cell r="E40">
            <v>46524271</v>
          </cell>
        </row>
        <row r="43">
          <cell r="D43">
            <v>48108.1779082446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21">
      <selection activeCell="I44" sqref="I44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8" width="6.140625" style="0" customWidth="1"/>
    <col min="9" max="9" width="11.140625" style="0" customWidth="1"/>
    <col min="10" max="10" width="10.140625" style="0" bestFit="1" customWidth="1"/>
  </cols>
  <sheetData>
    <row r="1" ht="18">
      <c r="A1" s="2" t="s">
        <v>0</v>
      </c>
    </row>
    <row r="2" ht="15.75">
      <c r="A2" s="1" t="s">
        <v>60</v>
      </c>
    </row>
    <row r="3" ht="15.75">
      <c r="A3" s="1" t="s">
        <v>123</v>
      </c>
    </row>
    <row r="5" ht="15">
      <c r="A5" s="4" t="s">
        <v>1</v>
      </c>
    </row>
    <row r="7" spans="5:10" ht="12.75">
      <c r="E7" s="3" t="s">
        <v>59</v>
      </c>
      <c r="F7" s="3"/>
      <c r="G7" s="3"/>
      <c r="H7" s="3"/>
      <c r="I7" s="19" t="s">
        <v>112</v>
      </c>
      <c r="J7" s="3"/>
    </row>
    <row r="8" spans="5:10" ht="12.75">
      <c r="E8" s="5" t="s">
        <v>125</v>
      </c>
      <c r="F8" s="5" t="s">
        <v>124</v>
      </c>
      <c r="G8" s="5"/>
      <c r="H8" s="5"/>
      <c r="I8" s="5" t="s">
        <v>125</v>
      </c>
      <c r="J8" s="5" t="s">
        <v>124</v>
      </c>
    </row>
    <row r="9" spans="4:10" ht="12.75">
      <c r="D9" s="5" t="s">
        <v>3</v>
      </c>
      <c r="E9" s="5" t="s">
        <v>2</v>
      </c>
      <c r="F9" s="5" t="s">
        <v>2</v>
      </c>
      <c r="G9" s="3"/>
      <c r="H9" s="3"/>
      <c r="I9" s="5" t="s">
        <v>2</v>
      </c>
      <c r="J9" s="5" t="s">
        <v>2</v>
      </c>
    </row>
    <row r="10" spans="5:11" ht="12.75">
      <c r="E10" s="6"/>
      <c r="F10" s="6"/>
      <c r="G10" s="6"/>
      <c r="H10" s="6"/>
      <c r="I10" s="6"/>
      <c r="J10" s="6"/>
      <c r="K10" s="6"/>
    </row>
    <row r="11" spans="1:11" ht="12.75">
      <c r="A11" t="s">
        <v>4</v>
      </c>
      <c r="E11" s="6">
        <f>'[1]consolpl_quarterly'!$AE$22/1000</f>
        <v>32994.908909320555</v>
      </c>
      <c r="F11" s="6">
        <v>39736</v>
      </c>
      <c r="G11" s="6"/>
      <c r="H11" s="6"/>
      <c r="I11" s="6">
        <f>34491+E11</f>
        <v>67485.90890932055</v>
      </c>
      <c r="J11" s="6">
        <v>70056</v>
      </c>
      <c r="K11" s="6"/>
    </row>
    <row r="12" spans="5:11" ht="12.75">
      <c r="E12" s="6"/>
      <c r="F12" s="6"/>
      <c r="G12" s="6"/>
      <c r="H12" s="6"/>
      <c r="I12" s="6"/>
      <c r="J12" s="6"/>
      <c r="K12" s="6"/>
    </row>
    <row r="13" spans="1:11" ht="12.75">
      <c r="A13" t="s">
        <v>5</v>
      </c>
      <c r="E13" s="6">
        <f>'[1]consolpl_quarterly'!$AE$30/1000</f>
        <v>-25771.960592779007</v>
      </c>
      <c r="F13" s="6">
        <v>-32495</v>
      </c>
      <c r="G13" s="6"/>
      <c r="H13" s="6"/>
      <c r="I13" s="6">
        <f>-30521+E13</f>
        <v>-56292.96059277901</v>
      </c>
      <c r="J13" s="6">
        <v>-52228</v>
      </c>
      <c r="K13" s="6"/>
    </row>
    <row r="14" spans="5:11" ht="12.75">
      <c r="E14" s="6"/>
      <c r="F14" s="6"/>
      <c r="G14" s="6"/>
      <c r="H14" s="6"/>
      <c r="I14" s="6"/>
      <c r="J14" s="6"/>
      <c r="K14" s="6"/>
    </row>
    <row r="15" spans="1:11" ht="12.75">
      <c r="A15" t="s">
        <v>6</v>
      </c>
      <c r="E15" s="7">
        <f>SUM(E11:E14)</f>
        <v>7222.948316541548</v>
      </c>
      <c r="F15" s="7">
        <f>SUM(F11:F14)</f>
        <v>7241</v>
      </c>
      <c r="G15" s="6"/>
      <c r="H15" s="6"/>
      <c r="I15" s="7">
        <f>SUM(I11:I14)</f>
        <v>11192.948316541544</v>
      </c>
      <c r="J15" s="7">
        <f>SUM(J11:J14)</f>
        <v>17828</v>
      </c>
      <c r="K15" s="6"/>
    </row>
    <row r="16" spans="5:11" ht="12.75">
      <c r="E16" s="6"/>
      <c r="F16" s="6"/>
      <c r="G16" s="6"/>
      <c r="H16" s="6"/>
      <c r="I16" s="6"/>
      <c r="J16" s="6"/>
      <c r="K16" s="6"/>
    </row>
    <row r="17" spans="1:11" ht="12.75">
      <c r="A17" t="s">
        <v>7</v>
      </c>
      <c r="E17" s="6">
        <f>'[1]consolpl_quarterly'!$AE$34/1000</f>
        <v>1002.2069347806503</v>
      </c>
      <c r="F17" s="6">
        <v>464</v>
      </c>
      <c r="G17" s="6"/>
      <c r="H17" s="6"/>
      <c r="I17" s="6">
        <f>514+E17</f>
        <v>1516.2069347806503</v>
      </c>
      <c r="J17" s="6">
        <v>642</v>
      </c>
      <c r="K17" s="6"/>
    </row>
    <row r="18" spans="5:11" ht="12.75">
      <c r="E18" s="6"/>
      <c r="F18" s="6"/>
      <c r="G18" s="6"/>
      <c r="H18" s="6"/>
      <c r="I18" s="6"/>
      <c r="J18" s="6"/>
      <c r="K18" s="6"/>
    </row>
    <row r="19" spans="1:11" ht="12.75">
      <c r="A19" t="s">
        <v>8</v>
      </c>
      <c r="E19" s="6">
        <f>('[1]consolpl_quarterly'!$AE$36+'[1]consolpl_quarterly'!$AE$38+'[1]consolpl_quarterly'!$AE$40)/1000</f>
        <v>-5607.547922187183</v>
      </c>
      <c r="F19" s="6">
        <v>-2483</v>
      </c>
      <c r="G19" s="6"/>
      <c r="H19" s="6"/>
      <c r="I19" s="6">
        <f>-6894+E19</f>
        <v>-12501.547922187183</v>
      </c>
      <c r="J19" s="6">
        <v>-8713</v>
      </c>
      <c r="K19" s="6"/>
    </row>
    <row r="20" spans="5:11" ht="12.75">
      <c r="E20" s="6"/>
      <c r="F20" s="6"/>
      <c r="G20" s="6"/>
      <c r="H20" s="6"/>
      <c r="I20" s="6"/>
      <c r="J20" s="6"/>
      <c r="K20" s="6"/>
    </row>
    <row r="21" spans="1:11" ht="12.75">
      <c r="A21" t="s">
        <v>113</v>
      </c>
      <c r="E21" s="7">
        <f>+E15+SUM(E17:E20)</f>
        <v>2617.607329135015</v>
      </c>
      <c r="F21" s="7">
        <f>+F15+SUM(F17:F20)</f>
        <v>5222</v>
      </c>
      <c r="G21" s="6"/>
      <c r="H21" s="6"/>
      <c r="I21" s="7">
        <f>+I15+SUM(I17:I20)</f>
        <v>207.60732913501124</v>
      </c>
      <c r="J21" s="7">
        <f>+J15+SUM(J17:J20)</f>
        <v>9757</v>
      </c>
      <c r="K21" s="6"/>
    </row>
    <row r="22" spans="5:11" ht="12.75">
      <c r="E22" s="6"/>
      <c r="F22" s="6"/>
      <c r="G22" s="6"/>
      <c r="H22" s="6"/>
      <c r="I22" s="6"/>
      <c r="J22" s="6"/>
      <c r="K22" s="6"/>
    </row>
    <row r="23" spans="1:11" ht="12.75">
      <c r="A23" t="s">
        <v>9</v>
      </c>
      <c r="E23" s="6">
        <f>'[1]consolpl_quarterly'!$AE$44/1000</f>
        <v>-1249.307293249423</v>
      </c>
      <c r="F23" s="6">
        <v>-1796</v>
      </c>
      <c r="G23" s="6"/>
      <c r="H23" s="6"/>
      <c r="I23" s="6">
        <f>-1206+E23</f>
        <v>-2455.3072932494233</v>
      </c>
      <c r="J23" s="6">
        <v>-2152</v>
      </c>
      <c r="K23" s="6"/>
    </row>
    <row r="24" spans="5:11" ht="12.75">
      <c r="E24" s="6"/>
      <c r="F24" s="6"/>
      <c r="G24" s="6"/>
      <c r="H24" s="6"/>
      <c r="I24" s="6"/>
      <c r="J24" s="6"/>
      <c r="K24" s="6"/>
    </row>
    <row r="25" spans="1:11" ht="12.75">
      <c r="A25" t="s">
        <v>114</v>
      </c>
      <c r="E25" s="6">
        <f>'[1]consolpl_quarterly'!$AE$46/1000</f>
        <v>-1.58368</v>
      </c>
      <c r="F25" s="6">
        <v>364</v>
      </c>
      <c r="G25" s="6"/>
      <c r="H25" s="6"/>
      <c r="I25" s="6">
        <f>-146+E25</f>
        <v>-147.58368</v>
      </c>
      <c r="J25" s="6">
        <v>568</v>
      </c>
      <c r="K25" s="6"/>
    </row>
    <row r="26" spans="5:11" ht="12.75">
      <c r="E26" s="6"/>
      <c r="F26" s="6"/>
      <c r="G26" s="6"/>
      <c r="H26" s="6"/>
      <c r="I26" s="6"/>
      <c r="J26" s="6"/>
      <c r="K26" s="6"/>
    </row>
    <row r="27" spans="1:11" ht="12.75">
      <c r="A27" t="s">
        <v>115</v>
      </c>
      <c r="E27" s="7">
        <f>+E21+E23+E25</f>
        <v>1366.7163558855918</v>
      </c>
      <c r="F27" s="7">
        <f>+F21+F23+F25</f>
        <v>3790</v>
      </c>
      <c r="G27" s="6"/>
      <c r="H27" s="6"/>
      <c r="I27" s="7">
        <f>+I21+I23+I25</f>
        <v>-2395.2836441144123</v>
      </c>
      <c r="J27" s="7">
        <f>+J21+J23+J25</f>
        <v>8173</v>
      </c>
      <c r="K27" s="6"/>
    </row>
    <row r="28" spans="5:11" ht="12.75">
      <c r="E28" s="6"/>
      <c r="F28" s="6"/>
      <c r="G28" s="6"/>
      <c r="H28" s="6"/>
      <c r="I28" s="6"/>
      <c r="J28" s="6"/>
      <c r="K28" s="6"/>
    </row>
    <row r="29" spans="1:11" ht="12.75">
      <c r="A29" t="s">
        <v>10</v>
      </c>
      <c r="E29" s="6">
        <f>'[1]consolpl_quarterly'!$AE$50/1000</f>
        <v>-518.541</v>
      </c>
      <c r="F29" s="6">
        <v>-747</v>
      </c>
      <c r="G29" s="6"/>
      <c r="H29" s="6"/>
      <c r="I29" s="6">
        <f>236+E29</f>
        <v>-282.54100000000005</v>
      </c>
      <c r="J29" s="6">
        <v>-1638</v>
      </c>
      <c r="K29" s="6"/>
    </row>
    <row r="30" spans="5:11" ht="12.75">
      <c r="E30" s="6"/>
      <c r="F30" s="6"/>
      <c r="G30" s="6"/>
      <c r="H30" s="6"/>
      <c r="I30" s="6"/>
      <c r="J30" s="6"/>
      <c r="K30" s="6"/>
    </row>
    <row r="31" spans="1:11" ht="13.5" thickBot="1">
      <c r="A31" t="s">
        <v>116</v>
      </c>
      <c r="E31" s="8">
        <f>+E27+E29</f>
        <v>848.1753558855918</v>
      </c>
      <c r="F31" s="8">
        <f>+F27+F29</f>
        <v>3043</v>
      </c>
      <c r="G31" s="6"/>
      <c r="H31" s="6"/>
      <c r="I31" s="8">
        <f>+I27+I29</f>
        <v>-2677.8246441144124</v>
      </c>
      <c r="J31" s="8">
        <f>+J27+J29</f>
        <v>6535</v>
      </c>
      <c r="K31" s="6"/>
    </row>
    <row r="32" spans="5:11" ht="13.5" thickTop="1">
      <c r="E32" s="6"/>
      <c r="F32" s="6"/>
      <c r="G32" s="6"/>
      <c r="H32" s="6"/>
      <c r="I32" s="6"/>
      <c r="J32" s="6"/>
      <c r="K32" s="6"/>
    </row>
    <row r="33" spans="1:11" ht="12.75">
      <c r="A33" t="s">
        <v>72</v>
      </c>
      <c r="E33" s="6"/>
      <c r="F33" s="6"/>
      <c r="G33" s="6"/>
      <c r="H33" s="6"/>
      <c r="I33" s="6"/>
      <c r="J33" s="6"/>
      <c r="K33" s="6"/>
    </row>
    <row r="34" spans="1:11" ht="12.75">
      <c r="A34" t="s">
        <v>73</v>
      </c>
      <c r="E34" s="6">
        <f>E31</f>
        <v>848.1753558855918</v>
      </c>
      <c r="F34" s="6">
        <v>3043</v>
      </c>
      <c r="G34" s="6"/>
      <c r="H34" s="6"/>
      <c r="I34" s="6">
        <f>-3526+E34</f>
        <v>-2677.8246441144083</v>
      </c>
      <c r="J34" s="6">
        <v>6535</v>
      </c>
      <c r="K34" s="6"/>
    </row>
    <row r="35" spans="1:11" ht="12.75">
      <c r="A35" t="s">
        <v>11</v>
      </c>
      <c r="E35" s="6">
        <v>0</v>
      </c>
      <c r="F35" s="6">
        <v>0</v>
      </c>
      <c r="G35" s="6"/>
      <c r="H35" s="6"/>
      <c r="I35" s="6">
        <v>0</v>
      </c>
      <c r="J35" s="6">
        <v>0</v>
      </c>
      <c r="K35" s="6"/>
    </row>
    <row r="36" spans="5:11" ht="12.75">
      <c r="E36" s="6"/>
      <c r="F36" s="6"/>
      <c r="G36" s="6"/>
      <c r="H36" s="6"/>
      <c r="I36" s="6"/>
      <c r="J36" s="6"/>
      <c r="K36" s="6"/>
    </row>
    <row r="37" spans="5:11" ht="13.5" thickBot="1">
      <c r="E37" s="8">
        <f>SUM(E34:E36)</f>
        <v>848.1753558855918</v>
      </c>
      <c r="F37" s="8">
        <f>SUM(F34:F36)</f>
        <v>3043</v>
      </c>
      <c r="G37" s="6"/>
      <c r="H37" s="6"/>
      <c r="I37" s="8">
        <f>SUM(I34:I36)</f>
        <v>-2677.8246441144083</v>
      </c>
      <c r="J37" s="8">
        <f>SUM(J34:J36)</f>
        <v>6535</v>
      </c>
      <c r="K37" s="6"/>
    </row>
    <row r="38" spans="5:11" ht="13.5" thickTop="1">
      <c r="E38" s="6"/>
      <c r="F38" s="6"/>
      <c r="G38" s="6"/>
      <c r="H38" s="6"/>
      <c r="I38" s="6"/>
      <c r="J38" s="6"/>
      <c r="K38" s="6"/>
    </row>
    <row r="39" spans="5:11" ht="12.75">
      <c r="E39" s="6"/>
      <c r="F39" s="6"/>
      <c r="G39" s="6"/>
      <c r="H39" s="6"/>
      <c r="I39" s="6"/>
      <c r="J39" s="6"/>
      <c r="K39" s="6"/>
    </row>
    <row r="40" spans="1:11" ht="12.75">
      <c r="A40" t="s">
        <v>12</v>
      </c>
      <c r="E40" s="9">
        <f>+E37/133243.05*100</f>
        <v>0.6365625493304092</v>
      </c>
      <c r="F40" s="9">
        <f>+F37/133243.05*100</f>
        <v>2.2837964156479456</v>
      </c>
      <c r="G40" s="9"/>
      <c r="H40" s="9"/>
      <c r="I40" s="9">
        <f>+I37/133243.05*100</f>
        <v>-2.009729321052324</v>
      </c>
      <c r="J40" s="9">
        <f>+J37/133243.05*100</f>
        <v>4.904571007643551</v>
      </c>
      <c r="K40" s="6"/>
    </row>
    <row r="41" spans="5:11" ht="12.75">
      <c r="E41" s="9"/>
      <c r="F41" s="9"/>
      <c r="G41" s="9"/>
      <c r="H41" s="9"/>
      <c r="I41" s="9"/>
      <c r="J41" s="9"/>
      <c r="K41" s="6"/>
    </row>
    <row r="42" spans="1:11" ht="12.75">
      <c r="A42" t="s">
        <v>13</v>
      </c>
      <c r="E42" s="9">
        <f>+E37/133243.05*100</f>
        <v>0.6365625493304092</v>
      </c>
      <c r="F42" s="9">
        <f>+F37/133243.05*100</f>
        <v>2.2837964156479456</v>
      </c>
      <c r="G42" s="9"/>
      <c r="H42" s="9"/>
      <c r="I42" s="9">
        <f>+I37/133243.05*100</f>
        <v>-2.009729321052324</v>
      </c>
      <c r="J42" s="9">
        <f>+J37/133243.05*100</f>
        <v>4.904571007643551</v>
      </c>
      <c r="K42" s="6"/>
    </row>
    <row r="43" spans="5:11" ht="12.75">
      <c r="E43" s="6"/>
      <c r="F43" s="6"/>
      <c r="G43" s="6"/>
      <c r="H43" s="6"/>
      <c r="I43" s="6"/>
      <c r="J43" s="6"/>
      <c r="K43" s="6"/>
    </row>
    <row r="44" spans="5:11" ht="12.75">
      <c r="E44" s="6"/>
      <c r="F44" s="6"/>
      <c r="G44" s="6"/>
      <c r="H44" s="6"/>
      <c r="I44" s="6"/>
      <c r="J44" s="6"/>
      <c r="K44" s="6"/>
    </row>
    <row r="45" spans="1:11" ht="12.75">
      <c r="A45" t="s">
        <v>57</v>
      </c>
      <c r="E45" s="6"/>
      <c r="F45" s="6"/>
      <c r="G45" s="6"/>
      <c r="H45" s="6"/>
      <c r="I45" s="6"/>
      <c r="J45" s="6"/>
      <c r="K45" s="6"/>
    </row>
    <row r="46" spans="1:11" ht="12.75">
      <c r="A46" t="s">
        <v>107</v>
      </c>
      <c r="E46" s="6"/>
      <c r="F46" s="6"/>
      <c r="G46" s="6"/>
      <c r="H46" s="6"/>
      <c r="I46" s="6"/>
      <c r="J46" s="6"/>
      <c r="K46" s="6"/>
    </row>
    <row r="47" spans="5:11" ht="12.75">
      <c r="E47" s="6"/>
      <c r="F47" s="6"/>
      <c r="G47" s="6"/>
      <c r="H47" s="6"/>
      <c r="I47" s="6"/>
      <c r="J47" s="6"/>
      <c r="K47" s="6"/>
    </row>
    <row r="48" spans="1:11" ht="12.75">
      <c r="A48" s="10"/>
      <c r="E48" s="6"/>
      <c r="F48" s="6"/>
      <c r="G48" s="6"/>
      <c r="H48" s="6"/>
      <c r="I48" s="6"/>
      <c r="J48" s="6"/>
      <c r="K48" s="6"/>
    </row>
    <row r="49" spans="5:11" ht="12.75">
      <c r="E49" s="6"/>
      <c r="F49" s="6"/>
      <c r="G49" s="6"/>
      <c r="H49" s="6"/>
      <c r="I49" s="6"/>
      <c r="J49" s="6"/>
      <c r="K49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workbookViewId="0" topLeftCell="A17">
      <selection activeCell="C17" sqref="C17"/>
    </sheetView>
  </sheetViews>
  <sheetFormatPr defaultColWidth="9.140625" defaultRowHeight="12.75"/>
  <cols>
    <col min="1" max="1" width="3.7109375" style="0" customWidth="1"/>
    <col min="7" max="7" width="10.281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60</v>
      </c>
    </row>
    <row r="3" ht="15.75">
      <c r="A3" s="1" t="s">
        <v>123</v>
      </c>
    </row>
    <row r="5" ht="15">
      <c r="A5" s="4" t="s">
        <v>14</v>
      </c>
    </row>
    <row r="6" spans="7:9" ht="12.75">
      <c r="G6" s="3" t="s">
        <v>54</v>
      </c>
      <c r="I6" s="5" t="s">
        <v>55</v>
      </c>
    </row>
    <row r="7" spans="6:9" ht="12.75">
      <c r="F7" s="3"/>
      <c r="G7" s="5" t="s">
        <v>15</v>
      </c>
      <c r="H7" s="5"/>
      <c r="I7" s="5" t="s">
        <v>15</v>
      </c>
    </row>
    <row r="8" spans="6:9" ht="12.75">
      <c r="F8" s="3"/>
      <c r="G8" s="5" t="s">
        <v>126</v>
      </c>
      <c r="H8" s="5"/>
      <c r="I8" s="5" t="s">
        <v>106</v>
      </c>
    </row>
    <row r="9" spans="6:9" ht="12.75">
      <c r="F9" s="5"/>
      <c r="G9" s="5" t="s">
        <v>2</v>
      </c>
      <c r="H9" s="5"/>
      <c r="I9" s="5" t="s">
        <v>2</v>
      </c>
    </row>
    <row r="10" spans="1:10" ht="12.75">
      <c r="A10" s="3" t="s">
        <v>89</v>
      </c>
      <c r="G10" s="6"/>
      <c r="H10" s="6"/>
      <c r="I10" s="6"/>
      <c r="J10" s="6"/>
    </row>
    <row r="11" spans="1:10" ht="12.75">
      <c r="A11" s="3" t="s">
        <v>16</v>
      </c>
      <c r="G11" s="6"/>
      <c r="H11" s="6"/>
      <c r="I11" s="6"/>
      <c r="J11" s="6"/>
    </row>
    <row r="12" spans="2:10" ht="12.75">
      <c r="B12" t="s">
        <v>17</v>
      </c>
      <c r="G12" s="6">
        <f>'[1]consolbs 1'!$P$9/1000</f>
        <v>121194.55059131594</v>
      </c>
      <c r="H12" s="6"/>
      <c r="I12" s="6">
        <v>123531</v>
      </c>
      <c r="J12" s="6"/>
    </row>
    <row r="13" spans="2:10" ht="12.75">
      <c r="B13" t="s">
        <v>108</v>
      </c>
      <c r="G13" s="6">
        <f>'[1]consolbs 1'!$P$11/1000</f>
        <v>7565.21</v>
      </c>
      <c r="H13" s="6"/>
      <c r="I13" s="6">
        <v>7634</v>
      </c>
      <c r="J13" s="6"/>
    </row>
    <row r="14" spans="2:10" ht="12.75">
      <c r="B14" t="s">
        <v>86</v>
      </c>
      <c r="G14" s="6">
        <f>'[1]consolbs 1'!$P$25/1000</f>
        <v>2094.7198201</v>
      </c>
      <c r="H14" s="6"/>
      <c r="I14" s="6">
        <v>2242</v>
      </c>
      <c r="J14" s="6"/>
    </row>
    <row r="15" spans="2:10" ht="12.75">
      <c r="B15" t="s">
        <v>62</v>
      </c>
      <c r="G15" s="6">
        <f>'[1]consolbs 1'!$P$28/1000</f>
        <v>4859.9</v>
      </c>
      <c r="H15" s="6"/>
      <c r="I15" s="6">
        <v>4860</v>
      </c>
      <c r="J15" s="6"/>
    </row>
    <row r="16" spans="2:10" ht="12.75">
      <c r="B16" t="s">
        <v>109</v>
      </c>
      <c r="G16" s="6">
        <f>'[1]consolbs 1'!$P$13/1000</f>
        <v>9533.736</v>
      </c>
      <c r="H16" s="6"/>
      <c r="I16" s="6">
        <v>7688</v>
      </c>
      <c r="J16" s="6"/>
    </row>
    <row r="17" spans="7:10" ht="12.75">
      <c r="G17" s="11">
        <f>SUM(G12:G16)</f>
        <v>145248.11641141595</v>
      </c>
      <c r="H17" s="6"/>
      <c r="I17" s="11">
        <f>SUM(I12:I16)</f>
        <v>145955</v>
      </c>
      <c r="J17" s="6"/>
    </row>
    <row r="18" spans="7:10" ht="12.75">
      <c r="G18" s="6"/>
      <c r="H18" s="6"/>
      <c r="I18" s="6"/>
      <c r="J18" s="6"/>
    </row>
    <row r="19" spans="1:10" ht="12.75">
      <c r="A19" s="3" t="s">
        <v>18</v>
      </c>
      <c r="G19" s="6"/>
      <c r="H19" s="6"/>
      <c r="I19" s="6"/>
      <c r="J19" s="6"/>
    </row>
    <row r="20" spans="2:10" ht="12.75">
      <c r="B20" t="s">
        <v>19</v>
      </c>
      <c r="G20" s="6">
        <f>'[1]consolbs 1'!$P$38/1000</f>
        <v>37110.39660617025</v>
      </c>
      <c r="H20" s="6"/>
      <c r="I20" s="6">
        <v>27989</v>
      </c>
      <c r="J20" s="6"/>
    </row>
    <row r="21" spans="2:10" ht="12.75">
      <c r="B21" t="s">
        <v>24</v>
      </c>
      <c r="G21" s="6">
        <f>'[1]consolbs 1'!$P$39/1000</f>
        <v>40236.46819767663</v>
      </c>
      <c r="H21" s="6"/>
      <c r="I21" s="6">
        <v>40184</v>
      </c>
      <c r="J21" s="6"/>
    </row>
    <row r="22" spans="2:10" ht="12.75">
      <c r="B22" t="s">
        <v>20</v>
      </c>
      <c r="G22" s="6">
        <f>'[1]consolbs 1'!$P$40/1000</f>
        <v>7528.133338411726</v>
      </c>
      <c r="H22" s="6"/>
      <c r="I22" s="6">
        <v>9188</v>
      </c>
      <c r="J22" s="6"/>
    </row>
    <row r="23" spans="2:10" ht="12.75">
      <c r="B23" t="s">
        <v>87</v>
      </c>
      <c r="G23" s="6">
        <f>'[1]consolbs 1'!$P$43/1000</f>
        <v>1178.4166699999998</v>
      </c>
      <c r="H23" s="6"/>
      <c r="I23" s="6">
        <v>2776</v>
      </c>
      <c r="J23" s="6"/>
    </row>
    <row r="24" spans="2:10" ht="12.75">
      <c r="B24" t="s">
        <v>88</v>
      </c>
      <c r="G24" s="6">
        <v>0</v>
      </c>
      <c r="H24" s="6"/>
      <c r="I24" s="6">
        <v>0</v>
      </c>
      <c r="J24" s="6"/>
    </row>
    <row r="25" spans="2:10" ht="12.75">
      <c r="B25" t="s">
        <v>21</v>
      </c>
      <c r="G25" s="6">
        <f>'[1]consolbs 1'!$P$45/1000</f>
        <v>5009.7258486002665</v>
      </c>
      <c r="H25" s="6"/>
      <c r="I25" s="6">
        <v>1894</v>
      </c>
      <c r="J25" s="6"/>
    </row>
    <row r="26" spans="7:10" ht="12.75">
      <c r="G26" s="11">
        <f>SUM(G20:G25)</f>
        <v>91063.14066085889</v>
      </c>
      <c r="H26" s="6"/>
      <c r="I26" s="11">
        <f>SUM(I20:I25)</f>
        <v>82031</v>
      </c>
      <c r="J26" s="6"/>
    </row>
    <row r="27" spans="7:10" ht="13.5" thickBot="1">
      <c r="G27" s="6"/>
      <c r="H27" s="6"/>
      <c r="I27" s="6"/>
      <c r="J27" s="6"/>
    </row>
    <row r="28" spans="1:10" ht="14.25" thickBot="1" thickTop="1">
      <c r="A28" s="3" t="s">
        <v>90</v>
      </c>
      <c r="G28" s="12">
        <f>+G17+G26</f>
        <v>236311.25707227484</v>
      </c>
      <c r="H28" s="6"/>
      <c r="I28" s="12">
        <f>+I17+I26</f>
        <v>227986</v>
      </c>
      <c r="J28" s="6"/>
    </row>
    <row r="29" spans="7:10" ht="13.5" thickTop="1">
      <c r="G29" s="6"/>
      <c r="H29" s="6"/>
      <c r="I29" s="6"/>
      <c r="J29" s="6"/>
    </row>
    <row r="30" spans="7:10" ht="12.75">
      <c r="G30" s="6"/>
      <c r="H30" s="6"/>
      <c r="I30" s="6"/>
      <c r="J30" s="6"/>
    </row>
    <row r="31" spans="1:10" ht="12.75">
      <c r="A31" s="3" t="s">
        <v>91</v>
      </c>
      <c r="G31" s="6"/>
      <c r="H31" s="6"/>
      <c r="I31" s="6"/>
      <c r="J31" s="6"/>
    </row>
    <row r="32" spans="1:10" ht="12.75">
      <c r="A32" s="3" t="s">
        <v>92</v>
      </c>
      <c r="G32" s="6"/>
      <c r="H32" s="6"/>
      <c r="I32" s="6"/>
      <c r="J32" s="6"/>
    </row>
    <row r="33" spans="2:10" ht="12.75">
      <c r="B33" t="s">
        <v>28</v>
      </c>
      <c r="G33" s="6">
        <f>'[1]consolbs 1'!$P$68/1000</f>
        <v>66621.525</v>
      </c>
      <c r="H33" s="6"/>
      <c r="I33" s="6">
        <v>66622</v>
      </c>
      <c r="J33" s="6"/>
    </row>
    <row r="34" spans="2:10" ht="12.75">
      <c r="B34" t="s">
        <v>93</v>
      </c>
      <c r="G34" s="6">
        <f>('[1]consolbs 1'!$P$79+'[1]consolbs 1'!$P$85+'[1]consolbs 1'!$P$86)/1000</f>
        <v>48762.75409848298</v>
      </c>
      <c r="H34" s="6"/>
      <c r="I34" s="6">
        <v>51392</v>
      </c>
      <c r="J34" s="6"/>
    </row>
    <row r="35" spans="7:10" ht="12.75">
      <c r="G35" s="7">
        <f>SUM(G33:G34)</f>
        <v>115384.27909848298</v>
      </c>
      <c r="H35" s="6"/>
      <c r="I35" s="7">
        <f>SUM(I33:I34)</f>
        <v>118014</v>
      </c>
      <c r="J35" s="6"/>
    </row>
    <row r="36" spans="1:10" ht="12.75">
      <c r="A36" s="3" t="s">
        <v>67</v>
      </c>
      <c r="G36" s="6">
        <v>0</v>
      </c>
      <c r="H36" s="6"/>
      <c r="I36" s="6">
        <v>0</v>
      </c>
      <c r="J36" s="6"/>
    </row>
    <row r="37" spans="1:10" ht="12.75">
      <c r="A37" s="3" t="s">
        <v>94</v>
      </c>
      <c r="G37" s="11">
        <f>+SUM(G35:G36)</f>
        <v>115384.27909848298</v>
      </c>
      <c r="H37" s="6"/>
      <c r="I37" s="11">
        <f>+SUM(I35:I36)</f>
        <v>118014</v>
      </c>
      <c r="J37" s="6"/>
    </row>
    <row r="38" spans="1:10" ht="12.75">
      <c r="A38" s="3"/>
      <c r="G38" s="6"/>
      <c r="H38" s="6"/>
      <c r="I38" s="6"/>
      <c r="J38" s="6"/>
    </row>
    <row r="39" spans="1:10" ht="12.75">
      <c r="A39" s="3" t="s">
        <v>95</v>
      </c>
      <c r="G39" s="6"/>
      <c r="H39" s="6"/>
      <c r="I39" s="6"/>
      <c r="J39" s="6"/>
    </row>
    <row r="40" spans="2:10" ht="12.75">
      <c r="B40" t="s">
        <v>96</v>
      </c>
      <c r="G40" s="16">
        <f>+'[1]consolbs 1'!$P$105/1000</f>
        <v>48842.152</v>
      </c>
      <c r="H40" s="6"/>
      <c r="I40" s="16">
        <v>51838</v>
      </c>
      <c r="J40" s="6"/>
    </row>
    <row r="41" spans="2:10" ht="12.75">
      <c r="B41" t="s">
        <v>97</v>
      </c>
      <c r="G41" s="17">
        <v>0</v>
      </c>
      <c r="H41" s="6"/>
      <c r="I41" s="17">
        <v>76</v>
      </c>
      <c r="J41" s="6"/>
    </row>
    <row r="42" spans="2:10" ht="12.75">
      <c r="B42" t="s">
        <v>131</v>
      </c>
      <c r="G42" s="17">
        <f>+'[1]consolbs 1'!$P$106/1000</f>
        <v>2041.252</v>
      </c>
      <c r="H42" s="6"/>
      <c r="I42" s="17"/>
      <c r="J42" s="6"/>
    </row>
    <row r="43" spans="2:10" ht="12.75">
      <c r="B43" t="s">
        <v>98</v>
      </c>
      <c r="G43" s="17">
        <f>'[1]consolbs 1'!$P$107/1000</f>
        <v>2469</v>
      </c>
      <c r="H43" s="6"/>
      <c r="I43" s="17">
        <f>2372+319</f>
        <v>2691</v>
      </c>
      <c r="J43" s="6"/>
    </row>
    <row r="44" spans="1:10" ht="12.75">
      <c r="A44" s="3"/>
      <c r="G44" s="18">
        <f>SUM(G40:G43)</f>
        <v>53352.404</v>
      </c>
      <c r="H44" s="6"/>
      <c r="I44" s="18">
        <f>SUM(I40:I43)</f>
        <v>54605</v>
      </c>
      <c r="J44" s="6"/>
    </row>
    <row r="45" spans="1:10" ht="12.75">
      <c r="A45" s="3" t="s">
        <v>22</v>
      </c>
      <c r="G45" s="17"/>
      <c r="H45" s="6"/>
      <c r="I45" s="17"/>
      <c r="J45" s="6"/>
    </row>
    <row r="46" spans="1:10" ht="12.75">
      <c r="A46" s="3"/>
      <c r="B46" t="s">
        <v>23</v>
      </c>
      <c r="G46" s="17">
        <f>'[1]consolbs 1'!$P$50/1000</f>
        <v>24419.40113085317</v>
      </c>
      <c r="H46" s="6"/>
      <c r="I46" s="17">
        <v>21900</v>
      </c>
      <c r="J46" s="6"/>
    </row>
    <row r="47" spans="1:10" ht="12.75">
      <c r="A47" s="3"/>
      <c r="B47" t="s">
        <v>25</v>
      </c>
      <c r="G47" s="17">
        <f>('[1]consolbs 1'!$P$51+'[1]consolbs 1'!$P$53)/1000</f>
        <v>6717.968408518377</v>
      </c>
      <c r="H47" s="6"/>
      <c r="I47" s="17">
        <f>6946+360</f>
        <v>7306</v>
      </c>
      <c r="J47" s="6"/>
    </row>
    <row r="48" spans="1:10" ht="12.75">
      <c r="A48" s="3"/>
      <c r="B48" t="s">
        <v>26</v>
      </c>
      <c r="G48" s="17">
        <f>'[1]consolbs 1'!$P$56/1000</f>
        <v>226.067</v>
      </c>
      <c r="H48" s="6"/>
      <c r="I48" s="17">
        <v>295</v>
      </c>
      <c r="J48" s="6"/>
    </row>
    <row r="49" spans="1:10" ht="12.75">
      <c r="A49" s="3"/>
      <c r="B49" t="s">
        <v>27</v>
      </c>
      <c r="G49" s="17">
        <f>('[1]consolbs 1'!$P$57+'[1]consolbs 1'!$P$58+'[1]consolbs 1'!$P$59)/1000</f>
        <v>36208.163</v>
      </c>
      <c r="H49" s="6"/>
      <c r="I49" s="17">
        <f>2609+23254</f>
        <v>25863</v>
      </c>
      <c r="J49" s="6"/>
    </row>
    <row r="50" spans="1:10" ht="12.75">
      <c r="A50" s="3"/>
      <c r="B50" t="s">
        <v>99</v>
      </c>
      <c r="G50" s="17">
        <f>'[1]consolbs 1'!$P$60/1000</f>
        <v>2.974</v>
      </c>
      <c r="H50" s="6"/>
      <c r="I50" s="17">
        <v>3</v>
      </c>
      <c r="J50" s="6"/>
    </row>
    <row r="51" spans="1:10" ht="12.75">
      <c r="A51" s="3"/>
      <c r="G51" s="18">
        <f>SUM(G46:G50)</f>
        <v>67574.57353937154</v>
      </c>
      <c r="H51" s="6"/>
      <c r="I51" s="18">
        <f>SUM(I46:I50)</f>
        <v>55367</v>
      </c>
      <c r="J51" s="6"/>
    </row>
    <row r="52" spans="1:10" ht="12.75">
      <c r="A52" s="3" t="s">
        <v>100</v>
      </c>
      <c r="G52" s="11">
        <f>+G44+G51</f>
        <v>120926.97753937155</v>
      </c>
      <c r="H52" s="6"/>
      <c r="I52" s="11">
        <f>+I44+I51</f>
        <v>109972</v>
      </c>
      <c r="J52" s="6"/>
    </row>
    <row r="53" spans="7:10" ht="13.5" thickBot="1">
      <c r="G53" s="6"/>
      <c r="H53" s="6"/>
      <c r="I53" s="6"/>
      <c r="J53" s="6"/>
    </row>
    <row r="54" spans="1:10" ht="14.25" thickBot="1" thickTop="1">
      <c r="A54" s="3" t="s">
        <v>101</v>
      </c>
      <c r="G54" s="12">
        <f>+G37+G52</f>
        <v>236311.25663785453</v>
      </c>
      <c r="H54" s="6"/>
      <c r="I54" s="12">
        <f>+I37+I52</f>
        <v>227986</v>
      </c>
      <c r="J54" s="6"/>
    </row>
    <row r="55" spans="7:10" ht="13.5" thickTop="1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1:10" ht="12.75">
      <c r="A57" t="s">
        <v>29</v>
      </c>
      <c r="G57" s="6"/>
      <c r="H57" s="6"/>
      <c r="I57" s="6"/>
      <c r="J57" s="6"/>
    </row>
    <row r="58" spans="1:10" ht="12.75">
      <c r="A58" t="s">
        <v>107</v>
      </c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1:10" ht="12.75">
      <c r="A60" s="10"/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  <row r="81" spans="7:10" ht="12.75">
      <c r="G81" s="6"/>
      <c r="H81" s="6"/>
      <c r="I81" s="6"/>
      <c r="J81" s="6"/>
    </row>
    <row r="82" spans="7:10" ht="12.75">
      <c r="G82" s="6"/>
      <c r="H82" s="6"/>
      <c r="I82" s="6"/>
      <c r="J82" s="6"/>
    </row>
    <row r="83" spans="7:10" ht="12.75">
      <c r="G83" s="6"/>
      <c r="H83" s="6"/>
      <c r="I83" s="6"/>
      <c r="J83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showGridLines="0" workbookViewId="0" topLeftCell="A30">
      <selection activeCell="A36" sqref="A36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60</v>
      </c>
    </row>
    <row r="3" ht="15.75">
      <c r="A3" s="1" t="s">
        <v>123</v>
      </c>
    </row>
    <row r="5" ht="15">
      <c r="A5" s="4" t="s">
        <v>36</v>
      </c>
    </row>
    <row r="7" spans="7:9" ht="12.75">
      <c r="G7" s="3" t="s">
        <v>127</v>
      </c>
      <c r="I7" s="3" t="s">
        <v>127</v>
      </c>
    </row>
    <row r="8" spans="7:9" ht="12.75">
      <c r="G8" s="3" t="s">
        <v>37</v>
      </c>
      <c r="I8" s="3" t="s">
        <v>37</v>
      </c>
    </row>
    <row r="9" spans="7:9" ht="12.75">
      <c r="G9" s="3" t="s">
        <v>126</v>
      </c>
      <c r="I9" s="3" t="s">
        <v>128</v>
      </c>
    </row>
    <row r="10" spans="7:9" ht="12.75">
      <c r="G10" s="5" t="s">
        <v>2</v>
      </c>
      <c r="I10" s="5" t="s">
        <v>2</v>
      </c>
    </row>
    <row r="11" spans="1:9" ht="12.75">
      <c r="A11" s="3" t="s">
        <v>38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115</v>
      </c>
      <c r="G13" s="6">
        <f>+Inc!I27</f>
        <v>-2395.2836441144123</v>
      </c>
      <c r="H13" s="6"/>
      <c r="I13" s="6">
        <v>8173</v>
      </c>
    </row>
    <row r="14" spans="2:9" ht="12.75">
      <c r="B14" t="s">
        <v>39</v>
      </c>
      <c r="G14" s="6"/>
      <c r="H14" s="6"/>
      <c r="I14" s="6"/>
    </row>
    <row r="15" spans="2:9" ht="12.75">
      <c r="B15" t="s">
        <v>132</v>
      </c>
      <c r="G15" s="6">
        <f>'[1]CFS_YTD'!$N$16/1000</f>
        <v>3996.18</v>
      </c>
      <c r="H15" s="6"/>
      <c r="I15" s="6">
        <v>3294</v>
      </c>
    </row>
    <row r="16" spans="2:9" ht="12.75">
      <c r="B16" t="s">
        <v>139</v>
      </c>
      <c r="G16" s="6">
        <f>'[1]CFS_YTD'!$N$15/1000</f>
        <v>-1713.003</v>
      </c>
      <c r="H16" s="6"/>
      <c r="I16" s="6"/>
    </row>
    <row r="17" spans="2:9" ht="12.75">
      <c r="B17" t="s">
        <v>133</v>
      </c>
      <c r="G17" s="6">
        <f>'[1]CFS_YTD'!$N$14/1000</f>
        <v>70.462</v>
      </c>
      <c r="H17" s="6"/>
      <c r="I17" s="6"/>
    </row>
    <row r="18" spans="2:9" ht="12.75">
      <c r="B18" t="s">
        <v>66</v>
      </c>
      <c r="G18" s="6">
        <v>0</v>
      </c>
      <c r="H18" s="6"/>
      <c r="I18" s="6">
        <v>-27</v>
      </c>
    </row>
    <row r="19" spans="2:9" ht="15.75">
      <c r="B19" s="20" t="s">
        <v>134</v>
      </c>
      <c r="G19" s="6">
        <f>'[1]CFS_YTD'!$N$20/1000</f>
        <v>-12.332</v>
      </c>
      <c r="H19" s="6"/>
      <c r="I19" s="6"/>
    </row>
    <row r="20" spans="2:9" ht="15.75">
      <c r="B20" s="20" t="s">
        <v>135</v>
      </c>
      <c r="G20" s="6">
        <f>'[1]CFS_YTD'!$N$18/1000</f>
        <v>53.266</v>
      </c>
      <c r="H20" s="6"/>
      <c r="I20" s="6"/>
    </row>
    <row r="21" spans="2:9" ht="13.5">
      <c r="B21" s="21" t="s">
        <v>137</v>
      </c>
      <c r="G21" s="6">
        <f>'[1]CFS_YTD'!$N$19/1000</f>
        <v>-119</v>
      </c>
      <c r="H21" s="6"/>
      <c r="I21" s="6"/>
    </row>
    <row r="22" spans="2:9" ht="12.75">
      <c r="B22" t="s">
        <v>40</v>
      </c>
      <c r="G22" s="6">
        <f>'[1]CFS_YTD'!$N$23/1000</f>
        <v>2831.714</v>
      </c>
      <c r="H22" s="6"/>
      <c r="I22" s="6">
        <v>2153</v>
      </c>
    </row>
    <row r="23" spans="2:9" ht="12.75">
      <c r="B23" t="s">
        <v>41</v>
      </c>
      <c r="G23" s="6">
        <f>'[1]CFS_YTD'!$N$24/1000</f>
        <v>-30.229</v>
      </c>
      <c r="H23" s="6"/>
      <c r="I23" s="6">
        <v>-90</v>
      </c>
    </row>
    <row r="24" spans="2:9" ht="15.75">
      <c r="B24" s="20" t="s">
        <v>136</v>
      </c>
      <c r="G24" s="6">
        <f>'[1]CFS_YTD'!$N$22/1000</f>
        <v>147.2241799</v>
      </c>
      <c r="H24" s="6"/>
      <c r="I24" s="6"/>
    </row>
    <row r="25" spans="7:9" ht="12.75">
      <c r="G25" s="6"/>
      <c r="H25" s="6"/>
      <c r="I25" s="6"/>
    </row>
    <row r="26" spans="2:9" ht="12.75">
      <c r="B26" t="s">
        <v>117</v>
      </c>
      <c r="G26" s="7">
        <f>SUM(G13:G25)</f>
        <v>2828.9985357855876</v>
      </c>
      <c r="H26" s="6"/>
      <c r="I26" s="7">
        <f>SUM(I13:I25)</f>
        <v>13503</v>
      </c>
    </row>
    <row r="27" spans="7:9" ht="12.75">
      <c r="G27" s="6"/>
      <c r="H27" s="6"/>
      <c r="I27" s="6"/>
    </row>
    <row r="28" spans="2:9" ht="12.75">
      <c r="B28" t="s">
        <v>42</v>
      </c>
      <c r="G28" s="6"/>
      <c r="H28" s="6"/>
      <c r="I28" s="6"/>
    </row>
    <row r="29" spans="2:9" ht="12.75">
      <c r="B29" t="s">
        <v>43</v>
      </c>
      <c r="G29" s="6">
        <f>'[1]CFS_YTD'!$N$28/1000</f>
        <v>-9121.529606170252</v>
      </c>
      <c r="H29" s="6"/>
      <c r="I29" s="6">
        <v>-5782</v>
      </c>
    </row>
    <row r="30" spans="2:9" ht="12.75">
      <c r="B30" t="s">
        <v>44</v>
      </c>
      <c r="G30" s="6">
        <f>('[1]CFS_YTD'!$N$29+'[1]CFS_YTD'!$N$30)/1000</f>
        <v>1673.280463911645</v>
      </c>
      <c r="H30" s="6"/>
      <c r="I30" s="6">
        <v>-23166</v>
      </c>
    </row>
    <row r="31" spans="2:9" ht="12.75">
      <c r="B31" t="s">
        <v>45</v>
      </c>
      <c r="G31" s="6">
        <f>('[1]CFS_YTD'!$N$33+'[1]CFS_YTD'!$N$34)/1000</f>
        <v>1931.2675393715454</v>
      </c>
      <c r="H31" s="6"/>
      <c r="I31" s="6">
        <v>13213</v>
      </c>
    </row>
    <row r="32" spans="7:9" ht="12.75">
      <c r="G32" s="6"/>
      <c r="H32" s="6"/>
      <c r="I32" s="6"/>
    </row>
    <row r="33" spans="2:9" ht="12.75">
      <c r="B33" t="s">
        <v>119</v>
      </c>
      <c r="G33" s="7">
        <f>SUM(G26:G32)</f>
        <v>-2687.9830671014743</v>
      </c>
      <c r="H33" s="6"/>
      <c r="I33" s="7">
        <f>SUM(I26:I32)</f>
        <v>-2232</v>
      </c>
    </row>
    <row r="34" spans="7:9" ht="12.75">
      <c r="G34" s="6"/>
      <c r="H34" s="6"/>
      <c r="I34" s="6"/>
    </row>
    <row r="35" spans="2:9" ht="12.75">
      <c r="B35" t="s">
        <v>46</v>
      </c>
      <c r="G35" s="6">
        <f>'[1]CFS_YTD'!$N$40/1000</f>
        <v>-2831.714</v>
      </c>
      <c r="H35" s="6"/>
      <c r="I35" s="6">
        <v>-2152</v>
      </c>
    </row>
    <row r="36" spans="2:9" ht="12.75">
      <c r="B36" t="s">
        <v>47</v>
      </c>
      <c r="G36" s="6">
        <f>'[1]CFS_YTD'!$N$42/1000-G37</f>
        <v>-181.09066999999982</v>
      </c>
      <c r="H36" s="6"/>
      <c r="I36" s="6">
        <v>-888</v>
      </c>
    </row>
    <row r="37" spans="2:9" ht="12.75">
      <c r="B37" t="s">
        <v>105</v>
      </c>
      <c r="G37" s="6">
        <f>(1464540+129452)/1000</f>
        <v>1593.992</v>
      </c>
      <c r="H37" s="6"/>
      <c r="I37" s="6">
        <v>7</v>
      </c>
    </row>
    <row r="38" spans="2:9" ht="12.75">
      <c r="B38" t="s">
        <v>122</v>
      </c>
      <c r="G38" s="11">
        <f>SUM(G33:G37)</f>
        <v>-4106.795737101474</v>
      </c>
      <c r="H38" s="6"/>
      <c r="I38" s="11">
        <f>SUM(I33:I37)</f>
        <v>-5265</v>
      </c>
    </row>
    <row r="39" spans="7:9" ht="12.75">
      <c r="G39" s="6"/>
      <c r="H39" s="6"/>
      <c r="I39" s="6"/>
    </row>
    <row r="40" spans="1:9" ht="12.75">
      <c r="A40" s="3" t="s">
        <v>48</v>
      </c>
      <c r="G40" s="6"/>
      <c r="H40" s="6"/>
      <c r="I40" s="6"/>
    </row>
    <row r="41" spans="7:9" ht="12.75">
      <c r="G41" s="6"/>
      <c r="H41" s="6"/>
      <c r="I41" s="6"/>
    </row>
    <row r="42" spans="2:9" ht="12.75">
      <c r="B42" t="s">
        <v>49</v>
      </c>
      <c r="G42" s="6">
        <f>'[1]CFS_YTD'!$N$48/1000</f>
        <v>-2056.73059131594</v>
      </c>
      <c r="H42" s="6"/>
      <c r="I42" s="6">
        <v>-1796</v>
      </c>
    </row>
    <row r="43" spans="2:9" ht="12.75">
      <c r="B43" t="s">
        <v>58</v>
      </c>
      <c r="G43" s="6">
        <f>'[1]CFS_YTD'!$N$49/1000</f>
        <v>25.5</v>
      </c>
      <c r="H43" s="6"/>
      <c r="I43" s="6">
        <v>0</v>
      </c>
    </row>
    <row r="44" spans="2:9" ht="12.75">
      <c r="B44" t="s">
        <v>85</v>
      </c>
      <c r="G44" s="6">
        <f>'[1]CFS_YTD'!$N$50/1000</f>
        <v>-1455.64</v>
      </c>
      <c r="H44" s="6"/>
      <c r="I44" s="6">
        <v>-1991</v>
      </c>
    </row>
    <row r="45" spans="2:9" ht="12.75">
      <c r="B45" t="s">
        <v>138</v>
      </c>
      <c r="G45" s="6">
        <f>'[1]CFS_YTD'!$N$51/1000</f>
        <v>3435.267</v>
      </c>
      <c r="H45" s="6"/>
      <c r="I45" s="6"/>
    </row>
    <row r="46" spans="2:9" ht="12.75">
      <c r="B46" t="s">
        <v>50</v>
      </c>
      <c r="G46" s="6">
        <f>'[1]CFS_YTD'!$N$52/1000</f>
        <v>30.229</v>
      </c>
      <c r="H46" s="6"/>
      <c r="I46" s="6">
        <v>90</v>
      </c>
    </row>
    <row r="47" spans="7:9" ht="12.75">
      <c r="G47" s="6"/>
      <c r="H47" s="6"/>
      <c r="I47" s="6"/>
    </row>
    <row r="48" spans="2:9" ht="12.75">
      <c r="B48" t="s">
        <v>118</v>
      </c>
      <c r="G48" s="11">
        <f>SUM(G42:G47)</f>
        <v>-21.37459131594032</v>
      </c>
      <c r="H48" s="6"/>
      <c r="I48" s="11">
        <f>SUM(I42:I47)</f>
        <v>-3697</v>
      </c>
    </row>
    <row r="49" spans="7:9" ht="12.75">
      <c r="G49" s="6"/>
      <c r="H49" s="6"/>
      <c r="I49" s="6"/>
    </row>
    <row r="50" spans="1:9" ht="12.75">
      <c r="A50" s="3" t="s">
        <v>51</v>
      </c>
      <c r="G50" s="6"/>
      <c r="H50" s="6"/>
      <c r="I50" s="6"/>
    </row>
    <row r="51" spans="7:9" ht="12.75">
      <c r="G51" s="6"/>
      <c r="H51" s="6"/>
      <c r="I51" s="6"/>
    </row>
    <row r="52" spans="2:9" ht="12.75">
      <c r="B52" t="s">
        <v>27</v>
      </c>
      <c r="G52" s="6">
        <f>('[1]CFS_YTD'!$N$57+'[1]CFS_YTD'!$N$60)/1000</f>
        <v>10404.999</v>
      </c>
      <c r="H52" s="6"/>
      <c r="I52" s="6">
        <v>6792</v>
      </c>
    </row>
    <row r="53" spans="2:9" ht="12.75">
      <c r="B53" t="s">
        <v>26</v>
      </c>
      <c r="G53" s="6">
        <f>'[1]CFS_YTD'!$N$59/1000</f>
        <v>-145.695</v>
      </c>
      <c r="H53" s="6"/>
      <c r="I53" s="6">
        <v>-162</v>
      </c>
    </row>
    <row r="54" spans="2:9" ht="12.75">
      <c r="B54" t="s">
        <v>61</v>
      </c>
      <c r="G54" s="6">
        <v>0</v>
      </c>
      <c r="H54" s="6"/>
      <c r="I54" s="6">
        <v>719</v>
      </c>
    </row>
    <row r="55" spans="2:9" ht="12.75">
      <c r="B55" t="s">
        <v>69</v>
      </c>
      <c r="G55" s="6">
        <f>'[1]CFS_YTD'!$N$58/1000</f>
        <v>-2157.297</v>
      </c>
      <c r="H55" s="6"/>
      <c r="I55" s="6">
        <v>-2751</v>
      </c>
    </row>
    <row r="56" spans="7:9" ht="12.75">
      <c r="G56" s="6"/>
      <c r="H56" s="6"/>
      <c r="I56" s="6"/>
    </row>
    <row r="57" spans="2:9" ht="12.75">
      <c r="B57" t="s">
        <v>120</v>
      </c>
      <c r="G57" s="11">
        <f>SUM(G52:G56)</f>
        <v>8102.007</v>
      </c>
      <c r="H57" s="6"/>
      <c r="I57" s="11">
        <f>SUM(I52:I56)</f>
        <v>4598</v>
      </c>
    </row>
    <row r="58" spans="7:9" ht="12.75">
      <c r="G58" s="15"/>
      <c r="H58" s="6"/>
      <c r="I58" s="15"/>
    </row>
    <row r="59" spans="1:9" ht="12.75">
      <c r="A59" s="3" t="s">
        <v>70</v>
      </c>
      <c r="G59" s="15"/>
      <c r="H59" s="6"/>
      <c r="I59" s="15"/>
    </row>
    <row r="60" spans="1:9" ht="12.75">
      <c r="A60" s="3" t="s">
        <v>71</v>
      </c>
      <c r="G60" s="11">
        <f>'[1]CFS_YTD'!$N$66/1000</f>
        <v>40.5521779082446</v>
      </c>
      <c r="H60" s="6"/>
      <c r="I60" s="11">
        <v>0</v>
      </c>
    </row>
    <row r="61" spans="7:9" ht="12.75">
      <c r="G61" s="6"/>
      <c r="H61" s="6"/>
      <c r="I61" s="6"/>
    </row>
    <row r="62" spans="1:9" ht="12.75">
      <c r="A62" s="3" t="s">
        <v>121</v>
      </c>
      <c r="G62" s="6">
        <f>+G38+G48+G57+G60</f>
        <v>4014.3888494908306</v>
      </c>
      <c r="H62" s="6"/>
      <c r="I62" s="6">
        <f>+I38+I48+I57+I60</f>
        <v>-4364</v>
      </c>
    </row>
    <row r="63" spans="1:9" ht="13.5" thickBot="1">
      <c r="A63" s="3" t="s">
        <v>52</v>
      </c>
      <c r="G63" s="6">
        <f>'[1]CFS_YTD'!$N$68/1000</f>
        <v>-715.52</v>
      </c>
      <c r="H63" s="6"/>
      <c r="I63" s="6">
        <v>4458</v>
      </c>
    </row>
    <row r="64" spans="1:9" ht="14.25" thickBot="1" thickTop="1">
      <c r="A64" s="3" t="s">
        <v>140</v>
      </c>
      <c r="G64" s="12">
        <f>SUM(G62:G63)</f>
        <v>3298.8688494908306</v>
      </c>
      <c r="H64" s="6"/>
      <c r="I64" s="12">
        <f>SUM(I62:I63)</f>
        <v>94</v>
      </c>
    </row>
    <row r="65" spans="1:8" ht="13.5" thickTop="1">
      <c r="A65" t="s">
        <v>53</v>
      </c>
      <c r="G65" s="6"/>
      <c r="H65" s="6"/>
    </row>
    <row r="66" spans="1:8" ht="12.75">
      <c r="A66" t="s">
        <v>107</v>
      </c>
      <c r="G66" s="6"/>
      <c r="H66" s="6"/>
    </row>
    <row r="67" spans="7:8" ht="12.75">
      <c r="G67" s="6"/>
      <c r="H67" s="6"/>
    </row>
    <row r="68" spans="1:8" ht="12.75">
      <c r="A68" s="10"/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  <row r="85" spans="7:8" ht="12.75">
      <c r="G85" s="6"/>
      <c r="H85" s="6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4" sqref="A14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60</v>
      </c>
    </row>
    <row r="3" ht="15.75">
      <c r="A3" s="1" t="s">
        <v>123</v>
      </c>
    </row>
    <row r="5" ht="15">
      <c r="A5" s="4" t="s">
        <v>30</v>
      </c>
    </row>
    <row r="7" spans="5:7" ht="12.75">
      <c r="E7" s="14" t="s">
        <v>102</v>
      </c>
      <c r="F7" s="3" t="s">
        <v>93</v>
      </c>
      <c r="G7" s="14" t="s">
        <v>103</v>
      </c>
    </row>
    <row r="8" spans="4:11" ht="12.75">
      <c r="D8" s="3"/>
      <c r="E8" s="13" t="s">
        <v>81</v>
      </c>
      <c r="F8" s="3"/>
      <c r="G8" s="3" t="s">
        <v>32</v>
      </c>
      <c r="H8" s="3"/>
      <c r="I8" s="3"/>
      <c r="J8" s="3"/>
      <c r="K8" s="3"/>
    </row>
    <row r="9" spans="4:11" ht="12.75">
      <c r="D9" s="5" t="s">
        <v>31</v>
      </c>
      <c r="E9" s="5" t="s">
        <v>31</v>
      </c>
      <c r="F9" s="5" t="s">
        <v>63</v>
      </c>
      <c r="G9" s="5" t="s">
        <v>56</v>
      </c>
      <c r="H9" s="5"/>
      <c r="I9" s="5" t="s">
        <v>77</v>
      </c>
      <c r="J9" s="3" t="s">
        <v>74</v>
      </c>
      <c r="K9" s="3" t="s">
        <v>33</v>
      </c>
    </row>
    <row r="10" spans="4:11" ht="12.75">
      <c r="D10" s="5" t="s">
        <v>83</v>
      </c>
      <c r="E10" s="5" t="s">
        <v>82</v>
      </c>
      <c r="F10" s="5" t="s">
        <v>64</v>
      </c>
      <c r="G10" s="5" t="s">
        <v>80</v>
      </c>
      <c r="H10" s="5"/>
      <c r="I10" s="5" t="s">
        <v>78</v>
      </c>
      <c r="J10" s="3" t="s">
        <v>75</v>
      </c>
      <c r="K10" s="3" t="s">
        <v>76</v>
      </c>
    </row>
    <row r="11" spans="4:11" ht="12.75">
      <c r="D11" s="5"/>
      <c r="E11" s="5"/>
      <c r="F11" s="5" t="s">
        <v>65</v>
      </c>
      <c r="G11" s="5"/>
      <c r="H11" s="5"/>
      <c r="I11" s="5" t="s">
        <v>79</v>
      </c>
      <c r="J11" s="3"/>
      <c r="K11" s="3"/>
    </row>
    <row r="12" spans="4:11" ht="12.75">
      <c r="D12" s="5" t="s">
        <v>2</v>
      </c>
      <c r="E12" s="5" t="s">
        <v>2</v>
      </c>
      <c r="F12" s="5" t="s">
        <v>2</v>
      </c>
      <c r="G12" s="5" t="s">
        <v>2</v>
      </c>
      <c r="H12" s="5"/>
      <c r="I12" s="5" t="s">
        <v>2</v>
      </c>
      <c r="J12" s="5" t="s">
        <v>2</v>
      </c>
      <c r="K12" s="5" t="s">
        <v>2</v>
      </c>
    </row>
    <row r="13" spans="4:9" ht="12.75">
      <c r="D13" s="6"/>
      <c r="E13" s="6"/>
      <c r="F13" s="6"/>
      <c r="G13" s="6"/>
      <c r="H13" s="6"/>
      <c r="I13" s="6"/>
    </row>
    <row r="14" spans="1:11" ht="12.75">
      <c r="A14" t="s">
        <v>111</v>
      </c>
      <c r="D14" s="6">
        <f>'[1]consoleq'!$B$40/1000</f>
        <v>66621.525</v>
      </c>
      <c r="E14" s="6">
        <f>'[1]consoleq'!$C$40/1000</f>
        <v>4865.159</v>
      </c>
      <c r="F14" s="6">
        <f>'[1]consoleq'!$D$40/1000</f>
        <v>2.658</v>
      </c>
      <c r="G14" s="6">
        <f>'[1]consoleq'!$E$40/1000</f>
        <v>46524.271</v>
      </c>
      <c r="H14" s="6"/>
      <c r="I14" s="6">
        <f>SUM(D14:H14)</f>
        <v>118013.61299999998</v>
      </c>
      <c r="J14" s="6">
        <v>0</v>
      </c>
      <c r="K14" s="6">
        <f>+I14+J14</f>
        <v>118013.61299999998</v>
      </c>
    </row>
    <row r="15" spans="4:11" ht="12.75"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84</v>
      </c>
      <c r="D16" s="6"/>
      <c r="E16" s="6"/>
      <c r="F16" s="6">
        <f>'[1]consoleq'!$D$43/1000</f>
        <v>48.1081779082446</v>
      </c>
      <c r="G16" s="6"/>
      <c r="H16" s="6"/>
      <c r="I16" s="6">
        <f>SUM(D16:H16)</f>
        <v>48.1081779082446</v>
      </c>
      <c r="J16" s="6">
        <v>0</v>
      </c>
      <c r="K16" s="6">
        <f>+I16+J16</f>
        <v>48.1081779082446</v>
      </c>
    </row>
    <row r="17" spans="4:11" ht="12.75"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34</v>
      </c>
      <c r="D19" s="6"/>
      <c r="E19" s="6"/>
      <c r="F19" s="6"/>
      <c r="G19" s="6">
        <f>+Inc!I34</f>
        <v>-2677.8246441144083</v>
      </c>
      <c r="H19" s="6"/>
      <c r="I19" s="6">
        <f>SUM(D19:H19)</f>
        <v>-2677.8246441144083</v>
      </c>
      <c r="J19" s="6">
        <v>0</v>
      </c>
      <c r="K19" s="6">
        <f>+I19+J19</f>
        <v>-2677.8246441144083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1:11" ht="12.75">
      <c r="A21" t="s">
        <v>68</v>
      </c>
      <c r="D21" s="6"/>
      <c r="E21" s="6"/>
      <c r="F21" s="6"/>
      <c r="G21" s="6"/>
      <c r="H21" s="6"/>
      <c r="I21" s="6">
        <f>SUM(D21:H21)</f>
        <v>0</v>
      </c>
      <c r="J21" s="6"/>
      <c r="K21" s="6">
        <f>+I21+J21</f>
        <v>0</v>
      </c>
    </row>
    <row r="22" spans="4:11" ht="12.75">
      <c r="D22" s="6"/>
      <c r="E22" s="6"/>
      <c r="F22" s="6"/>
      <c r="G22" s="6"/>
      <c r="H22" s="6"/>
      <c r="I22" s="6"/>
      <c r="J22" s="6"/>
      <c r="K22" s="6"/>
    </row>
    <row r="23" spans="1:11" ht="13.5" thickBot="1">
      <c r="A23" t="s">
        <v>129</v>
      </c>
      <c r="D23" s="8">
        <f>SUM(D14:D22)</f>
        <v>66621.525</v>
      </c>
      <c r="E23" s="8">
        <f>SUM(E14:E22)</f>
        <v>4865.159</v>
      </c>
      <c r="F23" s="8">
        <f>SUM(F14:F22)</f>
        <v>50.7661779082446</v>
      </c>
      <c r="G23" s="8">
        <f>SUM(G14:G22)</f>
        <v>43846.44635588559</v>
      </c>
      <c r="H23" s="6"/>
      <c r="I23" s="8">
        <f>SUM(I14:I22)</f>
        <v>115383.89653379381</v>
      </c>
      <c r="J23" s="8">
        <f>SUM(J14:J22)</f>
        <v>0</v>
      </c>
      <c r="K23" s="8">
        <f>SUM(K14:K22)</f>
        <v>115383.89653379381</v>
      </c>
    </row>
    <row r="24" spans="4:9" ht="13.5" thickTop="1">
      <c r="D24" s="6"/>
      <c r="E24" s="6"/>
      <c r="F24" s="6"/>
      <c r="G24" s="6"/>
      <c r="H24" s="6"/>
      <c r="I24" s="6"/>
    </row>
    <row r="25" spans="4:9" ht="12.75">
      <c r="D25" s="6"/>
      <c r="E25" s="6"/>
      <c r="F25" s="6"/>
      <c r="G25" s="6"/>
      <c r="H25" s="6"/>
      <c r="I25" s="6"/>
    </row>
    <row r="26" spans="1:11" ht="12.75">
      <c r="A26" t="s">
        <v>104</v>
      </c>
      <c r="D26" s="6">
        <v>66622</v>
      </c>
      <c r="E26" s="6">
        <v>4865</v>
      </c>
      <c r="F26" s="6">
        <v>4</v>
      </c>
      <c r="G26" s="6">
        <v>48258</v>
      </c>
      <c r="H26" s="6"/>
      <c r="I26" s="6">
        <f>SUM(D26:H26)</f>
        <v>119749</v>
      </c>
      <c r="J26" s="6">
        <v>0</v>
      </c>
      <c r="K26" s="6">
        <f>+I26+J26</f>
        <v>119749</v>
      </c>
    </row>
    <row r="27" spans="4:11" ht="12.75">
      <c r="D27" s="6"/>
      <c r="E27" s="6"/>
      <c r="F27" s="6"/>
      <c r="G27" s="6"/>
      <c r="H27" s="6"/>
      <c r="I27" s="6"/>
      <c r="J27" s="6"/>
      <c r="K27" s="6"/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1:11" ht="12.75">
      <c r="A29" t="s">
        <v>84</v>
      </c>
      <c r="D29" s="6"/>
      <c r="E29" s="6"/>
      <c r="F29" s="6">
        <v>-27</v>
      </c>
      <c r="G29" s="6"/>
      <c r="H29" s="6"/>
      <c r="I29" s="6">
        <f>SUM(D29:H29)</f>
        <v>-27</v>
      </c>
      <c r="J29" s="6"/>
      <c r="K29" s="6">
        <f>+I29+J29</f>
        <v>-27</v>
      </c>
    </row>
    <row r="30" spans="4:11" ht="12.75">
      <c r="D30" s="6"/>
      <c r="E30" s="6"/>
      <c r="F30" s="6"/>
      <c r="G30" s="6"/>
      <c r="H30" s="6"/>
      <c r="I30" s="6"/>
      <c r="J30" s="6"/>
      <c r="K30" s="6"/>
    </row>
    <row r="31" spans="4:11" ht="12.75">
      <c r="D31" s="6"/>
      <c r="E31" s="6"/>
      <c r="F31" s="6"/>
      <c r="G31" s="6"/>
      <c r="H31" s="6"/>
      <c r="I31" s="6"/>
      <c r="J31" s="6"/>
      <c r="K31" s="6"/>
    </row>
    <row r="32" spans="1:11" ht="12.75">
      <c r="A32" t="s">
        <v>34</v>
      </c>
      <c r="D32" s="6"/>
      <c r="E32" s="6"/>
      <c r="F32" s="6"/>
      <c r="G32" s="6">
        <v>6535</v>
      </c>
      <c r="H32" s="6"/>
      <c r="I32" s="6">
        <f>SUM(D32:H32)</f>
        <v>6535</v>
      </c>
      <c r="J32" s="6">
        <v>0</v>
      </c>
      <c r="K32" s="6">
        <f>+I32+J32</f>
        <v>6535</v>
      </c>
    </row>
    <row r="33" spans="4:11" ht="12.75">
      <c r="D33" s="6"/>
      <c r="E33" s="6"/>
      <c r="F33" s="6"/>
      <c r="G33" s="6"/>
      <c r="H33" s="6"/>
      <c r="I33" s="6"/>
      <c r="J33" s="6"/>
      <c r="K33" s="6"/>
    </row>
    <row r="34" spans="1:11" ht="12.75">
      <c r="A34" t="s">
        <v>68</v>
      </c>
      <c r="D34" s="6"/>
      <c r="E34" s="6"/>
      <c r="F34" s="6"/>
      <c r="G34" s="6">
        <v>0</v>
      </c>
      <c r="H34" s="6"/>
      <c r="I34" s="6">
        <f>SUM(D34:H34)</f>
        <v>0</v>
      </c>
      <c r="J34" s="6"/>
      <c r="K34" s="6">
        <f>+I34+J34</f>
        <v>0</v>
      </c>
    </row>
    <row r="35" spans="4:11" ht="12.75">
      <c r="D35" s="6"/>
      <c r="E35" s="6"/>
      <c r="F35" s="6"/>
      <c r="G35" s="6"/>
      <c r="H35" s="6"/>
      <c r="I35" s="6"/>
      <c r="J35" s="6"/>
      <c r="K35" s="6"/>
    </row>
    <row r="36" spans="1:11" ht="13.5" thickBot="1">
      <c r="A36" t="s">
        <v>130</v>
      </c>
      <c r="D36" s="8">
        <f>SUM(D26:D35)</f>
        <v>66622</v>
      </c>
      <c r="E36" s="8">
        <f>SUM(E26:E35)</f>
        <v>4865</v>
      </c>
      <c r="F36" s="8">
        <f>SUM(F26:F35)</f>
        <v>-23</v>
      </c>
      <c r="G36" s="8">
        <f>SUM(G26:G35)</f>
        <v>54793</v>
      </c>
      <c r="H36" s="6"/>
      <c r="I36" s="8">
        <f>SUM(I26:I35)</f>
        <v>126257</v>
      </c>
      <c r="J36" s="8">
        <f>SUM(J26:J35)</f>
        <v>0</v>
      </c>
      <c r="K36" s="8">
        <f>SUM(K26:K35)</f>
        <v>126257</v>
      </c>
    </row>
    <row r="37" spans="4:11" ht="13.5" thickTop="1">
      <c r="D37" s="6"/>
      <c r="E37" s="6"/>
      <c r="F37" s="6"/>
      <c r="G37" s="6"/>
      <c r="H37" s="6"/>
      <c r="I37" s="6"/>
      <c r="J37" s="6"/>
      <c r="K37" s="6"/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4:11" ht="12.75">
      <c r="D39" s="6"/>
      <c r="E39" s="6"/>
      <c r="F39" s="6"/>
      <c r="G39" s="6"/>
      <c r="H39" s="6"/>
      <c r="I39" s="6"/>
      <c r="J39" s="6"/>
      <c r="K39" s="6"/>
    </row>
    <row r="40" spans="4:9" ht="12.75">
      <c r="D40" s="6"/>
      <c r="E40" s="6"/>
      <c r="F40" s="6"/>
      <c r="G40" s="6"/>
      <c r="H40" s="6"/>
      <c r="I40" s="6"/>
    </row>
    <row r="41" spans="1:9" ht="12.75">
      <c r="A41" t="s">
        <v>35</v>
      </c>
      <c r="D41" s="6"/>
      <c r="E41" s="6"/>
      <c r="F41" s="6"/>
      <c r="G41" s="6"/>
      <c r="H41" s="6"/>
      <c r="I41" s="6"/>
    </row>
    <row r="42" spans="1:9" ht="12.75">
      <c r="A42" t="s">
        <v>110</v>
      </c>
      <c r="D42" s="6"/>
      <c r="E42" s="6"/>
      <c r="F42" s="6"/>
      <c r="G42" s="6"/>
      <c r="H42" s="6"/>
      <c r="I42" s="6"/>
    </row>
    <row r="43" spans="4:9" ht="12.75">
      <c r="D43" s="6"/>
      <c r="E43" s="6"/>
      <c r="F43" s="6"/>
      <c r="G43" s="6"/>
      <c r="H43" s="6"/>
      <c r="I43" s="6"/>
    </row>
    <row r="44" spans="1:9" ht="12.75">
      <c r="A44" s="10"/>
      <c r="D44" s="6"/>
      <c r="E44" s="6"/>
      <c r="F44" s="6"/>
      <c r="G44" s="6"/>
      <c r="H44" s="6"/>
      <c r="I44" s="6"/>
    </row>
    <row r="45" spans="4:9" ht="12.75"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Pentamaster</cp:lastModifiedBy>
  <cp:lastPrinted>2008-08-13T09:08:51Z</cp:lastPrinted>
  <dcterms:created xsi:type="dcterms:W3CDTF">1996-10-14T23:33:28Z</dcterms:created>
  <dcterms:modified xsi:type="dcterms:W3CDTF">2008-08-15T10:16:41Z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