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3"/>
  </bookViews>
  <sheets>
    <sheet name="PL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  <externalReference r:id="rId9"/>
    <externalReference r:id="rId10"/>
  </externalReferences>
  <definedNames>
    <definedName name="_Fill" hidden="1">#REF!</definedName>
    <definedName name="_xlnm.Print_Area" localSheetId="1">'BS'!$A$1:$G$55</definedName>
    <definedName name="_xlnm.Print_Area" localSheetId="3">'CF'!$A$1:$I$62</definedName>
    <definedName name="_xlnm.Print_Area" localSheetId="2">'equity'!$A$1:$M$38</definedName>
    <definedName name="_xlnm.Print_Area" localSheetId="0">'PL'!$A$1:$L$41</definedName>
  </definedNames>
  <calcPr fullCalcOnLoad="1"/>
</workbook>
</file>

<file path=xl/sharedStrings.xml><?xml version="1.0" encoding="utf-8"?>
<sst xmlns="http://schemas.openxmlformats.org/spreadsheetml/2006/main" count="203" uniqueCount="155">
  <si>
    <t>(Company Number : 459789-X)</t>
  </si>
  <si>
    <t>UNAUDITED CONDENSED 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</si>
  <si>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</si>
  <si>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</si>
  <si>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</si>
  <si>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</si>
  <si>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</si>
  <si>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</si>
  <si>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</si>
  <si>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TO-DATE</t>
  </si>
  <si>
    <t>PERIOD</t>
  </si>
  <si>
    <t>RM'000</t>
  </si>
  <si>
    <t>Revenue</t>
  </si>
  <si>
    <t>Gross profit</t>
  </si>
  <si>
    <t>Net Change</t>
  </si>
  <si>
    <t>ASSETS</t>
  </si>
  <si>
    <t>Property, plant and equipment</t>
  </si>
  <si>
    <t>Deferred tax assets</t>
  </si>
  <si>
    <t>CURRENT ASSETS</t>
  </si>
  <si>
    <t>Inventories</t>
  </si>
  <si>
    <t xml:space="preserve">Borrowings </t>
  </si>
  <si>
    <t>Share capital</t>
  </si>
  <si>
    <t>Share premium</t>
  </si>
  <si>
    <t>Borrowings</t>
  </si>
  <si>
    <t>Other payables</t>
  </si>
  <si>
    <t>(The Condensed Consolidated Balance Sheet should be read in conjunction with the Annual Financial</t>
  </si>
  <si>
    <t>Report for the year ended 31 July 2004.)</t>
  </si>
  <si>
    <t>(The figures have not been audited)</t>
  </si>
  <si>
    <t>Share</t>
  </si>
  <si>
    <t>Retained</t>
  </si>
  <si>
    <t>capital</t>
  </si>
  <si>
    <t>premium</t>
  </si>
  <si>
    <t>profits</t>
  </si>
  <si>
    <t>Total</t>
  </si>
  <si>
    <t>Interest expenses</t>
  </si>
  <si>
    <t>Interest income</t>
  </si>
  <si>
    <t>Dividend paid</t>
  </si>
  <si>
    <t>Depreciation</t>
  </si>
  <si>
    <t>Other investments</t>
  </si>
  <si>
    <t>Minority interest</t>
  </si>
  <si>
    <t>Deferred tax liabilities</t>
  </si>
  <si>
    <t>Retained profit</t>
  </si>
  <si>
    <t>Foreign exchange</t>
  </si>
  <si>
    <t>Share buyback</t>
  </si>
  <si>
    <t>Profit before taxation</t>
  </si>
  <si>
    <t>NET ASSETS PER SHARE</t>
  </si>
  <si>
    <t>Jaycorp Berhad  ( Formerly known as Yeo Aik Resources Berhad )</t>
  </si>
  <si>
    <t>Continuing Operations</t>
  </si>
  <si>
    <t>Cost of Sales</t>
  </si>
  <si>
    <t>Administrative expenses</t>
  </si>
  <si>
    <t>Other income</t>
  </si>
  <si>
    <t>Selling and marketing expenses</t>
  </si>
  <si>
    <t>Tax expense</t>
  </si>
  <si>
    <t>Profit for the period</t>
  </si>
  <si>
    <t>Attributable to :</t>
  </si>
  <si>
    <t>Equity holders of the parent</t>
  </si>
  <si>
    <t>Earning / (loss) per ordinary share (sen)</t>
  </si>
  <si>
    <t>(a) Basic</t>
  </si>
  <si>
    <t>(b) Fully diluted</t>
  </si>
  <si>
    <t>Condensed consolidated balance sheet</t>
  </si>
  <si>
    <t>( The figures have not been audited )</t>
  </si>
  <si>
    <t xml:space="preserve">(Audited) </t>
  </si>
  <si>
    <t>Trade receivables</t>
  </si>
  <si>
    <t>Other receivables</t>
  </si>
  <si>
    <t>Deposits, cash and bank balances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</si>
  <si>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</si>
  <si>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</si>
  <si>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</si>
  <si>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</si>
  <si>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</si>
  <si>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Current liabilities</t>
  </si>
  <si>
    <t>Trade payables</t>
  </si>
  <si>
    <t>TOTAL LIABILITIES</t>
  </si>
  <si>
    <t>TOTAL EQUITY AND LIABILITIES</t>
  </si>
  <si>
    <t>Condensed consolidated statement of changes in equity</t>
  </si>
  <si>
    <t>Attributable to Equity Holders of the Parent</t>
  </si>
  <si>
    <t>Distributable</t>
  </si>
  <si>
    <t>Minority</t>
  </si>
  <si>
    <t>Interest</t>
  </si>
  <si>
    <t>Equity</t>
  </si>
  <si>
    <t>Effect of Adopting FRS 3</t>
  </si>
  <si>
    <t>(The Consolidated Statement of Changes in Equity should be read in conjunction with the Audited Financial Statements</t>
  </si>
  <si>
    <t>CASH FLOWS FROM OPERATING ACTIVITIES</t>
  </si>
  <si>
    <t>Operating profit before working capital changes</t>
  </si>
  <si>
    <t>At 1 August 2005</t>
  </si>
  <si>
    <t>At 1 August 2006</t>
  </si>
  <si>
    <t xml:space="preserve">Treasury </t>
  </si>
  <si>
    <t>Shares</t>
  </si>
  <si>
    <t>Bonus Issues</t>
  </si>
  <si>
    <t>Special Issues</t>
  </si>
  <si>
    <t>Less : Dividend</t>
  </si>
  <si>
    <t>( The Condensed Consolidated Income Statement should be read in conjunction with the Audited Financial Statements for the year ended 31 July 2006 )</t>
  </si>
  <si>
    <t>N/A</t>
  </si>
  <si>
    <t>Treasury Shares</t>
  </si>
  <si>
    <t>Reserves</t>
  </si>
  <si>
    <t>(The Condensed Consolidated Balance Sheets should be read in conjunction with the Audited Financial</t>
  </si>
  <si>
    <t xml:space="preserve"> Statements for the year ended 31 July 2006)</t>
  </si>
  <si>
    <t>Negative</t>
  </si>
  <si>
    <t>goodwill</t>
  </si>
  <si>
    <t>Effect of adopting FRS 3</t>
  </si>
  <si>
    <t xml:space="preserve"> for the year ended 31 July 2006)</t>
  </si>
  <si>
    <t>Jaycorp Berhad ( Formerly known as Yeo Aik Resources Berhad )</t>
  </si>
  <si>
    <t xml:space="preserve">Condensed Consolidated Cash Flow Statements </t>
  </si>
  <si>
    <t>Preceding</t>
  </si>
  <si>
    <t>ended</t>
  </si>
  <si>
    <t>Changes in working capital :-</t>
  </si>
  <si>
    <t>Net change in current assets</t>
  </si>
  <si>
    <t>Net change in current liabilities</t>
  </si>
  <si>
    <t>Income tax paid</t>
  </si>
  <si>
    <t>Investing activities</t>
  </si>
  <si>
    <t>Purchase of property, plant &amp; equipment</t>
  </si>
  <si>
    <t>Research and development costs</t>
  </si>
  <si>
    <t>Financing activities</t>
  </si>
  <si>
    <t>Issue of new shares-Public issue</t>
  </si>
  <si>
    <t>Listing expenses</t>
  </si>
  <si>
    <t>Interest paid</t>
  </si>
  <si>
    <t>Translation reserve for investment in subsidiary</t>
  </si>
  <si>
    <t>Proceeds from issuance of shares</t>
  </si>
  <si>
    <t>Net change in cash &amp; cash equivalents</t>
  </si>
  <si>
    <t xml:space="preserve"> </t>
  </si>
  <si>
    <t>Cash &amp; cash equivalents at beginning of period</t>
  </si>
  <si>
    <t>Cash &amp; cash equivalents at end of period</t>
  </si>
  <si>
    <t>Cash &amp; cash equivalents at end of period comprise :</t>
  </si>
  <si>
    <t>Cash, Bank Balances and Deposits - General Accounts</t>
  </si>
  <si>
    <t>Fixed deposits pledged with licensed bank</t>
  </si>
  <si>
    <t>Bank Overdrafts</t>
  </si>
  <si>
    <t>Total Cash, Bank Balances and Deposits</t>
  </si>
  <si>
    <t>Net cash flows from operating activities</t>
  </si>
  <si>
    <t>Net cash outflows from investing activities</t>
  </si>
  <si>
    <t>Proceeds from sale of property, plant &amp; equipment</t>
  </si>
  <si>
    <t>Net cash inflows from financing activities</t>
  </si>
  <si>
    <t>Foreign exchange difference</t>
  </si>
  <si>
    <t>Net borrowings raised</t>
  </si>
  <si>
    <t>Adjustments for :-</t>
  </si>
  <si>
    <t>( The Condensed Consolidated Cash Flow Statements should be read in conjunction with the Audited Financial Statements for the year ended 31 July 2006 )</t>
  </si>
  <si>
    <t>Translation</t>
  </si>
  <si>
    <t>&lt;-----------------Non - distributable ---------&gt;</t>
  </si>
  <si>
    <t>( Restated )</t>
  </si>
  <si>
    <t>Translation Reserves</t>
  </si>
  <si>
    <t>Finance Costs</t>
  </si>
  <si>
    <t>Investment Properties</t>
  </si>
  <si>
    <t>31/01/2007</t>
  </si>
  <si>
    <t>31/01/2006</t>
  </si>
  <si>
    <t>As at 31 January 2007</t>
  </si>
  <si>
    <t>For First Quarter Ending 31 January 2007</t>
  </si>
  <si>
    <t>At 31 January 2006</t>
  </si>
  <si>
    <t>At 31 January 2007</t>
  </si>
  <si>
    <t>Net profit for the Period</t>
  </si>
  <si>
    <t>01/08/06-31/01/07</t>
  </si>
  <si>
    <t>01/08/05-31/01/06</t>
  </si>
  <si>
    <t>As At Period Ended 31 January 2007</t>
  </si>
  <si>
    <t>Gain on disposal on property, plant and equipment</t>
  </si>
  <si>
    <t>Cumulative Quarters</t>
  </si>
  <si>
    <t>6 months</t>
  </si>
  <si>
    <t>Note : Net assets shall exclude MI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</si>
</sst>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0_);\(0\)"/>
    <numFmt numFmtId="167" formatCode="_ * #,##0.00_ ;_ * \-#,##0.00_ ;_ * &quot;-&quot;??_ ;_ @_ 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_);_(@_)"/>
    <numFmt numFmtId="172" formatCode="#,##0.0_);\(#,##0.0\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#,##0.0000"/>
    <numFmt numFmtId="182" formatCode="_ * #,##0.0000_ ;_ * \-#,##0.0000_ ;_ * &quot;-&quot;??_ ;_ @_ "/>
    <numFmt numFmtId="183" formatCode="&quot;\&quot;#,##0;[Red]&quot;\&quot;\-#,##0"/>
    <numFmt numFmtId="184" formatCode="&quot;\&quot;#,##0.00;[Red]&quot;\&quot;\-#,##0.00"/>
    <numFmt numFmtId="185" formatCode="\$#,##0\ ;\(\$#,##0\)"/>
    <numFmt numFmtId="186" formatCode="&quot;\&quot;#,##0;[Red]&quot;\&quot;&quot;\&quot;\-#,##0"/>
    <numFmt numFmtId="187" formatCode="&quot;\&quot;#,##0.00;[Red]&quot;\&quot;&quot;\&quot;&quot;\&quot;&quot;\&quot;&quot;\&quot;&quot;\&quot;\-#,##0.00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</numFmts>
  <fonts count="2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3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5" fillId="0" borderId="0">
      <alignment/>
      <protection/>
    </xf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15" fontId="2" fillId="0" borderId="0" xfId="0" applyNumberFormat="1" applyFont="1" applyAlignment="1" quotePrefix="1">
      <alignment horizontal="left"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64" fontId="2" fillId="0" borderId="2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NumberFormat="1" applyFont="1" applyBorder="1" applyAlignment="1">
      <alignment horizontal="right"/>
    </xf>
    <xf numFmtId="43" fontId="2" fillId="0" borderId="0" xfId="15" applyFont="1" applyBorder="1" applyAlignment="1">
      <alignment horizontal="right"/>
    </xf>
    <xf numFmtId="43" fontId="2" fillId="0" borderId="0" xfId="15" applyFont="1" applyBorder="1" applyAlignment="1">
      <alignment horizontal="center"/>
    </xf>
    <xf numFmtId="0" fontId="3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164" fontId="2" fillId="0" borderId="0" xfId="15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64" fontId="2" fillId="0" borderId="0" xfId="15" applyNumberFormat="1" applyFont="1" applyBorder="1" applyAlignment="1">
      <alignment horizontal="right"/>
    </xf>
    <xf numFmtId="0" fontId="2" fillId="0" borderId="0" xfId="0" applyFont="1" applyBorder="1" applyAlignment="1" quotePrefix="1">
      <alignment/>
    </xf>
    <xf numFmtId="164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5" applyNumberFormat="1" applyFont="1" applyFill="1" applyBorder="1" applyAlignment="1">
      <alignment horizontal="right"/>
    </xf>
    <xf numFmtId="43" fontId="2" fillId="0" borderId="0" xfId="15" applyFont="1" applyFill="1" applyBorder="1" applyAlignment="1">
      <alignment horizontal="right"/>
    </xf>
    <xf numFmtId="164" fontId="2" fillId="0" borderId="3" xfId="15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64" fontId="3" fillId="0" borderId="0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9" fontId="3" fillId="0" borderId="0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0" fontId="4" fillId="0" borderId="0" xfId="27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Alignment="1">
      <alignment/>
    </xf>
    <xf numFmtId="164" fontId="0" fillId="0" borderId="5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0" fillId="0" borderId="7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 quotePrefix="1">
      <alignment/>
    </xf>
    <xf numFmtId="164" fontId="0" fillId="0" borderId="8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13" xfId="15" applyNumberFormat="1" applyFont="1" applyBorder="1" applyAlignment="1">
      <alignment/>
    </xf>
    <xf numFmtId="0" fontId="0" fillId="0" borderId="14" xfId="0" applyFont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vertical="top" wrapText="1"/>
    </xf>
    <xf numFmtId="43" fontId="2" fillId="0" borderId="0" xfId="15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7" applyFont="1" applyFill="1" applyAlignment="1">
      <alignment horizontal="centerContinuous"/>
      <protection/>
    </xf>
    <xf numFmtId="166" fontId="4" fillId="0" borderId="0" xfId="27" applyNumberFormat="1" applyFont="1" applyFill="1" applyAlignment="1">
      <alignment horizontal="centerContinuous"/>
      <protection/>
    </xf>
    <xf numFmtId="0" fontId="4" fillId="0" borderId="0" xfId="27" applyFont="1" applyFill="1" applyAlignment="1">
      <alignment/>
      <protection/>
    </xf>
    <xf numFmtId="37" fontId="4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37" fontId="4" fillId="0" borderId="0" xfId="27" applyNumberFormat="1" applyFont="1" applyFill="1" applyAlignment="1">
      <alignment horizontal="left"/>
      <protection/>
    </xf>
    <xf numFmtId="37" fontId="3" fillId="0" borderId="0" xfId="27" applyNumberFormat="1" applyFont="1" applyFill="1" applyBorder="1" applyAlignment="1">
      <alignment horizontal="center"/>
      <protection/>
    </xf>
    <xf numFmtId="37" fontId="4" fillId="0" borderId="0" xfId="27" applyNumberFormat="1" applyFont="1" applyFill="1" applyBorder="1" applyAlignment="1">
      <alignment horizontal="center"/>
      <protection/>
    </xf>
    <xf numFmtId="0" fontId="4" fillId="0" borderId="0" xfId="27" applyFont="1" applyFill="1" applyBorder="1" applyAlignment="1">
      <alignment horizontal="centerContinuous"/>
      <protection/>
    </xf>
    <xf numFmtId="0" fontId="4" fillId="0" borderId="0" xfId="27" applyFont="1" applyFill="1" applyBorder="1" applyAlignment="1">
      <alignment horizontal="center"/>
      <protection/>
    </xf>
    <xf numFmtId="37" fontId="4" fillId="0" borderId="0" xfId="27" applyNumberFormat="1" applyFont="1" applyFill="1" applyAlignment="1">
      <alignment/>
      <protection/>
    </xf>
    <xf numFmtId="0" fontId="4" fillId="0" borderId="0" xfId="27" applyFont="1" applyFill="1" applyAlignment="1">
      <alignment horizontal="center"/>
      <protection/>
    </xf>
    <xf numFmtId="164" fontId="4" fillId="0" borderId="0" xfId="15" applyNumberFormat="1" applyFont="1" applyFill="1" applyAlignment="1">
      <alignment/>
    </xf>
    <xf numFmtId="43" fontId="4" fillId="0" borderId="0" xfId="15" applyFont="1" applyFill="1" applyAlignment="1">
      <alignment/>
    </xf>
    <xf numFmtId="37" fontId="4" fillId="0" borderId="2" xfId="27" applyNumberFormat="1" applyFont="1" applyFill="1" applyBorder="1" applyAlignment="1">
      <alignment/>
      <protection/>
    </xf>
    <xf numFmtId="43" fontId="4" fillId="0" borderId="2" xfId="15" applyFont="1" applyFill="1" applyBorder="1" applyAlignment="1">
      <alignment/>
    </xf>
    <xf numFmtId="37" fontId="4" fillId="0" borderId="3" xfId="27" applyNumberFormat="1" applyFont="1" applyFill="1" applyBorder="1" applyAlignment="1">
      <alignment/>
      <protection/>
    </xf>
    <xf numFmtId="0" fontId="4" fillId="0" borderId="0" xfId="0" applyFont="1" applyFill="1" applyAlignment="1">
      <alignment horizontal="center"/>
    </xf>
    <xf numFmtId="37" fontId="4" fillId="0" borderId="0" xfId="15" applyNumberFormat="1" applyFont="1" applyFill="1" applyBorder="1" applyAlignment="1">
      <alignment/>
    </xf>
    <xf numFmtId="37" fontId="4" fillId="0" borderId="2" xfId="15" applyNumberFormat="1" applyFont="1" applyFill="1" applyBorder="1" applyAlignment="1">
      <alignment/>
    </xf>
    <xf numFmtId="37" fontId="4" fillId="0" borderId="3" xfId="15" applyNumberFormat="1" applyFont="1" applyFill="1" applyBorder="1" applyAlignment="1">
      <alignment/>
    </xf>
    <xf numFmtId="37" fontId="4" fillId="0" borderId="0" xfId="15" applyNumberFormat="1" applyFont="1" applyFill="1" applyAlignment="1">
      <alignment/>
    </xf>
    <xf numFmtId="37" fontId="4" fillId="0" borderId="15" xfId="15" applyNumberFormat="1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15" applyNumberFormat="1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15" xfId="0" applyNumberFormat="1" applyFont="1" applyFill="1" applyBorder="1" applyAlignment="1">
      <alignment/>
    </xf>
    <xf numFmtId="164" fontId="4" fillId="0" borderId="0" xfId="27" applyNumberFormat="1" applyFont="1" applyFill="1" applyAlignment="1">
      <alignment/>
      <protection/>
    </xf>
    <xf numFmtId="0" fontId="3" fillId="0" borderId="0" xfId="27" applyFont="1" applyFill="1" applyAlignment="1">
      <alignment/>
      <protection/>
    </xf>
    <xf numFmtId="37" fontId="4" fillId="0" borderId="0" xfId="27" applyNumberFormat="1" applyFont="1" applyFill="1" applyBorder="1" applyAlignment="1">
      <alignment horizontal="left"/>
      <protection/>
    </xf>
    <xf numFmtId="0" fontId="4" fillId="0" borderId="0" xfId="27" applyFont="1" applyFill="1" applyAlignment="1">
      <alignment vertical="top" wrapText="1"/>
      <protection/>
    </xf>
    <xf numFmtId="37" fontId="4" fillId="0" borderId="0" xfId="0" applyNumberFormat="1" applyFont="1" applyFill="1" applyBorder="1" applyAlignment="1">
      <alignment vertical="top" wrapText="1"/>
    </xf>
    <xf numFmtId="0" fontId="19" fillId="0" borderId="0" xfId="0" applyFont="1" applyAlignment="1">
      <alignment/>
    </xf>
    <xf numFmtId="43" fontId="2" fillId="0" borderId="0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0" fillId="0" borderId="0" xfId="15" applyFont="1" applyBorder="1" applyAlignment="1">
      <alignment/>
    </xf>
    <xf numFmtId="164" fontId="2" fillId="0" borderId="2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 horizontal="right"/>
    </xf>
    <xf numFmtId="164" fontId="2" fillId="0" borderId="3" xfId="15" applyNumberFormat="1" applyFont="1" applyFill="1" applyBorder="1" applyAlignment="1">
      <alignment/>
    </xf>
    <xf numFmtId="14" fontId="2" fillId="0" borderId="0" xfId="0" applyNumberFormat="1" applyFont="1" applyFill="1" applyAlignment="1">
      <alignment horizontal="center"/>
    </xf>
    <xf numFmtId="164" fontId="2" fillId="0" borderId="0" xfId="15" applyNumberFormat="1" applyFont="1" applyFill="1" applyBorder="1" applyAlignment="1">
      <alignment horizontal="center"/>
    </xf>
    <xf numFmtId="164" fontId="2" fillId="0" borderId="2" xfId="15" applyNumberFormat="1" applyFont="1" applyFill="1" applyBorder="1" applyAlignment="1">
      <alignment horizontal="center"/>
    </xf>
    <xf numFmtId="164" fontId="2" fillId="0" borderId="0" xfId="15" applyNumberFormat="1" applyFont="1" applyAlignment="1">
      <alignment horizontal="center"/>
    </xf>
    <xf numFmtId="164" fontId="2" fillId="0" borderId="2" xfId="15" applyNumberFormat="1" applyFont="1" applyBorder="1" applyAlignment="1">
      <alignment horizontal="center"/>
    </xf>
    <xf numFmtId="164" fontId="2" fillId="0" borderId="3" xfId="15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/>
    </xf>
    <xf numFmtId="43" fontId="3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3" fontId="4" fillId="0" borderId="0" xfId="15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Cashflow - Dec 99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콤마 [0]_1202" xfId="36"/>
    <cellStyle name="콤마_1202" xfId="37"/>
    <cellStyle name="통화 [0]_1202" xfId="38"/>
    <cellStyle name="통화_1202" xfId="39"/>
    <cellStyle name="표준_(정보부문)월별인원계획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723900</xdr:colOff>
      <xdr:row>12</xdr:row>
      <xdr:rowOff>104775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4743450" y="2295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EGGY%20BACKUP\BOD%20meeting%20Q1%202006\Copy%20of%20KLSE-Q1(Oct2006)Board%20papers%20xls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weychong\YAR\historical%20bursa%20data\yr2006\BURSA(Q2%2020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weychong\mgm%20meeting%20report\mm(jan07)\KLSE-Q2(jan2007)Board%20paper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EGGY%20BACKUP\BOD%20meeting%20Q2%202006\KLSE-Q2(Jan2006)Board%20pap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tConPL(1st qtr)"/>
      <sheetName val="1st Q (COGS details)"/>
      <sheetName val="ConPL(1st qtr)"/>
      <sheetName val="InterCoTransQ"/>
      <sheetName val="Sales By Country"/>
      <sheetName val="Sales By Sector"/>
      <sheetName val="Segml(Sales)"/>
      <sheetName val="BS(1stQ)"/>
      <sheetName val="ConsoAdj Q12006 "/>
      <sheetName val="InterBalQ1 06"/>
      <sheetName val="Depreciation1Q06 "/>
      <sheetName val="BG"/>
    </sheetNames>
    <sheetDataSet>
      <sheetData sheetId="0">
        <row r="39">
          <cell r="O39">
            <v>-744102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EQUITY"/>
      <sheetName val="CF"/>
    </sheetNames>
    <sheetDataSet>
      <sheetData sheetId="0">
        <row r="13">
          <cell r="E13">
            <v>68584</v>
          </cell>
        </row>
        <row r="15">
          <cell r="E15">
            <v>10928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PL(1stQ)"/>
      <sheetName val="BS(1stQ)"/>
      <sheetName val="PTT(BS)_Q1"/>
      <sheetName val="PTT(PL)_Q1"/>
      <sheetName val="ConsoAdj Q1"/>
      <sheetName val="InterBalQ1"/>
      <sheetName val="InterCo(TransQ1)"/>
      <sheetName val="Segml(Sales)"/>
      <sheetName val="Sales By Sector_q1"/>
      <sheetName val="Sales By Country_q1"/>
      <sheetName val="DepQ1"/>
      <sheetName val="NetDepQ4"/>
      <sheetName val="PT3_PPE_Q1"/>
      <sheetName val="ConPL(Q2)"/>
      <sheetName val="NETConPL(Q2)"/>
      <sheetName val="PTT(PL)_Q2"/>
      <sheetName val="PTT(BS)_Q2"/>
      <sheetName val="InterCo(TransQ2)"/>
      <sheetName val="BS(2ndQ)"/>
      <sheetName val="InterBalQ2"/>
      <sheetName val="ConsoAdj Q2"/>
      <sheetName val="DepQ2"/>
      <sheetName val="NetDepQ2"/>
      <sheetName val="PT3_PPE_Q2"/>
      <sheetName val="Sales By Sector_q2"/>
      <sheetName val="Sales By Country_q2"/>
    </sheetNames>
    <sheetDataSet>
      <sheetData sheetId="13">
        <row r="17">
          <cell r="O17">
            <v>129343518.05000003</v>
          </cell>
        </row>
        <row r="23">
          <cell r="O23">
            <v>112892205.82</v>
          </cell>
        </row>
        <row r="26">
          <cell r="O26">
            <v>258411.63</v>
          </cell>
        </row>
        <row r="27">
          <cell r="O27">
            <v>1387118.8600000006</v>
          </cell>
        </row>
        <row r="31">
          <cell r="O31">
            <v>6536351.56</v>
          </cell>
        </row>
        <row r="32">
          <cell r="O32">
            <v>5248528.360000001</v>
          </cell>
        </row>
        <row r="33">
          <cell r="O33">
            <v>1076534.4800000002</v>
          </cell>
        </row>
        <row r="34">
          <cell r="O34">
            <v>290604.03</v>
          </cell>
        </row>
        <row r="40">
          <cell r="O40">
            <v>-1570452.02</v>
          </cell>
        </row>
        <row r="44">
          <cell r="O44">
            <v>821608.3869</v>
          </cell>
        </row>
        <row r="48">
          <cell r="O48">
            <v>4195980.656900034</v>
          </cell>
        </row>
        <row r="50">
          <cell r="O50">
            <v>-3883095.5</v>
          </cell>
        </row>
      </sheetData>
      <sheetData sheetId="14">
        <row r="17">
          <cell r="O17">
            <v>75169114.75000001</v>
          </cell>
        </row>
        <row r="25">
          <cell r="O25">
            <v>7972788.070000008</v>
          </cell>
        </row>
        <row r="26">
          <cell r="O26">
            <v>147444.86000000002</v>
          </cell>
        </row>
        <row r="27">
          <cell r="O27">
            <v>922751.7800000003</v>
          </cell>
        </row>
        <row r="31">
          <cell r="O31">
            <v>3403315.2599999993</v>
          </cell>
        </row>
        <row r="32">
          <cell r="O32">
            <v>2769061.62</v>
          </cell>
        </row>
        <row r="33">
          <cell r="O33">
            <v>610451.3600000001</v>
          </cell>
        </row>
        <row r="34">
          <cell r="O34">
            <v>188391.52000000002</v>
          </cell>
        </row>
        <row r="40">
          <cell r="O40">
            <v>-777850.01</v>
          </cell>
        </row>
        <row r="44">
          <cell r="O44">
            <v>677241.1373000004</v>
          </cell>
        </row>
      </sheetData>
      <sheetData sheetId="18">
        <row r="11">
          <cell r="R11">
            <v>59255279.74</v>
          </cell>
        </row>
        <row r="14">
          <cell r="R14">
            <v>2098843</v>
          </cell>
        </row>
        <row r="16">
          <cell r="R16">
            <v>16613.51</v>
          </cell>
        </row>
        <row r="19">
          <cell r="R19">
            <v>38153907.94</v>
          </cell>
        </row>
        <row r="20">
          <cell r="R20">
            <v>42812969.800000004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5371678.34</v>
          </cell>
        </row>
        <row r="26">
          <cell r="R26">
            <v>287178</v>
          </cell>
        </row>
        <row r="27">
          <cell r="R27">
            <v>9680376.66</v>
          </cell>
        </row>
        <row r="28">
          <cell r="R28">
            <v>9025820.41</v>
          </cell>
        </row>
        <row r="33">
          <cell r="R33">
            <v>19088962.360000003</v>
          </cell>
        </row>
        <row r="34">
          <cell r="R34">
            <v>7058148.780000003</v>
          </cell>
        </row>
        <row r="38">
          <cell r="R38">
            <v>166409.33000000002</v>
          </cell>
        </row>
        <row r="39">
          <cell r="R39">
            <v>0</v>
          </cell>
        </row>
        <row r="40">
          <cell r="R40">
            <v>3049546.0900000003</v>
          </cell>
        </row>
        <row r="41">
          <cell r="R41">
            <v>16240000</v>
          </cell>
        </row>
        <row r="42">
          <cell r="R42">
            <v>971896.71</v>
          </cell>
        </row>
        <row r="44">
          <cell r="R44">
            <v>140196.41</v>
          </cell>
        </row>
        <row r="53">
          <cell r="R53">
            <v>68625000</v>
          </cell>
        </row>
        <row r="54">
          <cell r="R54">
            <v>930000</v>
          </cell>
        </row>
        <row r="57">
          <cell r="R57">
            <v>1256847.6131</v>
          </cell>
        </row>
        <row r="59">
          <cell r="R59">
            <v>-1726236.25</v>
          </cell>
        </row>
        <row r="60">
          <cell r="R60">
            <v>-244390.17022501584</v>
          </cell>
        </row>
        <row r="61">
          <cell r="R61">
            <v>31766315.936900035</v>
          </cell>
        </row>
        <row r="65">
          <cell r="R65">
            <v>140637.08</v>
          </cell>
        </row>
        <row r="66">
          <cell r="R66">
            <v>0</v>
          </cell>
        </row>
        <row r="67">
          <cell r="R67">
            <v>18860034.57</v>
          </cell>
        </row>
        <row r="68">
          <cell r="R68">
            <v>379300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es By Country"/>
      <sheetName val="Sales By Sector"/>
      <sheetName val="Segml(Sales)"/>
      <sheetName val="Segm PBT Q1 2005"/>
      <sheetName val="Segm(PBT) Q2 2005"/>
      <sheetName val="PTT(BS)"/>
      <sheetName val="PTT(PL)"/>
      <sheetName val="Sensetive"/>
      <sheetName val="Sensitive(Rev)"/>
      <sheetName val="ActuaVsRevised"/>
      <sheetName val="Actual Vs Budget(To Go)"/>
      <sheetName val="ConPL(2ndQ)"/>
      <sheetName val="NetConPL(2nd qtr)"/>
      <sheetName val="ConPL(1stQ)"/>
      <sheetName val="PL(work)Q2"/>
      <sheetName val="BS(1stQ)"/>
      <sheetName val="BS(2ndQ)"/>
      <sheetName val="ConsoAdjQ1"/>
      <sheetName val="ConsoAdj Q2"/>
      <sheetName val="InterCo(TransQ1)"/>
      <sheetName val="InterCo(TransQ2)"/>
      <sheetName val="InterBalQ2"/>
      <sheetName val="InterBalQ1"/>
      <sheetName val="PL(work)Q1"/>
      <sheetName val="Q2vsQ2"/>
      <sheetName val="Q2vsQ1 (2)"/>
      <sheetName val="NetDepQ2"/>
      <sheetName val="Dep1Q"/>
      <sheetName val="Dep2Q "/>
      <sheetName val="BG"/>
    </sheetNames>
    <sheetDataSet>
      <sheetData sheetId="11">
        <row r="17">
          <cell r="O17">
            <v>119486197</v>
          </cell>
        </row>
        <row r="23">
          <cell r="O23">
            <v>99459397</v>
          </cell>
        </row>
        <row r="39">
          <cell r="O39">
            <v>-1487700</v>
          </cell>
        </row>
        <row r="43">
          <cell r="O43">
            <v>25775.959999999992</v>
          </cell>
        </row>
      </sheetData>
      <sheetData sheetId="12">
        <row r="43">
          <cell r="O43">
            <v>251517.97999999998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68"/>
  <sheetViews>
    <sheetView workbookViewId="0" topLeftCell="A1">
      <selection activeCell="A1" sqref="A1:L41"/>
    </sheetView>
  </sheetViews>
  <sheetFormatPr defaultColWidth="9.140625" defaultRowHeight="12.75"/>
  <cols>
    <col min="1" max="4" width="9.140625" style="1" customWidth="1"/>
    <col min="5" max="5" width="15.7109375" style="2" customWidth="1"/>
    <col min="6" max="6" width="2.28125" style="1" customWidth="1"/>
    <col min="7" max="7" width="15.57421875" style="2" customWidth="1"/>
    <col min="8" max="8" width="1.8515625" style="1" customWidth="1"/>
    <col min="9" max="9" width="15.57421875" style="1" customWidth="1"/>
    <col min="10" max="10" width="1.421875" style="1" customWidth="1"/>
    <col min="11" max="11" width="15.57421875" style="1" customWidth="1"/>
    <col min="12" max="12" width="1.28515625" style="1" customWidth="1"/>
    <col min="13" max="16384" width="9.140625" style="1" customWidth="1"/>
  </cols>
  <sheetData>
    <row r="1" ht="15.75">
      <c r="A1" s="15" t="s">
        <v>46</v>
      </c>
    </row>
    <row r="2" ht="15.75">
      <c r="A2" s="21" t="s">
        <v>0</v>
      </c>
    </row>
    <row r="3" ht="15.75">
      <c r="A3" s="20" t="s">
        <v>1</v>
      </c>
    </row>
    <row r="4" ht="12.75">
      <c r="A4" s="4"/>
    </row>
    <row r="5" spans="1:11" ht="12.75">
      <c r="A5" s="3"/>
      <c r="E5" s="140" t="s">
        <v>2</v>
      </c>
      <c r="F5" s="140"/>
      <c r="G5" s="140"/>
      <c r="I5" s="140" t="s">
        <v>3</v>
      </c>
      <c r="J5" s="140"/>
      <c r="K5" s="140"/>
    </row>
    <row r="6" spans="1:11" ht="12.75">
      <c r="A6" s="3"/>
      <c r="E6" s="2" t="s">
        <v>4</v>
      </c>
      <c r="F6" s="2"/>
      <c r="G6" s="2" t="s">
        <v>5</v>
      </c>
      <c r="I6" s="2" t="s">
        <v>4</v>
      </c>
      <c r="J6" s="2"/>
      <c r="K6" s="2" t="s">
        <v>5</v>
      </c>
    </row>
    <row r="7" spans="1:11" ht="12.75">
      <c r="A7" s="5"/>
      <c r="E7" s="2" t="s">
        <v>6</v>
      </c>
      <c r="F7" s="2"/>
      <c r="G7" s="2" t="s">
        <v>6</v>
      </c>
      <c r="I7" s="2" t="s">
        <v>6</v>
      </c>
      <c r="J7" s="2"/>
      <c r="K7" s="2" t="s">
        <v>6</v>
      </c>
    </row>
    <row r="8" spans="1:11" ht="12.75">
      <c r="A8" s="3"/>
      <c r="E8" s="2" t="s">
        <v>7</v>
      </c>
      <c r="F8" s="2"/>
      <c r="G8" s="2" t="s">
        <v>8</v>
      </c>
      <c r="I8" s="2" t="s">
        <v>9</v>
      </c>
      <c r="J8" s="2"/>
      <c r="K8" s="2" t="s">
        <v>8</v>
      </c>
    </row>
    <row r="9" spans="1:11" ht="12.75">
      <c r="A9" s="3"/>
      <c r="F9" s="2"/>
      <c r="G9" s="2" t="s">
        <v>7</v>
      </c>
      <c r="I9" s="2"/>
      <c r="J9" s="2"/>
      <c r="K9" s="2" t="s">
        <v>10</v>
      </c>
    </row>
    <row r="10" spans="1:11" ht="12.75">
      <c r="A10" s="3"/>
      <c r="F10" s="2"/>
      <c r="G10" s="2" t="s">
        <v>137</v>
      </c>
      <c r="I10" s="2"/>
      <c r="J10" s="2"/>
      <c r="K10" s="2" t="s">
        <v>137</v>
      </c>
    </row>
    <row r="11" spans="1:11" ht="12.75">
      <c r="A11" s="3"/>
      <c r="E11" s="128" t="s">
        <v>141</v>
      </c>
      <c r="F11" s="2"/>
      <c r="G11" s="6" t="s">
        <v>142</v>
      </c>
      <c r="I11" s="6" t="s">
        <v>148</v>
      </c>
      <c r="J11" s="2"/>
      <c r="K11" s="6" t="s">
        <v>149</v>
      </c>
    </row>
    <row r="12" spans="1:11" ht="12.75">
      <c r="A12" s="3"/>
      <c r="E12" s="2" t="s">
        <v>11</v>
      </c>
      <c r="F12" s="2"/>
      <c r="G12" s="2" t="s">
        <v>11</v>
      </c>
      <c r="I12" s="2" t="s">
        <v>11</v>
      </c>
      <c r="J12" s="2"/>
      <c r="K12" s="2" t="s">
        <v>11</v>
      </c>
    </row>
    <row r="13" ht="12.75">
      <c r="A13" s="22" t="s">
        <v>47</v>
      </c>
    </row>
    <row r="14" spans="1:11" ht="12.75">
      <c r="A14" s="3" t="s">
        <v>12</v>
      </c>
      <c r="E14" s="129">
        <f>'[3]NETConPL(Q2)'!$O$17/1000</f>
        <v>75169.11475000001</v>
      </c>
      <c r="F14" s="8"/>
      <c r="G14" s="23">
        <f>'[2]PL'!$E$13</f>
        <v>68584</v>
      </c>
      <c r="H14" s="8"/>
      <c r="I14" s="23">
        <f>'[3]ConPL(Q2)'!$O$17/1000</f>
        <v>129343.51805000003</v>
      </c>
      <c r="J14" s="8"/>
      <c r="K14" s="23">
        <f>'[4]ConPL(2ndQ)'!$O$17/1000</f>
        <v>119486.197</v>
      </c>
    </row>
    <row r="15" spans="1:11" ht="12.75">
      <c r="A15" s="3" t="s">
        <v>48</v>
      </c>
      <c r="E15" s="130">
        <f>E14-E16</f>
        <v>67196.32668</v>
      </c>
      <c r="F15" s="10"/>
      <c r="G15" s="125">
        <f>G14-G16</f>
        <v>57656</v>
      </c>
      <c r="H15" s="10"/>
      <c r="I15" s="125">
        <f>'[3]ConPL(Q2)'!$O$23/1000+0.5</f>
        <v>112892.70581999999</v>
      </c>
      <c r="J15" s="10"/>
      <c r="K15" s="125">
        <f>-'[4]ConPL(2ndQ)'!$O$23/1000</f>
        <v>-99459.397</v>
      </c>
    </row>
    <row r="16" spans="1:11" ht="12.75">
      <c r="A16" s="3" t="s">
        <v>13</v>
      </c>
      <c r="E16" s="31">
        <f>'[3]NETConPL(Q2)'!$O$25/1000</f>
        <v>7972.788070000008</v>
      </c>
      <c r="F16" s="7"/>
      <c r="G16" s="8">
        <f>'[2]PL'!$E$15</f>
        <v>10928</v>
      </c>
      <c r="H16" s="7"/>
      <c r="I16" s="8">
        <f>I14-I15</f>
        <v>16450.81223000004</v>
      </c>
      <c r="J16" s="7"/>
      <c r="K16" s="8">
        <f>SUM(K14:K15)</f>
        <v>20026.800000000003</v>
      </c>
    </row>
    <row r="17" spans="1:11" ht="12.75">
      <c r="A17" s="3"/>
      <c r="E17" s="131"/>
      <c r="F17" s="7"/>
      <c r="G17" s="7"/>
      <c r="H17" s="7"/>
      <c r="I17" s="7"/>
      <c r="J17" s="7"/>
      <c r="K17" s="7"/>
    </row>
    <row r="18" spans="1:11" ht="12.75">
      <c r="A18" s="24" t="s">
        <v>50</v>
      </c>
      <c r="B18" s="25"/>
      <c r="C18" s="25"/>
      <c r="D18" s="25"/>
      <c r="E18" s="31">
        <f>'[3]NETConPL(Q2)'!$O$26/1000+'[3]NETConPL(Q2)'!$O$27/1000</f>
        <v>1070.1966400000003</v>
      </c>
      <c r="F18" s="8"/>
      <c r="G18" s="23">
        <v>612</v>
      </c>
      <c r="H18" s="8"/>
      <c r="I18" s="8">
        <f>'[3]ConPL(Q2)'!$O$26/1000+'[3]ConPL(Q2)'!$O$27/1000</f>
        <v>1645.5304900000006</v>
      </c>
      <c r="J18" s="8"/>
      <c r="K18" s="23">
        <v>525.45599</v>
      </c>
    </row>
    <row r="19" spans="1:11" ht="12.75">
      <c r="A19" s="24" t="s">
        <v>49</v>
      </c>
      <c r="B19" s="25"/>
      <c r="C19" s="25"/>
      <c r="D19" s="25"/>
      <c r="E19" s="31">
        <f>-('[3]NETConPL(Q2)'!$O$31/1000+'[3]NETConPL(Q2)'!$O$34/1000)</f>
        <v>-3591.7067799999995</v>
      </c>
      <c r="F19" s="8"/>
      <c r="G19" s="23">
        <v>-3670.4527300000004</v>
      </c>
      <c r="H19" s="8"/>
      <c r="I19" s="8">
        <f>-('[3]ConPL(Q2)'!$O$31/1000+'[3]ConPL(Q2)'!$O$34/1000)+0.5</f>
        <v>-6826.45559</v>
      </c>
      <c r="J19" s="8"/>
      <c r="K19" s="23">
        <v>-6491.42665</v>
      </c>
    </row>
    <row r="20" spans="1:11" ht="12.75">
      <c r="A20" s="26" t="s">
        <v>51</v>
      </c>
      <c r="B20" s="25"/>
      <c r="C20" s="25"/>
      <c r="D20" s="25"/>
      <c r="E20" s="31">
        <f>-'[3]NETConPL(Q2)'!$O$32/1000</f>
        <v>-2769.06162</v>
      </c>
      <c r="F20" s="8"/>
      <c r="G20" s="23">
        <v>-2800.25583</v>
      </c>
      <c r="H20" s="8"/>
      <c r="I20" s="8">
        <f>-'[3]ConPL(Q2)'!$O$32/1000</f>
        <v>-5248.528360000001</v>
      </c>
      <c r="J20" s="8"/>
      <c r="K20" s="23">
        <v>-4987.9221</v>
      </c>
    </row>
    <row r="21" spans="1:11" ht="12.75">
      <c r="A21" s="24" t="s">
        <v>139</v>
      </c>
      <c r="B21" s="25"/>
      <c r="C21" s="25"/>
      <c r="D21" s="25"/>
      <c r="E21" s="31">
        <f>-'[3]NETConPL(Q2)'!$O$33/1000</f>
        <v>-610.4513600000001</v>
      </c>
      <c r="F21" s="8"/>
      <c r="G21" s="23">
        <v>-39.72676000000001</v>
      </c>
      <c r="H21" s="8"/>
      <c r="I21" s="8">
        <f>-'[3]ConPL(Q2)'!$O$33/1000</f>
        <v>-1076.5344800000003</v>
      </c>
      <c r="J21" s="8"/>
      <c r="K21" s="23">
        <v>-166.60804000000002</v>
      </c>
    </row>
    <row r="22" spans="1:11" ht="12.75">
      <c r="A22" s="24"/>
      <c r="B22" s="25"/>
      <c r="C22" s="25"/>
      <c r="D22" s="25"/>
      <c r="E22" s="132"/>
      <c r="F22" s="10"/>
      <c r="G22" s="125"/>
      <c r="H22" s="10"/>
      <c r="I22" s="10"/>
      <c r="J22" s="10"/>
      <c r="K22" s="125"/>
    </row>
    <row r="23" spans="1:11" ht="12.75">
      <c r="A23" s="28" t="s">
        <v>44</v>
      </c>
      <c r="B23" s="25"/>
      <c r="C23" s="25"/>
      <c r="D23" s="25"/>
      <c r="E23" s="31">
        <f>SUM(E16:E22)</f>
        <v>2071.7649500000084</v>
      </c>
      <c r="F23" s="8"/>
      <c r="G23" s="23">
        <f>SUM(G16:G22)</f>
        <v>5029.5646799999995</v>
      </c>
      <c r="H23" s="8"/>
      <c r="I23" s="8">
        <f>SUM(I16:I22)</f>
        <v>4944.82429000004</v>
      </c>
      <c r="J23" s="8"/>
      <c r="K23" s="23">
        <f>SUM(K16:K22)</f>
        <v>8906.299200000001</v>
      </c>
    </row>
    <row r="24" spans="1:11" ht="12.75">
      <c r="A24" s="24"/>
      <c r="B24" s="25"/>
      <c r="C24" s="25"/>
      <c r="D24" s="25"/>
      <c r="E24" s="31"/>
      <c r="F24" s="8"/>
      <c r="G24" s="23"/>
      <c r="H24" s="8"/>
      <c r="I24" s="8"/>
      <c r="J24" s="8"/>
      <c r="K24" s="23"/>
    </row>
    <row r="25" spans="1:11" ht="12.75">
      <c r="A25" s="24" t="s">
        <v>52</v>
      </c>
      <c r="B25" s="25"/>
      <c r="C25" s="25"/>
      <c r="D25" s="25"/>
      <c r="E25" s="31">
        <f>'[3]NETConPL(Q2)'!$O$40/1000</f>
        <v>-777.85001</v>
      </c>
      <c r="F25" s="8"/>
      <c r="G25" s="23">
        <f>'[1]NetConPL(1st qtr)'!$O$39/1000</f>
        <v>-744.102</v>
      </c>
      <c r="H25" s="8"/>
      <c r="I25" s="8">
        <f>'[3]ConPL(Q2)'!$O$40/1000-1</f>
        <v>-1571.45202</v>
      </c>
      <c r="J25" s="8"/>
      <c r="K25" s="23">
        <f>'[4]ConPL(2ndQ)'!$O$39/1000-0.5</f>
        <v>-1488.2</v>
      </c>
    </row>
    <row r="26" spans="1:11" ht="12.75">
      <c r="A26" s="27"/>
      <c r="B26" s="25"/>
      <c r="C26" s="25"/>
      <c r="D26" s="25"/>
      <c r="E26" s="31"/>
      <c r="F26" s="8"/>
      <c r="G26" s="23"/>
      <c r="H26" s="8"/>
      <c r="I26" s="8"/>
      <c r="J26" s="8"/>
      <c r="K26" s="23"/>
    </row>
    <row r="27" spans="1:11" ht="12.75">
      <c r="A27" s="28" t="s">
        <v>53</v>
      </c>
      <c r="B27" s="25"/>
      <c r="C27" s="25"/>
      <c r="D27" s="25"/>
      <c r="E27" s="133">
        <f>SUM(E23:E26)</f>
        <v>1293.9149400000083</v>
      </c>
      <c r="F27" s="35"/>
      <c r="G27" s="127">
        <f>SUM(G23:G26)+1</f>
        <v>4286.46268</v>
      </c>
      <c r="H27" s="35"/>
      <c r="I27" s="35">
        <f>SUM(I23:I26)+0.5</f>
        <v>3373.87227000004</v>
      </c>
      <c r="J27" s="35"/>
      <c r="K27" s="127">
        <f>SUM(K23:K26)</f>
        <v>7418.0992000000015</v>
      </c>
    </row>
    <row r="28" spans="1:11" ht="12.75">
      <c r="A28" s="24"/>
      <c r="B28" s="25"/>
      <c r="C28" s="25"/>
      <c r="D28" s="25"/>
      <c r="E28" s="31"/>
      <c r="F28" s="8"/>
      <c r="G28" s="23"/>
      <c r="H28" s="8"/>
      <c r="I28" s="8"/>
      <c r="J28" s="8"/>
      <c r="K28" s="23"/>
    </row>
    <row r="29" spans="1:11" ht="12.75">
      <c r="A29" s="24" t="s">
        <v>54</v>
      </c>
      <c r="B29" s="25"/>
      <c r="C29" s="25"/>
      <c r="D29" s="25"/>
      <c r="E29" s="31"/>
      <c r="F29" s="8"/>
      <c r="G29" s="23"/>
      <c r="H29" s="8"/>
      <c r="I29" s="8"/>
      <c r="J29" s="8"/>
      <c r="K29" s="23"/>
    </row>
    <row r="30" spans="1:11" ht="12.75">
      <c r="A30" s="26" t="s">
        <v>55</v>
      </c>
      <c r="B30" s="25"/>
      <c r="C30" s="25"/>
      <c r="D30" s="25"/>
      <c r="E30" s="31">
        <f>E27-E31</f>
        <v>1971.1560773000087</v>
      </c>
      <c r="F30" s="8"/>
      <c r="G30" s="23">
        <f>G27-G31-1</f>
        <v>4033.9446999999996</v>
      </c>
      <c r="H30" s="8"/>
      <c r="I30" s="8">
        <f>I27-I31+0.5</f>
        <v>4195.98065690004</v>
      </c>
      <c r="J30" s="8"/>
      <c r="K30" s="23">
        <f>K27-K31</f>
        <v>7392.3232400000015</v>
      </c>
    </row>
    <row r="31" spans="1:11" ht="12.75">
      <c r="A31" s="24" t="s">
        <v>39</v>
      </c>
      <c r="B31" s="25"/>
      <c r="C31" s="25"/>
      <c r="D31" s="25"/>
      <c r="E31" s="31">
        <f>-'[3]NETConPL(Q2)'!$O$44/1000</f>
        <v>-677.2411373000004</v>
      </c>
      <c r="F31" s="8"/>
      <c r="G31" s="23">
        <f>'[4]NetConPL(2nd qtr)'!$O$43/1000</f>
        <v>251.51798</v>
      </c>
      <c r="H31" s="8"/>
      <c r="I31" s="8">
        <f>-'[3]ConPL(Q2)'!$O$44/1000</f>
        <v>-821.6083869</v>
      </c>
      <c r="J31" s="8"/>
      <c r="K31" s="23">
        <f>'[4]ConPL(2ndQ)'!$O$43/1000</f>
        <v>25.77595999999999</v>
      </c>
    </row>
    <row r="32" spans="1:11" ht="12.75">
      <c r="A32" s="24"/>
      <c r="B32" s="25"/>
      <c r="C32" s="25"/>
      <c r="D32" s="25"/>
      <c r="E32" s="31"/>
      <c r="F32" s="8"/>
      <c r="G32" s="126"/>
      <c r="H32" s="8"/>
      <c r="I32" s="29"/>
      <c r="J32" s="8"/>
      <c r="K32" s="126"/>
    </row>
    <row r="33" spans="1:11" ht="12.75">
      <c r="A33" s="24"/>
      <c r="B33" s="25"/>
      <c r="C33" s="25"/>
      <c r="D33" s="25"/>
      <c r="E33" s="133">
        <f>SUM(E30:E32)</f>
        <v>1293.9149400000083</v>
      </c>
      <c r="F33" s="35"/>
      <c r="G33" s="127">
        <f>SUM(G30:G32)</f>
        <v>4285.46268</v>
      </c>
      <c r="H33" s="35"/>
      <c r="I33" s="35">
        <f>SUM(I30:I32)</f>
        <v>3374.3722700000403</v>
      </c>
      <c r="J33" s="35"/>
      <c r="K33" s="127">
        <f>SUM(K30:K32)</f>
        <v>7418.0992000000015</v>
      </c>
    </row>
    <row r="34" spans="1:11" ht="12.75">
      <c r="A34" s="27"/>
      <c r="B34" s="25"/>
      <c r="C34" s="25"/>
      <c r="D34" s="25"/>
      <c r="E34" s="31"/>
      <c r="F34" s="8"/>
      <c r="G34" s="8"/>
      <c r="H34" s="8"/>
      <c r="I34" s="8"/>
      <c r="J34" s="8"/>
      <c r="K34" s="8"/>
    </row>
    <row r="35" spans="1:11" ht="12.75">
      <c r="A35" s="28" t="s">
        <v>56</v>
      </c>
      <c r="B35" s="25"/>
      <c r="C35" s="25"/>
      <c r="D35" s="25"/>
      <c r="E35" s="31"/>
      <c r="F35" s="8"/>
      <c r="G35" s="8"/>
      <c r="H35" s="8"/>
      <c r="I35" s="8"/>
      <c r="J35" s="8"/>
      <c r="K35" s="8"/>
    </row>
    <row r="36" spans="1:13" ht="12.75">
      <c r="A36" s="26" t="s">
        <v>57</v>
      </c>
      <c r="B36" s="25"/>
      <c r="C36" s="25"/>
      <c r="D36" s="25"/>
      <c r="E36" s="80">
        <f>E30/(68625*2-2421.4)*100</f>
        <v>1.4619717754986767</v>
      </c>
      <c r="F36" s="122"/>
      <c r="G36" s="80">
        <f>G30/(68625*2-1010.7)*100</f>
        <v>2.960925885555783</v>
      </c>
      <c r="H36" s="122"/>
      <c r="I36" s="122">
        <f>I30/(68625*2-2421.4)*100</f>
        <v>3.11208501527127</v>
      </c>
      <c r="J36" s="122"/>
      <c r="K36" s="80">
        <f>K30/(68625*2-1010.7)*100</f>
        <v>5.425984455293005</v>
      </c>
      <c r="M36" s="22"/>
    </row>
    <row r="37" spans="1:11" ht="12.75">
      <c r="A37" s="27"/>
      <c r="B37" s="25"/>
      <c r="C37" s="25"/>
      <c r="D37" s="25"/>
      <c r="E37" s="31"/>
      <c r="F37" s="8"/>
      <c r="G37" s="31"/>
      <c r="H37" s="8"/>
      <c r="I37" s="8"/>
      <c r="J37" s="8"/>
      <c r="K37" s="31"/>
    </row>
    <row r="38" spans="1:11" ht="12.75">
      <c r="A38" s="24" t="s">
        <v>58</v>
      </c>
      <c r="B38" s="30"/>
      <c r="C38" s="25"/>
      <c r="D38" s="25"/>
      <c r="E38" s="33" t="s">
        <v>92</v>
      </c>
      <c r="F38" s="8"/>
      <c r="G38" s="33" t="s">
        <v>92</v>
      </c>
      <c r="H38" s="11"/>
      <c r="I38" s="33" t="s">
        <v>92</v>
      </c>
      <c r="J38" s="11"/>
      <c r="K38" s="33" t="s">
        <v>92</v>
      </c>
    </row>
    <row r="39" spans="1:11" ht="12.75">
      <c r="A39" s="27"/>
      <c r="B39" s="30"/>
      <c r="C39" s="25"/>
      <c r="D39" s="25"/>
      <c r="E39" s="80"/>
      <c r="F39" s="29"/>
      <c r="G39" s="12"/>
      <c r="H39" s="13"/>
      <c r="I39" s="12"/>
      <c r="J39" s="13"/>
      <c r="K39" s="33"/>
    </row>
    <row r="40" spans="1:11" s="79" customFormat="1" ht="26.25" customHeight="1">
      <c r="A40" s="141" t="s">
        <v>91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</row>
    <row r="41" spans="1:11" ht="12.75">
      <c r="A41" s="27"/>
      <c r="B41" s="25"/>
      <c r="C41" s="25"/>
      <c r="D41" s="25"/>
      <c r="E41" s="14"/>
      <c r="F41" s="14"/>
      <c r="G41" s="13"/>
      <c r="H41" s="14"/>
      <c r="I41" s="13"/>
      <c r="J41" s="11"/>
      <c r="K41" s="34"/>
    </row>
    <row r="42" spans="1:11" ht="12.75">
      <c r="A42" s="24"/>
      <c r="B42" s="25"/>
      <c r="C42" s="25"/>
      <c r="D42" s="25"/>
      <c r="E42" s="31"/>
      <c r="F42" s="8"/>
      <c r="G42" s="31"/>
      <c r="H42" s="8"/>
      <c r="I42" s="8"/>
      <c r="J42" s="8"/>
      <c r="K42" s="31"/>
    </row>
    <row r="43" spans="1:11" ht="12.75">
      <c r="A43" s="27"/>
      <c r="B43" s="25"/>
      <c r="C43" s="25"/>
      <c r="D43" s="25"/>
      <c r="E43" s="32"/>
      <c r="F43" s="25"/>
      <c r="G43" s="32"/>
      <c r="H43" s="25"/>
      <c r="I43" s="25"/>
      <c r="J43" s="25"/>
      <c r="K43" s="32"/>
    </row>
    <row r="44" spans="1:11" ht="12.75">
      <c r="A44" s="27"/>
      <c r="B44" s="25"/>
      <c r="C44" s="25"/>
      <c r="D44" s="25"/>
      <c r="E44" s="32"/>
      <c r="F44" s="25"/>
      <c r="G44" s="32"/>
      <c r="H44" s="25"/>
      <c r="I44" s="25"/>
      <c r="J44" s="25"/>
      <c r="K44" s="32"/>
    </row>
    <row r="45" ht="12.75">
      <c r="K45" s="2"/>
    </row>
    <row r="46" spans="1:11" ht="12.75">
      <c r="A46" s="9"/>
      <c r="K46" s="2"/>
    </row>
    <row r="47" ht="12.75">
      <c r="K47" s="2"/>
    </row>
    <row r="48" ht="12.75">
      <c r="K48" s="2"/>
    </row>
    <row r="49" ht="12.75">
      <c r="K49" s="2"/>
    </row>
    <row r="50" ht="12.75">
      <c r="K50" s="2"/>
    </row>
    <row r="51" ht="12.75">
      <c r="K51" s="2"/>
    </row>
    <row r="52" ht="12.75">
      <c r="K52" s="2"/>
    </row>
    <row r="53" ht="12.75">
      <c r="K53" s="2"/>
    </row>
    <row r="54" ht="12.75">
      <c r="K54" s="2"/>
    </row>
    <row r="55" ht="12.75">
      <c r="K55" s="2"/>
    </row>
    <row r="56" ht="12.75">
      <c r="K56" s="2"/>
    </row>
    <row r="57" ht="12.75">
      <c r="K57" s="2"/>
    </row>
    <row r="58" ht="12.75">
      <c r="K58" s="2"/>
    </row>
    <row r="59" ht="12.75">
      <c r="K59" s="2"/>
    </row>
    <row r="60" ht="12.75">
      <c r="K60" s="2"/>
    </row>
    <row r="61" ht="12.75">
      <c r="K61" s="2"/>
    </row>
    <row r="62" ht="12.75">
      <c r="K62" s="2"/>
    </row>
    <row r="63" ht="12.75">
      <c r="K63" s="2"/>
    </row>
    <row r="64" ht="12.75">
      <c r="K64" s="2"/>
    </row>
    <row r="65" ht="12.75">
      <c r="K65" s="2"/>
    </row>
    <row r="66" ht="12.75">
      <c r="K66" s="2"/>
    </row>
    <row r="67" ht="12.75">
      <c r="K67" s="2"/>
    </row>
    <row r="68" ht="12.75">
      <c r="K68" s="2"/>
    </row>
  </sheetData>
  <sheetProtection/>
  <mergeCells count="3">
    <mergeCell ref="E5:G5"/>
    <mergeCell ref="I5:K5"/>
    <mergeCell ref="A40:K40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54"/>
  <sheetViews>
    <sheetView workbookViewId="0" topLeftCell="A1">
      <selection activeCell="A1" sqref="A1:G55"/>
    </sheetView>
  </sheetViews>
  <sheetFormatPr defaultColWidth="9.140625" defaultRowHeight="12.75"/>
  <cols>
    <col min="1" max="1" width="60.00390625" style="17" customWidth="1"/>
    <col min="2" max="2" width="6.7109375" style="17" customWidth="1"/>
    <col min="3" max="3" width="18.28125" style="17" customWidth="1"/>
    <col min="4" max="4" width="17.7109375" style="17" hidden="1" customWidth="1"/>
    <col min="5" max="5" width="17.7109375" style="17" customWidth="1"/>
    <col min="6" max="6" width="17.7109375" style="17" hidden="1" customWidth="1"/>
    <col min="7" max="7" width="1.8515625" style="17" customWidth="1"/>
    <col min="8" max="16384" width="9.140625" style="17" customWidth="1"/>
  </cols>
  <sheetData>
    <row r="1" spans="1:5" ht="18.75" customHeight="1">
      <c r="A1" s="36" t="str">
        <f>PL!A1</f>
        <v>Jaycorp Berhad  ( Formerly known as Yeo Aik Resources Berhad )</v>
      </c>
      <c r="C1" s="37"/>
      <c r="D1" s="37"/>
      <c r="E1" s="37"/>
    </row>
    <row r="2" spans="1:6" ht="15.75">
      <c r="A2" s="38"/>
      <c r="C2" s="39"/>
      <c r="D2" s="39"/>
      <c r="E2" s="39"/>
      <c r="F2" s="40"/>
    </row>
    <row r="3" spans="1:6" ht="15.75">
      <c r="A3" s="142" t="s">
        <v>59</v>
      </c>
      <c r="B3" s="142"/>
      <c r="C3" s="142"/>
      <c r="D3" s="142"/>
      <c r="E3" s="142"/>
      <c r="F3" s="40" t="s">
        <v>14</v>
      </c>
    </row>
    <row r="4" spans="1:6" ht="15.75">
      <c r="A4" s="143" t="s">
        <v>143</v>
      </c>
      <c r="B4" s="143"/>
      <c r="C4" s="143"/>
      <c r="D4" s="143"/>
      <c r="E4" s="143"/>
      <c r="F4" s="41" t="e">
        <f>#REF!</f>
        <v>#REF!</v>
      </c>
    </row>
    <row r="5" spans="1:6" ht="15.75">
      <c r="A5" s="142" t="s">
        <v>60</v>
      </c>
      <c r="B5" s="142"/>
      <c r="C5" s="142"/>
      <c r="D5" s="142"/>
      <c r="E5" s="142"/>
      <c r="F5" s="41"/>
    </row>
    <row r="6" spans="1:6" ht="15.75">
      <c r="A6" s="42"/>
      <c r="B6" s="42"/>
      <c r="C6" s="42"/>
      <c r="D6" s="42"/>
      <c r="E6" s="39" t="s">
        <v>61</v>
      </c>
      <c r="F6" s="41"/>
    </row>
    <row r="7" spans="1:6" ht="15.75">
      <c r="A7" s="42"/>
      <c r="B7" s="42"/>
      <c r="C7" s="43">
        <v>39113</v>
      </c>
      <c r="D7" s="39"/>
      <c r="E7" s="43">
        <v>38929</v>
      </c>
      <c r="F7" s="41"/>
    </row>
    <row r="8" spans="1:6" ht="15.75">
      <c r="A8" s="44"/>
      <c r="C8" s="39" t="s">
        <v>11</v>
      </c>
      <c r="D8" s="39" t="s">
        <v>11</v>
      </c>
      <c r="E8" s="39" t="s">
        <v>11</v>
      </c>
      <c r="F8" s="41"/>
    </row>
    <row r="9" spans="1:5" ht="15.75">
      <c r="A9" s="38" t="s">
        <v>15</v>
      </c>
      <c r="C9" s="39"/>
      <c r="D9" s="39"/>
      <c r="E9" s="39" t="s">
        <v>137</v>
      </c>
    </row>
    <row r="10" spans="1:6" ht="15.75">
      <c r="A10" s="17" t="s">
        <v>16</v>
      </c>
      <c r="C10" s="16">
        <f>'[3]BS(2ndQ)'!$R$11/1000-C11</f>
        <v>55412.992990000006</v>
      </c>
      <c r="D10" s="16"/>
      <c r="E10" s="16">
        <f>59214-E11</f>
        <v>55333</v>
      </c>
      <c r="F10" s="16" t="e">
        <f>E10-#REF!</f>
        <v>#REF!</v>
      </c>
    </row>
    <row r="11" spans="1:6" ht="15.75">
      <c r="A11" s="17" t="s">
        <v>140</v>
      </c>
      <c r="C11" s="16">
        <f>(5227601-104552)/1000*75%</f>
        <v>3842.28675</v>
      </c>
      <c r="D11" s="16"/>
      <c r="E11" s="16">
        <v>3881</v>
      </c>
      <c r="F11" s="16"/>
    </row>
    <row r="12" spans="1:6" ht="15.75">
      <c r="A12" s="17" t="s">
        <v>38</v>
      </c>
      <c r="C12" s="16">
        <f>'[3]BS(2ndQ)'!$R$16/1000</f>
        <v>16.613509999999998</v>
      </c>
      <c r="D12" s="16"/>
      <c r="E12" s="16">
        <v>17</v>
      </c>
      <c r="F12" s="16"/>
    </row>
    <row r="13" spans="1:6" ht="15.75">
      <c r="A13" s="17" t="s">
        <v>17</v>
      </c>
      <c r="C13" s="18">
        <f>'[3]BS(2ndQ)'!$R$14/1000</f>
        <v>2098.843</v>
      </c>
      <c r="D13" s="18"/>
      <c r="E13" s="18">
        <v>2216</v>
      </c>
      <c r="F13" s="16" t="e">
        <f>E13-#REF!</f>
        <v>#REF!</v>
      </c>
    </row>
    <row r="14" spans="3:5" ht="15.75">
      <c r="C14" s="134">
        <f>SUM(C9:C13)</f>
        <v>61370.73625000001</v>
      </c>
      <c r="D14" s="134">
        <f>SUM(D9:D13)</f>
        <v>0</v>
      </c>
      <c r="E14" s="134">
        <f>SUM(E9:E13)</f>
        <v>61447</v>
      </c>
    </row>
    <row r="15" ht="15.75">
      <c r="A15" s="38" t="s">
        <v>18</v>
      </c>
    </row>
    <row r="16" spans="1:6" ht="15.75">
      <c r="A16" s="17" t="s">
        <v>19</v>
      </c>
      <c r="C16" s="16">
        <f>'[3]BS(2ndQ)'!$R$19/1000</f>
        <v>38153.90794</v>
      </c>
      <c r="D16" s="16"/>
      <c r="E16" s="16">
        <v>38843</v>
      </c>
      <c r="F16" s="16" t="e">
        <f>E16-#REF!</f>
        <v>#REF!</v>
      </c>
    </row>
    <row r="17" spans="1:8" ht="15.75">
      <c r="A17" s="17" t="s">
        <v>62</v>
      </c>
      <c r="B17" s="45"/>
      <c r="C17" s="16">
        <f>'[3]BS(2ndQ)'!$R$20/1000</f>
        <v>42812.969800000006</v>
      </c>
      <c r="D17" s="16"/>
      <c r="E17" s="16">
        <v>25365</v>
      </c>
      <c r="F17" s="16" t="e">
        <f>E17-#REF!</f>
        <v>#REF!</v>
      </c>
      <c r="H17" s="16"/>
    </row>
    <row r="18" spans="1:6" ht="15.75">
      <c r="A18" s="17" t="s">
        <v>63</v>
      </c>
      <c r="C18" s="16">
        <f>SUM('[3]BS(2ndQ)'!$R$22+'[3]BS(2ndQ)'!$R$23+'[3]BS(2ndQ)'!$R$24+'[3]BS(2ndQ)'!$R$25+'[3]BS(2ndQ)'!$R$26)/1000</f>
        <v>5658.85634</v>
      </c>
      <c r="D18" s="16"/>
      <c r="E18" s="16">
        <f>6193+696+291</f>
        <v>7180</v>
      </c>
      <c r="F18" s="16"/>
    </row>
    <row r="19" spans="1:6" ht="15.75">
      <c r="A19" s="17" t="s">
        <v>64</v>
      </c>
      <c r="C19" s="18">
        <f>SUM('[3]BS(2ndQ)'!$R$27:$R$28)/1000</f>
        <v>18706.197070000002</v>
      </c>
      <c r="D19" s="16"/>
      <c r="E19" s="16">
        <v>15686</v>
      </c>
      <c r="F19" s="16" t="e">
        <f>E19-#REF!</f>
        <v>#REF!</v>
      </c>
    </row>
    <row r="20" spans="3:6" ht="15.75">
      <c r="C20" s="134">
        <f>SUM(C16:C19)</f>
        <v>105331.93114999999</v>
      </c>
      <c r="D20" s="134">
        <f>SUM(D16:D19)</f>
        <v>0</v>
      </c>
      <c r="E20" s="134">
        <f>SUM(E16:E19)</f>
        <v>87074</v>
      </c>
      <c r="F20" s="16" t="e">
        <f>SUM(F16:F19)</f>
        <v>#REF!</v>
      </c>
    </row>
    <row r="21" spans="1:6" ht="16.5" thickBot="1">
      <c r="A21" s="38" t="s">
        <v>65</v>
      </c>
      <c r="C21" s="135">
        <f>SUM(C14,C20)</f>
        <v>166702.6674</v>
      </c>
      <c r="D21" s="135">
        <f>SUM(D14,D20)</f>
        <v>0</v>
      </c>
      <c r="E21" s="135">
        <f>SUM(E14,E20)</f>
        <v>148521</v>
      </c>
      <c r="F21" s="16"/>
    </row>
    <row r="22" spans="3:6" ht="16.5" thickTop="1">
      <c r="C22" s="16"/>
      <c r="D22" s="16"/>
      <c r="E22" s="16"/>
      <c r="F22" s="16"/>
    </row>
    <row r="23" ht="15.75">
      <c r="A23" s="38" t="s">
        <v>66</v>
      </c>
    </row>
    <row r="24" ht="15.75">
      <c r="A24" s="38" t="s">
        <v>67</v>
      </c>
    </row>
    <row r="25" spans="1:6" ht="15.75">
      <c r="A25" s="17" t="s">
        <v>21</v>
      </c>
      <c r="C25" s="16">
        <f>'[3]BS(2ndQ)'!$R$53/1000</f>
        <v>68625</v>
      </c>
      <c r="D25" s="16"/>
      <c r="E25" s="16">
        <f>68625</f>
        <v>68625</v>
      </c>
      <c r="F25" s="16" t="e">
        <f>#REF!-E25</f>
        <v>#REF!</v>
      </c>
    </row>
    <row r="26" spans="1:6" ht="15.75">
      <c r="A26" s="17" t="s">
        <v>22</v>
      </c>
      <c r="C26" s="16">
        <f>'[3]BS(2ndQ)'!$R$54/1000</f>
        <v>930</v>
      </c>
      <c r="D26" s="16"/>
      <c r="E26" s="16">
        <v>930</v>
      </c>
      <c r="F26" s="16"/>
    </row>
    <row r="27" spans="1:6" ht="15.75">
      <c r="A27" s="17" t="s">
        <v>93</v>
      </c>
      <c r="C27" s="16">
        <f>'[3]BS(2ndQ)'!$R$59/1000</f>
        <v>-1726.23625</v>
      </c>
      <c r="D27" s="16"/>
      <c r="E27" s="16">
        <v>-1252</v>
      </c>
      <c r="F27" s="16"/>
    </row>
    <row r="28" spans="1:6" ht="15.75">
      <c r="A28" s="17" t="s">
        <v>138</v>
      </c>
      <c r="C28" s="16">
        <f>'[3]BS(2ndQ)'!$R$60/1000</f>
        <v>-244.39017022501585</v>
      </c>
      <c r="D28" s="16"/>
      <c r="E28" s="16">
        <v>-119</v>
      </c>
      <c r="F28" s="16"/>
    </row>
    <row r="29" spans="1:6" ht="15.75">
      <c r="A29" s="17" t="s">
        <v>41</v>
      </c>
      <c r="C29" s="18">
        <f>'[3]BS(2ndQ)'!$R$61/1000</f>
        <v>31766.315936900035</v>
      </c>
      <c r="D29" s="18">
        <v>93553</v>
      </c>
      <c r="E29" s="18">
        <f>29138+2315</f>
        <v>31453</v>
      </c>
      <c r="F29" s="16" t="e">
        <f>#REF!-E29</f>
        <v>#REF!</v>
      </c>
    </row>
    <row r="30" spans="3:5" ht="15.75">
      <c r="C30" s="16">
        <f>SUM(C25:C29)</f>
        <v>99350.68951667502</v>
      </c>
      <c r="D30" s="16">
        <f>SUM(D25:D29)</f>
        <v>93553</v>
      </c>
      <c r="E30" s="16">
        <f>SUM(E25:E29)</f>
        <v>99637</v>
      </c>
    </row>
    <row r="31" spans="1:6" ht="15.75">
      <c r="A31" s="17" t="s">
        <v>39</v>
      </c>
      <c r="C31" s="19">
        <f>'[3]BS(2ndQ)'!$R$57/1000</f>
        <v>1256.8476131</v>
      </c>
      <c r="D31" s="19"/>
      <c r="E31" s="19">
        <v>2078</v>
      </c>
      <c r="F31" s="16"/>
    </row>
    <row r="32" spans="1:6" ht="15.75">
      <c r="A32" s="38" t="s">
        <v>68</v>
      </c>
      <c r="C32" s="136">
        <f>SUM(C30:C31)</f>
        <v>100607.53712977502</v>
      </c>
      <c r="D32" s="136">
        <f>SUM(D30:D31)</f>
        <v>93553</v>
      </c>
      <c r="E32" s="136">
        <f>SUM(E30:E31)</f>
        <v>101715</v>
      </c>
      <c r="F32" s="19"/>
    </row>
    <row r="33" spans="1:6" ht="15.75">
      <c r="A33" s="38"/>
      <c r="C33" s="19"/>
      <c r="D33" s="19"/>
      <c r="E33" s="19"/>
      <c r="F33" s="19"/>
    </row>
    <row r="34" ht="15.75">
      <c r="A34" s="38" t="s">
        <v>69</v>
      </c>
    </row>
    <row r="35" spans="1:6" ht="15.75">
      <c r="A35" s="17" t="s">
        <v>23</v>
      </c>
      <c r="C35" s="16">
        <f>SUM('[3]BS(2ndQ)'!$R$65:$R$67)/1000</f>
        <v>19000.67165</v>
      </c>
      <c r="D35" s="16"/>
      <c r="E35" s="16">
        <v>16645</v>
      </c>
      <c r="F35" s="16"/>
    </row>
    <row r="36" spans="1:6" ht="15.75">
      <c r="A36" s="17" t="s">
        <v>40</v>
      </c>
      <c r="C36" s="16">
        <f>'[3]BS(2ndQ)'!$R$68/1000</f>
        <v>379.3</v>
      </c>
      <c r="D36" s="16">
        <v>8342</v>
      </c>
      <c r="E36" s="16">
        <v>496</v>
      </c>
      <c r="F36" s="16" t="e">
        <f>#REF!-E36</f>
        <v>#REF!</v>
      </c>
    </row>
    <row r="37" spans="3:8" ht="15.75">
      <c r="C37" s="134">
        <f>SUM(C35:C36)</f>
        <v>19379.97165</v>
      </c>
      <c r="D37" s="134">
        <f>SUM(D35:D36)</f>
        <v>8342</v>
      </c>
      <c r="E37" s="134">
        <f>SUM(E35:E36)</f>
        <v>17141</v>
      </c>
      <c r="F37" s="16" t="e">
        <f>#REF!-E37</f>
        <v>#REF!</v>
      </c>
      <c r="H37" s="16"/>
    </row>
    <row r="38" spans="3:8" ht="15.75">
      <c r="C38" s="16"/>
      <c r="D38" s="16"/>
      <c r="E38" s="16"/>
      <c r="F38" s="16"/>
      <c r="H38" s="16"/>
    </row>
    <row r="39" spans="1:8" ht="15.75">
      <c r="A39" s="38" t="s">
        <v>70</v>
      </c>
      <c r="C39" s="16"/>
      <c r="D39" s="16"/>
      <c r="E39" s="16"/>
      <c r="F39" s="16"/>
      <c r="H39" s="16"/>
    </row>
    <row r="40" spans="1:6" ht="15.75">
      <c r="A40" s="17" t="s">
        <v>20</v>
      </c>
      <c r="C40" s="16">
        <f>SUM('[3]BS(2ndQ)'!$R$38:$R$42)/1000</f>
        <v>20427.852130000003</v>
      </c>
      <c r="D40" s="16"/>
      <c r="E40" s="16">
        <v>10617</v>
      </c>
      <c r="F40" s="16" t="e">
        <f>#REF!-E40</f>
        <v>#REF!</v>
      </c>
    </row>
    <row r="41" spans="1:6" ht="15.75">
      <c r="A41" s="17" t="s">
        <v>71</v>
      </c>
      <c r="C41" s="16">
        <f>'[3]BS(2ndQ)'!$R$33/1000</f>
        <v>19088.96236</v>
      </c>
      <c r="D41" s="16"/>
      <c r="E41" s="16">
        <v>12294</v>
      </c>
      <c r="F41" s="16" t="e">
        <f>#REF!-E41</f>
        <v>#REF!</v>
      </c>
    </row>
    <row r="42" spans="1:6" ht="15.75">
      <c r="A42" s="17" t="s">
        <v>24</v>
      </c>
      <c r="C42" s="16">
        <f>SUM('[3]BS(2ndQ)'!$R$44+'[3]BS(2ndQ)'!$R$34)/1000</f>
        <v>7198.345190000004</v>
      </c>
      <c r="D42" s="16"/>
      <c r="E42" s="16">
        <f>6526+228</f>
        <v>6754</v>
      </c>
      <c r="F42" s="16"/>
    </row>
    <row r="43" spans="3:6" ht="15.75">
      <c r="C43" s="134">
        <f>SUM(C40:C42)</f>
        <v>46715.15968000001</v>
      </c>
      <c r="D43" s="134">
        <f>SUM(D40:D42)</f>
        <v>0</v>
      </c>
      <c r="E43" s="134">
        <f>SUM(E40:E42)</f>
        <v>29665</v>
      </c>
      <c r="F43" s="16" t="e">
        <f>SUM(F41:F42)</f>
        <v>#REF!</v>
      </c>
    </row>
    <row r="44" spans="1:6" ht="15.75">
      <c r="A44" s="38" t="s">
        <v>72</v>
      </c>
      <c r="C44" s="16">
        <f>SUM(C43,C37)</f>
        <v>66095.13133</v>
      </c>
      <c r="D44" s="16"/>
      <c r="E44" s="16">
        <f>SUM(E43,E37)</f>
        <v>46806</v>
      </c>
      <c r="F44" s="16"/>
    </row>
    <row r="45" spans="1:6" ht="16.5" thickBot="1">
      <c r="A45" s="17" t="s">
        <v>73</v>
      </c>
      <c r="C45" s="135">
        <f>SUM(C32,C44)</f>
        <v>166702.66845977504</v>
      </c>
      <c r="D45" s="135">
        <f>SUM(D32,D44)</f>
        <v>93553</v>
      </c>
      <c r="E45" s="135">
        <f>SUM(E32,E44)</f>
        <v>148521</v>
      </c>
      <c r="F45" s="16"/>
    </row>
    <row r="46" spans="3:5" ht="16.5" thickTop="1">
      <c r="C46" s="17">
        <f>IF(ROUND(C45-C21,2)=0,"",C45-C21)</f>
      </c>
      <c r="D46" s="17">
        <f>IF(ROUND(D45-D21,2)=0,"",D45-D21)</f>
        <v>93553</v>
      </c>
      <c r="E46" s="17">
        <f>IF(ROUND(E45-E21,2)=0,"",E45-E21)</f>
      </c>
    </row>
    <row r="47" spans="1:8" ht="15.75">
      <c r="A47" s="17" t="s">
        <v>45</v>
      </c>
      <c r="C47" s="137">
        <f>C30/(68625*2-2421.4)</f>
        <v>0.7368665811013021</v>
      </c>
      <c r="D47" s="46"/>
      <c r="E47" s="137">
        <v>0.73</v>
      </c>
      <c r="F47" s="47"/>
      <c r="H47" s="123"/>
    </row>
    <row r="49" spans="1:5" ht="15.75">
      <c r="A49" s="17" t="s">
        <v>154</v>
      </c>
      <c r="C49" s="48"/>
      <c r="D49" s="48"/>
      <c r="E49" s="48"/>
    </row>
    <row r="50" spans="1:5" ht="15.75" hidden="1">
      <c r="A50" s="49" t="s">
        <v>25</v>
      </c>
      <c r="C50" s="48"/>
      <c r="D50" s="48"/>
      <c r="E50" s="48"/>
    </row>
    <row r="51" ht="15.75" hidden="1">
      <c r="A51" s="49" t="s">
        <v>26</v>
      </c>
    </row>
    <row r="53" ht="15.75">
      <c r="A53" s="78" t="s">
        <v>95</v>
      </c>
    </row>
    <row r="54" ht="15.75">
      <c r="A54" s="78" t="s">
        <v>96</v>
      </c>
    </row>
  </sheetData>
  <sheetProtection/>
  <mergeCells count="3">
    <mergeCell ref="A3:E3"/>
    <mergeCell ref="A5:E5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37"/>
  <sheetViews>
    <sheetView zoomScale="90" zoomScaleNormal="90" workbookViewId="0" topLeftCell="A1">
      <selection activeCell="A1" sqref="A1:M38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33.57421875" style="0" customWidth="1"/>
    <col min="4" max="4" width="10.7109375" style="0" customWidth="1"/>
    <col min="5" max="5" width="11.8515625" style="0" customWidth="1"/>
    <col min="6" max="7" width="12.7109375" style="0" customWidth="1"/>
    <col min="8" max="9" width="12.421875" style="0" customWidth="1"/>
    <col min="10" max="10" width="10.57421875" style="0" customWidth="1"/>
    <col min="11" max="11" width="9.57421875" style="0" customWidth="1"/>
    <col min="12" max="12" width="9.57421875" style="0" bestFit="1" customWidth="1"/>
    <col min="13" max="13" width="4.57421875" style="0" customWidth="1"/>
  </cols>
  <sheetData>
    <row r="1" spans="1:12" ht="18">
      <c r="A1" s="77"/>
      <c r="B1" s="121" t="str">
        <f>'BS'!A1</f>
        <v>Jaycorp Berhad  ( Formerly known as Yeo Aik Resources Berhad )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2" ht="12.7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2.75">
      <c r="B3" s="145" t="s">
        <v>74</v>
      </c>
      <c r="C3" s="145"/>
      <c r="D3" s="145"/>
      <c r="E3" s="145"/>
      <c r="F3" s="145"/>
      <c r="G3" s="145"/>
      <c r="H3" s="145"/>
      <c r="I3" s="145"/>
      <c r="J3" s="145"/>
      <c r="K3" s="51"/>
      <c r="L3" s="51"/>
    </row>
    <row r="4" spans="2:12" ht="12.75">
      <c r="B4" s="145" t="s">
        <v>144</v>
      </c>
      <c r="C4" s="145"/>
      <c r="D4" s="145"/>
      <c r="E4" s="145"/>
      <c r="F4" s="145"/>
      <c r="G4" s="145"/>
      <c r="H4" s="145"/>
      <c r="I4" s="145"/>
      <c r="J4" s="145"/>
      <c r="K4" s="51"/>
      <c r="L4" s="51"/>
    </row>
    <row r="5" spans="2:12" ht="12.75">
      <c r="B5" s="145" t="s">
        <v>27</v>
      </c>
      <c r="C5" s="145"/>
      <c r="D5" s="145"/>
      <c r="E5" s="145"/>
      <c r="F5" s="145"/>
      <c r="G5" s="145"/>
      <c r="H5" s="145"/>
      <c r="I5" s="145"/>
      <c r="J5" s="145"/>
      <c r="K5" s="51"/>
      <c r="L5" s="51"/>
    </row>
    <row r="6" spans="2:12" ht="12.75">
      <c r="B6" s="51"/>
      <c r="C6" s="51"/>
      <c r="D6" s="51"/>
      <c r="E6" s="51"/>
      <c r="F6" s="51"/>
      <c r="G6" s="51"/>
      <c r="H6" s="51"/>
      <c r="I6" s="51"/>
      <c r="J6" s="51"/>
      <c r="K6" s="81"/>
      <c r="L6" s="51"/>
    </row>
    <row r="7" spans="2:12" ht="12.75">
      <c r="B7" s="50"/>
      <c r="C7" s="50"/>
      <c r="D7" s="146" t="s">
        <v>75</v>
      </c>
      <c r="E7" s="147"/>
      <c r="F7" s="147"/>
      <c r="G7" s="147"/>
      <c r="H7" s="147"/>
      <c r="I7" s="147"/>
      <c r="J7" s="148"/>
      <c r="K7" s="50"/>
      <c r="L7" s="52"/>
    </row>
    <row r="8" spans="2:12" ht="12.75">
      <c r="B8" s="50"/>
      <c r="C8" s="50"/>
      <c r="D8" s="53"/>
      <c r="E8" s="144" t="s">
        <v>136</v>
      </c>
      <c r="F8" s="144"/>
      <c r="G8" s="144"/>
      <c r="H8" s="54" t="s">
        <v>76</v>
      </c>
      <c r="I8" s="54"/>
      <c r="J8" s="55"/>
      <c r="L8" s="56"/>
    </row>
    <row r="9" spans="2:12" ht="12.75">
      <c r="B9" s="50"/>
      <c r="C9" s="50"/>
      <c r="D9" s="57" t="s">
        <v>28</v>
      </c>
      <c r="E9" s="54" t="s">
        <v>28</v>
      </c>
      <c r="F9" s="82" t="s">
        <v>86</v>
      </c>
      <c r="G9" s="82" t="s">
        <v>135</v>
      </c>
      <c r="H9" s="54" t="s">
        <v>29</v>
      </c>
      <c r="I9" s="54" t="s">
        <v>97</v>
      </c>
      <c r="J9" s="55"/>
      <c r="K9" s="51" t="s">
        <v>77</v>
      </c>
      <c r="L9" s="58" t="s">
        <v>33</v>
      </c>
    </row>
    <row r="10" spans="2:12" ht="12.75">
      <c r="B10" s="50"/>
      <c r="C10" s="50"/>
      <c r="D10" s="57" t="s">
        <v>30</v>
      </c>
      <c r="E10" s="54" t="s">
        <v>31</v>
      </c>
      <c r="F10" s="82" t="s">
        <v>87</v>
      </c>
      <c r="G10" s="82" t="s">
        <v>94</v>
      </c>
      <c r="H10" s="54" t="s">
        <v>32</v>
      </c>
      <c r="I10" s="54" t="s">
        <v>98</v>
      </c>
      <c r="J10" s="59" t="s">
        <v>33</v>
      </c>
      <c r="K10" s="51" t="s">
        <v>78</v>
      </c>
      <c r="L10" s="58" t="s">
        <v>79</v>
      </c>
    </row>
    <row r="11" spans="2:12" ht="12.75">
      <c r="B11" s="50"/>
      <c r="C11" s="50"/>
      <c r="D11" s="57" t="s">
        <v>11</v>
      </c>
      <c r="E11" s="54" t="s">
        <v>11</v>
      </c>
      <c r="F11" s="54" t="s">
        <v>11</v>
      </c>
      <c r="G11" s="54" t="s">
        <v>11</v>
      </c>
      <c r="H11" s="54" t="s">
        <v>11</v>
      </c>
      <c r="I11" s="54" t="s">
        <v>11</v>
      </c>
      <c r="J11" s="59" t="s">
        <v>11</v>
      </c>
      <c r="K11" s="51" t="s">
        <v>11</v>
      </c>
      <c r="L11" s="58" t="s">
        <v>11</v>
      </c>
    </row>
    <row r="12" spans="2:12" ht="12.75">
      <c r="B12" s="50"/>
      <c r="C12" s="50"/>
      <c r="D12" s="57"/>
      <c r="E12" s="54"/>
      <c r="F12" s="54"/>
      <c r="G12" s="54"/>
      <c r="H12" s="54"/>
      <c r="I12" s="54"/>
      <c r="J12" s="59"/>
      <c r="K12" s="50"/>
      <c r="L12" s="56"/>
    </row>
    <row r="13" spans="2:14" ht="12.75">
      <c r="B13" s="60" t="s">
        <v>84</v>
      </c>
      <c r="C13" s="50"/>
      <c r="D13" s="61">
        <v>68625</v>
      </c>
      <c r="E13" s="62">
        <v>930</v>
      </c>
      <c r="F13" s="62">
        <v>-220</v>
      </c>
      <c r="G13" s="62">
        <v>-330</v>
      </c>
      <c r="H13" s="62">
        <v>23982</v>
      </c>
      <c r="I13" s="62">
        <v>2705</v>
      </c>
      <c r="J13" s="63">
        <f>SUM(D13:I13)</f>
        <v>95692</v>
      </c>
      <c r="K13" s="64">
        <v>2299</v>
      </c>
      <c r="L13" s="65">
        <f aca="true" t="shared" si="0" ref="L13:L19">SUM(J13:K13)</f>
        <v>97991</v>
      </c>
      <c r="N13" s="66"/>
    </row>
    <row r="14" spans="2:14" ht="12.75">
      <c r="B14" s="60" t="s">
        <v>99</v>
      </c>
      <c r="C14" s="50"/>
      <c r="D14" s="61"/>
      <c r="E14" s="62"/>
      <c r="F14" s="62"/>
      <c r="G14" s="62"/>
      <c r="H14" s="62">
        <v>2705</v>
      </c>
      <c r="I14" s="62">
        <v>-2705</v>
      </c>
      <c r="J14" s="63">
        <f>SUM(D14:I14)</f>
        <v>0</v>
      </c>
      <c r="K14" s="64"/>
      <c r="L14" s="65"/>
      <c r="N14" s="66"/>
    </row>
    <row r="15" spans="2:12" ht="12.75" hidden="1">
      <c r="B15" s="50" t="s">
        <v>89</v>
      </c>
      <c r="C15" s="50"/>
      <c r="D15" s="61"/>
      <c r="E15" s="62"/>
      <c r="F15" s="62"/>
      <c r="G15" s="62"/>
      <c r="H15" s="62"/>
      <c r="I15" s="62"/>
      <c r="J15" s="63">
        <f>SUM(D15:H15)</f>
        <v>0</v>
      </c>
      <c r="K15" s="64">
        <v>0</v>
      </c>
      <c r="L15" s="65">
        <f t="shared" si="0"/>
        <v>0</v>
      </c>
    </row>
    <row r="16" spans="2:12" ht="12.75">
      <c r="B16" s="50" t="s">
        <v>42</v>
      </c>
      <c r="C16" s="50"/>
      <c r="D16" s="61"/>
      <c r="E16" s="62"/>
      <c r="F16" s="62"/>
      <c r="G16" s="62">
        <v>212</v>
      </c>
      <c r="H16" s="62"/>
      <c r="I16" s="62"/>
      <c r="J16" s="63">
        <f>SUM(D16:H16)</f>
        <v>212</v>
      </c>
      <c r="K16" s="64">
        <v>0</v>
      </c>
      <c r="L16" s="65">
        <f t="shared" si="0"/>
        <v>212</v>
      </c>
    </row>
    <row r="17" spans="2:12" ht="12.75">
      <c r="B17" s="50" t="s">
        <v>43</v>
      </c>
      <c r="C17" s="50"/>
      <c r="D17" s="61"/>
      <c r="E17" s="62"/>
      <c r="F17" s="62">
        <v>-506</v>
      </c>
      <c r="G17" s="62"/>
      <c r="H17" s="62"/>
      <c r="I17" s="62"/>
      <c r="J17" s="63">
        <f>SUM(D17:H17)</f>
        <v>-506</v>
      </c>
      <c r="K17" s="64">
        <v>0</v>
      </c>
      <c r="L17" s="65">
        <f t="shared" si="0"/>
        <v>-506</v>
      </c>
    </row>
    <row r="18" spans="2:12" ht="12.75">
      <c r="B18" s="50" t="s">
        <v>90</v>
      </c>
      <c r="C18" s="50"/>
      <c r="D18" s="61"/>
      <c r="E18" s="62"/>
      <c r="F18" s="62"/>
      <c r="G18" s="62"/>
      <c r="H18" s="62">
        <v>-3931</v>
      </c>
      <c r="I18" s="62"/>
      <c r="J18" s="63">
        <f>SUM(D18:H18)</f>
        <v>-3931</v>
      </c>
      <c r="K18" s="64">
        <v>0</v>
      </c>
      <c r="L18" s="65">
        <f t="shared" si="0"/>
        <v>-3931</v>
      </c>
    </row>
    <row r="19" spans="2:12" ht="12.75">
      <c r="B19" s="50" t="s">
        <v>147</v>
      </c>
      <c r="C19" s="50"/>
      <c r="D19" s="61"/>
      <c r="E19" s="62"/>
      <c r="F19" s="62"/>
      <c r="G19" s="62"/>
      <c r="H19" s="62">
        <v>7392</v>
      </c>
      <c r="I19" s="62"/>
      <c r="J19" s="63">
        <f>SUM(D19:H19)</f>
        <v>7392</v>
      </c>
      <c r="K19" s="64">
        <v>26</v>
      </c>
      <c r="L19" s="65">
        <f t="shared" si="0"/>
        <v>7418</v>
      </c>
    </row>
    <row r="20" spans="2:12" ht="13.5" thickBot="1">
      <c r="B20" s="60" t="s">
        <v>145</v>
      </c>
      <c r="C20" s="50"/>
      <c r="D20" s="68">
        <f aca="true" t="shared" si="1" ref="D20:L20">SUM(D13:D19)</f>
        <v>68625</v>
      </c>
      <c r="E20" s="69">
        <f t="shared" si="1"/>
        <v>930</v>
      </c>
      <c r="F20" s="69">
        <f t="shared" si="1"/>
        <v>-726</v>
      </c>
      <c r="G20" s="69">
        <f t="shared" si="1"/>
        <v>-118</v>
      </c>
      <c r="H20" s="69">
        <f t="shared" si="1"/>
        <v>30148</v>
      </c>
      <c r="I20" s="69">
        <f t="shared" si="1"/>
        <v>0</v>
      </c>
      <c r="J20" s="70">
        <f t="shared" si="1"/>
        <v>98859</v>
      </c>
      <c r="K20" s="69">
        <f t="shared" si="1"/>
        <v>2325</v>
      </c>
      <c r="L20" s="71">
        <f t="shared" si="1"/>
        <v>101184</v>
      </c>
    </row>
    <row r="21" spans="2:12" ht="12.75">
      <c r="B21" s="60"/>
      <c r="C21" s="50"/>
      <c r="D21" s="61"/>
      <c r="E21" s="62"/>
      <c r="F21" s="62"/>
      <c r="G21" s="62"/>
      <c r="H21" s="62"/>
      <c r="I21" s="62"/>
      <c r="J21" s="63"/>
      <c r="K21" s="50"/>
      <c r="L21" s="56"/>
    </row>
    <row r="22" spans="2:12" ht="12.75">
      <c r="B22" s="50"/>
      <c r="C22" s="50"/>
      <c r="D22" s="57"/>
      <c r="E22" s="54"/>
      <c r="F22" s="54"/>
      <c r="G22" s="54"/>
      <c r="H22" s="54"/>
      <c r="I22" s="54"/>
      <c r="J22" s="59"/>
      <c r="K22" s="50"/>
      <c r="L22" s="56"/>
    </row>
    <row r="23" spans="2:12" ht="12.75">
      <c r="B23" s="60" t="s">
        <v>85</v>
      </c>
      <c r="C23" s="50"/>
      <c r="D23" s="61">
        <v>68625</v>
      </c>
      <c r="E23" s="62">
        <v>930</v>
      </c>
      <c r="F23" s="62">
        <v>-1252</v>
      </c>
      <c r="G23" s="62">
        <v>-119</v>
      </c>
      <c r="H23" s="62">
        <v>29138</v>
      </c>
      <c r="I23" s="62">
        <v>2315</v>
      </c>
      <c r="J23" s="63">
        <f>SUM(D23:I23)</f>
        <v>99637</v>
      </c>
      <c r="K23" s="64">
        <v>2078</v>
      </c>
      <c r="L23" s="65">
        <f aca="true" t="shared" si="2" ref="L23:L32">SUM(J23:K23)</f>
        <v>101715</v>
      </c>
    </row>
    <row r="24" spans="2:12" ht="12.75">
      <c r="B24" s="60" t="s">
        <v>80</v>
      </c>
      <c r="C24" s="50"/>
      <c r="D24" s="61"/>
      <c r="E24" s="62"/>
      <c r="F24" s="62"/>
      <c r="G24" s="62"/>
      <c r="H24" s="62">
        <v>2315</v>
      </c>
      <c r="I24" s="62">
        <v>-2315</v>
      </c>
      <c r="J24" s="63">
        <f aca="true" t="shared" si="3" ref="J24:J31">SUM(D24:I24)</f>
        <v>0</v>
      </c>
      <c r="K24" s="64">
        <v>0</v>
      </c>
      <c r="L24" s="65">
        <f t="shared" si="2"/>
        <v>0</v>
      </c>
    </row>
    <row r="25" spans="2:12" ht="12.75" hidden="1">
      <c r="B25" s="50" t="s">
        <v>88</v>
      </c>
      <c r="C25" s="50"/>
      <c r="D25" s="61"/>
      <c r="E25" s="62"/>
      <c r="F25" s="62"/>
      <c r="G25" s="62"/>
      <c r="H25" s="62"/>
      <c r="I25" s="62"/>
      <c r="J25" s="63">
        <f t="shared" si="3"/>
        <v>0</v>
      </c>
      <c r="K25" s="64">
        <v>0</v>
      </c>
      <c r="L25" s="65">
        <f t="shared" si="2"/>
        <v>0</v>
      </c>
    </row>
    <row r="26" spans="2:12" ht="12.75" hidden="1">
      <c r="B26" s="50" t="s">
        <v>89</v>
      </c>
      <c r="C26" s="50"/>
      <c r="D26" s="61"/>
      <c r="E26" s="62"/>
      <c r="F26" s="62"/>
      <c r="G26" s="62"/>
      <c r="H26" s="62"/>
      <c r="I26" s="62"/>
      <c r="J26" s="63">
        <f t="shared" si="3"/>
        <v>0</v>
      </c>
      <c r="K26" s="64">
        <v>0</v>
      </c>
      <c r="L26" s="65">
        <f t="shared" si="2"/>
        <v>0</v>
      </c>
    </row>
    <row r="27" spans="2:12" ht="12.75">
      <c r="B27" s="50" t="s">
        <v>42</v>
      </c>
      <c r="C27" s="50"/>
      <c r="D27" s="61"/>
      <c r="E27" s="62"/>
      <c r="F27" s="62"/>
      <c r="G27" s="62">
        <f>-44-81</f>
        <v>-125</v>
      </c>
      <c r="H27" s="62"/>
      <c r="I27" s="62"/>
      <c r="J27" s="63">
        <f t="shared" si="3"/>
        <v>-125</v>
      </c>
      <c r="K27" s="64">
        <v>0</v>
      </c>
      <c r="L27" s="65">
        <f t="shared" si="2"/>
        <v>-125</v>
      </c>
    </row>
    <row r="28" spans="2:12" ht="12.75">
      <c r="B28" s="50" t="s">
        <v>43</v>
      </c>
      <c r="C28" s="50"/>
      <c r="D28" s="61"/>
      <c r="E28" s="62"/>
      <c r="F28" s="62">
        <f>-473-1</f>
        <v>-474</v>
      </c>
      <c r="G28" s="62"/>
      <c r="H28" s="62"/>
      <c r="I28" s="62"/>
      <c r="J28" s="63">
        <f t="shared" si="3"/>
        <v>-474</v>
      </c>
      <c r="K28" s="64">
        <v>0</v>
      </c>
      <c r="L28" s="65">
        <f t="shared" si="2"/>
        <v>-474</v>
      </c>
    </row>
    <row r="29" spans="2:12" ht="12.75">
      <c r="B29" s="50" t="s">
        <v>90</v>
      </c>
      <c r="C29" s="50"/>
      <c r="D29" s="61"/>
      <c r="E29" s="62"/>
      <c r="F29" s="62"/>
      <c r="G29" s="62"/>
      <c r="H29" s="62">
        <f>'[3]ConPL(Q2)'!$O$50/1000</f>
        <v>-3883.0955</v>
      </c>
      <c r="I29" s="62"/>
      <c r="J29" s="63">
        <f t="shared" si="3"/>
        <v>-3883.0955</v>
      </c>
      <c r="K29" s="64">
        <v>0</v>
      </c>
      <c r="L29" s="65">
        <f t="shared" si="2"/>
        <v>-3883.0955</v>
      </c>
    </row>
    <row r="30" spans="2:12" ht="12.75">
      <c r="B30" s="50" t="s">
        <v>147</v>
      </c>
      <c r="C30" s="50"/>
      <c r="D30" s="61"/>
      <c r="E30" s="62"/>
      <c r="F30" s="62"/>
      <c r="G30" s="62"/>
      <c r="H30" s="62">
        <f>'[3]ConPL(Q2)'!$O$48/1000</f>
        <v>4195.980656900034</v>
      </c>
      <c r="I30" s="62"/>
      <c r="J30" s="63">
        <f t="shared" si="3"/>
        <v>4195.980656900034</v>
      </c>
      <c r="K30" s="64">
        <f>PL!I31+1</f>
        <v>-820.6083869</v>
      </c>
      <c r="L30" s="65">
        <f t="shared" si="2"/>
        <v>3375.372270000034</v>
      </c>
    </row>
    <row r="31" spans="2:12" ht="12.75">
      <c r="B31" s="67"/>
      <c r="C31" s="50"/>
      <c r="D31" s="61"/>
      <c r="E31" s="62"/>
      <c r="F31" s="62"/>
      <c r="G31" s="62"/>
      <c r="H31" s="62"/>
      <c r="I31" s="62"/>
      <c r="J31" s="63">
        <f t="shared" si="3"/>
        <v>0</v>
      </c>
      <c r="K31" s="64">
        <v>0</v>
      </c>
      <c r="L31" s="65">
        <f t="shared" si="2"/>
        <v>0</v>
      </c>
    </row>
    <row r="32" spans="2:12" ht="13.5" thickBot="1">
      <c r="B32" s="60" t="s">
        <v>146</v>
      </c>
      <c r="C32" s="50"/>
      <c r="D32" s="68">
        <f aca="true" t="shared" si="4" ref="D32:K32">SUM(D23:D31)</f>
        <v>68625</v>
      </c>
      <c r="E32" s="69">
        <f t="shared" si="4"/>
        <v>930</v>
      </c>
      <c r="F32" s="69">
        <f t="shared" si="4"/>
        <v>-1726</v>
      </c>
      <c r="G32" s="69">
        <f t="shared" si="4"/>
        <v>-244</v>
      </c>
      <c r="H32" s="69">
        <f t="shared" si="4"/>
        <v>31765.885156900033</v>
      </c>
      <c r="I32" s="69">
        <v>0</v>
      </c>
      <c r="J32" s="70">
        <f t="shared" si="4"/>
        <v>99350.88515690004</v>
      </c>
      <c r="K32" s="69">
        <f t="shared" si="4"/>
        <v>1257.3916131</v>
      </c>
      <c r="L32" s="71">
        <f t="shared" si="2"/>
        <v>100608.27677000004</v>
      </c>
    </row>
    <row r="33" spans="2:12" ht="12.75">
      <c r="B33" s="60"/>
      <c r="C33" s="50"/>
      <c r="D33" s="72"/>
      <c r="E33" s="73"/>
      <c r="F33" s="73"/>
      <c r="G33" s="73"/>
      <c r="H33" s="73"/>
      <c r="I33" s="73"/>
      <c r="J33" s="74"/>
      <c r="K33" s="50"/>
      <c r="L33" s="75"/>
    </row>
    <row r="34" spans="2:12" ht="12.75">
      <c r="B34" s="60"/>
      <c r="C34" s="50"/>
      <c r="D34" s="62"/>
      <c r="E34" s="62"/>
      <c r="F34" s="62"/>
      <c r="G34" s="62"/>
      <c r="H34" s="124"/>
      <c r="I34" s="62"/>
      <c r="J34" s="62"/>
      <c r="K34" s="50"/>
      <c r="L34" s="50"/>
    </row>
    <row r="35" spans="2:12" ht="12.75">
      <c r="B35" s="50"/>
      <c r="C35" s="50"/>
      <c r="D35" s="64"/>
      <c r="E35" s="64"/>
      <c r="F35" s="64"/>
      <c r="G35" s="64"/>
      <c r="H35" s="64"/>
      <c r="I35" s="64"/>
      <c r="J35" s="64"/>
      <c r="K35" s="50"/>
      <c r="L35" s="50"/>
    </row>
    <row r="36" spans="2:12" ht="12.75">
      <c r="B36" s="50"/>
      <c r="C36" s="76" t="s">
        <v>81</v>
      </c>
      <c r="D36" s="50"/>
      <c r="E36" s="50"/>
      <c r="F36" s="50"/>
      <c r="G36" s="50"/>
      <c r="H36" s="50"/>
      <c r="I36" s="50"/>
      <c r="J36" s="50"/>
      <c r="K36" s="50"/>
      <c r="L36" s="50"/>
    </row>
    <row r="37" spans="2:12" ht="12.75">
      <c r="B37" s="50"/>
      <c r="C37" s="76" t="s">
        <v>100</v>
      </c>
      <c r="D37" s="50"/>
      <c r="E37" s="50"/>
      <c r="F37" s="50"/>
      <c r="G37" s="50"/>
      <c r="H37" s="50"/>
      <c r="I37" s="50"/>
      <c r="J37" s="50"/>
      <c r="K37" s="50"/>
      <c r="L37" s="50"/>
    </row>
  </sheetData>
  <mergeCells count="5">
    <mergeCell ref="E8:G8"/>
    <mergeCell ref="B3:J3"/>
    <mergeCell ref="B4:J4"/>
    <mergeCell ref="B5:J5"/>
    <mergeCell ref="D7:J7"/>
  </mergeCells>
  <printOptions horizontalCentered="1" verticalCentered="1"/>
  <pageMargins left="0.58" right="0.6" top="0.75" bottom="0.75" header="0.5" footer="0.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71"/>
  <sheetViews>
    <sheetView tabSelected="1" workbookViewId="0" topLeftCell="A1">
      <selection activeCell="A1" sqref="A1:I62"/>
    </sheetView>
  </sheetViews>
  <sheetFormatPr defaultColWidth="9.140625" defaultRowHeight="13.5" customHeight="1"/>
  <cols>
    <col min="1" max="1" width="2.28125" style="90" customWidth="1"/>
    <col min="2" max="3" width="8.8515625" style="90" customWidth="1"/>
    <col min="4" max="4" width="37.57421875" style="90" customWidth="1"/>
    <col min="5" max="5" width="2.7109375" style="99" customWidth="1"/>
    <col min="6" max="7" width="18.7109375" style="98" customWidth="1"/>
    <col min="8" max="8" width="14.00390625" style="98" hidden="1" customWidth="1"/>
    <col min="9" max="9" width="2.00390625" style="90" customWidth="1"/>
    <col min="10" max="16384" width="8.8515625" style="90" customWidth="1"/>
  </cols>
  <sheetData>
    <row r="1" spans="1:8" s="83" customFormat="1" ht="18.75" customHeight="1">
      <c r="A1" s="15" t="s">
        <v>101</v>
      </c>
      <c r="F1" s="84"/>
      <c r="G1" s="84"/>
      <c r="H1" s="84"/>
    </row>
    <row r="2" spans="1:8" s="83" customFormat="1" ht="18.75" customHeight="1">
      <c r="A2" s="21" t="s">
        <v>0</v>
      </c>
      <c r="F2" s="84"/>
      <c r="G2" s="84"/>
      <c r="H2" s="84"/>
    </row>
    <row r="3" spans="1:8" s="83" customFormat="1" ht="13.5" customHeight="1">
      <c r="A3" s="85" t="s">
        <v>102</v>
      </c>
      <c r="F3" s="86"/>
      <c r="G3" s="86"/>
      <c r="H3" s="84"/>
    </row>
    <row r="4" spans="1:8" s="83" customFormat="1" ht="13.5" customHeight="1">
      <c r="A4" s="85" t="s">
        <v>150</v>
      </c>
      <c r="F4" s="150" t="s">
        <v>152</v>
      </c>
      <c r="G4" s="150"/>
      <c r="H4" s="84"/>
    </row>
    <row r="5" spans="1:8" ht="13.5" customHeight="1">
      <c r="A5" s="20" t="s">
        <v>27</v>
      </c>
      <c r="B5" s="88"/>
      <c r="C5" s="88"/>
      <c r="D5" s="88"/>
      <c r="E5" s="88"/>
      <c r="F5" s="87" t="s">
        <v>153</v>
      </c>
      <c r="G5" s="87" t="s">
        <v>153</v>
      </c>
      <c r="H5" s="89" t="s">
        <v>103</v>
      </c>
    </row>
    <row r="6" spans="2:8" ht="13.5" customHeight="1">
      <c r="B6" s="88"/>
      <c r="C6" s="88"/>
      <c r="D6" s="88"/>
      <c r="E6" s="88"/>
      <c r="F6" s="87" t="s">
        <v>104</v>
      </c>
      <c r="G6" s="87" t="s">
        <v>104</v>
      </c>
      <c r="H6" s="91" t="e">
        <f>#REF!</f>
        <v>#REF!</v>
      </c>
    </row>
    <row r="7" spans="2:8" ht="13.5" customHeight="1">
      <c r="B7" s="88"/>
      <c r="C7" s="88"/>
      <c r="D7" s="88"/>
      <c r="E7" s="88"/>
      <c r="F7" s="138" t="s">
        <v>141</v>
      </c>
      <c r="G7" s="92" t="s">
        <v>142</v>
      </c>
      <c r="H7" s="91" t="s">
        <v>104</v>
      </c>
    </row>
    <row r="8" spans="1:8" ht="13.5" customHeight="1">
      <c r="A8" s="93"/>
      <c r="B8" s="88"/>
      <c r="C8" s="88"/>
      <c r="D8" s="88"/>
      <c r="E8" s="88"/>
      <c r="F8" s="94" t="s">
        <v>11</v>
      </c>
      <c r="G8" s="94" t="s">
        <v>11</v>
      </c>
      <c r="H8" s="95" t="s">
        <v>11</v>
      </c>
    </row>
    <row r="9" spans="1:5" ht="13.5" customHeight="1">
      <c r="A9" s="118" t="s">
        <v>82</v>
      </c>
      <c r="B9" s="96"/>
      <c r="C9" s="96"/>
      <c r="D9" s="96"/>
      <c r="E9" s="97"/>
    </row>
    <row r="10" spans="1:8" ht="13.5" customHeight="1">
      <c r="A10" s="83" t="s">
        <v>44</v>
      </c>
      <c r="B10" s="83"/>
      <c r="F10" s="98">
        <v>4944.824</v>
      </c>
      <c r="G10" s="98">
        <f>5127+3973-194</f>
        <v>8906</v>
      </c>
      <c r="H10" s="98">
        <v>-5355</v>
      </c>
    </row>
    <row r="11" spans="1:2" ht="13.5" customHeight="1">
      <c r="A11" s="83"/>
      <c r="B11" s="83"/>
    </row>
    <row r="12" spans="1:2" ht="13.5" customHeight="1">
      <c r="A12" s="83" t="s">
        <v>133</v>
      </c>
      <c r="B12" s="83"/>
    </row>
    <row r="13" spans="2:8" ht="13.5" customHeight="1">
      <c r="B13" s="90" t="s">
        <v>37</v>
      </c>
      <c r="F13" s="98">
        <v>2884.3</v>
      </c>
      <c r="G13" s="98">
        <f>1375+1334</f>
        <v>2709</v>
      </c>
      <c r="H13" s="98">
        <v>20552</v>
      </c>
    </row>
    <row r="14" spans="2:7" ht="13.5" customHeight="1">
      <c r="B14" s="90" t="s">
        <v>151</v>
      </c>
      <c r="F14" s="98">
        <v>0</v>
      </c>
      <c r="G14" s="98">
        <v>3</v>
      </c>
    </row>
    <row r="15" spans="2:8" ht="13.5" customHeight="1">
      <c r="B15" s="90" t="s">
        <v>34</v>
      </c>
      <c r="F15" s="100">
        <v>1076.534</v>
      </c>
      <c r="G15" s="100">
        <f>40+127</f>
        <v>167</v>
      </c>
      <c r="H15" s="101"/>
    </row>
    <row r="16" spans="2:8" ht="13.5" customHeight="1">
      <c r="B16" s="90" t="s">
        <v>35</v>
      </c>
      <c r="F16" s="100">
        <v>-258.412</v>
      </c>
      <c r="G16" s="100">
        <f>-159-72</f>
        <v>-231</v>
      </c>
      <c r="H16" s="101">
        <v>0</v>
      </c>
    </row>
    <row r="17" spans="6:8" ht="13.5" customHeight="1">
      <c r="F17" s="102"/>
      <c r="G17" s="102"/>
      <c r="H17" s="103"/>
    </row>
    <row r="18" spans="1:8" ht="13.5" customHeight="1">
      <c r="A18" s="83" t="s">
        <v>83</v>
      </c>
      <c r="F18" s="98">
        <v>8647.545999999998</v>
      </c>
      <c r="G18" s="98">
        <f>SUM(G10:G17)</f>
        <v>11554</v>
      </c>
      <c r="H18" s="98">
        <f>SUM(H10:H17)</f>
        <v>15197</v>
      </c>
    </row>
    <row r="19" ht="13.5" customHeight="1">
      <c r="A19" s="83"/>
    </row>
    <row r="20" ht="13.5" customHeight="1">
      <c r="A20" s="90" t="s">
        <v>105</v>
      </c>
    </row>
    <row r="21" spans="2:8" ht="13.5" customHeight="1">
      <c r="B21" s="90" t="s">
        <v>106</v>
      </c>
      <c r="F21" s="98">
        <v>-15237.834000000004</v>
      </c>
      <c r="G21" s="98">
        <f>-5392-9805</f>
        <v>-15197</v>
      </c>
      <c r="H21" s="98">
        <v>101228</v>
      </c>
    </row>
    <row r="22" spans="2:8" ht="13.5" customHeight="1">
      <c r="B22" s="90" t="s">
        <v>107</v>
      </c>
      <c r="F22" s="98">
        <v>7239.464000000001</v>
      </c>
      <c r="G22" s="98">
        <f>-1287+2739</f>
        <v>1452</v>
      </c>
      <c r="H22" s="98">
        <v>-62918</v>
      </c>
    </row>
    <row r="23" spans="2:8" ht="15.75">
      <c r="B23" s="90" t="s">
        <v>36</v>
      </c>
      <c r="F23" s="98">
        <v>-3883</v>
      </c>
      <c r="G23" s="98">
        <v>-3931</v>
      </c>
      <c r="H23" s="98">
        <f>-18835</f>
        <v>-18835</v>
      </c>
    </row>
    <row r="24" spans="2:8" ht="13.5" customHeight="1">
      <c r="B24" s="90" t="s">
        <v>108</v>
      </c>
      <c r="F24" s="102">
        <v>-1570.452</v>
      </c>
      <c r="G24" s="102">
        <f>-744-744</f>
        <v>-1488</v>
      </c>
      <c r="H24" s="102">
        <v>-1163</v>
      </c>
    </row>
    <row r="25" spans="1:8" ht="13.5" customHeight="1">
      <c r="A25" s="83" t="s">
        <v>127</v>
      </c>
      <c r="F25" s="104">
        <v>-4803.8260000000055</v>
      </c>
      <c r="G25" s="104">
        <f>SUM(G18:G24)</f>
        <v>-7610</v>
      </c>
      <c r="H25" s="104">
        <f>SUM(H18:H24)</f>
        <v>33509</v>
      </c>
    </row>
    <row r="27" ht="13.5" customHeight="1">
      <c r="A27" s="90" t="s">
        <v>109</v>
      </c>
    </row>
    <row r="29" spans="2:8" ht="13.5" customHeight="1">
      <c r="B29" s="90" t="s">
        <v>110</v>
      </c>
      <c r="F29" s="100">
        <v>-2985.2</v>
      </c>
      <c r="G29" s="100">
        <f>-5182-4280</f>
        <v>-9462</v>
      </c>
      <c r="H29" s="98">
        <v>-8338</v>
      </c>
    </row>
    <row r="30" spans="2:7" ht="13.5" customHeight="1">
      <c r="B30" s="90" t="s">
        <v>129</v>
      </c>
      <c r="F30" s="98">
        <v>59.4</v>
      </c>
      <c r="G30" s="98">
        <v>0</v>
      </c>
    </row>
    <row r="31" spans="2:7" ht="13.5" customHeight="1">
      <c r="B31" s="90" t="s">
        <v>111</v>
      </c>
      <c r="F31" s="98">
        <v>0</v>
      </c>
      <c r="G31" s="98">
        <v>-382</v>
      </c>
    </row>
    <row r="32" spans="2:8" ht="13.5" customHeight="1">
      <c r="B32" s="90" t="s">
        <v>35</v>
      </c>
      <c r="F32" s="98">
        <v>258.212</v>
      </c>
      <c r="G32" s="98">
        <f>-G16</f>
        <v>231</v>
      </c>
      <c r="H32" s="98">
        <v>-18073</v>
      </c>
    </row>
    <row r="33" spans="1:8" ht="13.5" customHeight="1">
      <c r="A33" s="83" t="s">
        <v>128</v>
      </c>
      <c r="F33" s="104">
        <v>-2667.9379999999996</v>
      </c>
      <c r="G33" s="104">
        <f>SUM(G28:G32)</f>
        <v>-9613</v>
      </c>
      <c r="H33" s="104">
        <f>SUM(H29:H32)</f>
        <v>-26411</v>
      </c>
    </row>
    <row r="35" spans="1:7" ht="13.5" customHeight="1">
      <c r="A35" s="90" t="s">
        <v>112</v>
      </c>
      <c r="F35" s="101"/>
      <c r="G35" s="101"/>
    </row>
    <row r="36" spans="2:7" ht="13.5" customHeight="1" hidden="1">
      <c r="B36" s="90" t="s">
        <v>113</v>
      </c>
      <c r="F36" s="101">
        <v>0</v>
      </c>
      <c r="G36" s="101">
        <v>0</v>
      </c>
    </row>
    <row r="37" spans="2:7" ht="13.5" customHeight="1" hidden="1">
      <c r="B37" s="90" t="s">
        <v>114</v>
      </c>
      <c r="F37" s="101">
        <v>0</v>
      </c>
      <c r="G37" s="101">
        <v>0</v>
      </c>
    </row>
    <row r="38" spans="2:7" ht="13.5" customHeight="1">
      <c r="B38" s="90" t="s">
        <v>115</v>
      </c>
      <c r="F38" s="98">
        <v>-1076.7340000000002</v>
      </c>
      <c r="G38" s="98">
        <f>-G15</f>
        <v>-167</v>
      </c>
    </row>
    <row r="39" spans="2:8" s="83" customFormat="1" ht="13.5" customHeight="1">
      <c r="B39" s="83" t="s">
        <v>132</v>
      </c>
      <c r="E39" s="105"/>
      <c r="F39" s="106">
        <v>12776.055690000001</v>
      </c>
      <c r="G39" s="106">
        <f>6260+4785</f>
        <v>11045</v>
      </c>
      <c r="H39" s="107">
        <v>-31788</v>
      </c>
    </row>
    <row r="40" spans="2:8" s="83" customFormat="1" ht="13.5" customHeight="1">
      <c r="B40" s="83" t="s">
        <v>43</v>
      </c>
      <c r="E40" s="105"/>
      <c r="F40" s="106">
        <v>-474.2360000000001</v>
      </c>
      <c r="G40" s="106">
        <f>-180-326</f>
        <v>-506</v>
      </c>
      <c r="H40" s="106"/>
    </row>
    <row r="41" spans="2:8" s="83" customFormat="1" ht="13.5" customHeight="1">
      <c r="B41" s="83" t="s">
        <v>116</v>
      </c>
      <c r="E41" s="105"/>
      <c r="F41" s="106">
        <v>-125.39</v>
      </c>
      <c r="G41" s="106">
        <f>-34+246</f>
        <v>212</v>
      </c>
      <c r="H41" s="106"/>
    </row>
    <row r="42" spans="2:8" s="83" customFormat="1" ht="13.5" customHeight="1" hidden="1">
      <c r="B42" s="83" t="s">
        <v>117</v>
      </c>
      <c r="E42" s="105"/>
      <c r="F42" s="107">
        <v>0</v>
      </c>
      <c r="G42" s="107">
        <v>0</v>
      </c>
      <c r="H42" s="106"/>
    </row>
    <row r="43" spans="1:8" s="83" customFormat="1" ht="13.5" customHeight="1">
      <c r="A43" s="83" t="s">
        <v>130</v>
      </c>
      <c r="E43" s="105"/>
      <c r="F43" s="108">
        <v>11099.69569</v>
      </c>
      <c r="G43" s="108">
        <f>SUM(G36:G42)</f>
        <v>10584</v>
      </c>
      <c r="H43" s="106"/>
    </row>
    <row r="44" spans="5:8" s="83" customFormat="1" ht="13.5" customHeight="1">
      <c r="E44" s="105"/>
      <c r="F44" s="106"/>
      <c r="G44" s="106"/>
      <c r="H44" s="106"/>
    </row>
    <row r="45" spans="1:8" s="83" customFormat="1" ht="13.5" customHeight="1">
      <c r="A45" s="83" t="s">
        <v>118</v>
      </c>
      <c r="E45" s="105" t="s">
        <v>119</v>
      </c>
      <c r="F45" s="106">
        <v>3627.931689999996</v>
      </c>
      <c r="G45" s="106">
        <f>G25+G33+G43</f>
        <v>-6639</v>
      </c>
      <c r="H45" s="106">
        <f>H25+H33+H39</f>
        <v>-24690</v>
      </c>
    </row>
    <row r="46" spans="5:8" s="83" customFormat="1" ht="13.5" customHeight="1">
      <c r="E46" s="105"/>
      <c r="F46" s="109"/>
      <c r="G46" s="109"/>
      <c r="H46" s="109"/>
    </row>
    <row r="47" spans="1:8" s="83" customFormat="1" ht="13.5" customHeight="1">
      <c r="A47" s="83" t="s">
        <v>120</v>
      </c>
      <c r="E47" s="105"/>
      <c r="F47" s="109">
        <v>12028</v>
      </c>
      <c r="G47" s="109">
        <v>13676</v>
      </c>
      <c r="H47" s="109">
        <f>475142-6901</f>
        <v>468241</v>
      </c>
    </row>
    <row r="48" spans="1:8" s="83" customFormat="1" ht="13.5" customHeight="1">
      <c r="A48" s="83" t="s">
        <v>131</v>
      </c>
      <c r="F48" s="84"/>
      <c r="G48" s="84"/>
      <c r="H48" s="84"/>
    </row>
    <row r="49" spans="1:8" s="83" customFormat="1" ht="19.5" customHeight="1" thickBot="1">
      <c r="A49" s="83" t="s">
        <v>121</v>
      </c>
      <c r="E49" s="105"/>
      <c r="F49" s="110">
        <v>15655.931689999996</v>
      </c>
      <c r="G49" s="110">
        <f>SUM(G45:G48)</f>
        <v>7037</v>
      </c>
      <c r="H49" s="110">
        <f>SUM(H45:H48)</f>
        <v>443551</v>
      </c>
    </row>
    <row r="50" ht="17.25" customHeight="1" thickTop="1">
      <c r="J50" s="98"/>
    </row>
    <row r="51" spans="1:8" ht="13.5" customHeight="1">
      <c r="A51" s="83" t="s">
        <v>122</v>
      </c>
      <c r="H51" s="90"/>
    </row>
    <row r="52" spans="2:8" ht="13.5" customHeight="1">
      <c r="B52" s="111" t="s">
        <v>123</v>
      </c>
      <c r="D52" s="111"/>
      <c r="E52" s="90"/>
      <c r="F52" s="112">
        <v>18706.197070000002</v>
      </c>
      <c r="G52" s="112">
        <v>9981</v>
      </c>
      <c r="H52" s="112">
        <v>385258</v>
      </c>
    </row>
    <row r="53" spans="2:8" ht="13.5" customHeight="1" hidden="1">
      <c r="B53" s="90" t="s">
        <v>124</v>
      </c>
      <c r="C53" s="111"/>
      <c r="E53" s="90"/>
      <c r="F53" s="113"/>
      <c r="G53" s="113"/>
      <c r="H53" s="114">
        <v>-13247</v>
      </c>
    </row>
    <row r="54" spans="2:8" ht="18.75" customHeight="1" hidden="1">
      <c r="B54" s="111"/>
      <c r="C54" s="111"/>
      <c r="E54" s="90"/>
      <c r="F54" s="114">
        <v>18706.197070000002</v>
      </c>
      <c r="G54" s="114">
        <f>SUM(G52:G53)</f>
        <v>9981</v>
      </c>
      <c r="H54" s="115">
        <f>SUM(H52:H53)</f>
        <v>372011</v>
      </c>
    </row>
    <row r="55" spans="2:8" ht="18.75" customHeight="1">
      <c r="B55" s="111" t="s">
        <v>125</v>
      </c>
      <c r="C55" s="111"/>
      <c r="E55" s="90"/>
      <c r="F55" s="114">
        <v>-3049.5460900000003</v>
      </c>
      <c r="G55" s="114">
        <v>-2944</v>
      </c>
      <c r="H55" s="114"/>
    </row>
    <row r="56" spans="2:8" ht="18" customHeight="1" thickBot="1">
      <c r="B56" s="111" t="s">
        <v>126</v>
      </c>
      <c r="C56" s="111"/>
      <c r="E56" s="90"/>
      <c r="F56" s="115">
        <v>15655.650980000002</v>
      </c>
      <c r="G56" s="115">
        <f>SUM(G54:G55)</f>
        <v>7037</v>
      </c>
      <c r="H56" s="114"/>
    </row>
    <row r="57" spans="2:8" ht="13.5" customHeight="1" thickTop="1">
      <c r="B57" s="111"/>
      <c r="C57" s="111"/>
      <c r="E57" s="90"/>
      <c r="G57" s="114"/>
      <c r="H57" s="114"/>
    </row>
    <row r="58" spans="2:8" s="119" customFormat="1" ht="41.25" customHeight="1">
      <c r="B58" s="149" t="s">
        <v>134</v>
      </c>
      <c r="C58" s="149"/>
      <c r="D58" s="149"/>
      <c r="E58" s="149"/>
      <c r="F58" s="149"/>
      <c r="G58" s="149"/>
      <c r="H58" s="120"/>
    </row>
    <row r="59" spans="2:8" ht="13.5" customHeight="1">
      <c r="B59" s="111"/>
      <c r="C59" s="111"/>
      <c r="E59" s="90"/>
      <c r="F59" s="139"/>
      <c r="G59" s="114"/>
      <c r="H59" s="114"/>
    </row>
    <row r="60" spans="2:8" ht="13.5" customHeight="1">
      <c r="B60" s="111"/>
      <c r="C60" s="111"/>
      <c r="E60" s="90"/>
      <c r="F60" s="114"/>
      <c r="G60" s="114"/>
      <c r="H60" s="114"/>
    </row>
    <row r="61" spans="2:8" ht="13.5" customHeight="1">
      <c r="B61" s="111"/>
      <c r="C61" s="111"/>
      <c r="E61" s="90"/>
      <c r="F61" s="114"/>
      <c r="G61" s="114"/>
      <c r="H61" s="114"/>
    </row>
    <row r="62" spans="2:8" ht="13.5" customHeight="1">
      <c r="B62" s="111"/>
      <c r="C62" s="111"/>
      <c r="E62" s="90"/>
      <c r="F62" s="114"/>
      <c r="G62" s="114"/>
      <c r="H62" s="114"/>
    </row>
    <row r="63" spans="2:8" ht="13.5" customHeight="1">
      <c r="B63" s="111"/>
      <c r="C63" s="111"/>
      <c r="E63" s="90"/>
      <c r="F63" s="114"/>
      <c r="G63" s="114"/>
      <c r="H63" s="114"/>
    </row>
    <row r="64" spans="2:8" ht="13.5" customHeight="1">
      <c r="B64" s="111"/>
      <c r="C64" s="111"/>
      <c r="E64" s="90"/>
      <c r="F64" s="114"/>
      <c r="G64" s="114"/>
      <c r="H64" s="114"/>
    </row>
    <row r="65" spans="2:8" ht="13.5" customHeight="1">
      <c r="B65" s="111"/>
      <c r="C65" s="111"/>
      <c r="E65" s="90"/>
      <c r="F65" s="114"/>
      <c r="G65" s="114"/>
      <c r="H65" s="114"/>
    </row>
    <row r="66" spans="2:8" ht="13.5" customHeight="1">
      <c r="B66" s="111"/>
      <c r="C66" s="111"/>
      <c r="E66" s="90"/>
      <c r="F66" s="114"/>
      <c r="G66" s="114"/>
      <c r="H66" s="114"/>
    </row>
    <row r="67" spans="3:8" ht="13.5" customHeight="1">
      <c r="C67" s="111"/>
      <c r="E67" s="90"/>
      <c r="F67" s="114"/>
      <c r="G67" s="114"/>
      <c r="H67" s="114"/>
    </row>
    <row r="68" spans="3:8" ht="13.5" customHeight="1">
      <c r="C68" s="111"/>
      <c r="E68" s="90"/>
      <c r="F68" s="114"/>
      <c r="G68" s="114"/>
      <c r="H68" s="114"/>
    </row>
    <row r="69" ht="13.5" customHeight="1">
      <c r="I69" s="116"/>
    </row>
    <row r="70" spans="1:9" ht="13.5" customHeight="1">
      <c r="A70" s="85"/>
      <c r="B70" s="117"/>
      <c r="I70" s="116"/>
    </row>
    <row r="71" spans="1:2" ht="13.5" customHeight="1">
      <c r="A71" s="85"/>
      <c r="B71" s="117"/>
    </row>
  </sheetData>
  <mergeCells count="2">
    <mergeCell ref="B58:G58"/>
    <mergeCell ref="F4:G4"/>
  </mergeCells>
  <printOptions/>
  <pageMargins left="0.75" right="0.75" top="1" bottom="1" header="0.5" footer="0.5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Aik Wood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ysc</cp:lastModifiedBy>
  <cp:lastPrinted>2007-03-19T06:54:56Z</cp:lastPrinted>
  <dcterms:created xsi:type="dcterms:W3CDTF">2005-03-18T01:43:29Z</dcterms:created>
  <dcterms:modified xsi:type="dcterms:W3CDTF">2007-03-19T06:55:17Z</dcterms:modified>
  <cp:category/>
  <cp:version/>
  <cp:contentType/>
  <cp:contentStatus/>
</cp:coreProperties>
</file>