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3"/>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'cf'!$A$1:$J$70</definedName>
    <definedName name="_xlnm.Print_Area" localSheetId="2">'e'!$A$1:$S$55</definedName>
    <definedName name="_xlnm.Print_Area" localSheetId="0">'pl'!$A$1:$K$59</definedName>
    <definedName name="_xlnm.Print_Titles" localSheetId="0">'pl'!$1:$15</definedName>
    <definedName name="You">#REF!</definedName>
  </definedNames>
  <calcPr fullCalcOnLoad="1"/>
</workbook>
</file>

<file path=xl/sharedStrings.xml><?xml version="1.0" encoding="utf-8"?>
<sst xmlns="http://schemas.openxmlformats.org/spreadsheetml/2006/main" count="227" uniqueCount="188">
  <si>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</si>
  <si>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</si>
  <si>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</si>
  <si>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</si>
  <si>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</si>
  <si>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</si>
  <si>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</si>
  <si>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</si>
  <si>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</si>
  <si>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</si>
  <si>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</si>
  <si>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</si>
  <si>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</si>
  <si>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</si>
  <si>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</si>
  <si>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</si>
  <si>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</si>
  <si>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</si>
  <si>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</si>
  <si>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</si>
  <si>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</si>
  <si>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</si>
  <si>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NET TANGIBLE ASSETS PER SHARE (RM)</t>
  </si>
  <si>
    <t>Share</t>
  </si>
  <si>
    <t>Retained</t>
  </si>
  <si>
    <t>Capital</t>
  </si>
  <si>
    <t>Premium</t>
  </si>
  <si>
    <t>Total</t>
  </si>
  <si>
    <t>CONDENSED CONSOLIDATED CASH FLOW STATEMENT</t>
  </si>
  <si>
    <t>ended</t>
  </si>
  <si>
    <t>Depreciation of property, plant and equipment</t>
  </si>
  <si>
    <t>Operating profit before changes in working capital</t>
  </si>
  <si>
    <t>Changes in working capital:</t>
  </si>
  <si>
    <t>Interest paid</t>
  </si>
  <si>
    <t>Gain on disposal of property, plant and equipment</t>
  </si>
  <si>
    <t>Net cash from operation</t>
  </si>
  <si>
    <t>Borrowings</t>
  </si>
  <si>
    <t>N/A</t>
  </si>
  <si>
    <t>CONDENSED CONSOLIDATED STATEMENTS OF CHANGES IN EQUITY</t>
  </si>
  <si>
    <t>Treasury</t>
  </si>
  <si>
    <t>Adjustments for:-</t>
  </si>
  <si>
    <t>NET ASSETS PER SHARE (RM)</t>
  </si>
  <si>
    <t>Weighted average No. of share</t>
  </si>
  <si>
    <t>current qtr</t>
  </si>
  <si>
    <t>cumulative qtr</t>
  </si>
  <si>
    <t>Balance</t>
  </si>
  <si>
    <t>weighted</t>
  </si>
  <si>
    <t>Tax (BS)</t>
  </si>
  <si>
    <t>Def. Tax (BS)</t>
  </si>
  <si>
    <t>current PL</t>
  </si>
  <si>
    <t>Tax Paid</t>
  </si>
  <si>
    <t>FA</t>
  </si>
  <si>
    <t>purchase</t>
  </si>
  <si>
    <t>depreciation</t>
  </si>
  <si>
    <t>Gain - disposal</t>
  </si>
  <si>
    <t>Borrowing</t>
  </si>
  <si>
    <t>OD</t>
  </si>
  <si>
    <t>BA</t>
  </si>
  <si>
    <t>HP</t>
  </si>
  <si>
    <t>CURRENT YEAR TO-DATE</t>
  </si>
  <si>
    <t>Cummulative</t>
  </si>
  <si>
    <t>29/8 - 1/9/06</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</si>
  <si>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</si>
  <si>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</si>
  <si>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</si>
  <si>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</si>
  <si>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</si>
  <si>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</si>
  <si>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</si>
  <si>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</si>
  <si>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</si>
  <si>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</si>
  <si>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</si>
  <si>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</si>
  <si>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</si>
  <si>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</si>
  <si>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</si>
  <si>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</si>
  <si>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</si>
  <si>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</si>
  <si>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</si>
  <si>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Consol PL</t>
  </si>
  <si>
    <t>Net cash used in investing activities</t>
  </si>
  <si>
    <t>Net cash generated from operating activities</t>
  </si>
  <si>
    <t>Cash and bank balances</t>
  </si>
  <si>
    <t>Financing activities</t>
  </si>
  <si>
    <t>Investing activities</t>
  </si>
  <si>
    <t>Equity attributable to equity holders of the parent</t>
  </si>
  <si>
    <t>Treasury shares, at cost</t>
  </si>
  <si>
    <t>Minority interest</t>
  </si>
  <si>
    <t>Total equity</t>
  </si>
  <si>
    <t>Tax payables</t>
  </si>
  <si>
    <t>Profit from operations</t>
  </si>
  <si>
    <t>Other operating income</t>
  </si>
  <si>
    <t>Gross profit</t>
  </si>
  <si>
    <t>Cost of sales</t>
  </si>
  <si>
    <t>Attributable to:</t>
  </si>
  <si>
    <t>Earnings per share attributable to</t>
  </si>
  <si>
    <t>Date/Period</t>
  </si>
  <si>
    <t>(Additional)/</t>
  </si>
  <si>
    <t>Amount</t>
  </si>
  <si>
    <t>No.</t>
  </si>
  <si>
    <t>Share Buy back</t>
  </si>
  <si>
    <t>Paid</t>
  </si>
  <si>
    <t>of days</t>
  </si>
  <si>
    <t>FYE 30.06.2006</t>
  </si>
  <si>
    <t>FYE 30.06.2007</t>
  </si>
  <si>
    <t>FYE 30.06.2008</t>
  </si>
  <si>
    <t>Equity holders of the Company</t>
  </si>
  <si>
    <t>Minority interests</t>
  </si>
  <si>
    <t>equity holders of the Company:</t>
  </si>
  <si>
    <t>Tax paid</t>
  </si>
  <si>
    <t>Biological assets</t>
  </si>
  <si>
    <t>FYE 30.06.2009</t>
  </si>
  <si>
    <t>TL</t>
  </si>
  <si>
    <t>&lt;      Distributable      &gt;</t>
  </si>
  <si>
    <t>Proceeds from disposal of plant and equipment</t>
  </si>
  <si>
    <t>Purchase of plant and equipment</t>
  </si>
  <si>
    <t>Net cash from financing activities</t>
  </si>
  <si>
    <t>Net profit for the year</t>
  </si>
  <si>
    <t>PRECEDING YEAR CORRESPONDING PERIOD</t>
  </si>
  <si>
    <t xml:space="preserve">Net profit before tax </t>
  </si>
  <si>
    <t xml:space="preserve"> </t>
  </si>
  <si>
    <t>Intangible assets</t>
  </si>
  <si>
    <t>Net decrease in cash and cash equivalents</t>
  </si>
  <si>
    <t>Amortisation of timber rights</t>
  </si>
  <si>
    <t>At 1 July 2010</t>
  </si>
  <si>
    <t>Repayment of term loan</t>
  </si>
  <si>
    <t xml:space="preserve">(The condensed consolidated cash flow statement should be read in conjunction with the audited financial statements for the </t>
  </si>
  <si>
    <t>Dividend</t>
  </si>
  <si>
    <t>Proceeds from disposal of investment</t>
  </si>
  <si>
    <t>30.6.2011</t>
  </si>
  <si>
    <t>At 30 June 2011</t>
  </si>
  <si>
    <t>Negative goodwill recognised</t>
  </si>
  <si>
    <t>Interest income</t>
  </si>
  <si>
    <t>Interest expense</t>
  </si>
  <si>
    <t>Interest received</t>
  </si>
  <si>
    <t>Payment for forest planting expenditure</t>
  </si>
  <si>
    <t>Acquisition of subsidiary company</t>
  </si>
  <si>
    <t>Repayment of hire purchase creditors</t>
  </si>
  <si>
    <t>Drawdown of revolving credits</t>
  </si>
  <si>
    <t>Repayment of revolving credits</t>
  </si>
  <si>
    <t>Proceeds from Term Loans</t>
  </si>
  <si>
    <t xml:space="preserve">PRICEWORTH INTERNATIONAL BERHAD </t>
  </si>
  <si>
    <t>(FORMERLY KNOWN AS PRICEWORTH WOOD PRODUCTS BERHAD) (399292-V)</t>
  </si>
  <si>
    <t>Other reserves</t>
  </si>
  <si>
    <t>Other</t>
  </si>
  <si>
    <t>Reserve</t>
  </si>
  <si>
    <t>Proceeds from issuance right issue warrants</t>
  </si>
  <si>
    <t>Prepayments</t>
  </si>
  <si>
    <t>Issuance of shares :</t>
  </si>
  <si>
    <t>- Exercise of Warrants</t>
  </si>
  <si>
    <t>2011/2016</t>
  </si>
  <si>
    <t>Warrants issuance expense</t>
  </si>
  <si>
    <t>Foreign currency translation</t>
  </si>
  <si>
    <t>Amortisation of land used right</t>
  </si>
  <si>
    <t>Effect of exchange rate changes on cash and cash equivalents</t>
  </si>
  <si>
    <t>Amortisation</t>
  </si>
  <si>
    <t>Purchase of land use right</t>
  </si>
  <si>
    <t>Land use rights</t>
  </si>
  <si>
    <t>At 1 July 2011</t>
  </si>
  <si>
    <t>(The condensed consolidated statement of changes in equity should be read in conjunction with the audited financial statements for the year ended 30 June 2011 and the accompanying explanatory notes attached to the interim financial statements.)</t>
  </si>
  <si>
    <t>(The condensed consolidated income statements should be read in conjunction with the audited financial statements for the year ended 30 June 2011 and the accompanying explanatory notes attached to the interim financial statements.)</t>
  </si>
  <si>
    <t xml:space="preserve"> year ended 30 June 2011 and the accompanying explanatory notes attached to the interim financial statements.)</t>
  </si>
  <si>
    <t>1/7/11</t>
  </si>
  <si>
    <t>"01/07/11</t>
  </si>
  <si>
    <t>FYE 30.06.2010</t>
  </si>
  <si>
    <t>FYE 30.06.2011</t>
  </si>
  <si>
    <t>Profit for the period</t>
  </si>
  <si>
    <t>Cash and cash equivalents at end of the period comprise the following:</t>
  </si>
  <si>
    <t>Cash and cash equivalents at end of period</t>
  </si>
  <si>
    <t>Cash and cash equivalents at beginning of the period</t>
  </si>
  <si>
    <t>Net profit for the period</t>
  </si>
  <si>
    <t>Basic, for profit for the period(sen)</t>
  </si>
  <si>
    <t>Diluted, for profit for the period (sen)</t>
  </si>
  <si>
    <t>Decreased in prepayments</t>
  </si>
  <si>
    <t>Decreased in payables</t>
  </si>
  <si>
    <t>FOR THE PERIOD ENDED 31 DECEMBER 2011</t>
  </si>
  <si>
    <t>31.12.2011</t>
  </si>
  <si>
    <t>31.12.2010</t>
  </si>
  <si>
    <t>At 31 December 2011</t>
  </si>
  <si>
    <t>6 months</t>
  </si>
  <si>
    <t>"31/12/11</t>
  </si>
  <si>
    <t>31/12/11</t>
  </si>
  <si>
    <t>(Increased)/Decreased in inventories</t>
  </si>
  <si>
    <t>(Increased)/Decreased in receivables</t>
  </si>
  <si>
    <t>Fixed deposits with licensed banks</t>
  </si>
  <si>
    <t xml:space="preserv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</si>
</sst>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_(* \(#,##0.0\);_(* &quot;-&quot;??_);_(@_)"/>
    <numFmt numFmtId="189" formatCode="_(* #,##0_);_(* \(#,##0\);_(* &quot;-&quot;??_);_(@_)"/>
    <numFmt numFmtId="190" formatCode="_(* #,##0.0000_);_(* \(#,##0.0000\);_(* &quot;-&quot;??_);_(@_)"/>
    <numFmt numFmtId="191" formatCode="0.0"/>
    <numFmt numFmtId="192" formatCode="_(* #,##0.000_);_(* \(#,##0.000\);_(* &quot;-&quot;??_);_(@_)"/>
    <numFmt numFmtId="193" formatCode="_(* #,##0.00000_);_(* \(#,##0.00000\);_(* &quot;-&quot;??_);_(@_)"/>
    <numFmt numFmtId="194" formatCode="_-* #,##0_-;\-* #,##0_-;_-* &quot;-&quot;??_-;_-@_-"/>
    <numFmt numFmtId="195" formatCode="&quot;Yes&quot;;&quot;Yes&quot;;&quot;No&quot;"/>
    <numFmt numFmtId="196" formatCode="&quot;True&quot;;&quot;True&quot;;&quot;False&quot;"/>
    <numFmt numFmtId="197" formatCode="&quot;On&quot;;&quot;On&quot;;&quot;Off&quot;"/>
    <numFmt numFmtId="198" formatCode="[$€-2]\ #,##0.00_);[Red]\([$€-2]\ #,##0.00\)"/>
  </numFmts>
  <fonts count="55">
    <font>
      <sz val="11"/>
      <name val="Garamond"/>
      <family val="1"/>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sz val="12"/>
      <name val="Garamond"/>
      <family val="1"/>
    </font>
    <font>
      <i/>
      <sz val="12"/>
      <name val="Garamond"/>
      <family val="1"/>
    </font>
    <font>
      <b/>
      <sz val="9"/>
      <name val="Times New Roman"/>
      <family val="1"/>
    </font>
    <font>
      <sz val="10"/>
      <name val="Arial"/>
      <family val="2"/>
    </font>
    <font>
      <b/>
      <sz val="11"/>
      <color indexed="10"/>
      <name val="Garamond"/>
      <family val="1"/>
    </font>
    <font>
      <sz val="8"/>
      <name val="Garamond"/>
      <family val="1"/>
    </font>
    <font>
      <sz val="9"/>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17"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7" fillId="0" borderId="0">
      <alignment/>
      <protection/>
    </xf>
    <xf numFmtId="0" fontId="3"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2">
    <xf numFmtId="0" fontId="0" fillId="0" borderId="0" xfId="0" applyAlignment="1">
      <alignment/>
    </xf>
    <xf numFmtId="0" fontId="4" fillId="0" borderId="0" xfId="0" applyFont="1" applyAlignment="1">
      <alignment/>
    </xf>
    <xf numFmtId="189" fontId="4" fillId="0" borderId="0" xfId="42" applyNumberFormat="1" applyFont="1" applyAlignment="1">
      <alignment horizontal="right"/>
    </xf>
    <xf numFmtId="43" fontId="4" fillId="0" borderId="0" xfId="42" applyFont="1" applyAlignment="1">
      <alignment/>
    </xf>
    <xf numFmtId="189"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9" fontId="4" fillId="0" borderId="10" xfId="42" applyNumberFormat="1" applyFont="1" applyBorder="1" applyAlignment="1">
      <alignment horizontal="right"/>
    </xf>
    <xf numFmtId="43" fontId="4" fillId="0" borderId="10" xfId="42" applyFont="1" applyBorder="1" applyAlignment="1">
      <alignment/>
    </xf>
    <xf numFmtId="189" fontId="4" fillId="0" borderId="10" xfId="42" applyNumberFormat="1" applyFont="1" applyBorder="1" applyAlignment="1">
      <alignment/>
    </xf>
    <xf numFmtId="0" fontId="7" fillId="0" borderId="0" xfId="0" applyFont="1" applyAlignment="1">
      <alignment/>
    </xf>
    <xf numFmtId="189" fontId="7" fillId="0" borderId="0" xfId="42" applyNumberFormat="1" applyFont="1" applyAlignment="1">
      <alignment horizontal="right"/>
    </xf>
    <xf numFmtId="43" fontId="7" fillId="0" borderId="0" xfId="42" applyFont="1" applyAlignment="1">
      <alignment/>
    </xf>
    <xf numFmtId="189" fontId="7" fillId="0" borderId="0" xfId="42" applyNumberFormat="1" applyFont="1" applyAlignment="1">
      <alignment/>
    </xf>
    <xf numFmtId="43" fontId="7" fillId="0" borderId="0" xfId="42" applyFont="1" applyAlignment="1">
      <alignment vertical="center"/>
    </xf>
    <xf numFmtId="189"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9" fontId="5" fillId="0" borderId="0" xfId="42" applyNumberFormat="1" applyFont="1" applyBorder="1" applyAlignment="1">
      <alignment horizontal="center"/>
    </xf>
    <xf numFmtId="43" fontId="7" fillId="0" borderId="0" xfId="42" applyFont="1" applyBorder="1" applyAlignment="1">
      <alignment horizontal="center"/>
    </xf>
    <xf numFmtId="189" fontId="5" fillId="0" borderId="11" xfId="42" applyNumberFormat="1" applyFont="1" applyBorder="1" applyAlignment="1">
      <alignment horizontal="center"/>
    </xf>
    <xf numFmtId="0" fontId="5" fillId="0" borderId="0" xfId="0" applyFont="1" applyAlignment="1">
      <alignment/>
    </xf>
    <xf numFmtId="189" fontId="5" fillId="0" borderId="0" xfId="42" applyNumberFormat="1" applyFont="1" applyBorder="1" applyAlignment="1">
      <alignment horizontal="right"/>
    </xf>
    <xf numFmtId="189" fontId="5" fillId="0" borderId="0" xfId="42" applyNumberFormat="1" applyFont="1" applyAlignment="1">
      <alignment/>
    </xf>
    <xf numFmtId="189" fontId="5" fillId="0" borderId="0" xfId="42" applyNumberFormat="1" applyFont="1" applyBorder="1" applyAlignment="1">
      <alignment/>
    </xf>
    <xf numFmtId="189" fontId="5" fillId="0" borderId="0" xfId="42" applyNumberFormat="1" applyFont="1" applyAlignment="1">
      <alignment horizontal="right"/>
    </xf>
    <xf numFmtId="189" fontId="5" fillId="0" borderId="11" xfId="42" applyNumberFormat="1" applyFont="1" applyBorder="1" applyAlignment="1">
      <alignment horizontal="right"/>
    </xf>
    <xf numFmtId="189"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9"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9" fontId="5" fillId="0" borderId="12" xfId="42" applyNumberFormat="1" applyFont="1" applyBorder="1" applyAlignment="1">
      <alignment horizontal="right"/>
    </xf>
    <xf numFmtId="189" fontId="5" fillId="0" borderId="12" xfId="42" applyNumberFormat="1" applyFont="1" applyBorder="1" applyAlignment="1">
      <alignment/>
    </xf>
    <xf numFmtId="189"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9"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9" fontId="0" fillId="0" borderId="0" xfId="42" applyNumberFormat="1" applyAlignment="1">
      <alignment/>
    </xf>
    <xf numFmtId="189" fontId="5" fillId="0" borderId="0" xfId="0" applyNumberFormat="1" applyFont="1" applyAlignment="1">
      <alignment/>
    </xf>
    <xf numFmtId="189" fontId="0" fillId="0" borderId="0" xfId="0" applyNumberFormat="1" applyAlignment="1">
      <alignment/>
    </xf>
    <xf numFmtId="190" fontId="0" fillId="0" borderId="0" xfId="0" applyNumberFormat="1" applyAlignment="1">
      <alignment/>
    </xf>
    <xf numFmtId="0" fontId="5" fillId="0" borderId="0" xfId="59" applyFont="1" applyFill="1">
      <alignment/>
      <protection/>
    </xf>
    <xf numFmtId="0" fontId="0" fillId="0" borderId="0" xfId="59" applyFont="1" applyFill="1">
      <alignment/>
      <protection/>
    </xf>
    <xf numFmtId="189" fontId="0" fillId="0" borderId="0" xfId="42" applyNumberFormat="1" applyFont="1" applyFill="1" applyAlignment="1">
      <alignment/>
    </xf>
    <xf numFmtId="0" fontId="11" fillId="0" borderId="0" xfId="59" applyFont="1" applyFill="1">
      <alignment/>
      <protection/>
    </xf>
    <xf numFmtId="0" fontId="5" fillId="0" borderId="10" xfId="59" applyFont="1" applyFill="1" applyBorder="1">
      <alignment/>
      <protection/>
    </xf>
    <xf numFmtId="0" fontId="0" fillId="0" borderId="10" xfId="59" applyFont="1" applyFill="1" applyBorder="1">
      <alignment/>
      <protection/>
    </xf>
    <xf numFmtId="189"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9"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9" fontId="5" fillId="0" borderId="0" xfId="42" applyNumberFormat="1" applyFont="1" applyFill="1" applyBorder="1" applyAlignment="1">
      <alignment horizontal="center"/>
    </xf>
    <xf numFmtId="189"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9" fontId="5" fillId="0" borderId="0" xfId="42" applyNumberFormat="1" applyFont="1" applyFill="1" applyBorder="1" applyAlignment="1">
      <alignment/>
    </xf>
    <xf numFmtId="0" fontId="7" fillId="0" borderId="0" xfId="59" applyFont="1" applyFill="1">
      <alignment/>
      <protection/>
    </xf>
    <xf numFmtId="189" fontId="5" fillId="0" borderId="0" xfId="42" applyNumberFormat="1" applyFont="1" applyFill="1" applyBorder="1" applyAlignment="1">
      <alignment/>
    </xf>
    <xf numFmtId="0" fontId="4" fillId="0" borderId="0" xfId="59" applyFont="1" applyFill="1" applyBorder="1">
      <alignment/>
      <protection/>
    </xf>
    <xf numFmtId="189" fontId="5" fillId="0" borderId="0" xfId="42" applyNumberFormat="1" applyFont="1" applyFill="1" applyBorder="1" applyAlignment="1">
      <alignment horizontal="right"/>
    </xf>
    <xf numFmtId="189" fontId="5" fillId="0" borderId="14" xfId="42" applyNumberFormat="1" applyFont="1" applyFill="1" applyBorder="1" applyAlignment="1">
      <alignment/>
    </xf>
    <xf numFmtId="189" fontId="0" fillId="0" borderId="0" xfId="42" applyNumberFormat="1" applyFont="1" applyFill="1" applyBorder="1" applyAlignment="1">
      <alignment horizontal="center"/>
    </xf>
    <xf numFmtId="0" fontId="0" fillId="0" borderId="0" xfId="0" applyFill="1" applyAlignment="1">
      <alignment/>
    </xf>
    <xf numFmtId="189" fontId="5" fillId="0" borderId="0" xfId="0" applyNumberFormat="1" applyFont="1" applyFill="1" applyAlignment="1">
      <alignment/>
    </xf>
    <xf numFmtId="0" fontId="11" fillId="0" borderId="0" xfId="59" applyFont="1" applyFill="1" applyAlignment="1">
      <alignment/>
      <protection/>
    </xf>
    <xf numFmtId="0" fontId="14" fillId="0" borderId="0" xfId="59" applyFont="1" applyFill="1">
      <alignment/>
      <protection/>
    </xf>
    <xf numFmtId="189"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9" fontId="14" fillId="0" borderId="0" xfId="42" applyNumberFormat="1" applyFont="1" applyFill="1" applyAlignment="1">
      <alignment horizontal="right"/>
    </xf>
    <xf numFmtId="43" fontId="14" fillId="0" borderId="0" xfId="42" applyFont="1" applyFill="1" applyAlignment="1">
      <alignment horizontal="right"/>
    </xf>
    <xf numFmtId="189" fontId="14" fillId="0" borderId="0" xfId="42" applyNumberFormat="1" applyFont="1" applyFill="1" applyAlignment="1">
      <alignment/>
    </xf>
    <xf numFmtId="43" fontId="14" fillId="0" borderId="0" xfId="42" applyFont="1" applyFill="1" applyAlignment="1">
      <alignment/>
    </xf>
    <xf numFmtId="188" fontId="14" fillId="0" borderId="0" xfId="42" applyNumberFormat="1" applyFont="1" applyFill="1" applyAlignment="1">
      <alignment/>
    </xf>
    <xf numFmtId="43" fontId="14" fillId="0" borderId="0" xfId="59" applyNumberFormat="1" applyFont="1" applyFill="1">
      <alignment/>
      <protection/>
    </xf>
    <xf numFmtId="191" fontId="14" fillId="0" borderId="0" xfId="59" applyNumberFormat="1" applyFont="1" applyFill="1">
      <alignment/>
      <protection/>
    </xf>
    <xf numFmtId="191" fontId="14" fillId="0" borderId="0" xfId="42" applyNumberFormat="1" applyFont="1" applyFill="1" applyAlignment="1">
      <alignment/>
    </xf>
    <xf numFmtId="188" fontId="11" fillId="0" borderId="0" xfId="59" applyNumberFormat="1" applyFont="1" applyFill="1">
      <alignment/>
      <protection/>
    </xf>
    <xf numFmtId="2" fontId="14" fillId="0" borderId="0" xfId="59" applyNumberFormat="1" applyFont="1" applyFill="1">
      <alignment/>
      <protection/>
    </xf>
    <xf numFmtId="189" fontId="4" fillId="0" borderId="0" xfId="42" applyNumberFormat="1" applyFont="1" applyFill="1" applyAlignment="1">
      <alignment/>
    </xf>
    <xf numFmtId="189" fontId="4" fillId="0" borderId="0" xfId="42" applyNumberFormat="1" applyFont="1" applyFill="1" applyBorder="1" applyAlignment="1">
      <alignment/>
    </xf>
    <xf numFmtId="189" fontId="4" fillId="0" borderId="11" xfId="42" applyNumberFormat="1" applyFont="1" applyFill="1" applyBorder="1" applyAlignment="1">
      <alignment/>
    </xf>
    <xf numFmtId="189" fontId="4" fillId="0" borderId="15" xfId="42" applyNumberFormat="1" applyFont="1" applyFill="1" applyBorder="1" applyAlignment="1">
      <alignment/>
    </xf>
    <xf numFmtId="189" fontId="4" fillId="0" borderId="15" xfId="42" applyNumberFormat="1" applyFont="1" applyFill="1" applyBorder="1" applyAlignment="1">
      <alignment horizontal="center"/>
    </xf>
    <xf numFmtId="189" fontId="4" fillId="0" borderId="11" xfId="42" applyNumberFormat="1" applyFont="1" applyFill="1" applyBorder="1" applyAlignment="1">
      <alignment horizontal="center"/>
    </xf>
    <xf numFmtId="189" fontId="4" fillId="0" borderId="0" xfId="42" applyNumberFormat="1" applyFont="1" applyFill="1" applyBorder="1" applyAlignment="1">
      <alignment horizontal="center"/>
    </xf>
    <xf numFmtId="189" fontId="4" fillId="0" borderId="14" xfId="42" applyNumberFormat="1" applyFont="1" applyFill="1" applyBorder="1" applyAlignment="1">
      <alignment/>
    </xf>
    <xf numFmtId="43" fontId="4" fillId="0" borderId="0" xfId="42" applyFont="1" applyFill="1" applyAlignment="1">
      <alignment horizontal="right"/>
    </xf>
    <xf numFmtId="189"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9" fontId="4" fillId="0" borderId="0" xfId="59" applyNumberFormat="1" applyFont="1" applyFill="1">
      <alignment/>
      <protection/>
    </xf>
    <xf numFmtId="43" fontId="5" fillId="0" borderId="0" xfId="42" applyNumberFormat="1" applyFont="1" applyFill="1" applyBorder="1" applyAlignment="1">
      <alignment horizontal="center"/>
    </xf>
    <xf numFmtId="0" fontId="0" fillId="0" borderId="0" xfId="0" applyAlignment="1" quotePrefix="1">
      <alignment/>
    </xf>
    <xf numFmtId="43" fontId="5" fillId="0" borderId="13" xfId="42" applyNumberFormat="1" applyFont="1" applyFill="1" applyBorder="1" applyAlignment="1">
      <alignment horizontal="right"/>
    </xf>
    <xf numFmtId="0" fontId="13" fillId="0" borderId="0" xfId="0" applyFont="1" applyAlignment="1">
      <alignment/>
    </xf>
    <xf numFmtId="189" fontId="5" fillId="0" borderId="0" xfId="42" applyNumberFormat="1" applyFont="1" applyFill="1" applyAlignment="1">
      <alignment horizontal="right"/>
    </xf>
    <xf numFmtId="189" fontId="5" fillId="0" borderId="0" xfId="42" applyNumberFormat="1" applyFont="1" applyFill="1" applyAlignment="1">
      <alignment/>
    </xf>
    <xf numFmtId="14" fontId="5" fillId="0" borderId="0" xfId="0" applyNumberFormat="1" applyFont="1" applyAlignment="1">
      <alignment/>
    </xf>
    <xf numFmtId="189" fontId="5" fillId="0" borderId="15" xfId="42" applyNumberFormat="1" applyFont="1" applyBorder="1" applyAlignment="1">
      <alignment horizontal="right"/>
    </xf>
    <xf numFmtId="0" fontId="11" fillId="0" borderId="16" xfId="59" applyFont="1" applyFill="1" applyBorder="1">
      <alignment/>
      <protection/>
    </xf>
    <xf numFmtId="0" fontId="11" fillId="0" borderId="12" xfId="59" applyFont="1" applyFill="1" applyBorder="1">
      <alignment/>
      <protection/>
    </xf>
    <xf numFmtId="0" fontId="11" fillId="0" borderId="17" xfId="59" applyFont="1" applyFill="1" applyBorder="1">
      <alignment/>
      <protection/>
    </xf>
    <xf numFmtId="0" fontId="11" fillId="0" borderId="18" xfId="59" applyFont="1" applyFill="1" applyBorder="1">
      <alignment/>
      <protection/>
    </xf>
    <xf numFmtId="16" fontId="11" fillId="0" borderId="0" xfId="59" applyNumberFormat="1" applyFont="1" applyFill="1">
      <alignment/>
      <protection/>
    </xf>
    <xf numFmtId="14" fontId="5" fillId="0" borderId="0" xfId="0" applyNumberFormat="1" applyFont="1" applyAlignment="1">
      <alignment horizontal="right"/>
    </xf>
    <xf numFmtId="189" fontId="16" fillId="0" borderId="0" xfId="42" applyNumberFormat="1" applyFont="1" applyAlignment="1">
      <alignment horizontal="center" shrinkToFit="1"/>
    </xf>
    <xf numFmtId="0" fontId="9" fillId="0" borderId="0" xfId="0" applyFont="1" applyFill="1" applyAlignment="1">
      <alignment wrapText="1"/>
    </xf>
    <xf numFmtId="43" fontId="5" fillId="0" borderId="0" xfId="42" applyFont="1" applyBorder="1" applyAlignment="1">
      <alignment/>
    </xf>
    <xf numFmtId="189" fontId="5" fillId="0" borderId="0" xfId="0" applyNumberFormat="1" applyFont="1" applyBorder="1" applyAlignment="1">
      <alignment/>
    </xf>
    <xf numFmtId="0" fontId="0" fillId="0" borderId="0" xfId="0" applyBorder="1" applyAlignment="1">
      <alignment/>
    </xf>
    <xf numFmtId="189" fontId="5" fillId="0" borderId="0" xfId="0" applyNumberFormat="1" applyFont="1" applyFill="1" applyBorder="1" applyAlignment="1">
      <alignment/>
    </xf>
    <xf numFmtId="0" fontId="0" fillId="0" borderId="0" xfId="0" applyFill="1" applyBorder="1" applyAlignment="1">
      <alignment/>
    </xf>
    <xf numFmtId="189" fontId="5" fillId="0" borderId="14" xfId="42" applyNumberFormat="1" applyFont="1" applyBorder="1" applyAlignment="1">
      <alignment horizontal="right"/>
    </xf>
    <xf numFmtId="0" fontId="0" fillId="0" borderId="11" xfId="59" applyFont="1" applyFill="1" applyBorder="1">
      <alignment/>
      <protection/>
    </xf>
    <xf numFmtId="189" fontId="5" fillId="0" borderId="0" xfId="59" applyNumberFormat="1" applyFont="1" applyFill="1">
      <alignment/>
      <protection/>
    </xf>
    <xf numFmtId="0" fontId="12" fillId="0" borderId="0" xfId="0" applyFont="1" applyAlignment="1">
      <alignment/>
    </xf>
    <xf numFmtId="0" fontId="5" fillId="0" borderId="0" xfId="0" applyFont="1" applyAlignment="1">
      <alignment horizontal="right"/>
    </xf>
    <xf numFmtId="0" fontId="5" fillId="0" borderId="19" xfId="0" applyFont="1" applyBorder="1" applyAlignment="1">
      <alignment/>
    </xf>
    <xf numFmtId="189" fontId="5" fillId="0" borderId="15" xfId="42" applyNumberFormat="1" applyFont="1" applyFill="1" applyBorder="1" applyAlignment="1">
      <alignment horizontal="right"/>
    </xf>
    <xf numFmtId="189" fontId="5" fillId="0" borderId="15" xfId="42" applyNumberFormat="1" applyFont="1" applyBorder="1" applyAlignment="1">
      <alignment horizontal="center"/>
    </xf>
    <xf numFmtId="189" fontId="5" fillId="0" borderId="15" xfId="42" applyNumberFormat="1" applyFont="1" applyBorder="1" applyAlignment="1">
      <alignment/>
    </xf>
    <xf numFmtId="189" fontId="5" fillId="0" borderId="15" xfId="42" applyNumberFormat="1" applyFont="1" applyFill="1" applyBorder="1" applyAlignment="1">
      <alignment/>
    </xf>
    <xf numFmtId="0" fontId="5" fillId="0" borderId="15" xfId="0" applyFont="1" applyBorder="1" applyAlignment="1">
      <alignment/>
    </xf>
    <xf numFmtId="0" fontId="5" fillId="0" borderId="20" xfId="0" applyFont="1" applyBorder="1" applyAlignment="1">
      <alignment/>
    </xf>
    <xf numFmtId="0" fontId="5" fillId="0" borderId="0" xfId="0" applyNumberFormat="1" applyFont="1" applyAlignment="1">
      <alignment/>
    </xf>
    <xf numFmtId="14" fontId="5" fillId="0" borderId="19" xfId="0" applyNumberFormat="1" applyFont="1" applyBorder="1" applyAlignment="1">
      <alignment/>
    </xf>
    <xf numFmtId="43" fontId="5" fillId="0" borderId="15" xfId="42" applyFont="1" applyBorder="1" applyAlignment="1">
      <alignment/>
    </xf>
    <xf numFmtId="0" fontId="5" fillId="0" borderId="20" xfId="0" applyNumberFormat="1" applyFont="1" applyBorder="1" applyAlignment="1">
      <alignment/>
    </xf>
    <xf numFmtId="189" fontId="5" fillId="0" borderId="21" xfId="42" applyNumberFormat="1" applyFont="1" applyBorder="1" applyAlignment="1">
      <alignment horizontal="right"/>
    </xf>
    <xf numFmtId="189" fontId="5" fillId="0" borderId="22" xfId="42" applyNumberFormat="1" applyFont="1" applyFill="1" applyBorder="1" applyAlignment="1">
      <alignment/>
    </xf>
    <xf numFmtId="14" fontId="5" fillId="0" borderId="0" xfId="0" applyNumberFormat="1" applyFont="1" applyBorder="1" applyAlignment="1">
      <alignment/>
    </xf>
    <xf numFmtId="43" fontId="5" fillId="0" borderId="0" xfId="0" applyNumberFormat="1" applyFont="1" applyAlignment="1">
      <alignment/>
    </xf>
    <xf numFmtId="189" fontId="11" fillId="0" borderId="23" xfId="42" applyNumberFormat="1" applyFont="1" applyFill="1" applyBorder="1" applyAlignment="1">
      <alignment/>
    </xf>
    <xf numFmtId="189" fontId="11" fillId="0" borderId="21" xfId="42" applyNumberFormat="1" applyFont="1" applyFill="1" applyBorder="1" applyAlignment="1">
      <alignment/>
    </xf>
    <xf numFmtId="189" fontId="11" fillId="0" borderId="0" xfId="42" applyNumberFormat="1" applyFont="1" applyFill="1" applyBorder="1" applyAlignment="1">
      <alignment/>
    </xf>
    <xf numFmtId="189" fontId="11" fillId="0" borderId="15" xfId="42" applyNumberFormat="1" applyFont="1" applyFill="1" applyBorder="1" applyAlignment="1">
      <alignment/>
    </xf>
    <xf numFmtId="189" fontId="11" fillId="0" borderId="20" xfId="42" applyNumberFormat="1" applyFont="1" applyFill="1" applyBorder="1" applyAlignment="1">
      <alignment/>
    </xf>
    <xf numFmtId="189" fontId="11" fillId="0" borderId="24" xfId="42" applyNumberFormat="1" applyFont="1" applyFill="1" applyBorder="1" applyAlignment="1">
      <alignment/>
    </xf>
    <xf numFmtId="189" fontId="11" fillId="0" borderId="0" xfId="59" applyNumberFormat="1" applyFont="1" applyFill="1">
      <alignment/>
      <protection/>
    </xf>
    <xf numFmtId="189" fontId="18" fillId="0" borderId="0" xfId="42" applyNumberFormat="1" applyFont="1" applyBorder="1" applyAlignment="1">
      <alignment/>
    </xf>
    <xf numFmtId="189" fontId="18" fillId="0" borderId="0" xfId="42" applyNumberFormat="1" applyFont="1" applyBorder="1" applyAlignment="1">
      <alignment horizontal="right"/>
    </xf>
    <xf numFmtId="189" fontId="18" fillId="0" borderId="0" xfId="42" applyNumberFormat="1" applyFont="1" applyAlignment="1">
      <alignment/>
    </xf>
    <xf numFmtId="189" fontId="18" fillId="0" borderId="0" xfId="42" applyNumberFormat="1" applyFont="1" applyAlignment="1">
      <alignment horizontal="right"/>
    </xf>
    <xf numFmtId="43" fontId="5" fillId="0" borderId="0" xfId="42" applyFont="1" applyFill="1" applyAlignment="1">
      <alignment/>
    </xf>
    <xf numFmtId="189" fontId="7" fillId="0" borderId="0" xfId="0" applyNumberFormat="1" applyFont="1" applyAlignment="1">
      <alignment/>
    </xf>
    <xf numFmtId="0" fontId="5" fillId="0" borderId="0" xfId="0" applyNumberFormat="1" applyFont="1" applyBorder="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9" fontId="5" fillId="0" borderId="0" xfId="42" applyNumberFormat="1" applyFont="1" applyAlignment="1">
      <alignment/>
    </xf>
    <xf numFmtId="189" fontId="5" fillId="0" borderId="15" xfId="42" applyNumberFormat="1" applyFont="1" applyBorder="1" applyAlignment="1">
      <alignment/>
    </xf>
    <xf numFmtId="43" fontId="5" fillId="0" borderId="0" xfId="42" applyFont="1" applyAlignment="1">
      <alignment/>
    </xf>
    <xf numFmtId="189" fontId="5" fillId="0" borderId="0" xfId="42" applyNumberFormat="1" applyFont="1" applyBorder="1" applyAlignment="1">
      <alignment/>
    </xf>
    <xf numFmtId="43" fontId="5" fillId="0" borderId="0" xfId="42" applyFont="1" applyBorder="1" applyAlignment="1">
      <alignment/>
    </xf>
    <xf numFmtId="189" fontId="5" fillId="0" borderId="11" xfId="42" applyNumberFormat="1" applyFont="1" applyBorder="1" applyAlignment="1">
      <alignment/>
    </xf>
    <xf numFmtId="189" fontId="5" fillId="0" borderId="25"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0" fontId="15" fillId="0" borderId="0" xfId="59" applyFont="1" applyFill="1" applyAlignment="1">
      <alignment vertical="top"/>
      <protection/>
    </xf>
    <xf numFmtId="43" fontId="4" fillId="0" borderId="0" xfId="42" applyFont="1" applyFill="1" applyAlignment="1">
      <alignment/>
    </xf>
    <xf numFmtId="0" fontId="4" fillId="0" borderId="0" xfId="59" applyFont="1" applyFill="1" applyBorder="1" applyAlignment="1" quotePrefix="1">
      <alignment/>
      <protection/>
    </xf>
    <xf numFmtId="0" fontId="11" fillId="0" borderId="23" xfId="59" applyFont="1" applyFill="1" applyBorder="1">
      <alignment/>
      <protection/>
    </xf>
    <xf numFmtId="14" fontId="19" fillId="0" borderId="18" xfId="59" applyNumberFormat="1" applyFont="1" applyFill="1" applyBorder="1">
      <alignment/>
      <protection/>
    </xf>
    <xf numFmtId="0" fontId="19" fillId="0" borderId="18" xfId="59" applyFont="1" applyFill="1" applyBorder="1">
      <alignment/>
      <protection/>
    </xf>
    <xf numFmtId="14" fontId="19" fillId="0" borderId="26" xfId="59" applyNumberFormat="1" applyFont="1" applyFill="1" applyBorder="1">
      <alignment/>
      <protection/>
    </xf>
    <xf numFmtId="14" fontId="20" fillId="0" borderId="18" xfId="59" applyNumberFormat="1" applyFont="1" applyFill="1" applyBorder="1" quotePrefix="1">
      <alignment/>
      <protection/>
    </xf>
    <xf numFmtId="0" fontId="20" fillId="0" borderId="18" xfId="59" applyFont="1" applyFill="1" applyBorder="1">
      <alignment/>
      <protection/>
    </xf>
    <xf numFmtId="0" fontId="20" fillId="0" borderId="26" xfId="59" applyFont="1" applyFill="1" applyBorder="1" quotePrefix="1">
      <alignment/>
      <protection/>
    </xf>
    <xf numFmtId="0" fontId="20" fillId="0" borderId="0" xfId="59" applyFont="1" applyFill="1">
      <alignment/>
      <protection/>
    </xf>
    <xf numFmtId="189" fontId="5" fillId="0" borderId="0" xfId="42" applyNumberFormat="1" applyFont="1" applyBorder="1" applyAlignment="1">
      <alignment horizontal="right"/>
    </xf>
    <xf numFmtId="189" fontId="5" fillId="0" borderId="0" xfId="42" applyNumberFormat="1" applyFont="1" applyBorder="1" applyAlignment="1">
      <alignment/>
    </xf>
    <xf numFmtId="189" fontId="7" fillId="0" borderId="19" xfId="42" applyNumberFormat="1" applyFont="1" applyBorder="1" applyAlignment="1">
      <alignment horizontal="center" vertical="center"/>
    </xf>
    <xf numFmtId="189" fontId="7" fillId="0" borderId="15" xfId="42" applyNumberFormat="1" applyFont="1" applyBorder="1" applyAlignment="1">
      <alignment horizontal="center" vertical="center"/>
    </xf>
    <xf numFmtId="189" fontId="7" fillId="0" borderId="20"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123825</xdr:colOff>
      <xdr:row>1</xdr:row>
      <xdr:rowOff>161925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390525</xdr:colOff>
      <xdr:row>3</xdr:row>
      <xdr:rowOff>0</xdr:rowOff>
    </xdr:to>
    <xdr:pic>
      <xdr:nvPicPr>
        <xdr:cNvPr id="1" name="Picture 39" descr="pwi"/>
        <xdr:cNvPicPr preferRelativeResize="1">
          <a:picLocks noChangeAspect="1"/>
        </xdr:cNvPicPr>
      </xdr:nvPicPr>
      <xdr:blipFill>
        <a:blip r:embed="rId1"/>
        <a:stretch>
          <a:fillRect/>
        </a:stretch>
      </xdr:blipFill>
      <xdr:spPr>
        <a:xfrm>
          <a:off x="0" y="66675"/>
          <a:ext cx="8858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114300</xdr:rowOff>
    </xdr:from>
    <xdr:to>
      <xdr:col>12</xdr:col>
      <xdr:colOff>0</xdr:colOff>
      <xdr:row>11</xdr:row>
      <xdr:rowOff>114300</xdr:rowOff>
    </xdr:to>
    <xdr:sp>
      <xdr:nvSpPr>
        <xdr:cNvPr id="1" name="Line 3"/>
        <xdr:cNvSpPr>
          <a:spLocks/>
        </xdr:cNvSpPr>
      </xdr:nvSpPr>
      <xdr:spPr>
        <a:xfrm>
          <a:off x="6334125" y="241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9</xdr:row>
      <xdr:rowOff>114300</xdr:rowOff>
    </xdr:from>
    <xdr:to>
      <xdr:col>5</xdr:col>
      <xdr:colOff>38100</xdr:colOff>
      <xdr:row>9</xdr:row>
      <xdr:rowOff>114300</xdr:rowOff>
    </xdr:to>
    <xdr:sp>
      <xdr:nvSpPr>
        <xdr:cNvPr id="2" name="Line 5"/>
        <xdr:cNvSpPr>
          <a:spLocks/>
        </xdr:cNvSpPr>
      </xdr:nvSpPr>
      <xdr:spPr>
        <a:xfrm flipH="1">
          <a:off x="2743200" y="20383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1038225</xdr:colOff>
      <xdr:row>9</xdr:row>
      <xdr:rowOff>114300</xdr:rowOff>
    </xdr:from>
    <xdr:to>
      <xdr:col>14</xdr:col>
      <xdr:colOff>619125</xdr:colOff>
      <xdr:row>9</xdr:row>
      <xdr:rowOff>114300</xdr:rowOff>
    </xdr:to>
    <xdr:sp>
      <xdr:nvSpPr>
        <xdr:cNvPr id="3" name="Line 6"/>
        <xdr:cNvSpPr>
          <a:spLocks/>
        </xdr:cNvSpPr>
      </xdr:nvSpPr>
      <xdr:spPr>
        <a:xfrm>
          <a:off x="7372350" y="20383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0</xdr:row>
      <xdr:rowOff>0</xdr:rowOff>
    </xdr:from>
    <xdr:to>
      <xdr:col>1</xdr:col>
      <xdr:colOff>733425</xdr:colOff>
      <xdr:row>1</xdr:row>
      <xdr:rowOff>180975</xdr:rowOff>
    </xdr:to>
    <xdr:pic>
      <xdr:nvPicPr>
        <xdr:cNvPr id="4"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428625</xdr:colOff>
      <xdr:row>2</xdr:row>
      <xdr:rowOff>19050</xdr:rowOff>
    </xdr:to>
    <xdr:pic>
      <xdr:nvPicPr>
        <xdr:cNvPr id="1" name="Picture 39" descr="pwi"/>
        <xdr:cNvPicPr preferRelativeResize="1">
          <a:picLocks noChangeAspect="1"/>
        </xdr:cNvPicPr>
      </xdr:nvPicPr>
      <xdr:blipFill>
        <a:blip r:embed="rId1"/>
        <a:stretch>
          <a:fillRect/>
        </a:stretch>
      </xdr:blipFill>
      <xdr:spPr>
        <a:xfrm>
          <a:off x="123825" y="28575"/>
          <a:ext cx="885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P65533"/>
  <sheetViews>
    <sheetView view="pageBreakPreview" zoomScaleSheetLayoutView="100" zoomScalePageLayoutView="0" workbookViewId="0" topLeftCell="A23">
      <selection activeCell="E24" sqref="E24:I24"/>
    </sheetView>
  </sheetViews>
  <sheetFormatPr defaultColWidth="9.140625" defaultRowHeight="15"/>
  <cols>
    <col min="1" max="1" width="4.00390625" style="1" customWidth="1"/>
    <col min="2" max="3" width="3.7109375" style="1" customWidth="1"/>
    <col min="4" max="4" width="30.421875" style="1" customWidth="1"/>
    <col min="5" max="5" width="15.710937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143</v>
      </c>
      <c r="B4" s="5"/>
      <c r="C4" s="5"/>
    </row>
    <row r="5" spans="1:3" ht="18" customHeight="1">
      <c r="A5" s="5" t="s">
        <v>144</v>
      </c>
      <c r="B5" s="5"/>
      <c r="C5" s="5"/>
    </row>
    <row r="6" spans="1:11" ht="5.25" customHeight="1" thickBot="1">
      <c r="A6" s="6"/>
      <c r="B6" s="6"/>
      <c r="C6" s="6"/>
      <c r="D6" s="6"/>
      <c r="E6" s="7"/>
      <c r="F6" s="7"/>
      <c r="G6" s="8"/>
      <c r="H6" s="8"/>
      <c r="I6" s="9"/>
      <c r="J6" s="9"/>
      <c r="K6" s="8"/>
    </row>
    <row r="7" ht="7.5" customHeight="1"/>
    <row r="8" ht="15.75">
      <c r="A8" s="1" t="s">
        <v>62</v>
      </c>
    </row>
    <row r="9" ht="15.75">
      <c r="A9" s="1" t="s">
        <v>177</v>
      </c>
    </row>
    <row r="11" spans="5:11" s="10" customFormat="1" ht="12.75">
      <c r="E11" s="11"/>
      <c r="F11" s="11"/>
      <c r="G11" s="12"/>
      <c r="H11" s="12"/>
      <c r="I11" s="13"/>
      <c r="J11" s="13"/>
      <c r="K11" s="12"/>
    </row>
    <row r="12" spans="5:11" s="10" customFormat="1" ht="15.75" customHeight="1">
      <c r="E12" s="186" t="s">
        <v>0</v>
      </c>
      <c r="F12" s="187"/>
      <c r="G12" s="188"/>
      <c r="H12" s="14"/>
      <c r="I12" s="186" t="s">
        <v>1</v>
      </c>
      <c r="J12" s="187"/>
      <c r="K12" s="188"/>
    </row>
    <row r="13" spans="5:11" s="10" customFormat="1" ht="45" customHeight="1">
      <c r="E13" s="15" t="s">
        <v>2</v>
      </c>
      <c r="F13" s="15"/>
      <c r="G13" s="16" t="s">
        <v>3</v>
      </c>
      <c r="H13" s="17"/>
      <c r="I13" s="15" t="s">
        <v>59</v>
      </c>
      <c r="J13" s="15"/>
      <c r="K13" s="16" t="s">
        <v>120</v>
      </c>
    </row>
    <row r="14" spans="5:11" s="10" customFormat="1" ht="15">
      <c r="E14" s="18" t="s">
        <v>178</v>
      </c>
      <c r="F14" s="18"/>
      <c r="G14" s="18" t="s">
        <v>179</v>
      </c>
      <c r="H14" s="19"/>
      <c r="I14" s="18" t="str">
        <f>+E14</f>
        <v>31.12.2011</v>
      </c>
      <c r="J14" s="18"/>
      <c r="K14" s="18" t="str">
        <f>+G14</f>
        <v>31.12.2010</v>
      </c>
    </row>
    <row r="15" spans="5:11" s="10" customFormat="1" ht="15">
      <c r="E15" s="20" t="s">
        <v>4</v>
      </c>
      <c r="F15" s="18"/>
      <c r="G15" s="20" t="s">
        <v>4</v>
      </c>
      <c r="H15" s="19"/>
      <c r="I15" s="20" t="s">
        <v>4</v>
      </c>
      <c r="J15" s="18"/>
      <c r="K15" s="20" t="s">
        <v>4</v>
      </c>
    </row>
    <row r="16" spans="5:11" s="10" customFormat="1" ht="12.75">
      <c r="E16" s="11"/>
      <c r="F16" s="11"/>
      <c r="G16" s="11"/>
      <c r="H16" s="12"/>
      <c r="I16" s="11"/>
      <c r="J16" s="13"/>
      <c r="K16" s="11"/>
    </row>
    <row r="17" spans="1:13" s="10" customFormat="1" ht="15">
      <c r="A17" s="21" t="s">
        <v>5</v>
      </c>
      <c r="E17" s="184">
        <f>102342-21123</f>
        <v>81219</v>
      </c>
      <c r="F17" s="22"/>
      <c r="G17" s="22">
        <v>104194</v>
      </c>
      <c r="H17" s="23"/>
      <c r="I17" s="185">
        <f>99292-28870+E17</f>
        <v>151641</v>
      </c>
      <c r="J17" s="155"/>
      <c r="K17" s="24">
        <v>215039</v>
      </c>
      <c r="M17" s="160"/>
    </row>
    <row r="18" spans="1:11" s="10" customFormat="1" ht="15">
      <c r="A18" s="21"/>
      <c r="E18" s="22"/>
      <c r="F18" s="22"/>
      <c r="G18" s="22"/>
      <c r="H18" s="22"/>
      <c r="I18" s="22"/>
      <c r="J18" s="156"/>
      <c r="K18" s="22"/>
    </row>
    <row r="19" spans="1:13" s="10" customFormat="1" ht="15">
      <c r="A19" s="21" t="s">
        <v>95</v>
      </c>
      <c r="E19" s="184">
        <f>-91786+2512+21123</f>
        <v>-68151</v>
      </c>
      <c r="F19" s="22"/>
      <c r="G19" s="22">
        <v>-91945</v>
      </c>
      <c r="H19" s="23"/>
      <c r="I19" s="185">
        <f>-86108+28870+E19</f>
        <v>-125389</v>
      </c>
      <c r="J19" s="156"/>
      <c r="K19" s="24">
        <v>-188923</v>
      </c>
      <c r="M19" s="160"/>
    </row>
    <row r="20" spans="1:11" s="10" customFormat="1" ht="15">
      <c r="A20" s="21"/>
      <c r="E20" s="26"/>
      <c r="F20" s="156"/>
      <c r="G20" s="26"/>
      <c r="H20" s="157"/>
      <c r="I20" s="27"/>
      <c r="J20" s="156"/>
      <c r="K20" s="27"/>
    </row>
    <row r="21" spans="1:11" s="10" customFormat="1" ht="15">
      <c r="A21" s="21"/>
      <c r="E21" s="22"/>
      <c r="F21" s="156"/>
      <c r="G21" s="22"/>
      <c r="H21" s="157"/>
      <c r="I21" s="24"/>
      <c r="J21" s="156"/>
      <c r="K21" s="24"/>
    </row>
    <row r="22" spans="1:13" s="10" customFormat="1" ht="15">
      <c r="A22" s="21" t="s">
        <v>94</v>
      </c>
      <c r="E22" s="22">
        <f>+E17+E19</f>
        <v>13068</v>
      </c>
      <c r="F22" s="156"/>
      <c r="G22" s="22">
        <f>+G17+G19</f>
        <v>12249</v>
      </c>
      <c r="H22" s="156"/>
      <c r="I22" s="22">
        <f>+I17+I19</f>
        <v>26252</v>
      </c>
      <c r="J22" s="156"/>
      <c r="K22" s="22">
        <f>+K17+K19</f>
        <v>26116</v>
      </c>
      <c r="M22" s="160"/>
    </row>
    <row r="23" spans="1:11" s="10" customFormat="1" ht="15">
      <c r="A23" s="21"/>
      <c r="E23" s="105"/>
      <c r="F23" s="156"/>
      <c r="G23" s="105"/>
      <c r="H23" s="157"/>
      <c r="I23" s="105"/>
      <c r="J23" s="156"/>
      <c r="K23" s="105"/>
    </row>
    <row r="24" spans="1:13" s="10" customFormat="1" ht="15">
      <c r="A24" s="21" t="s">
        <v>93</v>
      </c>
      <c r="E24" s="184">
        <f>3216-2512</f>
        <v>704</v>
      </c>
      <c r="F24" s="22"/>
      <c r="G24" s="22">
        <v>1264</v>
      </c>
      <c r="H24" s="22"/>
      <c r="I24" s="185">
        <f>2286+E24</f>
        <v>2990</v>
      </c>
      <c r="J24" s="156"/>
      <c r="K24" s="24">
        <v>3757</v>
      </c>
      <c r="M24" s="160"/>
    </row>
    <row r="25" spans="1:11" s="10" customFormat="1" ht="15">
      <c r="A25" s="21"/>
      <c r="E25" s="105"/>
      <c r="F25" s="156"/>
      <c r="G25" s="105"/>
      <c r="H25" s="157"/>
      <c r="I25" s="105"/>
      <c r="J25" s="156"/>
      <c r="K25" s="105"/>
    </row>
    <row r="26" spans="1:13" s="10" customFormat="1" ht="15">
      <c r="A26" s="21" t="s">
        <v>6</v>
      </c>
      <c r="E26" s="22">
        <v>-4490</v>
      </c>
      <c r="F26" s="156"/>
      <c r="G26" s="22">
        <v>-4553</v>
      </c>
      <c r="H26" s="157"/>
      <c r="I26" s="24">
        <f>-5233+E26</f>
        <v>-9723</v>
      </c>
      <c r="J26" s="156"/>
      <c r="K26" s="24">
        <v>-10392</v>
      </c>
      <c r="M26" s="160"/>
    </row>
    <row r="27" spans="1:11" s="10" customFormat="1" ht="15">
      <c r="A27" s="21"/>
      <c r="B27" s="21"/>
      <c r="E27" s="25"/>
      <c r="F27" s="156"/>
      <c r="G27" s="25"/>
      <c r="H27" s="158"/>
      <c r="I27" s="25"/>
      <c r="J27" s="156"/>
      <c r="K27" s="25"/>
    </row>
    <row r="28" spans="1:16" s="10" customFormat="1" ht="15">
      <c r="A28" s="21" t="s">
        <v>7</v>
      </c>
      <c r="E28" s="22">
        <v>-4368</v>
      </c>
      <c r="F28" s="156"/>
      <c r="G28" s="22">
        <v>-4238</v>
      </c>
      <c r="H28" s="158"/>
      <c r="I28" s="24">
        <f>-4550+E28</f>
        <v>-8918</v>
      </c>
      <c r="J28" s="156"/>
      <c r="K28" s="24">
        <v>-8821</v>
      </c>
      <c r="M28" s="160"/>
      <c r="P28" s="10" t="s">
        <v>187</v>
      </c>
    </row>
    <row r="29" spans="1:11" s="10" customFormat="1" ht="15">
      <c r="A29" s="21"/>
      <c r="E29" s="26"/>
      <c r="F29" s="156"/>
      <c r="G29" s="26"/>
      <c r="H29" s="156"/>
      <c r="I29" s="26"/>
      <c r="J29" s="156"/>
      <c r="K29" s="26"/>
    </row>
    <row r="30" spans="1:11" s="10" customFormat="1" ht="15">
      <c r="A30" s="21"/>
      <c r="B30" s="21"/>
      <c r="E30" s="25"/>
      <c r="F30" s="156"/>
      <c r="G30" s="25"/>
      <c r="H30" s="157"/>
      <c r="I30" s="23"/>
      <c r="J30" s="156"/>
      <c r="K30" s="23"/>
    </row>
    <row r="31" spans="1:13" s="10" customFormat="1" ht="15" customHeight="1">
      <c r="A31" s="28" t="s">
        <v>92</v>
      </c>
      <c r="B31" s="29"/>
      <c r="E31" s="25">
        <f>SUM(E22:E29)</f>
        <v>4914</v>
      </c>
      <c r="F31" s="156"/>
      <c r="G31" s="25">
        <f>SUM(G22:G29)</f>
        <v>4722</v>
      </c>
      <c r="H31" s="157"/>
      <c r="I31" s="25">
        <f>SUM(I22:I29)</f>
        <v>10601</v>
      </c>
      <c r="J31" s="156"/>
      <c r="K31" s="25">
        <f>SUM(K22:K29)</f>
        <v>10660</v>
      </c>
      <c r="M31" s="160"/>
    </row>
    <row r="32" spans="1:11" s="10" customFormat="1" ht="15">
      <c r="A32" s="21"/>
      <c r="B32" s="21"/>
      <c r="E32" s="25"/>
      <c r="F32" s="156"/>
      <c r="G32" s="25"/>
      <c r="H32" s="157"/>
      <c r="I32" s="23"/>
      <c r="J32" s="156"/>
      <c r="K32" s="23"/>
    </row>
    <row r="33" spans="1:13" s="10" customFormat="1" ht="15">
      <c r="A33" s="21" t="s">
        <v>8</v>
      </c>
      <c r="E33" s="47">
        <v>-4432</v>
      </c>
      <c r="F33" s="156"/>
      <c r="G33" s="47">
        <v>-4196</v>
      </c>
      <c r="H33" s="157"/>
      <c r="I33" s="24">
        <f>-5215+E33</f>
        <v>-9647</v>
      </c>
      <c r="J33" s="156"/>
      <c r="K33" s="24">
        <v>-9446</v>
      </c>
      <c r="M33" s="160"/>
    </row>
    <row r="34" spans="1:11" s="10" customFormat="1" ht="15">
      <c r="A34" s="21"/>
      <c r="E34" s="26"/>
      <c r="F34" s="156"/>
      <c r="G34" s="26"/>
      <c r="H34" s="157"/>
      <c r="I34" s="27"/>
      <c r="J34" s="156"/>
      <c r="K34" s="27"/>
    </row>
    <row r="35" spans="1:11" s="10" customFormat="1" ht="15">
      <c r="A35" s="21"/>
      <c r="B35" s="21"/>
      <c r="E35" s="25"/>
      <c r="F35" s="156"/>
      <c r="G35" s="25"/>
      <c r="H35" s="157"/>
      <c r="I35" s="23"/>
      <c r="J35" s="156"/>
      <c r="K35" s="23"/>
    </row>
    <row r="36" spans="1:13" s="10" customFormat="1" ht="15" customHeight="1">
      <c r="A36" s="28" t="s">
        <v>9</v>
      </c>
      <c r="B36" s="29"/>
      <c r="E36" s="25">
        <f>SUM(E31:E33)</f>
        <v>482</v>
      </c>
      <c r="F36" s="156"/>
      <c r="G36" s="25">
        <f>SUM(G31:G33)</f>
        <v>526</v>
      </c>
      <c r="H36" s="157"/>
      <c r="I36" s="25">
        <f>SUM(I31:I33)</f>
        <v>954</v>
      </c>
      <c r="J36" s="156"/>
      <c r="K36" s="25">
        <f>SUM(K31:K33)</f>
        <v>1214</v>
      </c>
      <c r="M36" s="160"/>
    </row>
    <row r="37" spans="1:11" s="10" customFormat="1" ht="15">
      <c r="A37" s="31"/>
      <c r="B37" s="21"/>
      <c r="E37" s="25"/>
      <c r="F37" s="156"/>
      <c r="G37" s="25"/>
      <c r="H37" s="157"/>
      <c r="I37" s="23"/>
      <c r="J37" s="156"/>
      <c r="K37" s="23"/>
    </row>
    <row r="38" spans="1:13" s="10" customFormat="1" ht="15" customHeight="1">
      <c r="A38" s="28" t="s">
        <v>10</v>
      </c>
      <c r="B38" s="29"/>
      <c r="E38" s="22">
        <v>-176</v>
      </c>
      <c r="F38" s="156"/>
      <c r="G38" s="22">
        <v>-18</v>
      </c>
      <c r="H38" s="157"/>
      <c r="I38" s="24">
        <f>37+E38</f>
        <v>-139</v>
      </c>
      <c r="J38" s="156"/>
      <c r="K38" s="24">
        <v>-90</v>
      </c>
      <c r="M38" s="160"/>
    </row>
    <row r="39" spans="1:11" s="10" customFormat="1" ht="15">
      <c r="A39" s="32"/>
      <c r="B39" s="33"/>
      <c r="E39" s="26"/>
      <c r="F39" s="156"/>
      <c r="G39" s="26"/>
      <c r="H39" s="157"/>
      <c r="I39" s="27"/>
      <c r="J39" s="156"/>
      <c r="K39" s="27"/>
    </row>
    <row r="40" spans="1:13" s="10" customFormat="1" ht="15">
      <c r="A40" s="21"/>
      <c r="B40" s="33"/>
      <c r="E40" s="22"/>
      <c r="F40" s="156"/>
      <c r="G40" s="22"/>
      <c r="H40" s="157"/>
      <c r="I40" s="22"/>
      <c r="J40" s="156"/>
      <c r="K40" s="22"/>
      <c r="M40" s="160"/>
    </row>
    <row r="41" spans="1:11" s="10" customFormat="1" ht="15.75" thickBot="1">
      <c r="A41" s="21" t="s">
        <v>168</v>
      </c>
      <c r="B41" s="21"/>
      <c r="E41" s="36">
        <f>SUM(E36:E39)</f>
        <v>306</v>
      </c>
      <c r="F41" s="156"/>
      <c r="G41" s="36">
        <f>SUM(G36:G39)</f>
        <v>508</v>
      </c>
      <c r="H41" s="156"/>
      <c r="I41" s="36">
        <f>SUM(I36:I39)</f>
        <v>815</v>
      </c>
      <c r="J41" s="156"/>
      <c r="K41" s="36">
        <f>SUM(K36:K39)</f>
        <v>1124</v>
      </c>
    </row>
    <row r="42" spans="1:11" s="10" customFormat="1" ht="15.75" thickTop="1">
      <c r="A42" s="21"/>
      <c r="B42" s="21"/>
      <c r="E42" s="25"/>
      <c r="F42" s="156"/>
      <c r="G42" s="25"/>
      <c r="H42" s="156"/>
      <c r="I42" s="23"/>
      <c r="J42" s="156"/>
      <c r="K42" s="23"/>
    </row>
    <row r="43" spans="1:11" s="10" customFormat="1" ht="15">
      <c r="A43" s="21" t="s">
        <v>96</v>
      </c>
      <c r="B43" s="21"/>
      <c r="E43" s="25"/>
      <c r="F43" s="156"/>
      <c r="G43" s="25"/>
      <c r="H43" s="156"/>
      <c r="I43" s="23"/>
      <c r="J43" s="156"/>
      <c r="K43" s="23"/>
    </row>
    <row r="44" spans="1:13" s="10" customFormat="1" ht="15">
      <c r="A44" s="21" t="s">
        <v>108</v>
      </c>
      <c r="B44" s="21"/>
      <c r="E44" s="22">
        <f>+E41-E45</f>
        <v>289</v>
      </c>
      <c r="F44" s="156"/>
      <c r="G44" s="22">
        <v>491</v>
      </c>
      <c r="H44" s="157"/>
      <c r="I44" s="22">
        <f>+I41-I45</f>
        <v>737</v>
      </c>
      <c r="J44" s="156"/>
      <c r="K44" s="22">
        <v>1095</v>
      </c>
      <c r="M44" s="160"/>
    </row>
    <row r="45" spans="1:13" s="10" customFormat="1" ht="15">
      <c r="A45" s="21" t="s">
        <v>109</v>
      </c>
      <c r="B45" s="21"/>
      <c r="E45" s="22">
        <v>17</v>
      </c>
      <c r="F45" s="156"/>
      <c r="G45" s="22">
        <v>17</v>
      </c>
      <c r="H45" s="157"/>
      <c r="I45" s="24">
        <f>61+E45</f>
        <v>78</v>
      </c>
      <c r="J45" s="156"/>
      <c r="K45" s="24">
        <v>29</v>
      </c>
      <c r="M45" s="160"/>
    </row>
    <row r="46" spans="1:13" s="10" customFormat="1" ht="15.75" thickBot="1">
      <c r="A46" s="21"/>
      <c r="B46" s="21"/>
      <c r="E46" s="128">
        <f>SUM(E44:E45)</f>
        <v>306</v>
      </c>
      <c r="F46" s="156"/>
      <c r="G46" s="128">
        <f>SUM(G44:G45)</f>
        <v>508</v>
      </c>
      <c r="H46" s="156"/>
      <c r="I46" s="128">
        <f>SUM(I44:I45)</f>
        <v>815</v>
      </c>
      <c r="J46" s="156"/>
      <c r="K46" s="128">
        <f>SUM(K44:K45)</f>
        <v>1124</v>
      </c>
      <c r="M46" s="160"/>
    </row>
    <row r="47" spans="1:11" s="10" customFormat="1" ht="15.75" thickTop="1">
      <c r="A47" s="21"/>
      <c r="B47" s="21"/>
      <c r="E47" s="25"/>
      <c r="F47" s="156"/>
      <c r="G47" s="25"/>
      <c r="H47" s="156"/>
      <c r="I47" s="23"/>
      <c r="J47" s="156"/>
      <c r="K47" s="23"/>
    </row>
    <row r="48" spans="1:11" s="10" customFormat="1" ht="15">
      <c r="A48" s="28" t="s">
        <v>97</v>
      </c>
      <c r="B48" s="21"/>
      <c r="E48" s="25"/>
      <c r="F48" s="156"/>
      <c r="G48" s="25"/>
      <c r="H48" s="156"/>
      <c r="I48" s="23"/>
      <c r="J48" s="156"/>
      <c r="K48" s="23"/>
    </row>
    <row r="49" spans="1:11" s="10" customFormat="1" ht="15">
      <c r="A49" s="21" t="s">
        <v>110</v>
      </c>
      <c r="E49" s="25"/>
      <c r="F49" s="156"/>
      <c r="G49" s="25"/>
      <c r="H49" s="156"/>
      <c r="I49" s="23"/>
      <c r="J49" s="156"/>
      <c r="K49" s="23"/>
    </row>
    <row r="50" spans="1:13" s="10" customFormat="1" ht="15.75" customHeight="1">
      <c r="A50" s="28" t="s">
        <v>173</v>
      </c>
      <c r="B50" s="29"/>
      <c r="E50" s="107">
        <f>+E44/(I116/1000)*100</f>
        <v>0.155144363225744</v>
      </c>
      <c r="F50" s="156"/>
      <c r="G50" s="107">
        <v>0.26</v>
      </c>
      <c r="H50" s="156"/>
      <c r="I50" s="107">
        <f>+I44/(I116/1000)*100</f>
        <v>0.39564496781098035</v>
      </c>
      <c r="J50" s="156"/>
      <c r="K50" s="163">
        <v>0.59</v>
      </c>
      <c r="M50" s="160"/>
    </row>
    <row r="51" spans="1:11" s="10" customFormat="1" ht="15">
      <c r="A51" s="31"/>
      <c r="B51" s="21"/>
      <c r="E51" s="34"/>
      <c r="F51" s="22"/>
      <c r="G51" s="34"/>
      <c r="H51" s="22"/>
      <c r="I51" s="35"/>
      <c r="J51" s="22"/>
      <c r="K51" s="35"/>
    </row>
    <row r="52" spans="1:11" s="10" customFormat="1" ht="15.75" customHeight="1">
      <c r="A52" s="28" t="s">
        <v>174</v>
      </c>
      <c r="B52" s="29"/>
      <c r="E52" s="104" t="s">
        <v>37</v>
      </c>
      <c r="F52" s="22"/>
      <c r="G52" s="104" t="s">
        <v>37</v>
      </c>
      <c r="H52" s="22"/>
      <c r="I52" s="104" t="s">
        <v>37</v>
      </c>
      <c r="J52" s="22"/>
      <c r="K52" s="104" t="s">
        <v>37</v>
      </c>
    </row>
    <row r="53" spans="1:11" s="10" customFormat="1" ht="15">
      <c r="A53" s="21"/>
      <c r="B53" s="21"/>
      <c r="E53" s="25"/>
      <c r="F53" s="22"/>
      <c r="G53" s="23"/>
      <c r="H53" s="22"/>
      <c r="I53" s="23"/>
      <c r="J53" s="22"/>
      <c r="K53" s="23"/>
    </row>
    <row r="54" spans="1:11" s="10" customFormat="1" ht="15">
      <c r="A54" s="21"/>
      <c r="B54" s="21"/>
      <c r="E54" s="25"/>
      <c r="F54" s="22"/>
      <c r="G54" s="23"/>
      <c r="H54" s="22"/>
      <c r="I54" s="37"/>
      <c r="J54" s="22"/>
      <c r="K54" s="23"/>
    </row>
    <row r="55" spans="1:11" s="10" customFormat="1" ht="15">
      <c r="A55" s="21"/>
      <c r="B55" s="21"/>
      <c r="E55" s="25"/>
      <c r="F55" s="22"/>
      <c r="G55" s="23"/>
      <c r="H55" s="22"/>
      <c r="I55" s="23"/>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6:11" ht="15.75">
      <c r="F58" s="22"/>
      <c r="G58" s="4"/>
      <c r="H58" s="22"/>
      <c r="J58" s="22"/>
      <c r="K58" s="4"/>
    </row>
    <row r="59" spans="1:11" ht="49.5" customHeight="1">
      <c r="A59" s="189" t="s">
        <v>162</v>
      </c>
      <c r="B59" s="189"/>
      <c r="C59" s="189"/>
      <c r="D59" s="189"/>
      <c r="E59" s="189"/>
      <c r="F59" s="189"/>
      <c r="G59" s="189"/>
      <c r="H59" s="189"/>
      <c r="I59" s="189"/>
      <c r="J59" s="189"/>
      <c r="K59" s="189"/>
    </row>
    <row r="60" spans="6:11" ht="15.75">
      <c r="F60" s="22"/>
      <c r="G60" s="4"/>
      <c r="H60" s="4"/>
      <c r="J60" s="22"/>
      <c r="K60" s="4"/>
    </row>
    <row r="61" spans="7:11" ht="15.75" hidden="1">
      <c r="G61" s="4"/>
      <c r="H61" s="4"/>
      <c r="K61" s="4"/>
    </row>
    <row r="62" spans="4:14" ht="15.75" hidden="1">
      <c r="D62" s="131" t="s">
        <v>42</v>
      </c>
      <c r="G62" s="4"/>
      <c r="H62" s="4"/>
      <c r="K62" s="4"/>
      <c r="L62" s="21"/>
      <c r="M62" s="21"/>
      <c r="N62" s="21"/>
    </row>
    <row r="63" spans="2:14" ht="15.75" hidden="1">
      <c r="B63" s="21"/>
      <c r="C63" s="21"/>
      <c r="D63" s="132" t="s">
        <v>98</v>
      </c>
      <c r="E63" s="111" t="s">
        <v>99</v>
      </c>
      <c r="F63" s="22"/>
      <c r="G63" s="25" t="s">
        <v>60</v>
      </c>
      <c r="H63" s="23"/>
      <c r="I63" s="111" t="s">
        <v>43</v>
      </c>
      <c r="J63" s="22"/>
      <c r="K63" s="111" t="s">
        <v>44</v>
      </c>
      <c r="L63" s="132" t="s">
        <v>100</v>
      </c>
      <c r="M63" s="132" t="s">
        <v>101</v>
      </c>
      <c r="N63" s="21"/>
    </row>
    <row r="64" spans="1:14" ht="15.75" hidden="1">
      <c r="A64" s="21"/>
      <c r="B64" s="21"/>
      <c r="C64" s="21"/>
      <c r="D64" s="21"/>
      <c r="E64" s="111" t="s">
        <v>102</v>
      </c>
      <c r="F64" s="22"/>
      <c r="G64" s="25" t="s">
        <v>45</v>
      </c>
      <c r="H64" s="23"/>
      <c r="I64" s="111" t="s">
        <v>46</v>
      </c>
      <c r="J64" s="22"/>
      <c r="K64" s="23"/>
      <c r="L64" s="132" t="s">
        <v>103</v>
      </c>
      <c r="M64" s="132" t="s">
        <v>104</v>
      </c>
      <c r="N64" s="21"/>
    </row>
    <row r="65" spans="1:14" ht="15.75" hidden="1">
      <c r="A65" s="21"/>
      <c r="B65" s="21"/>
      <c r="C65" s="21"/>
      <c r="D65" s="133" t="s">
        <v>105</v>
      </c>
      <c r="E65" s="134"/>
      <c r="F65" s="114"/>
      <c r="G65" s="135"/>
      <c r="H65" s="136"/>
      <c r="I65" s="137"/>
      <c r="J65" s="114"/>
      <c r="K65" s="136"/>
      <c r="L65" s="138"/>
      <c r="M65" s="139"/>
      <c r="N65" s="21"/>
    </row>
    <row r="66" spans="1:14" ht="15.75" hidden="1">
      <c r="A66" s="21"/>
      <c r="B66" s="21"/>
      <c r="C66" s="21"/>
      <c r="D66" s="113">
        <v>38534</v>
      </c>
      <c r="E66" s="111">
        <v>0</v>
      </c>
      <c r="F66" s="22"/>
      <c r="G66" s="111">
        <v>143181818</v>
      </c>
      <c r="H66" s="23"/>
      <c r="I66" s="112">
        <f>G66*75</f>
        <v>10738636350</v>
      </c>
      <c r="J66" s="22"/>
      <c r="K66" s="112">
        <f>I66</f>
        <v>10738636350</v>
      </c>
      <c r="L66" s="21"/>
      <c r="M66" s="140">
        <f>D67-D66-1</f>
        <v>75</v>
      </c>
      <c r="N66" s="21"/>
    </row>
    <row r="67" spans="1:14" ht="15.75" hidden="1">
      <c r="A67" s="21"/>
      <c r="B67" s="21"/>
      <c r="C67" s="21"/>
      <c r="D67" s="113">
        <v>38610</v>
      </c>
      <c r="E67" s="111">
        <v>2492300</v>
      </c>
      <c r="F67" s="22"/>
      <c r="G67" s="111">
        <f>+G66-E67</f>
        <v>140689518</v>
      </c>
      <c r="H67" s="23"/>
      <c r="I67" s="112">
        <f>+G67*80</f>
        <v>11255161440</v>
      </c>
      <c r="J67" s="22"/>
      <c r="K67" s="112">
        <f>I67</f>
        <v>11255161440</v>
      </c>
      <c r="L67" s="21"/>
      <c r="M67" s="140">
        <f>D68-D67-1</f>
        <v>80</v>
      </c>
      <c r="N67" s="21"/>
    </row>
    <row r="68" spans="1:14" ht="15.75" hidden="1">
      <c r="A68" s="21"/>
      <c r="B68" s="21"/>
      <c r="C68" s="21"/>
      <c r="D68" s="113">
        <v>38691</v>
      </c>
      <c r="E68" s="111">
        <v>1454100</v>
      </c>
      <c r="F68" s="22"/>
      <c r="G68" s="111">
        <f>+G67-E68</f>
        <v>139235418</v>
      </c>
      <c r="H68" s="23"/>
      <c r="I68" s="112">
        <f>+G68*108</f>
        <v>15037425144</v>
      </c>
      <c r="J68" s="22"/>
      <c r="K68" s="112">
        <f>I68</f>
        <v>15037425144</v>
      </c>
      <c r="L68" s="21"/>
      <c r="M68" s="140">
        <f>D69-D68-1</f>
        <v>107</v>
      </c>
      <c r="N68" s="21"/>
    </row>
    <row r="69" spans="1:14" ht="15.75" hidden="1">
      <c r="A69" s="21"/>
      <c r="B69" s="21"/>
      <c r="C69" s="21"/>
      <c r="D69" s="113">
        <v>38799</v>
      </c>
      <c r="E69" s="111">
        <v>963000</v>
      </c>
      <c r="F69" s="22"/>
      <c r="G69" s="111">
        <f>+G68-E69</f>
        <v>138272418</v>
      </c>
      <c r="H69" s="23"/>
      <c r="I69" s="112">
        <f>+G69*7</f>
        <v>967906926</v>
      </c>
      <c r="J69" s="22"/>
      <c r="K69" s="112">
        <f>I69</f>
        <v>967906926</v>
      </c>
      <c r="L69" s="40"/>
      <c r="M69" s="140">
        <f>D70-D69-1</f>
        <v>82</v>
      </c>
      <c r="N69" s="21"/>
    </row>
    <row r="70" spans="1:14" ht="15.75" hidden="1">
      <c r="A70" s="21"/>
      <c r="B70" s="21"/>
      <c r="C70" s="21"/>
      <c r="D70" s="113">
        <v>38882</v>
      </c>
      <c r="E70" s="111">
        <v>1003000</v>
      </c>
      <c r="F70" s="22"/>
      <c r="G70" s="111">
        <f>G69-E70</f>
        <v>137269418</v>
      </c>
      <c r="H70" s="23"/>
      <c r="I70" s="112">
        <f>+G70*115</f>
        <v>15785983070</v>
      </c>
      <c r="J70" s="22"/>
      <c r="K70" s="112">
        <f>I70</f>
        <v>15785983070</v>
      </c>
      <c r="L70" s="40"/>
      <c r="M70" s="140">
        <f>D72-D70-1</f>
        <v>16</v>
      </c>
      <c r="N70" s="21"/>
    </row>
    <row r="71" spans="1:14" ht="15.75" hidden="1">
      <c r="A71" s="21"/>
      <c r="B71" s="21"/>
      <c r="C71" s="21"/>
      <c r="D71" s="141" t="s">
        <v>106</v>
      </c>
      <c r="E71" s="134"/>
      <c r="F71" s="114"/>
      <c r="G71" s="134"/>
      <c r="H71" s="136"/>
      <c r="I71" s="137"/>
      <c r="J71" s="114"/>
      <c r="K71" s="137"/>
      <c r="L71" s="142"/>
      <c r="M71" s="143"/>
      <c r="N71" s="21"/>
    </row>
    <row r="72" spans="1:14" ht="15.75" hidden="1">
      <c r="A72" s="21"/>
      <c r="B72" s="21"/>
      <c r="C72" s="21"/>
      <c r="D72" s="113">
        <v>38899</v>
      </c>
      <c r="E72" s="111">
        <v>0</v>
      </c>
      <c r="F72" s="22"/>
      <c r="G72" s="111">
        <f>G70+E72</f>
        <v>137269418</v>
      </c>
      <c r="H72" s="23"/>
      <c r="I72" s="112">
        <f>+G72*42</f>
        <v>5765315556</v>
      </c>
      <c r="J72" s="22"/>
      <c r="K72" s="112">
        <f aca="true" t="shared" si="0" ref="K72:K99">+G72*M72</f>
        <v>5765315556</v>
      </c>
      <c r="L72" s="40"/>
      <c r="M72" s="21">
        <v>42</v>
      </c>
      <c r="N72" s="21"/>
    </row>
    <row r="73" spans="1:14" ht="15.75" hidden="1">
      <c r="A73" s="21"/>
      <c r="B73" s="21"/>
      <c r="C73" s="21"/>
      <c r="D73" s="113">
        <v>38940</v>
      </c>
      <c r="E73" s="111">
        <v>160100</v>
      </c>
      <c r="F73" s="22"/>
      <c r="G73" s="111">
        <f>G72-E73</f>
        <v>137109318</v>
      </c>
      <c r="H73" s="121"/>
      <c r="I73" s="112">
        <f>+G73*14</f>
        <v>1919530452</v>
      </c>
      <c r="J73" s="22"/>
      <c r="K73" s="112">
        <f t="shared" si="0"/>
        <v>685546590</v>
      </c>
      <c r="L73" s="40"/>
      <c r="M73" s="21">
        <v>5</v>
      </c>
      <c r="N73" s="21"/>
    </row>
    <row r="74" spans="1:14" ht="15.75" hidden="1">
      <c r="A74" s="21"/>
      <c r="B74" s="21"/>
      <c r="C74" s="21"/>
      <c r="D74" s="113">
        <v>38945</v>
      </c>
      <c r="E74" s="111">
        <v>-10000000</v>
      </c>
      <c r="F74" s="22"/>
      <c r="G74" s="111">
        <f>G73-E74</f>
        <v>147109318</v>
      </c>
      <c r="H74" s="23"/>
      <c r="I74" s="112">
        <f>+G74*6</f>
        <v>882655908</v>
      </c>
      <c r="J74" s="22"/>
      <c r="K74" s="112">
        <f t="shared" si="0"/>
        <v>2059530452</v>
      </c>
      <c r="L74" s="40"/>
      <c r="M74" s="21">
        <v>14</v>
      </c>
      <c r="N74" s="21"/>
    </row>
    <row r="75" spans="1:14" ht="15.75" hidden="1">
      <c r="A75" s="21"/>
      <c r="B75" s="21"/>
      <c r="C75" s="21"/>
      <c r="D75" s="120" t="s">
        <v>61</v>
      </c>
      <c r="E75" s="111">
        <v>2125600</v>
      </c>
      <c r="F75" s="22"/>
      <c r="G75" s="111">
        <f>G74-E75</f>
        <v>144983718</v>
      </c>
      <c r="H75" s="23"/>
      <c r="I75" s="112">
        <f>+G75*10</f>
        <v>1449837180</v>
      </c>
      <c r="J75" s="22"/>
      <c r="K75" s="112">
        <f t="shared" si="0"/>
        <v>1594820898</v>
      </c>
      <c r="L75" s="40"/>
      <c r="M75" s="21">
        <v>11</v>
      </c>
      <c r="N75" s="21"/>
    </row>
    <row r="76" spans="1:14" ht="15.75" hidden="1">
      <c r="A76" s="21"/>
      <c r="B76" s="21"/>
      <c r="C76" s="21"/>
      <c r="D76" s="113">
        <v>38971</v>
      </c>
      <c r="E76" s="111">
        <v>568800</v>
      </c>
      <c r="F76" s="22"/>
      <c r="G76" s="111">
        <f>G75-E76</f>
        <v>144414918</v>
      </c>
      <c r="H76" s="23"/>
      <c r="I76" s="112">
        <f>+G76*87</f>
        <v>12564097866</v>
      </c>
      <c r="J76" s="22"/>
      <c r="K76" s="112">
        <f t="shared" si="0"/>
        <v>22817557044</v>
      </c>
      <c r="L76" s="40"/>
      <c r="M76" s="21">
        <f>+D77-D76</f>
        <v>158</v>
      </c>
      <c r="N76" s="21"/>
    </row>
    <row r="77" spans="1:14" ht="15.75" hidden="1">
      <c r="A77" s="21"/>
      <c r="B77" s="21"/>
      <c r="C77" s="21"/>
      <c r="D77" s="120">
        <v>39129</v>
      </c>
      <c r="E77" s="111">
        <f>80000+236500+1041800</f>
        <v>1358300</v>
      </c>
      <c r="F77" s="22"/>
      <c r="G77" s="111">
        <f>G76-E77</f>
        <v>143056618</v>
      </c>
      <c r="H77" s="23"/>
      <c r="I77" s="112">
        <f>+G77*3</f>
        <v>429169854</v>
      </c>
      <c r="J77" s="22"/>
      <c r="K77" s="112">
        <f t="shared" si="0"/>
        <v>4863925012</v>
      </c>
      <c r="L77" s="40"/>
      <c r="M77" s="21">
        <f>+D78-D77</f>
        <v>34</v>
      </c>
      <c r="N77" s="21"/>
    </row>
    <row r="78" spans="1:14" ht="15.75" hidden="1">
      <c r="A78" s="21"/>
      <c r="B78" s="21"/>
      <c r="C78" s="21"/>
      <c r="D78" s="120">
        <v>39163</v>
      </c>
      <c r="E78" s="111">
        <v>37200</v>
      </c>
      <c r="F78" s="22"/>
      <c r="G78" s="111">
        <f aca="true" t="shared" si="1" ref="G78:G99">G77-E78</f>
        <v>143019418</v>
      </c>
      <c r="H78" s="23"/>
      <c r="I78" s="112">
        <f>G78*M78</f>
        <v>858116508</v>
      </c>
      <c r="J78" s="22"/>
      <c r="K78" s="112">
        <f t="shared" si="0"/>
        <v>858116508</v>
      </c>
      <c r="L78" s="40"/>
      <c r="M78" s="21">
        <f>+D79-D78</f>
        <v>6</v>
      </c>
      <c r="N78" s="21"/>
    </row>
    <row r="79" spans="1:14" ht="15.75" hidden="1">
      <c r="A79" s="21"/>
      <c r="B79" s="21"/>
      <c r="C79" s="21"/>
      <c r="D79" s="120">
        <v>39169</v>
      </c>
      <c r="E79" s="111">
        <v>100000</v>
      </c>
      <c r="F79" s="22"/>
      <c r="G79" s="111">
        <f t="shared" si="1"/>
        <v>142919418</v>
      </c>
      <c r="H79" s="23"/>
      <c r="I79" s="112">
        <f>G79*M79</f>
        <v>7288890318</v>
      </c>
      <c r="J79" s="22"/>
      <c r="K79" s="112">
        <f t="shared" si="0"/>
        <v>7288890318</v>
      </c>
      <c r="L79" s="40"/>
      <c r="M79" s="21">
        <f>+D81-D79</f>
        <v>51</v>
      </c>
      <c r="N79" s="21"/>
    </row>
    <row r="80" spans="1:14" ht="15.75" hidden="1">
      <c r="A80" s="21"/>
      <c r="B80" s="21"/>
      <c r="C80" s="21"/>
      <c r="D80" s="120">
        <v>39173</v>
      </c>
      <c r="E80" s="111"/>
      <c r="F80" s="22"/>
      <c r="G80" s="111"/>
      <c r="H80" s="23"/>
      <c r="I80" s="112"/>
      <c r="J80" s="22"/>
      <c r="K80" s="112"/>
      <c r="L80" s="40"/>
      <c r="M80" s="140"/>
      <c r="N80" s="21"/>
    </row>
    <row r="81" spans="1:14" ht="15.75" hidden="1">
      <c r="A81" s="21"/>
      <c r="B81" s="21"/>
      <c r="C81" s="21"/>
      <c r="D81" s="120">
        <v>39220</v>
      </c>
      <c r="E81" s="111">
        <v>40500</v>
      </c>
      <c r="F81" s="22"/>
      <c r="G81" s="111">
        <f>G79-E81</f>
        <v>142878918</v>
      </c>
      <c r="H81" s="23"/>
      <c r="I81" s="112">
        <f aca="true" t="shared" si="2" ref="I81:I87">G81*L81</f>
        <v>6715309146</v>
      </c>
      <c r="J81" s="22"/>
      <c r="K81" s="112">
        <f t="shared" si="0"/>
        <v>2000304852</v>
      </c>
      <c r="L81" s="140">
        <f aca="true" t="shared" si="3" ref="L81:L86">D81-D80</f>
        <v>47</v>
      </c>
      <c r="M81" s="21">
        <f aca="true" t="shared" si="4" ref="M81:M86">D82-D81</f>
        <v>14</v>
      </c>
      <c r="N81" s="21"/>
    </row>
    <row r="82" spans="1:14" ht="15.75" hidden="1">
      <c r="A82" s="21"/>
      <c r="B82" s="21"/>
      <c r="C82" s="21"/>
      <c r="D82" s="120">
        <v>39234</v>
      </c>
      <c r="E82" s="111">
        <v>33000</v>
      </c>
      <c r="F82" s="22"/>
      <c r="G82" s="111">
        <f t="shared" si="1"/>
        <v>142845918</v>
      </c>
      <c r="H82" s="23"/>
      <c r="I82" s="112">
        <f t="shared" si="2"/>
        <v>1999842852</v>
      </c>
      <c r="J82" s="22"/>
      <c r="K82" s="112">
        <f t="shared" si="0"/>
        <v>714229590</v>
      </c>
      <c r="L82" s="140">
        <f t="shared" si="3"/>
        <v>14</v>
      </c>
      <c r="M82" s="21">
        <f t="shared" si="4"/>
        <v>5</v>
      </c>
      <c r="N82" s="21"/>
    </row>
    <row r="83" spans="1:14" ht="15.75" hidden="1">
      <c r="A83" s="21"/>
      <c r="B83" s="21"/>
      <c r="C83" s="21"/>
      <c r="D83" s="120">
        <v>39239</v>
      </c>
      <c r="E83" s="111">
        <v>50000</v>
      </c>
      <c r="F83" s="22"/>
      <c r="G83" s="111">
        <f t="shared" si="1"/>
        <v>142795918</v>
      </c>
      <c r="H83" s="23"/>
      <c r="I83" s="112">
        <f t="shared" si="2"/>
        <v>713979590</v>
      </c>
      <c r="J83" s="22"/>
      <c r="K83" s="112">
        <f t="shared" si="0"/>
        <v>142795918</v>
      </c>
      <c r="L83" s="140">
        <f t="shared" si="3"/>
        <v>5</v>
      </c>
      <c r="M83" s="21">
        <f t="shared" si="4"/>
        <v>1</v>
      </c>
      <c r="N83" s="21"/>
    </row>
    <row r="84" spans="1:14" ht="15.75" hidden="1">
      <c r="A84" s="21"/>
      <c r="B84" s="21"/>
      <c r="C84" s="21"/>
      <c r="D84" s="120">
        <v>39240</v>
      </c>
      <c r="E84" s="111">
        <v>48000</v>
      </c>
      <c r="F84" s="22"/>
      <c r="G84" s="111">
        <f t="shared" si="1"/>
        <v>142747918</v>
      </c>
      <c r="H84" s="23"/>
      <c r="I84" s="112">
        <f t="shared" si="2"/>
        <v>142747918</v>
      </c>
      <c r="J84" s="22"/>
      <c r="K84" s="112">
        <f t="shared" si="0"/>
        <v>999235426</v>
      </c>
      <c r="L84" s="140">
        <f t="shared" si="3"/>
        <v>1</v>
      </c>
      <c r="M84" s="21">
        <f t="shared" si="4"/>
        <v>7</v>
      </c>
      <c r="N84" s="21"/>
    </row>
    <row r="85" spans="1:14" ht="15.75" hidden="1">
      <c r="A85" s="21"/>
      <c r="B85" s="21"/>
      <c r="C85" s="21"/>
      <c r="D85" s="120">
        <v>39247</v>
      </c>
      <c r="E85" s="111">
        <v>50000</v>
      </c>
      <c r="F85" s="22"/>
      <c r="G85" s="111">
        <f t="shared" si="1"/>
        <v>142697918</v>
      </c>
      <c r="H85" s="23"/>
      <c r="I85" s="112">
        <f t="shared" si="2"/>
        <v>998885426</v>
      </c>
      <c r="J85" s="22"/>
      <c r="K85" s="112">
        <f t="shared" si="0"/>
        <v>2140468770</v>
      </c>
      <c r="L85" s="140">
        <f t="shared" si="3"/>
        <v>7</v>
      </c>
      <c r="M85" s="21">
        <f t="shared" si="4"/>
        <v>15</v>
      </c>
      <c r="N85" s="21"/>
    </row>
    <row r="86" spans="1:14" ht="15.75" hidden="1">
      <c r="A86" s="21"/>
      <c r="B86" s="21"/>
      <c r="C86" s="21"/>
      <c r="D86" s="120">
        <v>39262</v>
      </c>
      <c r="E86" s="111">
        <v>50000</v>
      </c>
      <c r="F86" s="22"/>
      <c r="G86" s="111">
        <f t="shared" si="1"/>
        <v>142647918</v>
      </c>
      <c r="H86" s="23"/>
      <c r="I86" s="112">
        <f t="shared" si="2"/>
        <v>2139718770</v>
      </c>
      <c r="J86" s="22"/>
      <c r="K86" s="112">
        <f t="shared" si="0"/>
        <v>142647918</v>
      </c>
      <c r="L86" s="140">
        <f t="shared" si="3"/>
        <v>15</v>
      </c>
      <c r="M86" s="21">
        <f t="shared" si="4"/>
        <v>1</v>
      </c>
      <c r="N86" s="21"/>
    </row>
    <row r="87" spans="1:14" ht="15.75" hidden="1">
      <c r="A87" s="21"/>
      <c r="B87" s="21"/>
      <c r="C87" s="21"/>
      <c r="D87" s="113">
        <v>39263</v>
      </c>
      <c r="E87" s="111"/>
      <c r="F87" s="22"/>
      <c r="G87" s="111">
        <f t="shared" si="1"/>
        <v>142647918</v>
      </c>
      <c r="H87" s="23"/>
      <c r="I87" s="112">
        <f t="shared" si="2"/>
        <v>142647918</v>
      </c>
      <c r="J87" s="22"/>
      <c r="K87" s="112">
        <f t="shared" si="0"/>
        <v>142647918</v>
      </c>
      <c r="L87" s="140">
        <v>1</v>
      </c>
      <c r="M87" s="21">
        <v>1</v>
      </c>
      <c r="N87" s="21"/>
    </row>
    <row r="88" spans="1:14" ht="15.75" hidden="1">
      <c r="A88" s="21"/>
      <c r="B88" s="21"/>
      <c r="C88" s="21"/>
      <c r="D88" s="141" t="s">
        <v>107</v>
      </c>
      <c r="E88" s="134"/>
      <c r="F88" s="114"/>
      <c r="G88" s="134"/>
      <c r="H88" s="136"/>
      <c r="I88" s="137"/>
      <c r="J88" s="114"/>
      <c r="K88" s="137"/>
      <c r="L88" s="142"/>
      <c r="M88" s="143"/>
      <c r="N88" s="21"/>
    </row>
    <row r="89" spans="1:14" ht="15.75" hidden="1">
      <c r="A89" s="21"/>
      <c r="B89" s="21"/>
      <c r="C89" s="21"/>
      <c r="D89" s="146">
        <v>39264</v>
      </c>
      <c r="E89" s="74">
        <v>0</v>
      </c>
      <c r="F89" s="22"/>
      <c r="G89" s="111">
        <f>G87-E89</f>
        <v>142647918</v>
      </c>
      <c r="H89" s="24"/>
      <c r="I89" s="112">
        <f>+G89*L89</f>
        <v>142647918</v>
      </c>
      <c r="J89" s="22"/>
      <c r="K89" s="112">
        <f t="shared" si="0"/>
        <v>2425014606</v>
      </c>
      <c r="L89" s="140">
        <v>1</v>
      </c>
      <c r="M89" s="21">
        <f>D90-D89</f>
        <v>17</v>
      </c>
      <c r="N89" s="21"/>
    </row>
    <row r="90" spans="1:14" ht="15.75" hidden="1">
      <c r="A90" s="21"/>
      <c r="B90" s="21"/>
      <c r="C90" s="21"/>
      <c r="D90" s="113">
        <v>39281</v>
      </c>
      <c r="E90" s="111">
        <v>500000</v>
      </c>
      <c r="F90" s="22"/>
      <c r="G90" s="111">
        <f>G89-E90</f>
        <v>142147918</v>
      </c>
      <c r="H90" s="23"/>
      <c r="I90" s="112">
        <f aca="true" t="shared" si="5" ref="I90:I98">G90*L90</f>
        <v>2416514606</v>
      </c>
      <c r="J90" s="22"/>
      <c r="K90" s="112">
        <f t="shared" si="0"/>
        <v>142147918</v>
      </c>
      <c r="L90" s="140">
        <f aca="true" t="shared" si="6" ref="L90:L98">D90-D89</f>
        <v>17</v>
      </c>
      <c r="M90" s="21">
        <f>D91-D90</f>
        <v>1</v>
      </c>
      <c r="N90" s="21"/>
    </row>
    <row r="91" spans="1:14" ht="15.75" hidden="1">
      <c r="A91" s="21"/>
      <c r="B91" s="21"/>
      <c r="C91" s="21"/>
      <c r="D91" s="113">
        <v>39282</v>
      </c>
      <c r="E91" s="111">
        <v>173800</v>
      </c>
      <c r="F91" s="22"/>
      <c r="G91" s="111">
        <f t="shared" si="1"/>
        <v>141974118</v>
      </c>
      <c r="H91" s="23"/>
      <c r="I91" s="112">
        <f t="shared" si="5"/>
        <v>141974118</v>
      </c>
      <c r="J91" s="22"/>
      <c r="K91" s="112">
        <f t="shared" si="0"/>
        <v>141974118</v>
      </c>
      <c r="L91" s="140">
        <f t="shared" si="6"/>
        <v>1</v>
      </c>
      <c r="M91" s="21">
        <f aca="true" t="shared" si="7" ref="M91:M96">D92-D91</f>
        <v>1</v>
      </c>
      <c r="N91" s="21"/>
    </row>
    <row r="92" spans="1:14" ht="15.75" hidden="1">
      <c r="A92" s="21"/>
      <c r="B92" s="21"/>
      <c r="C92" s="21"/>
      <c r="D92" s="113">
        <v>39283</v>
      </c>
      <c r="E92" s="111">
        <v>3103300</v>
      </c>
      <c r="F92" s="22"/>
      <c r="G92" s="111">
        <f t="shared" si="1"/>
        <v>138870818</v>
      </c>
      <c r="H92" s="23"/>
      <c r="I92" s="112">
        <f t="shared" si="5"/>
        <v>138870818</v>
      </c>
      <c r="J92" s="22"/>
      <c r="K92" s="112">
        <f t="shared" si="0"/>
        <v>416612454</v>
      </c>
      <c r="L92" s="140">
        <f t="shared" si="6"/>
        <v>1</v>
      </c>
      <c r="M92" s="21">
        <f t="shared" si="7"/>
        <v>3</v>
      </c>
      <c r="N92" s="21"/>
    </row>
    <row r="93" spans="1:14" ht="15.75" hidden="1">
      <c r="A93" s="21"/>
      <c r="B93" s="21"/>
      <c r="C93" s="21"/>
      <c r="D93" s="113">
        <v>39286</v>
      </c>
      <c r="E93" s="111">
        <v>150000</v>
      </c>
      <c r="F93" s="22"/>
      <c r="G93" s="111">
        <f t="shared" si="1"/>
        <v>138720818</v>
      </c>
      <c r="H93" s="23"/>
      <c r="I93" s="112">
        <f t="shared" si="5"/>
        <v>416162454</v>
      </c>
      <c r="J93" s="22"/>
      <c r="K93" s="112">
        <f t="shared" si="0"/>
        <v>2080812270</v>
      </c>
      <c r="L93" s="140">
        <f t="shared" si="6"/>
        <v>3</v>
      </c>
      <c r="M93" s="21">
        <f t="shared" si="7"/>
        <v>15</v>
      </c>
      <c r="N93" s="21"/>
    </row>
    <row r="94" spans="1:14" ht="15.75" hidden="1">
      <c r="A94" s="21"/>
      <c r="B94" s="21"/>
      <c r="C94" s="21"/>
      <c r="D94" s="113">
        <v>39301</v>
      </c>
      <c r="E94" s="111">
        <v>100000</v>
      </c>
      <c r="F94" s="22"/>
      <c r="G94" s="111">
        <f t="shared" si="1"/>
        <v>138620818</v>
      </c>
      <c r="H94" s="23"/>
      <c r="I94" s="112">
        <f t="shared" si="5"/>
        <v>2079312270</v>
      </c>
      <c r="J94" s="22"/>
      <c r="K94" s="112">
        <f t="shared" si="0"/>
        <v>415862454</v>
      </c>
      <c r="L94" s="140">
        <f t="shared" si="6"/>
        <v>15</v>
      </c>
      <c r="M94" s="21">
        <f t="shared" si="7"/>
        <v>3</v>
      </c>
      <c r="N94" s="21"/>
    </row>
    <row r="95" spans="1:14" ht="15.75" hidden="1">
      <c r="A95" s="21"/>
      <c r="B95" s="21"/>
      <c r="C95" s="21"/>
      <c r="D95" s="113">
        <v>39304</v>
      </c>
      <c r="E95" s="111">
        <v>50300</v>
      </c>
      <c r="F95" s="22"/>
      <c r="G95" s="111">
        <f t="shared" si="1"/>
        <v>138570518</v>
      </c>
      <c r="H95" s="23"/>
      <c r="I95" s="112">
        <f t="shared" si="5"/>
        <v>415711554</v>
      </c>
      <c r="J95" s="22"/>
      <c r="K95" s="112">
        <f t="shared" si="0"/>
        <v>692852590</v>
      </c>
      <c r="L95" s="140">
        <f t="shared" si="6"/>
        <v>3</v>
      </c>
      <c r="M95" s="21">
        <f t="shared" si="7"/>
        <v>5</v>
      </c>
      <c r="N95" s="21"/>
    </row>
    <row r="96" spans="1:14" ht="15.75" hidden="1">
      <c r="A96" s="21"/>
      <c r="B96" s="21"/>
      <c r="C96" s="21"/>
      <c r="D96" s="113">
        <v>39309</v>
      </c>
      <c r="E96" s="111">
        <v>706800</v>
      </c>
      <c r="F96" s="22"/>
      <c r="G96" s="111">
        <f t="shared" si="1"/>
        <v>137863718</v>
      </c>
      <c r="H96" s="23"/>
      <c r="I96" s="112">
        <f t="shared" si="5"/>
        <v>689318590</v>
      </c>
      <c r="J96" s="22"/>
      <c r="K96" s="112">
        <f t="shared" si="0"/>
        <v>6341731028</v>
      </c>
      <c r="L96" s="140">
        <f t="shared" si="6"/>
        <v>5</v>
      </c>
      <c r="M96" s="21">
        <f t="shared" si="7"/>
        <v>46</v>
      </c>
      <c r="N96" s="21"/>
    </row>
    <row r="97" spans="1:14" ht="15.75" hidden="1">
      <c r="A97" s="21"/>
      <c r="B97" s="21"/>
      <c r="C97" s="21"/>
      <c r="D97" s="113">
        <v>39355</v>
      </c>
      <c r="E97" s="111">
        <v>0</v>
      </c>
      <c r="F97" s="22"/>
      <c r="G97" s="111">
        <f t="shared" si="1"/>
        <v>137863718</v>
      </c>
      <c r="H97" s="23"/>
      <c r="I97" s="112">
        <f t="shared" si="5"/>
        <v>6341731028</v>
      </c>
      <c r="J97" s="22"/>
      <c r="K97" s="112">
        <f t="shared" si="0"/>
        <v>137863718</v>
      </c>
      <c r="L97" s="140">
        <f t="shared" si="6"/>
        <v>46</v>
      </c>
      <c r="M97" s="21">
        <v>1</v>
      </c>
      <c r="N97" s="21"/>
    </row>
    <row r="98" spans="1:14" ht="15.75" hidden="1">
      <c r="A98" s="21"/>
      <c r="B98" s="21"/>
      <c r="C98" s="21"/>
      <c r="D98" s="113">
        <v>39447</v>
      </c>
      <c r="E98" s="111">
        <v>0</v>
      </c>
      <c r="F98" s="22"/>
      <c r="G98" s="111">
        <f t="shared" si="1"/>
        <v>137863718</v>
      </c>
      <c r="H98" s="23"/>
      <c r="I98" s="112">
        <f t="shared" si="5"/>
        <v>12683462056</v>
      </c>
      <c r="J98" s="22"/>
      <c r="K98" s="112">
        <f t="shared" si="0"/>
        <v>12683462056</v>
      </c>
      <c r="L98" s="140">
        <f t="shared" si="6"/>
        <v>92</v>
      </c>
      <c r="M98" s="21">
        <v>92</v>
      </c>
      <c r="N98" s="21"/>
    </row>
    <row r="99" spans="1:14" ht="15.75" hidden="1">
      <c r="A99" s="21"/>
      <c r="B99" s="21"/>
      <c r="C99" s="21"/>
      <c r="D99" s="113">
        <v>39538</v>
      </c>
      <c r="E99" s="111">
        <v>0</v>
      </c>
      <c r="F99" s="22"/>
      <c r="G99" s="111">
        <f t="shared" si="1"/>
        <v>137863718</v>
      </c>
      <c r="H99" s="23"/>
      <c r="I99" s="112">
        <f>G99</f>
        <v>137863718</v>
      </c>
      <c r="J99" s="22"/>
      <c r="K99" s="112">
        <f t="shared" si="0"/>
        <v>12683462056</v>
      </c>
      <c r="L99" s="140">
        <v>92</v>
      </c>
      <c r="M99" s="21">
        <v>92</v>
      </c>
      <c r="N99" s="21"/>
    </row>
    <row r="100" spans="1:14" ht="15.75" hidden="1">
      <c r="A100" s="21"/>
      <c r="B100" s="21"/>
      <c r="C100" s="21"/>
      <c r="D100" s="113">
        <v>39629</v>
      </c>
      <c r="E100" s="111">
        <v>0</v>
      </c>
      <c r="F100" s="22"/>
      <c r="G100" s="111">
        <f>G99-E100</f>
        <v>137863718</v>
      </c>
      <c r="H100" s="23"/>
      <c r="I100" s="112">
        <f>G100</f>
        <v>137863718</v>
      </c>
      <c r="J100" s="22"/>
      <c r="K100" s="112">
        <f>+G100*M100</f>
        <v>12683462056</v>
      </c>
      <c r="L100" s="140">
        <v>92</v>
      </c>
      <c r="M100" s="21">
        <v>92</v>
      </c>
      <c r="N100" s="21"/>
    </row>
    <row r="101" spans="1:14" ht="15.75" hidden="1">
      <c r="A101" s="21"/>
      <c r="B101" s="21"/>
      <c r="C101" s="21"/>
      <c r="D101" s="113"/>
      <c r="E101" s="111"/>
      <c r="F101" s="22"/>
      <c r="G101" s="111"/>
      <c r="H101" s="23"/>
      <c r="I101" s="112"/>
      <c r="J101" s="22"/>
      <c r="K101" s="112"/>
      <c r="L101" s="140"/>
      <c r="M101" s="21"/>
      <c r="N101" s="21"/>
    </row>
    <row r="102" spans="1:14" ht="15.75" hidden="1">
      <c r="A102" s="21"/>
      <c r="B102" s="21"/>
      <c r="C102" s="21"/>
      <c r="D102" s="141" t="s">
        <v>113</v>
      </c>
      <c r="E102" s="134"/>
      <c r="F102" s="114"/>
      <c r="G102" s="134"/>
      <c r="H102" s="136"/>
      <c r="I102" s="137"/>
      <c r="J102" s="114"/>
      <c r="K102" s="137"/>
      <c r="L102" s="142"/>
      <c r="M102" s="143"/>
      <c r="N102" s="21"/>
    </row>
    <row r="103" spans="1:14" ht="15.75" hidden="1">
      <c r="A103" s="21"/>
      <c r="B103" s="21"/>
      <c r="C103" s="21"/>
      <c r="D103" s="146">
        <v>39630</v>
      </c>
      <c r="E103" s="146"/>
      <c r="F103" s="22"/>
      <c r="G103" s="74">
        <f>153181818-15318100</f>
        <v>137863718</v>
      </c>
      <c r="H103" s="24"/>
      <c r="I103" s="74">
        <f>153181818-15318100</f>
        <v>137863718</v>
      </c>
      <c r="J103" s="22"/>
      <c r="K103" s="112">
        <f aca="true" t="shared" si="8" ref="K103:K113">+G103*M103</f>
        <v>0</v>
      </c>
      <c r="L103" s="123"/>
      <c r="M103" s="161"/>
      <c r="N103" s="21"/>
    </row>
    <row r="104" spans="1:14" ht="15.75" hidden="1">
      <c r="A104" s="21"/>
      <c r="B104" s="21"/>
      <c r="C104" s="21"/>
      <c r="D104" s="146">
        <v>39721</v>
      </c>
      <c r="E104" s="146"/>
      <c r="F104" s="22"/>
      <c r="G104" s="74">
        <f>153181818-15318100</f>
        <v>137863718</v>
      </c>
      <c r="H104" s="24"/>
      <c r="I104" s="74">
        <f>153181818-15318100</f>
        <v>137863718</v>
      </c>
      <c r="J104" s="22"/>
      <c r="K104" s="112">
        <f t="shared" si="8"/>
        <v>12683462056</v>
      </c>
      <c r="L104" s="123">
        <v>92</v>
      </c>
      <c r="M104" s="123">
        <v>92</v>
      </c>
      <c r="N104" s="21"/>
    </row>
    <row r="105" spans="1:14" ht="15.75" hidden="1">
      <c r="A105" s="21"/>
      <c r="B105" s="21"/>
      <c r="C105" s="21"/>
      <c r="D105" s="146">
        <v>39813</v>
      </c>
      <c r="E105" s="146"/>
      <c r="F105" s="22"/>
      <c r="G105" s="74">
        <f>153181818-15318100</f>
        <v>137863718</v>
      </c>
      <c r="H105" s="24"/>
      <c r="I105" s="74">
        <f>153181818-15318100</f>
        <v>137863718</v>
      </c>
      <c r="J105" s="22"/>
      <c r="K105" s="112">
        <f t="shared" si="8"/>
        <v>12683462056</v>
      </c>
      <c r="L105" s="123">
        <v>92</v>
      </c>
      <c r="M105" s="123">
        <v>92</v>
      </c>
      <c r="N105" s="21"/>
    </row>
    <row r="106" spans="1:14" ht="15.75" hidden="1">
      <c r="A106" s="21"/>
      <c r="B106" s="21"/>
      <c r="C106" s="21"/>
      <c r="D106" s="146">
        <v>39903</v>
      </c>
      <c r="E106" s="146"/>
      <c r="F106" s="22"/>
      <c r="G106" s="74">
        <f>153181818-15318100</f>
        <v>137863718</v>
      </c>
      <c r="H106" s="24"/>
      <c r="I106" s="74">
        <f>153181818-15318100</f>
        <v>137863718</v>
      </c>
      <c r="J106" s="22"/>
      <c r="K106" s="112">
        <f t="shared" si="8"/>
        <v>0</v>
      </c>
      <c r="L106" s="140"/>
      <c r="M106" s="21"/>
      <c r="N106" s="21"/>
    </row>
    <row r="107" spans="1:14" ht="15.75" hidden="1">
      <c r="A107" s="21"/>
      <c r="B107" s="21"/>
      <c r="C107" s="21"/>
      <c r="D107" s="146">
        <v>39995</v>
      </c>
      <c r="E107" s="146"/>
      <c r="F107" s="22"/>
      <c r="G107" s="74">
        <f>G105</f>
        <v>137863718</v>
      </c>
      <c r="H107" s="24"/>
      <c r="I107" s="74">
        <f>153181818-15318100</f>
        <v>137863718</v>
      </c>
      <c r="J107" s="22"/>
      <c r="K107" s="112">
        <f t="shared" si="8"/>
        <v>25229060394</v>
      </c>
      <c r="L107" s="140">
        <f>D107-D105</f>
        <v>182</v>
      </c>
      <c r="M107" s="21">
        <f>D108-D107</f>
        <v>183</v>
      </c>
      <c r="N107" s="21"/>
    </row>
    <row r="108" spans="1:14" ht="15.75" hidden="1">
      <c r="A108" s="21"/>
      <c r="B108" s="21"/>
      <c r="C108" s="21"/>
      <c r="D108" s="146">
        <v>40178</v>
      </c>
      <c r="E108" s="111">
        <f>-2757268</f>
        <v>-2757268</v>
      </c>
      <c r="F108" s="22"/>
      <c r="G108" s="111">
        <f>G105-E108</f>
        <v>140620986</v>
      </c>
      <c r="H108" s="24"/>
      <c r="I108" s="74">
        <f>G108</f>
        <v>140620986</v>
      </c>
      <c r="J108" s="22"/>
      <c r="K108" s="112">
        <f t="shared" si="8"/>
        <v>12655888740</v>
      </c>
      <c r="L108" s="140">
        <f>D108-D107</f>
        <v>183</v>
      </c>
      <c r="M108" s="21">
        <f>D109-D108</f>
        <v>90</v>
      </c>
      <c r="N108" s="21"/>
    </row>
    <row r="109" spans="1:14" ht="15.75" hidden="1">
      <c r="A109" s="21"/>
      <c r="B109" s="21"/>
      <c r="C109" s="21"/>
      <c r="D109" s="146">
        <v>40268</v>
      </c>
      <c r="E109" s="146"/>
      <c r="F109" s="22"/>
      <c r="G109" s="111">
        <f>G108-E109</f>
        <v>140620986</v>
      </c>
      <c r="H109" s="24"/>
      <c r="I109" s="74">
        <f>G109</f>
        <v>140620986</v>
      </c>
      <c r="J109" s="22"/>
      <c r="K109" s="112">
        <f t="shared" si="8"/>
        <v>12655888740</v>
      </c>
      <c r="L109" s="140">
        <f>D109-D108</f>
        <v>90</v>
      </c>
      <c r="M109" s="24">
        <v>90</v>
      </c>
      <c r="N109" s="21"/>
    </row>
    <row r="110" spans="1:14" ht="15.75" hidden="1">
      <c r="A110" s="21"/>
      <c r="B110" s="21"/>
      <c r="C110" s="21"/>
      <c r="D110" s="141" t="s">
        <v>166</v>
      </c>
      <c r="E110" s="134"/>
      <c r="F110" s="114"/>
      <c r="G110" s="134"/>
      <c r="H110" s="136"/>
      <c r="I110" s="137"/>
      <c r="J110" s="114"/>
      <c r="K110" s="137"/>
      <c r="L110" s="142"/>
      <c r="M110" s="143"/>
      <c r="N110" s="21"/>
    </row>
    <row r="111" spans="1:14" ht="15.75" hidden="1">
      <c r="A111" s="21"/>
      <c r="B111" s="21"/>
      <c r="C111" s="21"/>
      <c r="D111" s="146">
        <v>40359</v>
      </c>
      <c r="E111" s="123">
        <v>-45657132</v>
      </c>
      <c r="F111" s="22"/>
      <c r="G111" s="111">
        <f>G109-E111</f>
        <v>186278118</v>
      </c>
      <c r="H111" s="24"/>
      <c r="I111" s="74">
        <f>G111</f>
        <v>186278118</v>
      </c>
      <c r="J111" s="22"/>
      <c r="K111" s="112">
        <f t="shared" si="8"/>
        <v>16765030620</v>
      </c>
      <c r="L111" s="140">
        <f>D111-D109</f>
        <v>91</v>
      </c>
      <c r="M111" s="24">
        <v>90</v>
      </c>
      <c r="N111" s="21"/>
    </row>
    <row r="112" spans="1:14" ht="15.75" hidden="1">
      <c r="A112" s="21"/>
      <c r="B112" s="21"/>
      <c r="C112" s="21"/>
      <c r="D112" s="141" t="s">
        <v>167</v>
      </c>
      <c r="E112" s="134"/>
      <c r="F112" s="114"/>
      <c r="G112" s="134"/>
      <c r="H112" s="136"/>
      <c r="I112" s="137"/>
      <c r="J112" s="114"/>
      <c r="K112" s="137"/>
      <c r="L112" s="142"/>
      <c r="M112" s="143"/>
      <c r="N112" s="21"/>
    </row>
    <row r="113" spans="1:14" ht="15.75" hidden="1">
      <c r="A113" s="21"/>
      <c r="B113" s="21"/>
      <c r="C113" s="21"/>
      <c r="D113" s="146">
        <v>40724</v>
      </c>
      <c r="E113" s="123"/>
      <c r="F113" s="22"/>
      <c r="G113" s="111">
        <f>G111-E113</f>
        <v>186278118</v>
      </c>
      <c r="H113" s="24"/>
      <c r="I113" s="74">
        <f>G113</f>
        <v>186278118</v>
      </c>
      <c r="J113" s="22"/>
      <c r="K113" s="112">
        <f t="shared" si="8"/>
        <v>16765030620</v>
      </c>
      <c r="L113" s="140"/>
      <c r="M113" s="24">
        <v>90</v>
      </c>
      <c r="N113" s="21"/>
    </row>
    <row r="114" spans="1:14" ht="15.75" hidden="1">
      <c r="A114" s="21"/>
      <c r="B114" s="21"/>
      <c r="C114" s="21"/>
      <c r="D114" s="146"/>
      <c r="E114" s="146"/>
      <c r="F114" s="22"/>
      <c r="G114" s="74"/>
      <c r="H114" s="24"/>
      <c r="I114" s="74"/>
      <c r="J114" s="22"/>
      <c r="K114" s="112"/>
      <c r="L114" s="123"/>
      <c r="M114" s="123"/>
      <c r="N114" s="21"/>
    </row>
    <row r="115" spans="1:14" ht="16.5" hidden="1" thickBot="1">
      <c r="A115" s="21"/>
      <c r="B115" s="21"/>
      <c r="C115" s="21"/>
      <c r="D115" s="146"/>
      <c r="E115" s="146"/>
      <c r="F115" s="22"/>
      <c r="G115" s="74"/>
      <c r="H115" s="24"/>
      <c r="I115" s="70"/>
      <c r="J115" s="22"/>
      <c r="K115" s="70"/>
      <c r="L115" s="123"/>
      <c r="M115" s="161"/>
      <c r="N115" s="21"/>
    </row>
    <row r="116" spans="1:14" ht="16.5" hidden="1" thickBot="1">
      <c r="A116" s="21"/>
      <c r="B116" s="21"/>
      <c r="C116" s="21"/>
      <c r="D116" s="21"/>
      <c r="E116" s="144">
        <f>SUM(E67:E115)</f>
        <v>-43096300</v>
      </c>
      <c r="F116" s="22"/>
      <c r="G116" s="23"/>
      <c r="H116" s="23"/>
      <c r="I116" s="145">
        <f>I111</f>
        <v>186278118</v>
      </c>
      <c r="J116" s="22"/>
      <c r="K116" s="145">
        <f>SUM(K103:K115)/M116</f>
        <v>150533456.9821183</v>
      </c>
      <c r="L116" s="147">
        <f>SUM(L103:L115)</f>
        <v>730</v>
      </c>
      <c r="M116" s="147">
        <f>SUM(M103:M115)</f>
        <v>727</v>
      </c>
      <c r="N116" s="21"/>
    </row>
    <row r="117" spans="1:11" ht="15.75" hidden="1">
      <c r="A117" s="21"/>
      <c r="B117" s="21"/>
      <c r="C117" s="21"/>
      <c r="D117" s="21"/>
      <c r="E117" s="111"/>
      <c r="F117" s="22"/>
      <c r="G117" s="23"/>
      <c r="H117" s="23"/>
      <c r="I117" s="70"/>
      <c r="J117" s="22"/>
      <c r="K117" s="70"/>
    </row>
    <row r="118" spans="7:11" ht="15.75" hidden="1">
      <c r="G118" s="4"/>
      <c r="H118" s="4"/>
      <c r="K118" s="4"/>
    </row>
    <row r="119" spans="7:11" ht="15.75" hidden="1">
      <c r="G119" s="4"/>
      <c r="H119" s="4"/>
      <c r="K119" s="4"/>
    </row>
    <row r="120" spans="7:11" ht="15.75" hidden="1">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201" spans="7:11" ht="15.75">
      <c r="G201" s="4"/>
      <c r="H201" s="4"/>
      <c r="K201" s="4"/>
    </row>
    <row r="202" spans="7:11" ht="15.75">
      <c r="G202" s="4"/>
      <c r="H202" s="4"/>
      <c r="K202" s="4"/>
    </row>
    <row r="203" spans="7:11" ht="15.75">
      <c r="G203" s="4"/>
      <c r="H203" s="4"/>
      <c r="K203" s="4"/>
    </row>
    <row r="204" spans="7:11" ht="15.75">
      <c r="G204" s="4"/>
      <c r="H204" s="4"/>
      <c r="K204" s="4"/>
    </row>
    <row r="205" spans="7:11" ht="15.75">
      <c r="G205" s="4"/>
      <c r="H205" s="4"/>
      <c r="K205" s="4"/>
    </row>
    <row r="206" spans="7:11" ht="15.75">
      <c r="G206" s="4"/>
      <c r="H206" s="4"/>
      <c r="K206" s="4"/>
    </row>
    <row r="207" spans="7:11" ht="15.75">
      <c r="G207" s="4"/>
      <c r="H207" s="4"/>
      <c r="K207" s="4"/>
    </row>
    <row r="208" spans="7:11" ht="15.75">
      <c r="G208" s="4"/>
      <c r="H208" s="4"/>
      <c r="K208" s="4"/>
    </row>
    <row r="209" spans="7:11" ht="15.75">
      <c r="G209" s="4"/>
      <c r="H209" s="4"/>
      <c r="K209" s="4"/>
    </row>
    <row r="210" spans="7:11" ht="15.75">
      <c r="G210" s="4"/>
      <c r="H210" s="4"/>
      <c r="K210" s="4"/>
    </row>
    <row r="211" spans="7:11" ht="15.75">
      <c r="G211" s="4"/>
      <c r="H211" s="4"/>
      <c r="K211" s="4"/>
    </row>
    <row r="212" spans="7:11" ht="15.75">
      <c r="G212" s="4"/>
      <c r="H212" s="4"/>
      <c r="K212" s="4"/>
    </row>
    <row r="213" spans="7:11" ht="15.75">
      <c r="G213" s="4"/>
      <c r="H213" s="4"/>
      <c r="K213" s="4"/>
    </row>
    <row r="214" spans="7:11" ht="15.75">
      <c r="G214" s="4"/>
      <c r="H214" s="4"/>
      <c r="K214" s="4"/>
    </row>
    <row r="215" spans="7:11" ht="15.75">
      <c r="G215" s="4"/>
      <c r="H215" s="4"/>
      <c r="K215" s="4"/>
    </row>
    <row r="216" spans="7:11" ht="15.75">
      <c r="G216" s="4"/>
      <c r="H216" s="4"/>
      <c r="K216" s="4"/>
    </row>
    <row r="217" spans="7:11" ht="15.75">
      <c r="G217" s="4"/>
      <c r="H217" s="4"/>
      <c r="K217" s="4"/>
    </row>
    <row r="218" spans="7:11" ht="15.75">
      <c r="G218" s="4"/>
      <c r="H218" s="4"/>
      <c r="K218" s="4"/>
    </row>
    <row r="219" spans="7:11" ht="15.75">
      <c r="G219" s="4"/>
      <c r="H219" s="4"/>
      <c r="K219" s="4"/>
    </row>
    <row r="220" spans="7:11" ht="15.75">
      <c r="G220" s="4"/>
      <c r="H220" s="4"/>
      <c r="K220" s="4"/>
    </row>
    <row r="221" spans="7:11" ht="15.75">
      <c r="G221" s="4"/>
      <c r="H221" s="4"/>
      <c r="K221" s="4"/>
    </row>
    <row r="222" spans="7:11" ht="15.75">
      <c r="G222" s="4"/>
      <c r="H222" s="4"/>
      <c r="K222" s="4"/>
    </row>
    <row r="223" spans="7:11" ht="15.75">
      <c r="G223" s="4"/>
      <c r="H223" s="4"/>
      <c r="K223" s="4"/>
    </row>
    <row r="224" spans="7:11" ht="15.75">
      <c r="G224" s="4"/>
      <c r="H224" s="4"/>
      <c r="K224" s="4"/>
    </row>
    <row r="225" spans="7:11" ht="15.75">
      <c r="G225" s="4"/>
      <c r="H225" s="4"/>
      <c r="K225" s="4"/>
    </row>
    <row r="226" spans="7:11" ht="15.75">
      <c r="G226" s="4"/>
      <c r="H226" s="4"/>
      <c r="K226" s="4"/>
    </row>
    <row r="227" spans="7:11" ht="15.75">
      <c r="G227" s="4"/>
      <c r="H227" s="4"/>
      <c r="K227" s="4"/>
    </row>
    <row r="228" spans="7:11" ht="15.75">
      <c r="G228" s="4"/>
      <c r="H228" s="4"/>
      <c r="K228" s="4"/>
    </row>
    <row r="229" spans="7:11" ht="15.75">
      <c r="G229" s="4"/>
      <c r="H229" s="4"/>
      <c r="K229" s="4"/>
    </row>
    <row r="230" spans="7:11" ht="15.75">
      <c r="G230" s="4"/>
      <c r="H230" s="4"/>
      <c r="K230" s="4"/>
    </row>
    <row r="231" spans="7:11" ht="15.75">
      <c r="G231" s="4"/>
      <c r="H231" s="4"/>
      <c r="K231" s="4"/>
    </row>
    <row r="232" spans="7:11" ht="15.75">
      <c r="G232" s="4"/>
      <c r="H232" s="4"/>
      <c r="K232" s="4"/>
    </row>
    <row r="233" spans="7:11" ht="15.75">
      <c r="G233" s="4"/>
      <c r="H233" s="4"/>
      <c r="K233" s="4"/>
    </row>
    <row r="234" spans="7:11" ht="15.75">
      <c r="G234" s="4"/>
      <c r="H234" s="4"/>
      <c r="K234" s="4"/>
    </row>
    <row r="235" spans="7:11" ht="15.75">
      <c r="G235" s="4"/>
      <c r="H235" s="4"/>
      <c r="K235" s="4"/>
    </row>
    <row r="236" spans="7:11" ht="15.75">
      <c r="G236" s="4"/>
      <c r="H236" s="4"/>
      <c r="K236" s="4"/>
    </row>
    <row r="237" spans="7:11" ht="15.75">
      <c r="G237" s="4"/>
      <c r="H237" s="4"/>
      <c r="K237" s="4"/>
    </row>
    <row r="238" spans="7:11" ht="15.75">
      <c r="G238" s="4"/>
      <c r="H238" s="4"/>
      <c r="K238" s="4"/>
    </row>
    <row r="239" spans="7:11" ht="15.75">
      <c r="G239" s="4"/>
      <c r="H239" s="4"/>
      <c r="K239" s="4"/>
    </row>
    <row r="240" spans="7:11" ht="15.75">
      <c r="G240" s="4"/>
      <c r="H240" s="4"/>
      <c r="K240" s="4"/>
    </row>
    <row r="241" spans="7:11" ht="15.75">
      <c r="G241" s="4"/>
      <c r="H241" s="4"/>
      <c r="K241" s="4"/>
    </row>
    <row r="242" spans="7:11" ht="15.75">
      <c r="G242" s="4"/>
      <c r="H242" s="4"/>
      <c r="K242" s="4"/>
    </row>
    <row r="243" spans="7:11" ht="15.75">
      <c r="G243" s="4"/>
      <c r="H243" s="4"/>
      <c r="K243" s="4"/>
    </row>
    <row r="244" spans="7:11" ht="15.75">
      <c r="G244" s="4"/>
      <c r="H244" s="4"/>
      <c r="K244" s="4"/>
    </row>
    <row r="245" spans="7:11" ht="15.75">
      <c r="G245" s="4"/>
      <c r="H245" s="4"/>
      <c r="K245" s="4"/>
    </row>
    <row r="246" spans="7:11" ht="15.75">
      <c r="G246" s="4"/>
      <c r="H246" s="4"/>
      <c r="K246" s="4"/>
    </row>
    <row r="247" spans="7:11" ht="15.75">
      <c r="G247" s="4"/>
      <c r="H247" s="4"/>
      <c r="K247" s="4"/>
    </row>
    <row r="248" spans="7:11" ht="15.75">
      <c r="G248" s="4"/>
      <c r="H248" s="4"/>
      <c r="K248" s="4"/>
    </row>
    <row r="249" spans="7:11" ht="15.75">
      <c r="G249" s="4"/>
      <c r="H249" s="4"/>
      <c r="K249" s="4"/>
    </row>
    <row r="250" spans="7:11" ht="15.75">
      <c r="G250" s="4"/>
      <c r="H250" s="4"/>
      <c r="K250" s="4"/>
    </row>
    <row r="251" spans="7:11" ht="15.75">
      <c r="G251" s="4"/>
      <c r="H251" s="4"/>
      <c r="K251" s="4"/>
    </row>
    <row r="252" spans="7:11" ht="15.75">
      <c r="G252" s="4"/>
      <c r="H252" s="4"/>
      <c r="K252" s="4"/>
    </row>
    <row r="253" spans="7:11" ht="15.75">
      <c r="G253" s="4"/>
      <c r="H253" s="4"/>
      <c r="K253" s="4"/>
    </row>
    <row r="254" spans="7:11" ht="15.75">
      <c r="G254" s="4"/>
      <c r="H254" s="4"/>
      <c r="K254" s="4"/>
    </row>
    <row r="255" spans="7:11" ht="15.75">
      <c r="G255" s="4"/>
      <c r="H255" s="4"/>
      <c r="K255" s="4"/>
    </row>
    <row r="256" spans="7:11" ht="15.75">
      <c r="G256" s="4"/>
      <c r="H256" s="4"/>
      <c r="K256" s="4"/>
    </row>
    <row r="257" spans="7:11" ht="15.75">
      <c r="G257" s="4"/>
      <c r="H257" s="4"/>
      <c r="K257" s="4"/>
    </row>
    <row r="258" spans="7:11" ht="15.75">
      <c r="G258" s="4"/>
      <c r="H258" s="4"/>
      <c r="K258" s="4"/>
    </row>
    <row r="259" spans="7:11" ht="15.75">
      <c r="G259" s="4"/>
      <c r="H259" s="4"/>
      <c r="K259" s="4"/>
    </row>
    <row r="260" spans="7:11" ht="15.75">
      <c r="G260" s="4"/>
      <c r="H260" s="4"/>
      <c r="K260" s="4"/>
    </row>
    <row r="261" spans="7:11" ht="15.75">
      <c r="G261" s="4"/>
      <c r="H261" s="4"/>
      <c r="K261" s="4"/>
    </row>
    <row r="262" spans="7:11" ht="15.75">
      <c r="G262" s="4"/>
      <c r="H262" s="4"/>
      <c r="K262" s="4"/>
    </row>
    <row r="263" spans="7:11" ht="15.75">
      <c r="G263" s="4"/>
      <c r="H263" s="4"/>
      <c r="K263" s="4"/>
    </row>
    <row r="264" spans="7:11" ht="15.75">
      <c r="G264" s="4"/>
      <c r="H264" s="4"/>
      <c r="K264" s="4"/>
    </row>
    <row r="265" spans="7:11" ht="15.75">
      <c r="G265" s="4"/>
      <c r="H265" s="4"/>
      <c r="K265" s="4"/>
    </row>
    <row r="266" spans="7:11" ht="15.75">
      <c r="G266" s="4"/>
      <c r="H266" s="4"/>
      <c r="K266" s="4"/>
    </row>
    <row r="267" spans="7:11" ht="15.75">
      <c r="G267" s="4"/>
      <c r="H267" s="4"/>
      <c r="K267" s="4"/>
    </row>
    <row r="268" spans="7:11" ht="15.75">
      <c r="G268" s="4"/>
      <c r="H268" s="4"/>
      <c r="K268" s="4"/>
    </row>
    <row r="269" spans="7:11" ht="15.75">
      <c r="G269" s="4"/>
      <c r="H269" s="4"/>
      <c r="K269" s="4"/>
    </row>
    <row r="270" spans="7:11" ht="15.75">
      <c r="G270" s="4"/>
      <c r="H270" s="4"/>
      <c r="K270" s="4"/>
    </row>
    <row r="271" spans="7:11" ht="15.75">
      <c r="G271" s="4"/>
      <c r="H271" s="4"/>
      <c r="K271" s="4"/>
    </row>
    <row r="272" spans="7:11" ht="15.75">
      <c r="G272" s="4"/>
      <c r="H272" s="4"/>
      <c r="K272" s="4"/>
    </row>
    <row r="273" spans="7:11" ht="15.75">
      <c r="G273" s="4"/>
      <c r="H273" s="4"/>
      <c r="K273" s="4"/>
    </row>
    <row r="274" spans="7:11" ht="15.75">
      <c r="G274" s="4"/>
      <c r="H274" s="4"/>
      <c r="K274" s="4"/>
    </row>
    <row r="275" spans="7:11" ht="15.75">
      <c r="G275" s="4"/>
      <c r="H275" s="4"/>
      <c r="K275" s="4"/>
    </row>
    <row r="276" spans="7:11" ht="15.75">
      <c r="G276" s="4"/>
      <c r="H276" s="4"/>
      <c r="K276" s="4"/>
    </row>
    <row r="277" spans="7:11" ht="15.75">
      <c r="G277" s="4"/>
      <c r="H277" s="4"/>
      <c r="K277" s="4"/>
    </row>
    <row r="278" spans="7:11" ht="15.75">
      <c r="G278" s="4"/>
      <c r="H278" s="4"/>
      <c r="K278" s="4"/>
    </row>
    <row r="279" spans="7:11" ht="15.75">
      <c r="G279" s="4"/>
      <c r="H279" s="4"/>
      <c r="K279" s="4"/>
    </row>
    <row r="280" spans="7:11" ht="15.75">
      <c r="G280" s="4"/>
      <c r="H280" s="4"/>
      <c r="K280" s="4"/>
    </row>
    <row r="281" spans="7:11" ht="15.75">
      <c r="G281" s="4"/>
      <c r="H281" s="4"/>
      <c r="K281" s="4"/>
    </row>
    <row r="65533" ht="15.75">
      <c r="D65533" s="146"/>
    </row>
  </sheetData>
  <sheetProtection password="84DD" sheet="1" objects="1" scenarios="1" selectLockedCells="1" selectUnlockedCells="1"/>
  <mergeCells count="3">
    <mergeCell ref="E12:G12"/>
    <mergeCell ref="I12:K12"/>
    <mergeCell ref="A59:K59"/>
  </mergeCells>
  <printOptions/>
  <pageMargins left="0.7874015748031497" right="0.3937007874015748" top="0.7874015748031497" bottom="0.1968503937007874" header="0.2362204724409449" footer="0.1574803149606299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4:L567"/>
  <sheetViews>
    <sheetView view="pageBreakPreview" zoomScaleSheetLayoutView="100" zoomScalePageLayoutView="0" workbookViewId="0" topLeftCell="A46">
      <selection activeCell="L66" sqref="L66"/>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 min="10" max="10" width="9.140625" style="0" hidden="1" customWidth="1"/>
    <col min="12" max="12" width="16.421875" style="0" customWidth="1"/>
  </cols>
  <sheetData>
    <row r="1" ht="10.5" customHeight="1"/>
    <row r="3" ht="9" customHeight="1"/>
    <row r="4" ht="18.75">
      <c r="A4" s="5" t="s">
        <v>143</v>
      </c>
    </row>
    <row r="5" ht="15.75">
      <c r="A5" s="1" t="s">
        <v>144</v>
      </c>
    </row>
    <row r="6" spans="1:9" ht="6.75" customHeight="1" thickBot="1">
      <c r="A6" s="38"/>
      <c r="B6" s="39"/>
      <c r="C6" s="39"/>
      <c r="D6" s="39"/>
      <c r="E6" s="39"/>
      <c r="F6" s="39"/>
      <c r="G6" s="39"/>
      <c r="H6" s="39"/>
      <c r="I6" s="39"/>
    </row>
    <row r="7" ht="11.25" customHeight="1">
      <c r="A7" s="5"/>
    </row>
    <row r="8" spans="1:8" ht="15">
      <c r="A8" s="21" t="s">
        <v>11</v>
      </c>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12</v>
      </c>
      <c r="G10" s="41"/>
      <c r="H10" s="42" t="s">
        <v>13</v>
      </c>
    </row>
    <row r="11" spans="1:8" ht="15">
      <c r="A11" s="21"/>
      <c r="B11" s="21"/>
      <c r="C11" s="21"/>
      <c r="D11" s="21"/>
      <c r="E11" s="21"/>
      <c r="F11" s="18" t="str">
        <f>+pl!E14</f>
        <v>31.12.2011</v>
      </c>
      <c r="G11" s="30"/>
      <c r="H11" s="18" t="s">
        <v>131</v>
      </c>
    </row>
    <row r="12" spans="1:8" ht="15">
      <c r="A12" s="21"/>
      <c r="B12" s="21"/>
      <c r="C12" s="21"/>
      <c r="D12" s="21"/>
      <c r="E12" s="21"/>
      <c r="F12" s="20" t="s">
        <v>4</v>
      </c>
      <c r="G12" s="30"/>
      <c r="H12" s="43" t="s">
        <v>4</v>
      </c>
    </row>
    <row r="13" spans="1:8" ht="15">
      <c r="A13" s="21" t="s">
        <v>63</v>
      </c>
      <c r="B13" s="21"/>
      <c r="C13" s="21"/>
      <c r="D13" s="21"/>
      <c r="E13" s="21"/>
      <c r="F13" s="18"/>
      <c r="G13" s="30"/>
      <c r="H13" s="44"/>
    </row>
    <row r="14" spans="1:8" ht="15">
      <c r="A14" s="21" t="s">
        <v>65</v>
      </c>
      <c r="B14" s="21"/>
      <c r="D14" s="21"/>
      <c r="E14" s="21"/>
      <c r="F14" s="25"/>
      <c r="G14" s="25"/>
      <c r="H14" s="40"/>
    </row>
    <row r="15" spans="2:12" ht="15">
      <c r="B15" s="21" t="s">
        <v>14</v>
      </c>
      <c r="D15" s="21"/>
      <c r="E15" s="47"/>
      <c r="F15" s="164">
        <v>350487</v>
      </c>
      <c r="G15" s="164"/>
      <c r="H15" s="164">
        <v>375043</v>
      </c>
      <c r="J15" s="48">
        <f>H15-F15</f>
        <v>24556</v>
      </c>
      <c r="L15" s="48"/>
    </row>
    <row r="16" spans="2:12" ht="15">
      <c r="B16" s="21" t="s">
        <v>112</v>
      </c>
      <c r="D16" s="21"/>
      <c r="E16" s="47"/>
      <c r="F16" s="164">
        <v>9218</v>
      </c>
      <c r="G16" s="164"/>
      <c r="H16" s="164">
        <v>8354</v>
      </c>
      <c r="J16" s="48">
        <f>H16-F16</f>
        <v>-864</v>
      </c>
      <c r="L16" s="48"/>
    </row>
    <row r="17" spans="2:12" ht="15">
      <c r="B17" s="21" t="s">
        <v>159</v>
      </c>
      <c r="D17" s="21"/>
      <c r="E17" s="47"/>
      <c r="F17" s="164">
        <v>4833</v>
      </c>
      <c r="G17" s="164"/>
      <c r="H17" s="164">
        <v>4854</v>
      </c>
      <c r="J17" s="48">
        <f>H17-F17</f>
        <v>21</v>
      </c>
      <c r="L17" s="48"/>
    </row>
    <row r="18" spans="2:12" ht="15">
      <c r="B18" s="21" t="s">
        <v>123</v>
      </c>
      <c r="D18" s="21"/>
      <c r="E18" s="47"/>
      <c r="F18" s="164">
        <v>35823</v>
      </c>
      <c r="G18" s="164"/>
      <c r="H18" s="164">
        <v>40989</v>
      </c>
      <c r="J18" s="48">
        <f>H18-F18</f>
        <v>5166</v>
      </c>
      <c r="L18" s="48"/>
    </row>
    <row r="19" spans="2:8" ht="15">
      <c r="B19" s="21"/>
      <c r="D19" s="21"/>
      <c r="E19" s="47"/>
      <c r="F19" s="165">
        <f>SUM(F15:F18)</f>
        <v>400361</v>
      </c>
      <c r="G19" s="164"/>
      <c r="H19" s="165">
        <f>SUM(H15:H18)</f>
        <v>429240</v>
      </c>
    </row>
    <row r="20" spans="1:10" ht="15">
      <c r="A20" s="21"/>
      <c r="B20" s="21"/>
      <c r="C20" s="21"/>
      <c r="D20" s="21"/>
      <c r="E20" s="47"/>
      <c r="F20" s="164"/>
      <c r="G20" s="164"/>
      <c r="H20" s="166"/>
      <c r="J20" s="108"/>
    </row>
    <row r="21" spans="1:8" ht="15">
      <c r="A21" s="21" t="s">
        <v>64</v>
      </c>
      <c r="B21" s="21"/>
      <c r="D21" s="21"/>
      <c r="E21" s="47"/>
      <c r="F21" s="167"/>
      <c r="G21" s="164"/>
      <c r="H21" s="168"/>
    </row>
    <row r="22" spans="1:12" ht="15">
      <c r="A22" s="21"/>
      <c r="B22" s="21" t="s">
        <v>15</v>
      </c>
      <c r="D22" s="21"/>
      <c r="E22" s="47"/>
      <c r="F22" s="167">
        <v>68920</v>
      </c>
      <c r="G22" s="164"/>
      <c r="H22" s="167">
        <v>66326</v>
      </c>
      <c r="J22" s="48">
        <f>H22-F22</f>
        <v>-2594</v>
      </c>
      <c r="L22" s="48"/>
    </row>
    <row r="23" spans="1:12" ht="15">
      <c r="A23" s="21"/>
      <c r="B23" s="21" t="s">
        <v>16</v>
      </c>
      <c r="D23" s="21"/>
      <c r="E23" s="47"/>
      <c r="F23" s="72">
        <v>43918</v>
      </c>
      <c r="G23" s="164"/>
      <c r="H23" s="167">
        <v>41902</v>
      </c>
      <c r="J23" s="48">
        <f>H23-F23</f>
        <v>-2016</v>
      </c>
      <c r="L23" s="48"/>
    </row>
    <row r="24" spans="1:12" ht="15">
      <c r="A24" s="21"/>
      <c r="B24" s="21" t="s">
        <v>17</v>
      </c>
      <c r="D24" s="21"/>
      <c r="E24" s="47"/>
      <c r="F24" s="72">
        <v>23362</v>
      </c>
      <c r="G24" s="164"/>
      <c r="H24" s="167">
        <v>22311</v>
      </c>
      <c r="J24" s="48">
        <f>H24-F24</f>
        <v>-1051</v>
      </c>
      <c r="L24" s="48"/>
    </row>
    <row r="25" spans="1:12" ht="15">
      <c r="A25" s="21"/>
      <c r="B25" s="21" t="s">
        <v>149</v>
      </c>
      <c r="D25" s="21"/>
      <c r="E25" s="47"/>
      <c r="F25" s="72">
        <v>5188</v>
      </c>
      <c r="G25" s="164"/>
      <c r="H25" s="167">
        <v>6224</v>
      </c>
      <c r="J25" s="48"/>
      <c r="L25" s="48"/>
    </row>
    <row r="26" spans="1:12" ht="15">
      <c r="A26" s="21"/>
      <c r="B26" s="21" t="s">
        <v>84</v>
      </c>
      <c r="D26" s="21"/>
      <c r="E26" s="47"/>
      <c r="F26" s="169">
        <v>7818</v>
      </c>
      <c r="G26" s="164"/>
      <c r="H26" s="169">
        <v>7718</v>
      </c>
      <c r="J26" s="48">
        <f>H26-F26</f>
        <v>-100</v>
      </c>
      <c r="L26" s="48"/>
    </row>
    <row r="27" spans="1:9" ht="15">
      <c r="A27" s="21"/>
      <c r="B27" s="21"/>
      <c r="D27" s="21"/>
      <c r="E27" s="124"/>
      <c r="F27" s="167">
        <f>SUM(F21:F26)</f>
        <v>149206</v>
      </c>
      <c r="G27" s="167"/>
      <c r="H27" s="167">
        <f>SUM(H21:H26)</f>
        <v>144481</v>
      </c>
      <c r="I27" s="125"/>
    </row>
    <row r="28" spans="1:8" ht="15.75" thickBot="1">
      <c r="A28" s="21" t="s">
        <v>66</v>
      </c>
      <c r="B28" s="21"/>
      <c r="D28" s="21"/>
      <c r="E28" s="47"/>
      <c r="F28" s="170">
        <f>F19+F27</f>
        <v>549567</v>
      </c>
      <c r="G28" s="164"/>
      <c r="H28" s="170">
        <f>H19+H27</f>
        <v>573721</v>
      </c>
    </row>
    <row r="29" spans="1:8" ht="15">
      <c r="A29" s="21"/>
      <c r="B29" s="21"/>
      <c r="D29" s="21"/>
      <c r="E29" s="47"/>
      <c r="F29" s="167"/>
      <c r="G29" s="164"/>
      <c r="H29" s="167"/>
    </row>
    <row r="30" spans="1:8" ht="15">
      <c r="A30" s="21" t="s">
        <v>72</v>
      </c>
      <c r="B30" s="21"/>
      <c r="D30" s="21"/>
      <c r="E30" s="47"/>
      <c r="F30" s="167"/>
      <c r="G30" s="164"/>
      <c r="H30" s="167"/>
    </row>
    <row r="31" spans="1:8" ht="15">
      <c r="A31" s="21" t="s">
        <v>87</v>
      </c>
      <c r="B31" s="21"/>
      <c r="D31" s="21"/>
      <c r="E31" s="47"/>
      <c r="F31" s="164"/>
      <c r="G31" s="164"/>
      <c r="H31" s="164"/>
    </row>
    <row r="32" spans="2:12" ht="15">
      <c r="B32" s="21" t="s">
        <v>20</v>
      </c>
      <c r="D32" s="21"/>
      <c r="E32" s="47"/>
      <c r="F32" s="164">
        <v>93139</v>
      </c>
      <c r="G32" s="164"/>
      <c r="H32" s="164">
        <v>93139</v>
      </c>
      <c r="J32" s="48">
        <f aca="true" t="shared" si="0" ref="J32:J38">F32-H32</f>
        <v>0</v>
      </c>
      <c r="L32" s="48"/>
    </row>
    <row r="33" spans="2:12" ht="15">
      <c r="B33" s="21" t="s">
        <v>21</v>
      </c>
      <c r="D33" s="21"/>
      <c r="E33" s="47"/>
      <c r="F33" s="164">
        <v>59891</v>
      </c>
      <c r="G33" s="164"/>
      <c r="H33" s="164">
        <v>59891</v>
      </c>
      <c r="J33" s="48">
        <f t="shared" si="0"/>
        <v>0</v>
      </c>
      <c r="L33" s="48"/>
    </row>
    <row r="34" spans="2:12" ht="15">
      <c r="B34" s="21" t="s">
        <v>88</v>
      </c>
      <c r="D34" s="21"/>
      <c r="E34" s="47"/>
      <c r="F34" s="164">
        <v>-10324</v>
      </c>
      <c r="G34" s="164"/>
      <c r="H34" s="164">
        <v>-10324</v>
      </c>
      <c r="J34" s="48"/>
      <c r="L34" s="48"/>
    </row>
    <row r="35" spans="2:12" ht="15">
      <c r="B35" s="21" t="s">
        <v>67</v>
      </c>
      <c r="D35" s="21"/>
      <c r="E35" s="47"/>
      <c r="F35" s="164">
        <f>e!M33</f>
        <v>130865</v>
      </c>
      <c r="G35" s="164"/>
      <c r="H35" s="164">
        <v>130128</v>
      </c>
      <c r="J35" s="48">
        <f t="shared" si="0"/>
        <v>737</v>
      </c>
      <c r="L35" s="48"/>
    </row>
    <row r="36" spans="2:12" ht="15">
      <c r="B36" s="21" t="s">
        <v>145</v>
      </c>
      <c r="D36" s="21"/>
      <c r="E36" s="47"/>
      <c r="F36" s="169">
        <v>4348</v>
      </c>
      <c r="G36" s="164"/>
      <c r="H36" s="169">
        <v>4345</v>
      </c>
      <c r="J36" s="48">
        <f t="shared" si="0"/>
        <v>3</v>
      </c>
      <c r="L36" s="48"/>
    </row>
    <row r="37" spans="1:8" ht="15">
      <c r="A37" s="21"/>
      <c r="B37" s="21"/>
      <c r="D37" s="21"/>
      <c r="E37" s="47"/>
      <c r="F37" s="164">
        <f>SUM(F32:F36)</f>
        <v>277919</v>
      </c>
      <c r="G37" s="164"/>
      <c r="H37" s="164">
        <f>SUM(H32:H36)</f>
        <v>277179</v>
      </c>
    </row>
    <row r="38" spans="1:12" ht="15">
      <c r="A38" s="21" t="s">
        <v>89</v>
      </c>
      <c r="B38" s="21"/>
      <c r="D38" s="21"/>
      <c r="E38" s="47"/>
      <c r="F38" s="164">
        <v>981</v>
      </c>
      <c r="G38" s="164"/>
      <c r="H38" s="164">
        <v>903</v>
      </c>
      <c r="J38" s="48">
        <f t="shared" si="0"/>
        <v>78</v>
      </c>
      <c r="L38" s="48"/>
    </row>
    <row r="39" spans="1:8" ht="15">
      <c r="A39" s="21" t="s">
        <v>90</v>
      </c>
      <c r="B39" s="21"/>
      <c r="D39" s="21"/>
      <c r="E39" s="47"/>
      <c r="F39" s="165">
        <f>SUM(F37:F38)</f>
        <v>278900</v>
      </c>
      <c r="G39" s="164"/>
      <c r="H39" s="165">
        <f>SUM(H37:H38)</f>
        <v>278082</v>
      </c>
    </row>
    <row r="40" spans="1:8" ht="15">
      <c r="A40" s="21"/>
      <c r="B40" s="21"/>
      <c r="D40" s="21"/>
      <c r="E40" s="47"/>
      <c r="F40" s="167"/>
      <c r="G40" s="164"/>
      <c r="H40" s="167"/>
    </row>
    <row r="41" spans="1:8" ht="15">
      <c r="A41" s="21" t="s">
        <v>68</v>
      </c>
      <c r="B41" s="21"/>
      <c r="D41" s="21"/>
      <c r="E41" s="47"/>
      <c r="F41" s="164"/>
      <c r="G41" s="164"/>
      <c r="H41" s="164"/>
    </row>
    <row r="42" spans="2:12" ht="15">
      <c r="B42" s="21" t="s">
        <v>36</v>
      </c>
      <c r="D42" s="21"/>
      <c r="E42" s="47"/>
      <c r="F42" s="164">
        <v>160121</v>
      </c>
      <c r="G42" s="164"/>
      <c r="H42" s="164">
        <v>168002</v>
      </c>
      <c r="J42" s="48">
        <f>F42-H42</f>
        <v>-7881</v>
      </c>
      <c r="L42" s="48"/>
    </row>
    <row r="43" spans="2:12" ht="15">
      <c r="B43" s="21" t="s">
        <v>69</v>
      </c>
      <c r="D43" s="21"/>
      <c r="E43" s="47"/>
      <c r="F43" s="164">
        <v>22604</v>
      </c>
      <c r="G43" s="164"/>
      <c r="H43" s="164">
        <v>23557</v>
      </c>
      <c r="J43" s="48">
        <f>F43-H43</f>
        <v>-953</v>
      </c>
      <c r="L43" s="48"/>
    </row>
    <row r="44" spans="1:8" ht="15">
      <c r="A44" s="21"/>
      <c r="B44" s="21"/>
      <c r="D44" s="21"/>
      <c r="E44" s="21"/>
      <c r="F44" s="165">
        <f>SUM(F42:F43)</f>
        <v>182725</v>
      </c>
      <c r="G44" s="164"/>
      <c r="H44" s="165">
        <f>SUM(H42:H43)</f>
        <v>191559</v>
      </c>
    </row>
    <row r="45" spans="1:8" ht="15">
      <c r="A45" s="21"/>
      <c r="B45" s="21"/>
      <c r="D45" s="21"/>
      <c r="E45" s="47"/>
      <c r="F45" s="167"/>
      <c r="G45" s="164"/>
      <c r="H45" s="167"/>
    </row>
    <row r="46" spans="1:8" ht="15">
      <c r="A46" s="21" t="s">
        <v>70</v>
      </c>
      <c r="B46" s="21"/>
      <c r="D46" s="21"/>
      <c r="E46" s="47"/>
      <c r="F46" s="167"/>
      <c r="G46" s="164"/>
      <c r="H46" s="167"/>
    </row>
    <row r="47" spans="1:12" ht="15">
      <c r="A47" s="21"/>
      <c r="B47" s="21" t="s">
        <v>36</v>
      </c>
      <c r="D47" s="21"/>
      <c r="E47" s="47"/>
      <c r="F47" s="167">
        <v>30604</v>
      </c>
      <c r="G47" s="164"/>
      <c r="H47" s="167">
        <v>40009</v>
      </c>
      <c r="J47" s="48">
        <f>F47-H47</f>
        <v>-9405</v>
      </c>
      <c r="L47" s="48"/>
    </row>
    <row r="48" spans="1:12" ht="15">
      <c r="A48" s="21"/>
      <c r="B48" s="21" t="s">
        <v>18</v>
      </c>
      <c r="D48" s="21"/>
      <c r="E48" s="47"/>
      <c r="F48" s="167">
        <v>39827</v>
      </c>
      <c r="G48" s="164"/>
      <c r="H48" s="167">
        <v>44547</v>
      </c>
      <c r="J48" s="48">
        <f>F48-H48</f>
        <v>-4720</v>
      </c>
      <c r="K48" s="48"/>
      <c r="L48" s="48"/>
    </row>
    <row r="49" spans="1:12" ht="15">
      <c r="A49" s="21"/>
      <c r="B49" s="21" t="s">
        <v>19</v>
      </c>
      <c r="D49" s="21"/>
      <c r="E49" s="47"/>
      <c r="F49" s="167">
        <v>16326</v>
      </c>
      <c r="G49" s="164"/>
      <c r="H49" s="167">
        <v>17179</v>
      </c>
      <c r="J49" s="48">
        <f>F49-H49</f>
        <v>-853</v>
      </c>
      <c r="L49" s="48"/>
    </row>
    <row r="50" spans="1:12" ht="15">
      <c r="A50" s="21"/>
      <c r="B50" s="21" t="s">
        <v>91</v>
      </c>
      <c r="D50" s="21"/>
      <c r="E50" s="47"/>
      <c r="F50" s="169">
        <v>1185</v>
      </c>
      <c r="G50" s="164"/>
      <c r="H50" s="169">
        <f>2373-28</f>
        <v>2345</v>
      </c>
      <c r="J50" s="48">
        <f>F50-H50</f>
        <v>-1160</v>
      </c>
      <c r="L50" s="48"/>
    </row>
    <row r="51" spans="1:10" ht="15">
      <c r="A51" s="21"/>
      <c r="B51" s="21"/>
      <c r="D51" s="21"/>
      <c r="E51" s="126"/>
      <c r="F51" s="165">
        <f>SUM(F47:F50)</f>
        <v>87942</v>
      </c>
      <c r="G51" s="72"/>
      <c r="H51" s="165">
        <f>SUM(H46:H50)</f>
        <v>104080</v>
      </c>
      <c r="I51" s="127"/>
      <c r="J51" s="48"/>
    </row>
    <row r="52" spans="1:12" ht="15">
      <c r="A52" s="21" t="s">
        <v>71</v>
      </c>
      <c r="B52" s="21"/>
      <c r="D52" s="21"/>
      <c r="E52" s="47"/>
      <c r="F52" s="167">
        <f>+F44+F51</f>
        <v>270667</v>
      </c>
      <c r="G52" s="164"/>
      <c r="H52" s="167">
        <f>+H44+H51</f>
        <v>295639</v>
      </c>
      <c r="L52" s="48"/>
    </row>
    <row r="53" spans="1:8" ht="15.75" thickBot="1">
      <c r="A53" s="21" t="s">
        <v>73</v>
      </c>
      <c r="B53" s="21"/>
      <c r="D53" s="21"/>
      <c r="E53" s="47"/>
      <c r="F53" s="170">
        <f>+F52+F39</f>
        <v>549567</v>
      </c>
      <c r="G53" s="164"/>
      <c r="H53" s="170">
        <f>+H52+H39</f>
        <v>573721</v>
      </c>
    </row>
    <row r="54" spans="1:8" ht="15">
      <c r="A54" s="21"/>
      <c r="B54" s="21"/>
      <c r="D54" s="21"/>
      <c r="E54" s="47"/>
      <c r="F54" s="164"/>
      <c r="G54" s="164"/>
      <c r="H54" s="164"/>
    </row>
    <row r="55" spans="1:8" ht="15.75" thickBot="1">
      <c r="A55" s="21" t="s">
        <v>41</v>
      </c>
      <c r="B55" s="21"/>
      <c r="D55" s="21"/>
      <c r="E55" s="21"/>
      <c r="F55" s="171">
        <f>+((F37)*1000)/pl!G113</f>
        <v>1.4919573108420603</v>
      </c>
      <c r="G55" s="164"/>
      <c r="H55" s="171">
        <f>+((H37)*1000)/pl!G111</f>
        <v>1.4879847562127506</v>
      </c>
    </row>
    <row r="56" spans="1:8" ht="17.25" customHeight="1" thickTop="1">
      <c r="A56" s="21"/>
      <c r="B56" s="21"/>
      <c r="D56" s="21"/>
      <c r="E56" s="23"/>
      <c r="F56" s="164">
        <f>F28-F53</f>
        <v>0</v>
      </c>
      <c r="G56" s="164"/>
      <c r="H56" s="164">
        <f>H28-H53</f>
        <v>0</v>
      </c>
    </row>
    <row r="57" spans="1:8" ht="15">
      <c r="A57" s="21"/>
      <c r="B57" s="21"/>
      <c r="D57" s="21"/>
      <c r="E57" s="23"/>
      <c r="F57" s="172"/>
      <c r="G57" s="164"/>
      <c r="H57" s="172"/>
    </row>
    <row r="58" spans="1:8" ht="15">
      <c r="A58" s="21"/>
      <c r="B58" s="21"/>
      <c r="D58" s="21"/>
      <c r="E58" s="21"/>
      <c r="F58" s="45"/>
      <c r="G58" s="25"/>
      <c r="H58" s="45"/>
    </row>
    <row r="59" spans="6:8" ht="15">
      <c r="F59" s="46"/>
      <c r="H59" s="47"/>
    </row>
    <row r="60" spans="1:10" ht="48.75" customHeight="1">
      <c r="A60" s="189" t="s">
        <v>162</v>
      </c>
      <c r="B60" s="189"/>
      <c r="C60" s="189"/>
      <c r="D60" s="189"/>
      <c r="E60" s="189"/>
      <c r="F60" s="189"/>
      <c r="G60" s="189"/>
      <c r="H60" s="189"/>
      <c r="I60" s="189"/>
      <c r="J60" s="122"/>
    </row>
    <row r="61" spans="6:8" ht="15">
      <c r="F61" s="46"/>
      <c r="H61" s="47"/>
    </row>
    <row r="62" spans="6:8" ht="15" hidden="1">
      <c r="F62" s="46"/>
      <c r="H62" s="48"/>
    </row>
    <row r="63" spans="6:8" ht="15" hidden="1">
      <c r="F63" s="48">
        <f>+F53-F28</f>
        <v>0</v>
      </c>
      <c r="H63" s="48">
        <f>+H53-H28</f>
        <v>0</v>
      </c>
    </row>
    <row r="64" spans="1:8" ht="15.75" hidden="1" thickBot="1">
      <c r="A64" s="21" t="s">
        <v>22</v>
      </c>
      <c r="B64" s="21"/>
      <c r="D64" s="21"/>
      <c r="E64" s="21"/>
      <c r="F64" s="109">
        <f>+((F37-F18)*1000)/pl!G113</f>
        <v>1.299648088564004</v>
      </c>
      <c r="G64" s="25"/>
      <c r="H64" s="109">
        <f>+((H37-H18)*1000)/pl!G111</f>
        <v>1.2679428079684594</v>
      </c>
    </row>
    <row r="65" ht="15">
      <c r="H65" s="48"/>
    </row>
    <row r="66" ht="15">
      <c r="H66" s="48"/>
    </row>
    <row r="67" ht="15">
      <c r="H67" s="48"/>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row r="566" ht="15">
      <c r="H566" s="49"/>
    </row>
    <row r="567" ht="15">
      <c r="H567" s="49"/>
    </row>
  </sheetData>
  <sheetProtection password="84DD" sheet="1" objects="1" scenarios="1"/>
  <mergeCells count="1">
    <mergeCell ref="A60:I60"/>
  </mergeCells>
  <printOptions/>
  <pageMargins left="0.7874015748031497" right="0.7874015748031497" top="0.7874015748031497" bottom="0.1968503937007874" header="0.2362204724409449" footer="0.15748031496062992"/>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83"/>
  <sheetViews>
    <sheetView view="pageBreakPreview" zoomScaleSheetLayoutView="100" zoomScalePageLayoutView="0" workbookViewId="0" topLeftCell="A38">
      <selection activeCell="Q18" sqref="Q18:Q32"/>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1" bestFit="1" customWidth="1"/>
    <col min="6" max="6" width="1.1484375" style="53" customWidth="1"/>
    <col min="7" max="7" width="13.140625" style="53" customWidth="1"/>
    <col min="8" max="8" width="1.421875" style="53" customWidth="1"/>
    <col min="9" max="9" width="13.140625" style="53" customWidth="1"/>
    <col min="10" max="10" width="1.28515625" style="53" customWidth="1"/>
    <col min="11" max="11" width="12.7109375" style="53" customWidth="1"/>
    <col min="12" max="12" width="1.28515625" style="53" customWidth="1"/>
    <col min="13" max="13" width="17.00390625" style="53" bestFit="1" customWidth="1"/>
    <col min="14" max="14" width="0.85546875" style="53" customWidth="1"/>
    <col min="15" max="15" width="11.421875" style="53" bestFit="1" customWidth="1"/>
    <col min="16" max="16" width="1.28515625" style="53" customWidth="1"/>
    <col min="17" max="17" width="11.00390625" style="51" customWidth="1"/>
    <col min="18" max="18" width="1.1484375" style="53" customWidth="1"/>
    <col min="19" max="19" width="10.28125" style="53" customWidth="1"/>
    <col min="20" max="16384" width="8.00390625" style="53" customWidth="1"/>
  </cols>
  <sheetData>
    <row r="1" spans="1:15" ht="15">
      <c r="A1" s="50"/>
      <c r="B1" s="51"/>
      <c r="C1" s="51"/>
      <c r="D1" s="51"/>
      <c r="E1" s="52"/>
      <c r="F1" s="51"/>
      <c r="G1" s="51"/>
      <c r="H1" s="51"/>
      <c r="I1" s="51"/>
      <c r="J1" s="51"/>
      <c r="K1" s="50"/>
      <c r="L1" s="50"/>
      <c r="M1" s="50"/>
      <c r="O1" s="50"/>
    </row>
    <row r="2" spans="2:15" ht="15">
      <c r="B2" s="51"/>
      <c r="C2" s="51"/>
      <c r="D2" s="51"/>
      <c r="E2" s="52"/>
      <c r="F2" s="51"/>
      <c r="G2" s="51"/>
      <c r="H2" s="51"/>
      <c r="I2" s="51"/>
      <c r="J2" s="51"/>
      <c r="K2" s="50"/>
      <c r="L2" s="50"/>
      <c r="M2" s="50"/>
      <c r="O2" s="50"/>
    </row>
    <row r="3" spans="1:15" ht="18.75">
      <c r="A3" s="5" t="s">
        <v>143</v>
      </c>
      <c r="B3" s="51"/>
      <c r="C3" s="51"/>
      <c r="D3" s="51"/>
      <c r="E3" s="52"/>
      <c r="F3" s="51"/>
      <c r="G3" s="51"/>
      <c r="H3" s="51"/>
      <c r="I3" s="51"/>
      <c r="J3" s="51"/>
      <c r="K3" s="50"/>
      <c r="L3" s="50"/>
      <c r="M3" s="50"/>
      <c r="O3" s="50"/>
    </row>
    <row r="4" spans="1:15" ht="18.75">
      <c r="A4" s="5" t="s">
        <v>144</v>
      </c>
      <c r="B4" s="51"/>
      <c r="C4" s="51"/>
      <c r="D4" s="51"/>
      <c r="E4" s="52"/>
      <c r="F4" s="51"/>
      <c r="G4" s="51"/>
      <c r="H4" s="51"/>
      <c r="I4" s="51"/>
      <c r="J4" s="51"/>
      <c r="K4" s="50"/>
      <c r="L4" s="50"/>
      <c r="M4" s="50"/>
      <c r="O4" s="50"/>
    </row>
    <row r="5" spans="1:19" ht="6" customHeight="1" thickBot="1">
      <c r="A5" s="54"/>
      <c r="B5" s="55"/>
      <c r="C5" s="55"/>
      <c r="D5" s="55"/>
      <c r="E5" s="56"/>
      <c r="F5" s="55"/>
      <c r="G5" s="55"/>
      <c r="H5" s="55"/>
      <c r="I5" s="55"/>
      <c r="J5" s="55"/>
      <c r="K5" s="54"/>
      <c r="L5" s="54"/>
      <c r="M5" s="54"/>
      <c r="N5" s="57"/>
      <c r="O5" s="54"/>
      <c r="P5" s="57"/>
      <c r="Q5" s="55"/>
      <c r="R5" s="57"/>
      <c r="S5" s="57"/>
    </row>
    <row r="6" spans="1:15" ht="30.75" customHeight="1">
      <c r="A6" s="50" t="s">
        <v>38</v>
      </c>
      <c r="B6" s="51"/>
      <c r="C6" s="51"/>
      <c r="D6" s="51"/>
      <c r="E6" s="52"/>
      <c r="F6" s="51"/>
      <c r="G6" s="51"/>
      <c r="H6" s="51"/>
      <c r="I6" s="51"/>
      <c r="J6" s="51"/>
      <c r="K6" s="50"/>
      <c r="L6" s="50"/>
      <c r="M6" s="50"/>
      <c r="O6" s="50"/>
    </row>
    <row r="7" spans="1:15" ht="15.75">
      <c r="A7" s="1" t="str">
        <f>pl!A9</f>
        <v>FOR THE PERIOD ENDED 31 DECEMBER 2011</v>
      </c>
      <c r="B7" s="58"/>
      <c r="C7" s="58"/>
      <c r="D7" s="58"/>
      <c r="E7" s="59"/>
      <c r="F7" s="58"/>
      <c r="G7" s="58"/>
      <c r="H7" s="58"/>
      <c r="I7" s="58"/>
      <c r="J7" s="58"/>
      <c r="K7" s="60"/>
      <c r="L7" s="60"/>
      <c r="M7" s="60"/>
      <c r="N7" s="61"/>
      <c r="O7" s="60"/>
    </row>
    <row r="8" spans="1:15" ht="15.75">
      <c r="A8" s="1"/>
      <c r="B8" s="58"/>
      <c r="C8" s="58"/>
      <c r="D8" s="58"/>
      <c r="E8" s="59"/>
      <c r="F8" s="58"/>
      <c r="G8" s="58"/>
      <c r="H8" s="58"/>
      <c r="I8" s="58"/>
      <c r="J8" s="58"/>
      <c r="K8" s="60"/>
      <c r="L8" s="60"/>
      <c r="M8" s="60"/>
      <c r="N8" s="61"/>
      <c r="O8" s="60"/>
    </row>
    <row r="9" spans="1:15" ht="15.75">
      <c r="A9" s="1"/>
      <c r="B9" s="58"/>
      <c r="C9" s="58"/>
      <c r="D9" s="58"/>
      <c r="E9" s="59"/>
      <c r="F9" s="58"/>
      <c r="G9" s="58"/>
      <c r="H9" s="58"/>
      <c r="I9" s="58"/>
      <c r="J9" s="58"/>
      <c r="K9" s="60"/>
      <c r="L9" s="60"/>
      <c r="M9" s="60"/>
      <c r="N9" s="61"/>
      <c r="O9" s="60"/>
    </row>
    <row r="10" spans="1:15" ht="15">
      <c r="A10" s="58"/>
      <c r="B10" s="58"/>
      <c r="C10" s="58"/>
      <c r="D10" s="58"/>
      <c r="E10" s="59"/>
      <c r="F10" s="58"/>
      <c r="G10" s="60" t="s">
        <v>80</v>
      </c>
      <c r="H10" s="60"/>
      <c r="I10" s="60"/>
      <c r="J10" s="58"/>
      <c r="L10" s="60"/>
      <c r="M10" s="60"/>
      <c r="N10" s="61"/>
      <c r="O10" s="60"/>
    </row>
    <row r="11" spans="1:15" ht="15">
      <c r="A11" s="62"/>
      <c r="C11" s="51"/>
      <c r="D11" s="51"/>
      <c r="E11" s="52"/>
      <c r="F11" s="51"/>
      <c r="L11" s="64"/>
      <c r="M11" s="51"/>
      <c r="O11" s="51"/>
    </row>
    <row r="12" spans="1:15" ht="15">
      <c r="A12" s="51"/>
      <c r="B12" s="62"/>
      <c r="C12" s="51"/>
      <c r="D12" s="51"/>
      <c r="E12" s="191" t="s">
        <v>74</v>
      </c>
      <c r="F12" s="191"/>
      <c r="G12" s="191"/>
      <c r="H12" s="191"/>
      <c r="I12" s="191"/>
      <c r="J12" s="162"/>
      <c r="K12" s="191" t="s">
        <v>115</v>
      </c>
      <c r="L12" s="191"/>
      <c r="M12" s="191"/>
      <c r="O12" s="51"/>
    </row>
    <row r="13" spans="1:19" ht="13.5" customHeight="1">
      <c r="A13" s="51"/>
      <c r="B13" s="50"/>
      <c r="C13" s="51"/>
      <c r="D13" s="51"/>
      <c r="E13" s="66" t="s">
        <v>23</v>
      </c>
      <c r="F13" s="63"/>
      <c r="G13" s="66" t="s">
        <v>23</v>
      </c>
      <c r="H13" s="66"/>
      <c r="I13" s="66" t="s">
        <v>146</v>
      </c>
      <c r="J13" s="63"/>
      <c r="K13" s="66" t="s">
        <v>39</v>
      </c>
      <c r="L13" s="66"/>
      <c r="M13" s="63" t="s">
        <v>24</v>
      </c>
      <c r="N13" s="65"/>
      <c r="O13" s="63"/>
      <c r="Q13" s="64" t="s">
        <v>75</v>
      </c>
      <c r="S13" s="64" t="s">
        <v>27</v>
      </c>
    </row>
    <row r="14" spans="1:19" ht="15.75" customHeight="1">
      <c r="A14" s="51"/>
      <c r="B14" s="51"/>
      <c r="C14" s="51"/>
      <c r="D14" s="51"/>
      <c r="E14" s="66" t="s">
        <v>25</v>
      </c>
      <c r="F14" s="63"/>
      <c r="G14" s="66" t="s">
        <v>26</v>
      </c>
      <c r="H14" s="66"/>
      <c r="I14" s="66" t="s">
        <v>147</v>
      </c>
      <c r="J14" s="63"/>
      <c r="K14" s="66" t="s">
        <v>79</v>
      </c>
      <c r="L14" s="66"/>
      <c r="M14" s="63" t="s">
        <v>78</v>
      </c>
      <c r="N14" s="65"/>
      <c r="O14" s="63" t="s">
        <v>27</v>
      </c>
      <c r="Q14" s="64" t="s">
        <v>76</v>
      </c>
      <c r="S14" s="64" t="s">
        <v>77</v>
      </c>
    </row>
    <row r="15" spans="1:19" ht="15">
      <c r="A15" s="51"/>
      <c r="B15" s="51"/>
      <c r="C15" s="51"/>
      <c r="D15" s="51"/>
      <c r="E15" s="66" t="s">
        <v>4</v>
      </c>
      <c r="F15" s="66"/>
      <c r="G15" s="66" t="s">
        <v>4</v>
      </c>
      <c r="H15" s="66"/>
      <c r="I15" s="66" t="s">
        <v>4</v>
      </c>
      <c r="J15" s="66"/>
      <c r="K15" s="66" t="s">
        <v>4</v>
      </c>
      <c r="L15" s="66"/>
      <c r="M15" s="66" t="s">
        <v>4</v>
      </c>
      <c r="N15" s="61"/>
      <c r="O15" s="66" t="s">
        <v>4</v>
      </c>
      <c r="Q15" s="64" t="s">
        <v>4</v>
      </c>
      <c r="S15" s="64" t="s">
        <v>4</v>
      </c>
    </row>
    <row r="16" spans="1:19" ht="15">
      <c r="A16" s="51"/>
      <c r="B16" s="51"/>
      <c r="C16" s="51"/>
      <c r="D16" s="51"/>
      <c r="E16" s="67"/>
      <c r="F16" s="66"/>
      <c r="G16" s="67"/>
      <c r="H16" s="66"/>
      <c r="I16" s="67"/>
      <c r="J16" s="66"/>
      <c r="K16" s="67"/>
      <c r="L16" s="66"/>
      <c r="M16" s="67"/>
      <c r="N16" s="61"/>
      <c r="O16" s="67"/>
      <c r="Q16" s="129"/>
      <c r="S16" s="129"/>
    </row>
    <row r="17" spans="1:19" ht="15">
      <c r="A17" s="50"/>
      <c r="B17" s="51"/>
      <c r="C17" s="51"/>
      <c r="D17" s="51"/>
      <c r="E17" s="66"/>
      <c r="F17" s="66"/>
      <c r="G17" s="66"/>
      <c r="H17" s="66"/>
      <c r="I17" s="66"/>
      <c r="J17" s="66"/>
      <c r="K17" s="66"/>
      <c r="L17" s="66"/>
      <c r="M17" s="66"/>
      <c r="N17" s="61"/>
      <c r="O17" s="66"/>
      <c r="S17" s="51"/>
    </row>
    <row r="18" spans="1:20" ht="15.75">
      <c r="A18" s="51"/>
      <c r="B18" s="69"/>
      <c r="C18" s="58"/>
      <c r="D18" s="58"/>
      <c r="E18" s="70"/>
      <c r="F18" s="60"/>
      <c r="G18" s="70"/>
      <c r="H18" s="70"/>
      <c r="I18" s="70"/>
      <c r="J18" s="60"/>
      <c r="K18" s="70"/>
      <c r="L18" s="70"/>
      <c r="M18" s="70"/>
      <c r="N18" s="71"/>
      <c r="O18" s="70"/>
      <c r="P18" s="71"/>
      <c r="Q18" s="50"/>
      <c r="R18" s="71"/>
      <c r="S18" s="50"/>
      <c r="T18" s="71"/>
    </row>
    <row r="19" spans="1:20" ht="15.75">
      <c r="A19" s="69" t="s">
        <v>160</v>
      </c>
      <c r="B19" s="58"/>
      <c r="C19" s="58"/>
      <c r="E19" s="70">
        <v>93139</v>
      </c>
      <c r="F19" s="60"/>
      <c r="G19" s="70">
        <v>59891</v>
      </c>
      <c r="H19" s="70">
        <v>0</v>
      </c>
      <c r="I19" s="70">
        <v>4345</v>
      </c>
      <c r="J19" s="60"/>
      <c r="K19" s="70">
        <v>-10324</v>
      </c>
      <c r="L19" s="70"/>
      <c r="M19" s="70">
        <v>130128</v>
      </c>
      <c r="N19" s="71"/>
      <c r="O19" s="70">
        <f>SUM(E19:M19)</f>
        <v>277179</v>
      </c>
      <c r="P19" s="71"/>
      <c r="Q19" s="112">
        <v>903</v>
      </c>
      <c r="R19" s="71"/>
      <c r="S19" s="130">
        <f>Q19+O19</f>
        <v>278082</v>
      </c>
      <c r="T19" s="71"/>
    </row>
    <row r="20" spans="1:20" ht="15.75">
      <c r="A20" s="69"/>
      <c r="B20" s="58"/>
      <c r="C20" s="58"/>
      <c r="E20" s="70"/>
      <c r="F20" s="60"/>
      <c r="G20" s="70"/>
      <c r="H20" s="70"/>
      <c r="I20" s="70"/>
      <c r="J20" s="60"/>
      <c r="K20" s="70"/>
      <c r="L20" s="70"/>
      <c r="M20" s="70"/>
      <c r="N20" s="71"/>
      <c r="O20" s="70"/>
      <c r="P20" s="71"/>
      <c r="Q20" s="50"/>
      <c r="R20" s="71"/>
      <c r="S20" s="50"/>
      <c r="T20" s="71"/>
    </row>
    <row r="21" spans="1:20" ht="15.75">
      <c r="A21" s="69" t="s">
        <v>172</v>
      </c>
      <c r="B21" s="58"/>
      <c r="C21" s="58"/>
      <c r="E21" s="70">
        <v>0</v>
      </c>
      <c r="F21" s="60"/>
      <c r="G21" s="70">
        <v>0</v>
      </c>
      <c r="H21" s="70"/>
      <c r="I21" s="70">
        <v>0</v>
      </c>
      <c r="J21" s="60"/>
      <c r="K21" s="70">
        <v>0</v>
      </c>
      <c r="L21" s="70"/>
      <c r="M21" s="70">
        <f>+pl!I44</f>
        <v>737</v>
      </c>
      <c r="N21" s="71"/>
      <c r="O21" s="70">
        <f>SUM(E21:M21)</f>
        <v>737</v>
      </c>
      <c r="P21" s="71"/>
      <c r="Q21" s="112">
        <f>+pl!I45</f>
        <v>78</v>
      </c>
      <c r="R21" s="71"/>
      <c r="S21" s="130">
        <f>Q21+O21</f>
        <v>815</v>
      </c>
      <c r="T21" s="71"/>
    </row>
    <row r="22" spans="1:20" ht="15.75">
      <c r="A22" s="69"/>
      <c r="B22" s="58"/>
      <c r="C22" s="58"/>
      <c r="E22" s="70"/>
      <c r="F22" s="60"/>
      <c r="G22" s="70"/>
      <c r="H22" s="70"/>
      <c r="I22" s="70"/>
      <c r="J22" s="60"/>
      <c r="K22" s="70"/>
      <c r="L22" s="70"/>
      <c r="M22" s="70"/>
      <c r="N22" s="71"/>
      <c r="O22" s="70"/>
      <c r="P22" s="71"/>
      <c r="Q22" s="112"/>
      <c r="R22" s="71"/>
      <c r="S22" s="130"/>
      <c r="T22" s="71"/>
    </row>
    <row r="23" spans="1:20" ht="15.75" hidden="1">
      <c r="A23" s="69" t="s">
        <v>129</v>
      </c>
      <c r="B23" s="58"/>
      <c r="C23" s="58"/>
      <c r="E23" s="70">
        <v>0</v>
      </c>
      <c r="F23" s="60"/>
      <c r="G23" s="70">
        <v>0</v>
      </c>
      <c r="H23" s="70"/>
      <c r="I23" s="70">
        <v>0</v>
      </c>
      <c r="J23" s="60"/>
      <c r="K23" s="70">
        <v>0</v>
      </c>
      <c r="L23" s="70"/>
      <c r="M23" s="70">
        <v>0</v>
      </c>
      <c r="N23" s="71"/>
      <c r="O23" s="70">
        <f>SUM(E23:M23)</f>
        <v>0</v>
      </c>
      <c r="P23" s="71"/>
      <c r="Q23" s="112"/>
      <c r="R23" s="71"/>
      <c r="S23" s="130">
        <f>Q23+O23</f>
        <v>0</v>
      </c>
      <c r="T23" s="71"/>
    </row>
    <row r="24" spans="1:20" ht="15.75" hidden="1">
      <c r="A24" s="69"/>
      <c r="B24" s="58"/>
      <c r="C24" s="58"/>
      <c r="E24" s="70"/>
      <c r="F24" s="60"/>
      <c r="G24" s="70"/>
      <c r="H24" s="70"/>
      <c r="I24" s="70"/>
      <c r="J24" s="60"/>
      <c r="K24" s="70"/>
      <c r="L24" s="70"/>
      <c r="M24" s="70"/>
      <c r="N24" s="71"/>
      <c r="O24" s="70"/>
      <c r="P24" s="71"/>
      <c r="Q24" s="112"/>
      <c r="R24" s="71"/>
      <c r="S24" s="130"/>
      <c r="T24" s="71"/>
    </row>
    <row r="25" spans="1:20" ht="15.75" hidden="1">
      <c r="A25" s="69" t="s">
        <v>150</v>
      </c>
      <c r="B25" s="58"/>
      <c r="C25" s="58"/>
      <c r="E25" s="70"/>
      <c r="F25" s="60"/>
      <c r="G25" s="70"/>
      <c r="H25" s="70"/>
      <c r="I25" s="70"/>
      <c r="J25" s="60"/>
      <c r="K25" s="70"/>
      <c r="L25" s="70"/>
      <c r="M25" s="70"/>
      <c r="N25" s="71"/>
      <c r="O25" s="70"/>
      <c r="P25" s="71"/>
      <c r="Q25" s="112"/>
      <c r="R25" s="71"/>
      <c r="S25" s="130"/>
      <c r="T25" s="71"/>
    </row>
    <row r="26" spans="1:20" ht="15.75" hidden="1">
      <c r="A26" s="175" t="s">
        <v>151</v>
      </c>
      <c r="B26" s="58"/>
      <c r="C26" s="58"/>
      <c r="E26" s="70"/>
      <c r="F26" s="60"/>
      <c r="G26" s="70"/>
      <c r="H26" s="70"/>
      <c r="I26" s="70"/>
      <c r="J26" s="60"/>
      <c r="K26" s="70"/>
      <c r="L26" s="70"/>
      <c r="M26" s="70"/>
      <c r="N26" s="71"/>
      <c r="O26" s="70"/>
      <c r="P26" s="71"/>
      <c r="Q26" s="112"/>
      <c r="R26" s="71"/>
      <c r="S26" s="130"/>
      <c r="T26" s="71"/>
    </row>
    <row r="27" spans="1:19" s="71" customFormat="1" ht="15.75" hidden="1">
      <c r="A27" s="175"/>
      <c r="B27" s="60" t="s">
        <v>152</v>
      </c>
      <c r="C27" s="60"/>
      <c r="E27" s="70">
        <v>0</v>
      </c>
      <c r="F27" s="60"/>
      <c r="G27" s="70">
        <v>0</v>
      </c>
      <c r="H27" s="70"/>
      <c r="I27" s="70">
        <v>0</v>
      </c>
      <c r="J27" s="60"/>
      <c r="K27" s="70">
        <v>0</v>
      </c>
      <c r="L27" s="70"/>
      <c r="M27" s="70">
        <v>0</v>
      </c>
      <c r="O27" s="70">
        <f>SUM(E27:M27)</f>
        <v>0</v>
      </c>
      <c r="Q27" s="112">
        <v>0</v>
      </c>
      <c r="S27" s="130">
        <f>Q27+O27</f>
        <v>0</v>
      </c>
    </row>
    <row r="28" spans="1:19" s="71" customFormat="1" ht="15.75" hidden="1">
      <c r="A28" s="175"/>
      <c r="B28" s="60"/>
      <c r="C28" s="60"/>
      <c r="E28" s="70"/>
      <c r="F28" s="60"/>
      <c r="G28" s="70"/>
      <c r="H28" s="70"/>
      <c r="I28" s="70"/>
      <c r="J28" s="60"/>
      <c r="K28" s="70"/>
      <c r="L28" s="70"/>
      <c r="M28" s="70"/>
      <c r="O28" s="70"/>
      <c r="Q28" s="112"/>
      <c r="S28" s="130"/>
    </row>
    <row r="29" spans="1:19" s="71" customFormat="1" ht="15.75" hidden="1">
      <c r="A29" s="69" t="s">
        <v>153</v>
      </c>
      <c r="B29" s="60"/>
      <c r="C29" s="60"/>
      <c r="E29" s="70">
        <v>0</v>
      </c>
      <c r="F29" s="60"/>
      <c r="G29" s="70">
        <v>0</v>
      </c>
      <c r="H29" s="70"/>
      <c r="I29" s="70">
        <v>0</v>
      </c>
      <c r="J29" s="60"/>
      <c r="K29" s="70">
        <v>0</v>
      </c>
      <c r="L29" s="70"/>
      <c r="M29" s="70">
        <v>0</v>
      </c>
      <c r="O29" s="70">
        <f>SUM(E29:M29)</f>
        <v>0</v>
      </c>
      <c r="Q29" s="112">
        <v>0</v>
      </c>
      <c r="S29" s="130">
        <f>Q29+O29</f>
        <v>0</v>
      </c>
    </row>
    <row r="30" spans="1:19" s="71" customFormat="1" ht="15.75" hidden="1">
      <c r="A30" s="69"/>
      <c r="B30" s="60"/>
      <c r="C30" s="60"/>
      <c r="E30" s="70"/>
      <c r="F30" s="60"/>
      <c r="G30" s="70"/>
      <c r="H30" s="70"/>
      <c r="I30" s="70"/>
      <c r="J30" s="60"/>
      <c r="K30" s="70"/>
      <c r="L30" s="70"/>
      <c r="M30" s="70"/>
      <c r="O30" s="70"/>
      <c r="Q30" s="112"/>
      <c r="S30" s="130"/>
    </row>
    <row r="31" spans="1:19" s="71" customFormat="1" ht="15.75">
      <c r="A31" s="69" t="s">
        <v>154</v>
      </c>
      <c r="B31" s="60"/>
      <c r="C31" s="60"/>
      <c r="E31" s="70">
        <v>0</v>
      </c>
      <c r="F31" s="60"/>
      <c r="G31" s="70">
        <v>0</v>
      </c>
      <c r="H31" s="70"/>
      <c r="I31" s="70">
        <v>3</v>
      </c>
      <c r="J31" s="60"/>
      <c r="K31" s="70">
        <v>0</v>
      </c>
      <c r="L31" s="70"/>
      <c r="M31" s="70">
        <v>0</v>
      </c>
      <c r="O31" s="70">
        <f>SUM(E31:M31)</f>
        <v>3</v>
      </c>
      <c r="Q31" s="112">
        <v>0</v>
      </c>
      <c r="S31" s="130">
        <f>Q31+O31</f>
        <v>3</v>
      </c>
    </row>
    <row r="32" spans="1:20" ht="15.75">
      <c r="A32" s="73"/>
      <c r="B32" s="58"/>
      <c r="C32" s="58"/>
      <c r="E32" s="70"/>
      <c r="F32" s="63"/>
      <c r="G32" s="74"/>
      <c r="H32" s="74"/>
      <c r="I32" s="74"/>
      <c r="J32" s="63"/>
      <c r="K32" s="74"/>
      <c r="L32" s="74"/>
      <c r="M32" s="74"/>
      <c r="N32" s="71"/>
      <c r="O32" s="70"/>
      <c r="P32" s="71"/>
      <c r="Q32" s="159"/>
      <c r="R32" s="71"/>
      <c r="S32" s="50"/>
      <c r="T32" s="71"/>
    </row>
    <row r="33" spans="1:20" ht="22.5" customHeight="1" thickBot="1">
      <c r="A33" s="69" t="s">
        <v>180</v>
      </c>
      <c r="B33" s="58"/>
      <c r="C33" s="58"/>
      <c r="E33" s="75">
        <f>SUM(E18:E32)</f>
        <v>93139</v>
      </c>
      <c r="F33" s="75"/>
      <c r="G33" s="75">
        <f>SUM(G18:G32)</f>
        <v>59891</v>
      </c>
      <c r="H33" s="75">
        <f>SUM(H18:H32)</f>
        <v>0</v>
      </c>
      <c r="I33" s="75">
        <f>SUM(I18:I32)</f>
        <v>4348</v>
      </c>
      <c r="J33" s="75"/>
      <c r="K33" s="75">
        <f>SUM(K18:K32)</f>
        <v>-10324</v>
      </c>
      <c r="L33" s="70"/>
      <c r="M33" s="75">
        <f>SUM(M18:M32)</f>
        <v>130865</v>
      </c>
      <c r="N33" s="71"/>
      <c r="O33" s="75">
        <f>SUM(O18:O32)</f>
        <v>277919</v>
      </c>
      <c r="P33" s="71"/>
      <c r="Q33" s="75">
        <f>SUM(Q18:Q32)</f>
        <v>981</v>
      </c>
      <c r="R33" s="71"/>
      <c r="S33" s="75">
        <f>SUM(S18:S32)</f>
        <v>278900</v>
      </c>
      <c r="T33" s="71"/>
    </row>
    <row r="34" spans="1:20" ht="22.5" customHeight="1" thickTop="1">
      <c r="A34" s="69"/>
      <c r="B34" s="58"/>
      <c r="C34" s="58"/>
      <c r="E34" s="70">
        <f>'bs'!F32-e!E33</f>
        <v>0</v>
      </c>
      <c r="F34" s="63"/>
      <c r="G34" s="70">
        <f>'bs'!F33-e!G33</f>
        <v>0</v>
      </c>
      <c r="H34" s="70"/>
      <c r="I34" s="70">
        <f>'bs'!F36-e!I33</f>
        <v>0</v>
      </c>
      <c r="J34" s="63"/>
      <c r="K34" s="70">
        <f>'bs'!F34-e!K33</f>
        <v>0</v>
      </c>
      <c r="L34" s="70"/>
      <c r="M34" s="70">
        <f>M33-'bs'!F35</f>
        <v>0</v>
      </c>
      <c r="N34" s="71"/>
      <c r="O34" s="70"/>
      <c r="P34" s="71"/>
      <c r="Q34" s="130">
        <f>Q33-'bs'!F38</f>
        <v>0</v>
      </c>
      <c r="R34" s="71"/>
      <c r="S34" s="130">
        <f>S33-'bs'!F39</f>
        <v>0</v>
      </c>
      <c r="T34" s="71"/>
    </row>
    <row r="35" spans="1:19" ht="15">
      <c r="A35" s="50"/>
      <c r="B35" s="51"/>
      <c r="C35" s="58"/>
      <c r="E35" s="59"/>
      <c r="F35" s="58"/>
      <c r="G35" s="76"/>
      <c r="H35" s="76"/>
      <c r="I35" s="76"/>
      <c r="J35" s="58"/>
      <c r="K35" s="76"/>
      <c r="L35" s="76"/>
      <c r="M35" s="76"/>
      <c r="O35" s="76"/>
      <c r="S35" s="51"/>
    </row>
    <row r="36" spans="1:19" ht="15.75">
      <c r="A36" s="110"/>
      <c r="B36" s="68"/>
      <c r="C36" s="58"/>
      <c r="E36" s="59"/>
      <c r="F36" s="58"/>
      <c r="G36" s="76"/>
      <c r="H36" s="76"/>
      <c r="I36" s="76"/>
      <c r="J36" s="58"/>
      <c r="K36" s="76"/>
      <c r="L36" s="76"/>
      <c r="M36" s="76"/>
      <c r="O36" s="76"/>
      <c r="S36" s="51"/>
    </row>
    <row r="37" spans="1:20" ht="15.75">
      <c r="A37" s="69" t="s">
        <v>126</v>
      </c>
      <c r="B37" s="58"/>
      <c r="C37" s="58"/>
      <c r="E37" s="70">
        <v>93139</v>
      </c>
      <c r="F37" s="60"/>
      <c r="G37" s="70">
        <v>59891</v>
      </c>
      <c r="H37" s="70"/>
      <c r="I37" s="70">
        <v>0</v>
      </c>
      <c r="J37" s="60"/>
      <c r="K37" s="70">
        <v>-10324</v>
      </c>
      <c r="L37" s="70"/>
      <c r="M37" s="70">
        <v>126435</v>
      </c>
      <c r="N37" s="71"/>
      <c r="O37" s="70">
        <f>SUM(E37:M37)</f>
        <v>269141</v>
      </c>
      <c r="P37" s="71"/>
      <c r="Q37" s="112">
        <v>801</v>
      </c>
      <c r="R37" s="71"/>
      <c r="S37" s="130">
        <f>Q37+O37</f>
        <v>269942</v>
      </c>
      <c r="T37" s="71"/>
    </row>
    <row r="38" spans="1:20" ht="15.75">
      <c r="A38" s="69"/>
      <c r="B38" s="58"/>
      <c r="C38" s="58"/>
      <c r="E38" s="70"/>
      <c r="F38" s="60"/>
      <c r="G38" s="70"/>
      <c r="H38" s="70"/>
      <c r="I38" s="70"/>
      <c r="J38" s="60"/>
      <c r="K38" s="70"/>
      <c r="L38" s="70"/>
      <c r="M38" s="70"/>
      <c r="N38" s="71"/>
      <c r="O38" s="70"/>
      <c r="P38" s="71"/>
      <c r="Q38" s="50"/>
      <c r="R38" s="71"/>
      <c r="S38" s="50"/>
      <c r="T38" s="71"/>
    </row>
    <row r="39" spans="1:20" ht="15.75">
      <c r="A39" s="69" t="s">
        <v>119</v>
      </c>
      <c r="B39" s="58"/>
      <c r="C39" s="58"/>
      <c r="E39" s="70">
        <v>0</v>
      </c>
      <c r="F39" s="60"/>
      <c r="G39" s="70">
        <v>0</v>
      </c>
      <c r="H39" s="70"/>
      <c r="I39" s="70">
        <v>0</v>
      </c>
      <c r="J39" s="60"/>
      <c r="K39" s="70">
        <v>0</v>
      </c>
      <c r="L39" s="70"/>
      <c r="M39" s="70">
        <v>4130</v>
      </c>
      <c r="N39" s="71"/>
      <c r="O39" s="70">
        <f>SUM(E39:M39)</f>
        <v>4130</v>
      </c>
      <c r="P39" s="71"/>
      <c r="Q39" s="112">
        <v>102</v>
      </c>
      <c r="R39" s="71"/>
      <c r="S39" s="130">
        <f>Q39+O39</f>
        <v>4232</v>
      </c>
      <c r="T39" s="71"/>
    </row>
    <row r="40" spans="1:20" ht="15.75">
      <c r="A40" s="69"/>
      <c r="B40" s="58"/>
      <c r="C40" s="58"/>
      <c r="E40" s="70"/>
      <c r="F40" s="60"/>
      <c r="G40" s="70"/>
      <c r="H40" s="70"/>
      <c r="I40" s="70"/>
      <c r="J40" s="60"/>
      <c r="K40" s="70"/>
      <c r="L40" s="70"/>
      <c r="M40" s="70"/>
      <c r="N40" s="71"/>
      <c r="O40" s="70"/>
      <c r="P40" s="71"/>
      <c r="Q40" s="112"/>
      <c r="R40" s="71"/>
      <c r="S40" s="130"/>
      <c r="T40" s="71"/>
    </row>
    <row r="41" spans="1:20" ht="15.75">
      <c r="A41" s="69" t="s">
        <v>129</v>
      </c>
      <c r="B41" s="58"/>
      <c r="C41" s="58"/>
      <c r="E41" s="70">
        <v>0</v>
      </c>
      <c r="F41" s="60"/>
      <c r="G41" s="70">
        <v>0</v>
      </c>
      <c r="H41" s="70"/>
      <c r="I41" s="70">
        <v>0</v>
      </c>
      <c r="J41" s="60"/>
      <c r="K41" s="70">
        <v>0</v>
      </c>
      <c r="L41" s="70"/>
      <c r="M41" s="70">
        <v>0</v>
      </c>
      <c r="N41" s="71"/>
      <c r="O41" s="70">
        <f>SUM(E41:M41)</f>
        <v>0</v>
      </c>
      <c r="P41" s="71"/>
      <c r="Q41" s="112"/>
      <c r="R41" s="71"/>
      <c r="S41" s="130">
        <f>Q41+O41</f>
        <v>0</v>
      </c>
      <c r="T41" s="71"/>
    </row>
    <row r="42" spans="1:20" ht="15.75">
      <c r="A42" s="69"/>
      <c r="B42" s="58"/>
      <c r="C42" s="58"/>
      <c r="E42" s="70"/>
      <c r="F42" s="60"/>
      <c r="G42" s="70"/>
      <c r="H42" s="70"/>
      <c r="I42" s="70"/>
      <c r="J42" s="60"/>
      <c r="K42" s="70"/>
      <c r="L42" s="70"/>
      <c r="M42" s="70"/>
      <c r="N42" s="71"/>
      <c r="O42" s="70"/>
      <c r="P42" s="71"/>
      <c r="Q42" s="112"/>
      <c r="R42" s="71"/>
      <c r="S42" s="130"/>
      <c r="T42" s="71"/>
    </row>
    <row r="43" spans="1:20" ht="15.75">
      <c r="A43" s="69" t="s">
        <v>150</v>
      </c>
      <c r="B43" s="58"/>
      <c r="C43" s="58"/>
      <c r="E43" s="70"/>
      <c r="F43" s="60"/>
      <c r="G43" s="70"/>
      <c r="H43" s="70"/>
      <c r="I43" s="70"/>
      <c r="J43" s="60"/>
      <c r="K43" s="70"/>
      <c r="L43" s="70"/>
      <c r="M43" s="70"/>
      <c r="N43" s="71"/>
      <c r="O43" s="70"/>
      <c r="P43" s="71"/>
      <c r="Q43" s="112"/>
      <c r="R43" s="71"/>
      <c r="S43" s="130"/>
      <c r="T43" s="71"/>
    </row>
    <row r="44" spans="1:20" ht="15.75">
      <c r="A44" s="175" t="s">
        <v>151</v>
      </c>
      <c r="B44" s="58"/>
      <c r="C44" s="58"/>
      <c r="E44" s="70"/>
      <c r="F44" s="60"/>
      <c r="G44" s="70"/>
      <c r="H44" s="70"/>
      <c r="I44" s="70"/>
      <c r="J44" s="60"/>
      <c r="K44" s="70"/>
      <c r="L44" s="70"/>
      <c r="M44" s="70"/>
      <c r="N44" s="71"/>
      <c r="O44" s="70"/>
      <c r="P44" s="71"/>
      <c r="Q44" s="112"/>
      <c r="R44" s="71"/>
      <c r="S44" s="130"/>
      <c r="T44" s="71"/>
    </row>
    <row r="45" spans="1:20" ht="15.75">
      <c r="A45" s="175"/>
      <c r="B45" s="60" t="s">
        <v>152</v>
      </c>
      <c r="C45" s="60"/>
      <c r="D45" s="71"/>
      <c r="E45" s="70">
        <v>0</v>
      </c>
      <c r="F45" s="60"/>
      <c r="G45" s="70">
        <v>0</v>
      </c>
      <c r="H45" s="70"/>
      <c r="I45" s="70">
        <v>4343</v>
      </c>
      <c r="J45" s="60"/>
      <c r="K45" s="70">
        <v>0</v>
      </c>
      <c r="L45" s="70"/>
      <c r="M45" s="70">
        <v>0</v>
      </c>
      <c r="N45" s="71"/>
      <c r="O45" s="70">
        <f>SUM(E45:M45)</f>
        <v>4343</v>
      </c>
      <c r="P45" s="71"/>
      <c r="Q45" s="112">
        <v>0</v>
      </c>
      <c r="R45" s="71"/>
      <c r="S45" s="130">
        <f>Q45+O45</f>
        <v>4343</v>
      </c>
      <c r="T45" s="71"/>
    </row>
    <row r="46" spans="1:20" ht="15.75">
      <c r="A46" s="175"/>
      <c r="B46" s="60"/>
      <c r="C46" s="60"/>
      <c r="D46" s="71"/>
      <c r="E46" s="70"/>
      <c r="F46" s="60"/>
      <c r="G46" s="70"/>
      <c r="H46" s="70"/>
      <c r="I46" s="70"/>
      <c r="J46" s="60"/>
      <c r="K46" s="70"/>
      <c r="L46" s="70"/>
      <c r="M46" s="70"/>
      <c r="N46" s="71"/>
      <c r="O46" s="70"/>
      <c r="P46" s="71"/>
      <c r="Q46" s="112"/>
      <c r="R46" s="71"/>
      <c r="S46" s="130"/>
      <c r="T46" s="71"/>
    </row>
    <row r="47" spans="1:20" ht="22.5" customHeight="1">
      <c r="A47" s="69" t="s">
        <v>153</v>
      </c>
      <c r="B47" s="60"/>
      <c r="C47" s="60"/>
      <c r="D47" s="71"/>
      <c r="E47" s="70">
        <v>0</v>
      </c>
      <c r="F47" s="60"/>
      <c r="G47" s="70">
        <v>0</v>
      </c>
      <c r="H47" s="70"/>
      <c r="I47" s="70">
        <v>0</v>
      </c>
      <c r="J47" s="60"/>
      <c r="K47" s="70">
        <v>0</v>
      </c>
      <c r="L47" s="70"/>
      <c r="M47" s="70">
        <v>-437</v>
      </c>
      <c r="N47" s="71"/>
      <c r="O47" s="70">
        <f>SUM(E47:M47)</f>
        <v>-437</v>
      </c>
      <c r="P47" s="71"/>
      <c r="Q47" s="112">
        <v>0</v>
      </c>
      <c r="R47" s="71"/>
      <c r="S47" s="130">
        <f>Q47+O47</f>
        <v>-437</v>
      </c>
      <c r="T47" s="71"/>
    </row>
    <row r="48" spans="1:19" ht="15.75">
      <c r="A48" s="69"/>
      <c r="B48" s="60"/>
      <c r="C48" s="60"/>
      <c r="D48" s="71"/>
      <c r="E48" s="70"/>
      <c r="F48" s="60"/>
      <c r="G48" s="70"/>
      <c r="H48" s="70"/>
      <c r="I48" s="70"/>
      <c r="J48" s="60"/>
      <c r="K48" s="70"/>
      <c r="L48" s="70"/>
      <c r="M48" s="70"/>
      <c r="N48" s="71"/>
      <c r="O48" s="70"/>
      <c r="P48" s="71"/>
      <c r="Q48" s="112"/>
      <c r="R48" s="71"/>
      <c r="S48" s="130"/>
    </row>
    <row r="49" spans="1:19" ht="15.75">
      <c r="A49" s="69" t="s">
        <v>154</v>
      </c>
      <c r="B49" s="60"/>
      <c r="C49" s="60"/>
      <c r="D49" s="71"/>
      <c r="E49" s="70">
        <v>0</v>
      </c>
      <c r="F49" s="60"/>
      <c r="G49" s="70">
        <v>0</v>
      </c>
      <c r="H49" s="70"/>
      <c r="I49" s="70">
        <v>2</v>
      </c>
      <c r="J49" s="60"/>
      <c r="K49" s="70">
        <v>0</v>
      </c>
      <c r="L49" s="70"/>
      <c r="M49" s="70">
        <v>0</v>
      </c>
      <c r="N49" s="71"/>
      <c r="O49" s="70">
        <f>SUM(E49:M49)</f>
        <v>2</v>
      </c>
      <c r="P49" s="71"/>
      <c r="Q49" s="112">
        <v>0</v>
      </c>
      <c r="R49" s="71"/>
      <c r="S49" s="130">
        <f>Q49+O49</f>
        <v>2</v>
      </c>
    </row>
    <row r="50" spans="1:19" ht="15.75">
      <c r="A50" s="73"/>
      <c r="B50" s="58"/>
      <c r="C50" s="58"/>
      <c r="E50" s="70"/>
      <c r="F50" s="63"/>
      <c r="G50" s="74"/>
      <c r="H50" s="74"/>
      <c r="I50" s="74"/>
      <c r="J50" s="63"/>
      <c r="K50" s="74"/>
      <c r="L50" s="74"/>
      <c r="M50" s="74"/>
      <c r="N50" s="71"/>
      <c r="O50" s="70"/>
      <c r="P50" s="71"/>
      <c r="Q50" s="159"/>
      <c r="R50" s="71"/>
      <c r="S50" s="50"/>
    </row>
    <row r="51" spans="1:19" ht="16.5" thickBot="1">
      <c r="A51" s="69" t="s">
        <v>132</v>
      </c>
      <c r="B51" s="58"/>
      <c r="C51" s="58"/>
      <c r="E51" s="75">
        <f>SUM(E36:E50)</f>
        <v>93139</v>
      </c>
      <c r="F51" s="75"/>
      <c r="G51" s="75">
        <f>SUM(G36:G50)</f>
        <v>59891</v>
      </c>
      <c r="H51" s="75">
        <f>SUM(H36:H50)</f>
        <v>0</v>
      </c>
      <c r="I51" s="75">
        <f>SUM(I36:I50)</f>
        <v>4345</v>
      </c>
      <c r="J51" s="75"/>
      <c r="K51" s="75">
        <f>SUM(K36:K50)</f>
        <v>-10324</v>
      </c>
      <c r="L51" s="70"/>
      <c r="M51" s="75">
        <f>SUM(M36:M50)</f>
        <v>130128</v>
      </c>
      <c r="N51" s="71"/>
      <c r="O51" s="75">
        <f>SUM(O36:O50)</f>
        <v>277179</v>
      </c>
      <c r="P51" s="71"/>
      <c r="Q51" s="75">
        <f>SUM(Q36:Q50)</f>
        <v>903</v>
      </c>
      <c r="R51" s="71"/>
      <c r="S51" s="75">
        <f>SUM(S36:S50)</f>
        <v>278082</v>
      </c>
    </row>
    <row r="52" spans="1:19" ht="16.5" thickTop="1">
      <c r="A52" s="69"/>
      <c r="B52" s="58"/>
      <c r="C52" s="58"/>
      <c r="E52" s="70"/>
      <c r="F52" s="70"/>
      <c r="G52" s="70"/>
      <c r="H52" s="70"/>
      <c r="I52" s="70"/>
      <c r="J52" s="70"/>
      <c r="K52" s="70"/>
      <c r="L52" s="70"/>
      <c r="M52" s="70"/>
      <c r="N52" s="71"/>
      <c r="O52" s="70"/>
      <c r="P52" s="71"/>
      <c r="Q52" s="70"/>
      <c r="R52" s="71"/>
      <c r="S52" s="70"/>
    </row>
    <row r="53" spans="1:19" ht="15.75">
      <c r="A53" s="69"/>
      <c r="B53" s="58"/>
      <c r="C53" s="58"/>
      <c r="E53" s="70"/>
      <c r="F53" s="70"/>
      <c r="G53" s="70"/>
      <c r="H53" s="70"/>
      <c r="I53" s="70"/>
      <c r="J53" s="70"/>
      <c r="K53" s="70"/>
      <c r="L53" s="70"/>
      <c r="M53" s="70"/>
      <c r="N53" s="71"/>
      <c r="O53" s="70"/>
      <c r="P53" s="71"/>
      <c r="Q53" s="70"/>
      <c r="R53" s="71"/>
      <c r="S53" s="70"/>
    </row>
    <row r="54" spans="1:13" ht="15">
      <c r="A54" s="77"/>
      <c r="B54" s="77"/>
      <c r="C54" s="77"/>
      <c r="E54" s="77"/>
      <c r="F54" s="77"/>
      <c r="G54" s="77"/>
      <c r="H54" s="77"/>
      <c r="I54" s="77"/>
      <c r="J54" s="77"/>
      <c r="K54" s="78"/>
      <c r="L54" s="78"/>
      <c r="M54" s="79"/>
    </row>
    <row r="55" spans="1:19" ht="35.25" customHeight="1">
      <c r="A55" s="190" t="s">
        <v>161</v>
      </c>
      <c r="B55" s="190"/>
      <c r="C55" s="190"/>
      <c r="D55" s="190"/>
      <c r="E55" s="190"/>
      <c r="F55" s="190"/>
      <c r="G55" s="190"/>
      <c r="H55" s="190"/>
      <c r="I55" s="190"/>
      <c r="J55" s="190"/>
      <c r="K55" s="190"/>
      <c r="L55" s="190"/>
      <c r="M55" s="190"/>
      <c r="N55" s="190"/>
      <c r="O55" s="190"/>
      <c r="P55" s="190"/>
      <c r="Q55" s="190"/>
      <c r="R55" s="190"/>
      <c r="S55" s="190"/>
    </row>
    <row r="56" spans="2:13" ht="15.75">
      <c r="B56" s="68"/>
      <c r="C56" s="80"/>
      <c r="D56" s="80"/>
      <c r="F56" s="81"/>
      <c r="G56" s="81"/>
      <c r="H56" s="81"/>
      <c r="I56" s="81"/>
      <c r="J56" s="81"/>
      <c r="K56" s="81"/>
      <c r="L56" s="81"/>
      <c r="M56" s="81"/>
    </row>
    <row r="57" spans="2:15" ht="15.75">
      <c r="B57" s="80"/>
      <c r="C57" s="80"/>
      <c r="D57" s="80"/>
      <c r="K57" s="82"/>
      <c r="L57" s="82"/>
      <c r="M57" s="82"/>
      <c r="O57" s="82"/>
    </row>
    <row r="58" spans="2:4" ht="15.75">
      <c r="B58" s="83"/>
      <c r="C58" s="80"/>
      <c r="D58" s="80"/>
    </row>
    <row r="59" spans="2:15" ht="15.75">
      <c r="B59" s="80"/>
      <c r="C59" s="80"/>
      <c r="E59" s="84"/>
      <c r="K59" s="85"/>
      <c r="L59" s="85"/>
      <c r="M59" s="85"/>
      <c r="O59" s="85"/>
    </row>
    <row r="60" spans="2:15" ht="15.75">
      <c r="B60" s="80"/>
      <c r="C60" s="80"/>
      <c r="K60" s="85"/>
      <c r="L60" s="85"/>
      <c r="M60" s="85"/>
      <c r="O60" s="85"/>
    </row>
    <row r="61" spans="2:3" ht="15.75">
      <c r="B61" s="80"/>
      <c r="C61" s="80"/>
    </row>
    <row r="62" spans="2:3" ht="15.75">
      <c r="B62" s="68"/>
      <c r="C62" s="80"/>
    </row>
    <row r="63" spans="1:15" ht="15.75">
      <c r="A63" s="80"/>
      <c r="B63" s="80"/>
      <c r="C63" s="80"/>
      <c r="K63" s="85"/>
      <c r="L63" s="85"/>
      <c r="M63" s="85"/>
      <c r="O63" s="85"/>
    </row>
    <row r="64" spans="2:15" ht="15.75">
      <c r="B64" s="80"/>
      <c r="C64" s="80"/>
      <c r="K64" s="85"/>
      <c r="L64" s="85"/>
      <c r="M64" s="85"/>
      <c r="O64" s="85"/>
    </row>
    <row r="65" spans="1:5" ht="15.75">
      <c r="A65" s="80"/>
      <c r="B65" s="80"/>
      <c r="C65" s="80"/>
      <c r="D65" s="80"/>
      <c r="E65" s="86"/>
    </row>
    <row r="66" spans="1:10" ht="15.75">
      <c r="A66" s="80"/>
      <c r="B66" s="80"/>
      <c r="C66" s="80"/>
      <c r="D66" s="80"/>
      <c r="E66" s="86"/>
      <c r="F66" s="80"/>
      <c r="G66" s="80"/>
      <c r="H66" s="80"/>
      <c r="I66" s="80"/>
      <c r="J66" s="80"/>
    </row>
    <row r="67" spans="1:10" ht="15.75">
      <c r="A67" s="80"/>
      <c r="B67" s="68"/>
      <c r="C67" s="80"/>
      <c r="D67" s="80"/>
      <c r="E67" s="86"/>
      <c r="F67" s="80"/>
      <c r="G67" s="80"/>
      <c r="H67" s="80"/>
      <c r="I67" s="80"/>
      <c r="J67" s="80"/>
    </row>
    <row r="68" spans="1:15" ht="15.75">
      <c r="A68" s="80"/>
      <c r="B68" s="80"/>
      <c r="C68" s="80"/>
      <c r="D68" s="80"/>
      <c r="E68" s="86"/>
      <c r="F68" s="80"/>
      <c r="G68" s="80"/>
      <c r="H68" s="80"/>
      <c r="I68" s="80"/>
      <c r="J68" s="80"/>
      <c r="K68" s="87"/>
      <c r="L68" s="87"/>
      <c r="M68" s="87"/>
      <c r="O68" s="87"/>
    </row>
    <row r="69" spans="1:15" ht="15.75">
      <c r="A69" s="80"/>
      <c r="B69" s="80"/>
      <c r="C69" s="80"/>
      <c r="D69" s="80"/>
      <c r="E69" s="86"/>
      <c r="F69" s="88"/>
      <c r="G69" s="88"/>
      <c r="H69" s="88"/>
      <c r="I69" s="88"/>
      <c r="J69" s="88"/>
      <c r="K69" s="88"/>
      <c r="L69" s="88"/>
      <c r="M69" s="88"/>
      <c r="O69" s="88"/>
    </row>
    <row r="70" spans="1:15" ht="15.75">
      <c r="A70" s="80"/>
      <c r="B70" s="80"/>
      <c r="C70" s="80"/>
      <c r="D70" s="80"/>
      <c r="E70" s="86"/>
      <c r="F70" s="89"/>
      <c r="G70" s="89"/>
      <c r="H70" s="89"/>
      <c r="I70" s="89"/>
      <c r="J70" s="89"/>
      <c r="K70" s="89"/>
      <c r="L70" s="89"/>
      <c r="M70" s="89"/>
      <c r="O70" s="89"/>
    </row>
    <row r="71" spans="1:5" ht="15.75">
      <c r="A71" s="80"/>
      <c r="B71" s="80"/>
      <c r="C71" s="80"/>
      <c r="D71" s="80"/>
      <c r="E71" s="86"/>
    </row>
    <row r="72" spans="1:5" ht="15.75">
      <c r="A72" s="80"/>
      <c r="B72" s="68"/>
      <c r="C72" s="80"/>
      <c r="D72" s="80"/>
      <c r="E72" s="86"/>
    </row>
    <row r="73" spans="1:15" ht="15.75">
      <c r="A73" s="80"/>
      <c r="B73" s="80"/>
      <c r="C73" s="80"/>
      <c r="D73" s="80"/>
      <c r="E73" s="86"/>
      <c r="F73" s="90"/>
      <c r="G73" s="90"/>
      <c r="H73" s="90"/>
      <c r="I73" s="90"/>
      <c r="J73" s="90"/>
      <c r="K73" s="90"/>
      <c r="L73" s="90"/>
      <c r="M73" s="90"/>
      <c r="O73" s="90"/>
    </row>
    <row r="74" spans="1:15" ht="15.75">
      <c r="A74" s="80"/>
      <c r="B74" s="80"/>
      <c r="C74" s="80"/>
      <c r="D74" s="80"/>
      <c r="E74" s="86"/>
      <c r="F74" s="91"/>
      <c r="G74" s="91"/>
      <c r="H74" s="91"/>
      <c r="I74" s="91"/>
      <c r="J74" s="91"/>
      <c r="K74" s="91"/>
      <c r="L74" s="91"/>
      <c r="M74" s="91"/>
      <c r="O74" s="91"/>
    </row>
    <row r="75" spans="1:15" ht="15.75">
      <c r="A75" s="80"/>
      <c r="B75" s="80"/>
      <c r="C75" s="80"/>
      <c r="D75" s="80"/>
      <c r="E75" s="86"/>
      <c r="F75" s="91"/>
      <c r="G75" s="91"/>
      <c r="H75" s="91"/>
      <c r="I75" s="91"/>
      <c r="J75" s="91"/>
      <c r="K75" s="91"/>
      <c r="L75" s="91"/>
      <c r="M75" s="91"/>
      <c r="O75" s="91"/>
    </row>
    <row r="76" spans="1:15" ht="15.75">
      <c r="A76" s="80"/>
      <c r="B76" s="80"/>
      <c r="C76" s="80"/>
      <c r="D76" s="80"/>
      <c r="E76" s="86"/>
      <c r="F76" s="92"/>
      <c r="G76" s="92"/>
      <c r="H76" s="92"/>
      <c r="I76" s="92"/>
      <c r="J76" s="92"/>
      <c r="K76" s="88"/>
      <c r="L76" s="88"/>
      <c r="M76" s="88"/>
      <c r="O76" s="88"/>
    </row>
    <row r="77" spans="1:15" ht="15.75">
      <c r="A77" s="80"/>
      <c r="B77" s="80"/>
      <c r="C77" s="80"/>
      <c r="D77" s="80"/>
      <c r="E77" s="86"/>
      <c r="F77" s="92"/>
      <c r="G77" s="92"/>
      <c r="H77" s="92"/>
      <c r="I77" s="92"/>
      <c r="J77" s="92"/>
      <c r="K77" s="88"/>
      <c r="L77" s="88"/>
      <c r="M77" s="88"/>
      <c r="O77" s="88"/>
    </row>
    <row r="78" spans="1:15" ht="15.75">
      <c r="A78" s="80"/>
      <c r="B78" s="80"/>
      <c r="C78" s="80"/>
      <c r="D78" s="80"/>
      <c r="E78" s="86"/>
      <c r="F78" s="93"/>
      <c r="G78" s="93"/>
      <c r="H78" s="93"/>
      <c r="I78" s="93"/>
      <c r="J78" s="93"/>
      <c r="K78" s="93"/>
      <c r="L78" s="93"/>
      <c r="M78" s="93"/>
      <c r="O78" s="93"/>
    </row>
    <row r="79" spans="1:5" ht="15.75">
      <c r="A79" s="80"/>
      <c r="B79" s="80"/>
      <c r="C79" s="80"/>
      <c r="D79" s="80"/>
      <c r="E79" s="86"/>
    </row>
    <row r="80" spans="1:5" ht="15.75">
      <c r="A80" s="80"/>
      <c r="B80" s="80"/>
      <c r="C80" s="80"/>
      <c r="D80" s="80"/>
      <c r="E80" s="86"/>
    </row>
    <row r="81" spans="1:5" ht="15.75">
      <c r="A81" s="80"/>
      <c r="B81" s="80"/>
      <c r="C81" s="80"/>
      <c r="D81" s="80"/>
      <c r="E81" s="86"/>
    </row>
    <row r="82" spans="1:5" ht="15.75">
      <c r="A82" s="80"/>
      <c r="B82" s="80"/>
      <c r="C82" s="80"/>
      <c r="D82" s="80"/>
      <c r="E82" s="86"/>
    </row>
    <row r="83" spans="1:5" ht="15.75">
      <c r="A83" s="80"/>
      <c r="B83" s="80"/>
      <c r="C83" s="80"/>
      <c r="D83" s="80"/>
      <c r="E83" s="86"/>
    </row>
  </sheetData>
  <sheetProtection password="84DD" sheet="1" objects="1" scenarios="1" selectLockedCells="1" selectUnlockedCells="1"/>
  <mergeCells count="3">
    <mergeCell ref="A55:S55"/>
    <mergeCell ref="K12:M12"/>
    <mergeCell ref="E12:I12"/>
  </mergeCells>
  <printOptions/>
  <pageMargins left="0.7874015748031497" right="0.3937007874015748" top="0.7874015748031497" bottom="0.1968503937007874" header="0.2362204724409449" footer="0.15748031496062992"/>
  <pageSetup fitToHeight="1" fitToWidth="1" horizontalDpi="600" verticalDpi="600" orientation="portrait" scale="68" r:id="rId2"/>
  <drawing r:id="rId1"/>
</worksheet>
</file>

<file path=xl/worksheets/sheet4.xml><?xml version="1.0" encoding="utf-8"?>
<worksheet xmlns="http://schemas.openxmlformats.org/spreadsheetml/2006/main" xmlns:r="http://schemas.openxmlformats.org/officeDocument/2006/relationships">
  <dimension ref="A1:O98"/>
  <sheetViews>
    <sheetView tabSelected="1" view="pageBreakPreview" zoomScaleSheetLayoutView="100" zoomScalePageLayoutView="0" workbookViewId="0" topLeftCell="A9">
      <selection activeCell="K5" sqref="K5:O72"/>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1" customWidth="1"/>
    <col min="8" max="8" width="2.140625" style="53" customWidth="1"/>
    <col min="9" max="9" width="13.00390625" style="81" customWidth="1"/>
    <col min="10" max="10" width="8.00390625" style="53" customWidth="1"/>
    <col min="11" max="11" width="12.140625" style="53" hidden="1" customWidth="1"/>
    <col min="12" max="12" width="11.421875" style="53" hidden="1" customWidth="1"/>
    <col min="13" max="13" width="11.28125" style="53" hidden="1" customWidth="1"/>
    <col min="14" max="15" width="0" style="53" hidden="1" customWidth="1"/>
    <col min="16"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 t="s">
        <v>143</v>
      </c>
      <c r="B3" s="51"/>
      <c r="C3" s="51"/>
      <c r="D3" s="51"/>
      <c r="E3" s="51"/>
      <c r="F3" s="51"/>
      <c r="G3" s="52"/>
      <c r="H3" s="50"/>
      <c r="I3" s="52"/>
    </row>
    <row r="4" spans="1:9" ht="15.75">
      <c r="A4" s="1" t="s">
        <v>144</v>
      </c>
      <c r="C4" s="51"/>
      <c r="D4" s="51"/>
      <c r="E4" s="51"/>
      <c r="F4" s="51"/>
      <c r="G4" s="52"/>
      <c r="H4" s="50"/>
      <c r="I4" s="52"/>
    </row>
    <row r="5" spans="1:9" ht="9" customHeight="1" thickBot="1">
      <c r="A5" s="54"/>
      <c r="B5" s="55"/>
      <c r="C5" s="55"/>
      <c r="D5" s="55"/>
      <c r="E5" s="55"/>
      <c r="F5" s="55"/>
      <c r="G5" s="56"/>
      <c r="H5" s="54"/>
      <c r="I5" s="56"/>
    </row>
    <row r="6" spans="1:9" ht="15">
      <c r="A6" s="51"/>
      <c r="B6" s="51"/>
      <c r="C6" s="51"/>
      <c r="D6" s="51"/>
      <c r="E6" s="51"/>
      <c r="F6" s="51"/>
      <c r="G6" s="52"/>
      <c r="H6" s="50"/>
      <c r="I6" s="52"/>
    </row>
    <row r="7" spans="1:10" ht="15">
      <c r="A7" s="50" t="s">
        <v>28</v>
      </c>
      <c r="B7" s="58"/>
      <c r="C7" s="58"/>
      <c r="D7" s="58"/>
      <c r="E7" s="58"/>
      <c r="F7" s="58"/>
      <c r="G7" s="59"/>
      <c r="H7" s="60"/>
      <c r="I7" s="59"/>
      <c r="J7" s="61"/>
    </row>
    <row r="8" spans="1:10" ht="15.75">
      <c r="A8" s="1" t="str">
        <f>pl!A9</f>
        <v>FOR THE PERIOD ENDED 31 DECEMBER 2011</v>
      </c>
      <c r="B8" s="58"/>
      <c r="C8" s="58"/>
      <c r="D8" s="58"/>
      <c r="E8" s="58"/>
      <c r="F8" s="58"/>
      <c r="G8" s="59"/>
      <c r="H8" s="60"/>
      <c r="I8" s="59"/>
      <c r="J8" s="61"/>
    </row>
    <row r="9" spans="1:9" ht="15">
      <c r="A9" s="51"/>
      <c r="B9" s="50"/>
      <c r="C9" s="51"/>
      <c r="D9" s="51"/>
      <c r="E9" s="51"/>
      <c r="F9" s="51"/>
      <c r="G9" s="66" t="s">
        <v>181</v>
      </c>
      <c r="H9" s="63"/>
      <c r="I9" s="66" t="str">
        <f>+G9</f>
        <v>6 months</v>
      </c>
    </row>
    <row r="10" spans="1:9" ht="15">
      <c r="A10" s="51"/>
      <c r="B10" s="50"/>
      <c r="C10" s="51"/>
      <c r="D10" s="51"/>
      <c r="E10" s="51"/>
      <c r="F10" s="51"/>
      <c r="G10" s="66" t="s">
        <v>29</v>
      </c>
      <c r="H10" s="63"/>
      <c r="I10" s="66" t="s">
        <v>29</v>
      </c>
    </row>
    <row r="11" spans="1:9" ht="15">
      <c r="A11" s="51"/>
      <c r="B11" s="50"/>
      <c r="C11" s="51"/>
      <c r="D11" s="51"/>
      <c r="E11" s="51"/>
      <c r="F11" s="51"/>
      <c r="G11" s="18" t="str">
        <f>+pl!E14</f>
        <v>31.12.2011</v>
      </c>
      <c r="H11" s="63"/>
      <c r="I11" s="18" t="str">
        <f>+pl!G14</f>
        <v>31.12.2010</v>
      </c>
    </row>
    <row r="12" spans="1:9" ht="15">
      <c r="A12" s="51"/>
      <c r="B12" s="50"/>
      <c r="C12" s="51"/>
      <c r="D12" s="51"/>
      <c r="E12" s="51"/>
      <c r="F12" s="51"/>
      <c r="G12" s="67" t="s">
        <v>4</v>
      </c>
      <c r="H12" s="63"/>
      <c r="I12" s="67" t="s">
        <v>4</v>
      </c>
    </row>
    <row r="13" spans="1:9" ht="7.5" customHeight="1">
      <c r="A13" s="51"/>
      <c r="B13" s="50"/>
      <c r="C13" s="51"/>
      <c r="D13" s="51"/>
      <c r="E13" s="51"/>
      <c r="F13" s="51"/>
      <c r="G13" s="52"/>
      <c r="H13" s="58"/>
      <c r="I13" s="52"/>
    </row>
    <row r="14" spans="1:9" ht="15.75">
      <c r="A14" s="51"/>
      <c r="B14" s="83"/>
      <c r="C14" s="83"/>
      <c r="D14" s="83"/>
      <c r="E14" s="83"/>
      <c r="F14" s="83"/>
      <c r="G14" s="94"/>
      <c r="H14" s="58"/>
      <c r="I14" s="94"/>
    </row>
    <row r="15" spans="1:9" ht="15.75">
      <c r="A15" s="51"/>
      <c r="B15" s="83" t="s">
        <v>121</v>
      </c>
      <c r="C15" s="83"/>
      <c r="D15" s="83"/>
      <c r="E15" s="83"/>
      <c r="F15" s="83"/>
      <c r="G15" s="94">
        <f>+pl!I36</f>
        <v>954</v>
      </c>
      <c r="H15" s="58"/>
      <c r="I15" s="94">
        <f>+pl!K36</f>
        <v>1214</v>
      </c>
    </row>
    <row r="16" spans="1:9" ht="15.75">
      <c r="A16" s="51"/>
      <c r="B16" s="83"/>
      <c r="C16" s="83"/>
      <c r="D16" s="83"/>
      <c r="E16" s="83"/>
      <c r="F16" s="83"/>
      <c r="G16" s="94"/>
      <c r="H16" s="58"/>
      <c r="I16" s="94"/>
    </row>
    <row r="17" spans="1:13" ht="15.75">
      <c r="A17" s="51"/>
      <c r="B17" s="83" t="s">
        <v>40</v>
      </c>
      <c r="C17" s="83"/>
      <c r="D17" s="83"/>
      <c r="E17" s="83"/>
      <c r="F17" s="83"/>
      <c r="G17" s="94"/>
      <c r="H17" s="58"/>
      <c r="I17" s="94"/>
      <c r="L17" s="115"/>
      <c r="M17" s="117" t="s">
        <v>51</v>
      </c>
    </row>
    <row r="18" spans="1:13" ht="15.75">
      <c r="A18" s="51"/>
      <c r="B18" s="83"/>
      <c r="C18" s="83" t="s">
        <v>155</v>
      </c>
      <c r="D18" s="83"/>
      <c r="E18" s="83"/>
      <c r="F18" s="83"/>
      <c r="G18" s="94">
        <f>-M21</f>
        <v>21</v>
      </c>
      <c r="H18" s="58"/>
      <c r="I18" s="94">
        <v>21</v>
      </c>
      <c r="L18" s="177">
        <v>40725</v>
      </c>
      <c r="M18" s="148">
        <f>+'bs'!H15+'bs'!H17</f>
        <v>379897</v>
      </c>
    </row>
    <row r="19" spans="1:13" ht="15.75">
      <c r="A19" s="51"/>
      <c r="B19" s="83"/>
      <c r="C19" s="83" t="s">
        <v>30</v>
      </c>
      <c r="D19" s="83"/>
      <c r="E19" s="83"/>
      <c r="F19" s="83"/>
      <c r="G19" s="95">
        <f>-M22</f>
        <v>24507</v>
      </c>
      <c r="H19" s="58"/>
      <c r="I19" s="95">
        <v>20976</v>
      </c>
      <c r="L19" s="178" t="s">
        <v>52</v>
      </c>
      <c r="M19" s="148">
        <f>+M23-M22-M18-M20-M21</f>
        <v>-170</v>
      </c>
    </row>
    <row r="20" spans="1:13" ht="15.75">
      <c r="A20" s="51"/>
      <c r="B20" s="83"/>
      <c r="C20" s="83" t="s">
        <v>34</v>
      </c>
      <c r="D20" s="83"/>
      <c r="E20" s="83"/>
      <c r="F20" s="83"/>
      <c r="G20" s="95">
        <f>-M20</f>
        <v>-121</v>
      </c>
      <c r="H20" s="58"/>
      <c r="I20" s="95">
        <v>0</v>
      </c>
      <c r="L20" s="178" t="s">
        <v>54</v>
      </c>
      <c r="M20" s="148">
        <f>121</f>
        <v>121</v>
      </c>
    </row>
    <row r="21" spans="1:13" ht="15.75">
      <c r="A21" s="51"/>
      <c r="B21" s="83"/>
      <c r="C21" s="83" t="s">
        <v>133</v>
      </c>
      <c r="D21" s="83"/>
      <c r="E21" s="83"/>
      <c r="F21" s="83"/>
      <c r="G21" s="95">
        <v>0</v>
      </c>
      <c r="H21" s="58"/>
      <c r="I21" s="95">
        <v>0</v>
      </c>
      <c r="L21" s="178" t="s">
        <v>157</v>
      </c>
      <c r="M21" s="148">
        <v>-21</v>
      </c>
    </row>
    <row r="22" spans="1:13" ht="15.75">
      <c r="A22" s="51"/>
      <c r="B22" s="83"/>
      <c r="C22" s="83" t="s">
        <v>125</v>
      </c>
      <c r="D22" s="83"/>
      <c r="E22" s="83"/>
      <c r="F22" s="83"/>
      <c r="G22" s="95">
        <f>'bs'!H18-'bs'!F18</f>
        <v>5166</v>
      </c>
      <c r="H22" s="58"/>
      <c r="I22" s="95">
        <v>1611</v>
      </c>
      <c r="L22" s="178" t="s">
        <v>53</v>
      </c>
      <c r="M22" s="148">
        <v>-24507</v>
      </c>
    </row>
    <row r="23" spans="1:13" ht="15.75">
      <c r="A23" s="51"/>
      <c r="B23" s="83"/>
      <c r="C23" s="83" t="s">
        <v>134</v>
      </c>
      <c r="D23" s="83"/>
      <c r="E23" s="83"/>
      <c r="F23" s="83"/>
      <c r="G23" s="95">
        <v>0</v>
      </c>
      <c r="H23" s="58"/>
      <c r="I23" s="95">
        <v>0</v>
      </c>
      <c r="L23" s="179">
        <v>40908</v>
      </c>
      <c r="M23" s="153">
        <f>+'bs'!F15+'bs'!F17</f>
        <v>355320</v>
      </c>
    </row>
    <row r="24" spans="1:9" ht="15.75">
      <c r="A24" s="51"/>
      <c r="B24" s="83"/>
      <c r="C24" s="83" t="s">
        <v>135</v>
      </c>
      <c r="D24" s="83"/>
      <c r="E24" s="83"/>
      <c r="F24" s="83"/>
      <c r="G24" s="96">
        <f>-pl!I33</f>
        <v>9647</v>
      </c>
      <c r="H24" s="58"/>
      <c r="I24" s="96">
        <v>9446</v>
      </c>
    </row>
    <row r="25" spans="1:9" ht="15.75">
      <c r="A25" s="51"/>
      <c r="B25" s="83" t="s">
        <v>31</v>
      </c>
      <c r="C25" s="83"/>
      <c r="D25" s="83"/>
      <c r="E25" s="83"/>
      <c r="F25" s="83"/>
      <c r="G25" s="94">
        <f>SUM(G14:G24)</f>
        <v>40174</v>
      </c>
      <c r="H25" s="58"/>
      <c r="I25" s="94">
        <f>SUM(I14:I24)</f>
        <v>33268</v>
      </c>
    </row>
    <row r="26" spans="1:9" ht="15.75">
      <c r="A26" s="51"/>
      <c r="B26" s="83" t="s">
        <v>32</v>
      </c>
      <c r="C26" s="83"/>
      <c r="D26" s="83"/>
      <c r="E26" s="83"/>
      <c r="F26" s="83"/>
      <c r="G26" s="94"/>
      <c r="H26" s="58"/>
      <c r="I26" s="94"/>
    </row>
    <row r="27" spans="1:9" ht="15.75">
      <c r="A27" s="51"/>
      <c r="B27" s="83"/>
      <c r="C27" s="83" t="s">
        <v>184</v>
      </c>
      <c r="D27" s="83"/>
      <c r="E27" s="83"/>
      <c r="F27" s="83"/>
      <c r="G27" s="94">
        <f>+'bs'!H22-'bs'!F22</f>
        <v>-2594</v>
      </c>
      <c r="H27" s="58"/>
      <c r="I27" s="94">
        <v>4317</v>
      </c>
    </row>
    <row r="28" spans="1:13" ht="15.75">
      <c r="A28" s="51"/>
      <c r="B28" s="83"/>
      <c r="C28" s="83" t="s">
        <v>185</v>
      </c>
      <c r="D28" s="83"/>
      <c r="E28" s="83"/>
      <c r="F28" s="83"/>
      <c r="G28" s="94">
        <f>+'bs'!H23+'bs'!H24-'bs'!F23-'bs'!F24</f>
        <v>-3067</v>
      </c>
      <c r="H28" s="58"/>
      <c r="I28" s="94">
        <v>3246</v>
      </c>
      <c r="K28" s="115"/>
      <c r="L28" s="116" t="s">
        <v>47</v>
      </c>
      <c r="M28" s="117" t="s">
        <v>48</v>
      </c>
    </row>
    <row r="29" spans="1:13" ht="15.75">
      <c r="A29" s="51"/>
      <c r="B29" s="83"/>
      <c r="C29" s="83" t="s">
        <v>175</v>
      </c>
      <c r="D29" s="83"/>
      <c r="E29" s="83"/>
      <c r="F29" s="83"/>
      <c r="G29" s="94">
        <f>+'bs'!H25-'bs'!F25</f>
        <v>1036</v>
      </c>
      <c r="H29" s="58"/>
      <c r="I29" s="94">
        <v>1128</v>
      </c>
      <c r="K29" s="118"/>
      <c r="L29" s="61"/>
      <c r="M29" s="176"/>
    </row>
    <row r="30" spans="1:13" ht="15.75">
      <c r="A30" s="51"/>
      <c r="B30" s="83"/>
      <c r="C30" s="83" t="s">
        <v>176</v>
      </c>
      <c r="D30" s="83"/>
      <c r="E30" s="83"/>
      <c r="F30" s="83"/>
      <c r="G30" s="96">
        <f>+'bs'!F48+'bs'!F49-'bs'!H48-'bs'!H49</f>
        <v>-5573</v>
      </c>
      <c r="H30" s="58"/>
      <c r="I30" s="96">
        <v>-5943</v>
      </c>
      <c r="K30" s="180" t="s">
        <v>164</v>
      </c>
      <c r="L30" s="150">
        <f>'bs'!H50</f>
        <v>2345</v>
      </c>
      <c r="M30" s="148">
        <f>'bs'!H43</f>
        <v>23557</v>
      </c>
    </row>
    <row r="31" spans="1:13" ht="15.75">
      <c r="A31" s="51"/>
      <c r="B31" s="83" t="s">
        <v>35</v>
      </c>
      <c r="C31" s="83"/>
      <c r="D31" s="83"/>
      <c r="E31" s="83"/>
      <c r="F31" s="83"/>
      <c r="G31" s="95">
        <f>SUM(G25:G30)</f>
        <v>29976</v>
      </c>
      <c r="H31" s="58"/>
      <c r="I31" s="95">
        <f>SUM(I25:I30)</f>
        <v>36016</v>
      </c>
      <c r="K31" s="181" t="s">
        <v>49</v>
      </c>
      <c r="L31" s="150">
        <f>-M32+N34-M31</f>
        <v>1092</v>
      </c>
      <c r="M31" s="148">
        <v>-953</v>
      </c>
    </row>
    <row r="32" spans="1:13" ht="15.75">
      <c r="A32" s="51"/>
      <c r="B32" s="83"/>
      <c r="C32" s="83" t="s">
        <v>33</v>
      </c>
      <c r="D32" s="83"/>
      <c r="E32" s="83"/>
      <c r="F32" s="83"/>
      <c r="G32" s="95">
        <f>-G24</f>
        <v>-9647</v>
      </c>
      <c r="H32" s="58"/>
      <c r="I32" s="95">
        <f>-I24</f>
        <v>-9446</v>
      </c>
      <c r="K32" s="181" t="s">
        <v>81</v>
      </c>
      <c r="L32" s="150"/>
      <c r="M32" s="148"/>
    </row>
    <row r="33" spans="1:14" ht="15.75">
      <c r="A33" s="51"/>
      <c r="B33" s="83"/>
      <c r="C33" s="83" t="s">
        <v>111</v>
      </c>
      <c r="D33" s="83"/>
      <c r="E33" s="83"/>
      <c r="F33" s="83"/>
      <c r="G33" s="95">
        <f>L33</f>
        <v>-2252</v>
      </c>
      <c r="H33" s="58"/>
      <c r="I33" s="95">
        <v>-2437</v>
      </c>
      <c r="K33" s="181" t="s">
        <v>50</v>
      </c>
      <c r="L33" s="150">
        <f>L35-SUM(L30:L32)</f>
        <v>-2252</v>
      </c>
      <c r="M33" s="148">
        <v>0</v>
      </c>
      <c r="N33" s="81"/>
    </row>
    <row r="34" spans="1:14" ht="15.75">
      <c r="A34" s="51"/>
      <c r="B34" s="83" t="s">
        <v>83</v>
      </c>
      <c r="C34" s="83"/>
      <c r="D34" s="83"/>
      <c r="E34" s="83"/>
      <c r="F34" s="83"/>
      <c r="G34" s="97">
        <f>SUM(G31:G33)</f>
        <v>18077</v>
      </c>
      <c r="H34" s="58"/>
      <c r="I34" s="97">
        <f>SUM(I31:I33)</f>
        <v>24133</v>
      </c>
      <c r="K34" s="182" t="s">
        <v>183</v>
      </c>
      <c r="L34" s="151">
        <f>SUM(L30:L33)</f>
        <v>1185</v>
      </c>
      <c r="M34" s="152">
        <f>SUM(M30:M33)</f>
        <v>22604</v>
      </c>
      <c r="N34" s="81">
        <f>-pl!I38</f>
        <v>139</v>
      </c>
    </row>
    <row r="35" spans="1:14" ht="15.75">
      <c r="A35" s="51"/>
      <c r="B35" s="83"/>
      <c r="C35" s="83"/>
      <c r="D35" s="83"/>
      <c r="E35" s="83"/>
      <c r="F35" s="83"/>
      <c r="G35" s="94"/>
      <c r="H35" s="76"/>
      <c r="I35" s="94"/>
      <c r="L35" s="81">
        <f>+'bs'!F50</f>
        <v>1185</v>
      </c>
      <c r="M35" s="81">
        <f>+'bs'!F43</f>
        <v>22604</v>
      </c>
      <c r="N35" s="81"/>
    </row>
    <row r="36" spans="1:14" ht="15.75">
      <c r="A36" s="51"/>
      <c r="B36" s="83" t="s">
        <v>86</v>
      </c>
      <c r="C36" s="83"/>
      <c r="D36" s="83"/>
      <c r="E36" s="83"/>
      <c r="F36" s="83"/>
      <c r="G36" s="94"/>
      <c r="H36" s="76"/>
      <c r="I36" s="94"/>
      <c r="M36" s="154">
        <f>M35-M34</f>
        <v>0</v>
      </c>
      <c r="N36" s="81"/>
    </row>
    <row r="37" spans="1:14" ht="15.75" hidden="1">
      <c r="A37" s="51"/>
      <c r="B37" s="83"/>
      <c r="C37" s="83" t="s">
        <v>138</v>
      </c>
      <c r="G37" s="94">
        <v>0</v>
      </c>
      <c r="I37" s="94">
        <v>0</v>
      </c>
      <c r="N37" s="81"/>
    </row>
    <row r="38" spans="1:14" ht="15.75">
      <c r="A38" s="51"/>
      <c r="B38" s="83"/>
      <c r="C38" s="83" t="s">
        <v>117</v>
      </c>
      <c r="D38" s="83"/>
      <c r="E38" s="83"/>
      <c r="F38" s="106"/>
      <c r="G38" s="94">
        <f>-M19</f>
        <v>170</v>
      </c>
      <c r="H38" s="76"/>
      <c r="I38" s="94">
        <v>-5285</v>
      </c>
      <c r="K38" s="53" t="s">
        <v>55</v>
      </c>
      <c r="N38" s="81"/>
    </row>
    <row r="39" spans="1:14" ht="15.75">
      <c r="A39" s="51"/>
      <c r="B39" s="83"/>
      <c r="C39" s="83" t="s">
        <v>158</v>
      </c>
      <c r="D39" s="83"/>
      <c r="E39" s="83"/>
      <c r="F39" s="106"/>
      <c r="G39" s="94">
        <v>0</v>
      </c>
      <c r="H39" s="76"/>
      <c r="I39" s="94">
        <v>0</v>
      </c>
      <c r="K39" s="183" t="s">
        <v>4</v>
      </c>
      <c r="L39" s="119" t="s">
        <v>182</v>
      </c>
      <c r="M39" s="119" t="s">
        <v>165</v>
      </c>
      <c r="N39" s="81"/>
    </row>
    <row r="40" spans="1:14" ht="15.75">
      <c r="A40" s="51"/>
      <c r="B40" s="83"/>
      <c r="C40" s="83" t="s">
        <v>137</v>
      </c>
      <c r="D40" s="83"/>
      <c r="E40" s="83"/>
      <c r="F40" s="106"/>
      <c r="G40" s="94">
        <f>'bs'!H16-'bs'!F16</f>
        <v>-864</v>
      </c>
      <c r="H40" s="76"/>
      <c r="I40" s="94">
        <v>-2350</v>
      </c>
      <c r="K40" s="183" t="s">
        <v>56</v>
      </c>
      <c r="L40" s="81">
        <v>0</v>
      </c>
      <c r="M40" s="81">
        <v>0</v>
      </c>
      <c r="N40" s="81"/>
    </row>
    <row r="41" spans="1:14" ht="15.75">
      <c r="A41" s="51"/>
      <c r="B41" s="83"/>
      <c r="C41" s="83" t="s">
        <v>130</v>
      </c>
      <c r="D41" s="83"/>
      <c r="E41" s="83"/>
      <c r="F41" s="83"/>
      <c r="G41" s="94">
        <v>0</v>
      </c>
      <c r="H41" s="76"/>
      <c r="I41" s="94">
        <v>0</v>
      </c>
      <c r="K41" s="183" t="s">
        <v>57</v>
      </c>
      <c r="L41" s="81">
        <v>0</v>
      </c>
      <c r="M41" s="81">
        <v>0</v>
      </c>
      <c r="N41" s="81"/>
    </row>
    <row r="42" spans="1:13" ht="15.75">
      <c r="A42" s="51"/>
      <c r="B42" s="83"/>
      <c r="C42" s="83" t="s">
        <v>116</v>
      </c>
      <c r="D42" s="83"/>
      <c r="E42" s="83"/>
      <c r="F42" s="83"/>
      <c r="G42" s="94">
        <v>0</v>
      </c>
      <c r="H42" s="76"/>
      <c r="I42" s="94">
        <v>0</v>
      </c>
      <c r="K42" s="183" t="s">
        <v>114</v>
      </c>
      <c r="L42" s="81">
        <v>139377</v>
      </c>
      <c r="M42" s="81">
        <v>148199</v>
      </c>
    </row>
    <row r="43" spans="1:13" ht="15.75">
      <c r="A43" s="51"/>
      <c r="B43" s="83"/>
      <c r="C43" s="83" t="s">
        <v>136</v>
      </c>
      <c r="D43" s="83"/>
      <c r="E43" s="83"/>
      <c r="F43" s="83"/>
      <c r="G43" s="94">
        <v>0</v>
      </c>
      <c r="H43" s="76"/>
      <c r="I43" s="94">
        <f>-I23</f>
        <v>0</v>
      </c>
      <c r="K43" s="183" t="s">
        <v>58</v>
      </c>
      <c r="L43" s="81">
        <v>51348</v>
      </c>
      <c r="M43" s="81">
        <v>59812</v>
      </c>
    </row>
    <row r="44" spans="1:13" ht="15.75">
      <c r="A44" s="51"/>
      <c r="B44" s="83" t="s">
        <v>82</v>
      </c>
      <c r="C44" s="83"/>
      <c r="D44" s="83"/>
      <c r="E44" s="83"/>
      <c r="F44" s="83"/>
      <c r="G44" s="97">
        <f>SUM(G37:G43)</f>
        <v>-694</v>
      </c>
      <c r="H44" s="76"/>
      <c r="I44" s="97">
        <f>SUM(I37:I43)</f>
        <v>-7635</v>
      </c>
      <c r="L44" s="149">
        <f>SUM(L40:L43)</f>
        <v>190725</v>
      </c>
      <c r="M44" s="149">
        <f>SUM(M40:M43)</f>
        <v>208011</v>
      </c>
    </row>
    <row r="45" spans="1:13" ht="15.75">
      <c r="A45" s="51"/>
      <c r="B45" s="83"/>
      <c r="C45" s="83"/>
      <c r="D45" s="83"/>
      <c r="E45" s="83"/>
      <c r="F45" s="83"/>
      <c r="G45" s="95"/>
      <c r="H45" s="76"/>
      <c r="I45" s="95"/>
      <c r="L45" s="61">
        <f>+'bs'!F42+'bs'!F47</f>
        <v>190725</v>
      </c>
      <c r="M45" s="61">
        <f>+'bs'!H42+'bs'!H47</f>
        <v>208011</v>
      </c>
    </row>
    <row r="46" spans="1:13" ht="15.75">
      <c r="A46" s="51"/>
      <c r="B46" s="83" t="s">
        <v>85</v>
      </c>
      <c r="C46" s="83"/>
      <c r="D46" s="83"/>
      <c r="E46" s="83"/>
      <c r="F46" s="83"/>
      <c r="G46" s="94"/>
      <c r="H46" s="76"/>
      <c r="I46" s="94"/>
      <c r="L46" s="154">
        <f>L44-L45</f>
        <v>0</v>
      </c>
      <c r="M46" s="154">
        <f>M44-M45</f>
        <v>0</v>
      </c>
    </row>
    <row r="47" spans="1:9" ht="15.75" hidden="1">
      <c r="A47" s="51"/>
      <c r="B47" s="83"/>
      <c r="C47" s="174" t="s">
        <v>148</v>
      </c>
      <c r="D47" s="83"/>
      <c r="E47" s="83"/>
      <c r="F47" s="83"/>
      <c r="G47" s="94">
        <f>e!O27+e!O29</f>
        <v>0</v>
      </c>
      <c r="H47" s="76"/>
      <c r="I47" s="94">
        <v>0</v>
      </c>
    </row>
    <row r="48" spans="1:9" ht="15.75" hidden="1">
      <c r="A48" s="51"/>
      <c r="B48" s="83"/>
      <c r="C48" s="174" t="s">
        <v>142</v>
      </c>
      <c r="D48" s="83"/>
      <c r="E48" s="83"/>
      <c r="F48" s="83"/>
      <c r="G48" s="94">
        <v>0</v>
      </c>
      <c r="H48" s="76"/>
      <c r="I48" s="94">
        <v>0</v>
      </c>
    </row>
    <row r="49" spans="1:9" ht="15.75" hidden="1">
      <c r="A49" s="51"/>
      <c r="B49" s="83"/>
      <c r="C49" s="174" t="s">
        <v>140</v>
      </c>
      <c r="D49" s="83"/>
      <c r="E49" s="83"/>
      <c r="F49" s="83"/>
      <c r="G49" s="94">
        <v>0</v>
      </c>
      <c r="H49" s="76"/>
      <c r="I49" s="94">
        <v>0</v>
      </c>
    </row>
    <row r="50" spans="1:15" ht="15.75">
      <c r="A50" s="51"/>
      <c r="B50" s="83"/>
      <c r="C50" s="174" t="s">
        <v>141</v>
      </c>
      <c r="D50" s="83"/>
      <c r="E50" s="83"/>
      <c r="F50" s="83"/>
      <c r="G50" s="94">
        <f>+L41-M41</f>
        <v>0</v>
      </c>
      <c r="H50" s="76"/>
      <c r="I50" s="94">
        <v>-1500</v>
      </c>
      <c r="O50" s="154"/>
    </row>
    <row r="51" spans="1:15" ht="15.75">
      <c r="A51" s="51"/>
      <c r="B51" s="83"/>
      <c r="C51" s="174" t="s">
        <v>127</v>
      </c>
      <c r="D51" s="83"/>
      <c r="E51" s="83"/>
      <c r="F51" s="83"/>
      <c r="G51" s="94">
        <f>L42-M42</f>
        <v>-8822</v>
      </c>
      <c r="H51" s="76"/>
      <c r="I51" s="94">
        <v>-9835</v>
      </c>
      <c r="O51" s="154"/>
    </row>
    <row r="52" spans="1:9" ht="15.75">
      <c r="A52" s="51"/>
      <c r="B52" s="83"/>
      <c r="C52" s="174" t="s">
        <v>139</v>
      </c>
      <c r="D52" s="83"/>
      <c r="E52" s="83"/>
      <c r="F52" s="83"/>
      <c r="G52" s="94">
        <f>+L43-M43</f>
        <v>-8464</v>
      </c>
      <c r="H52" s="76"/>
      <c r="I52" s="94">
        <v>-8689</v>
      </c>
    </row>
    <row r="53" spans="1:9" ht="15.75">
      <c r="A53" s="51"/>
      <c r="B53" s="83" t="s">
        <v>118</v>
      </c>
      <c r="C53" s="83"/>
      <c r="D53" s="83"/>
      <c r="E53" s="83"/>
      <c r="F53" s="83"/>
      <c r="G53" s="98">
        <f>SUM(G47:G52)</f>
        <v>-17286</v>
      </c>
      <c r="H53" s="76"/>
      <c r="I53" s="98">
        <f>SUM(I47:I52)</f>
        <v>-20024</v>
      </c>
    </row>
    <row r="54" spans="1:9" ht="15.75">
      <c r="A54" s="51"/>
      <c r="B54" s="83"/>
      <c r="C54" s="83"/>
      <c r="D54" s="83"/>
      <c r="E54" s="83"/>
      <c r="F54" s="83"/>
      <c r="G54" s="94"/>
      <c r="H54" s="76"/>
      <c r="I54" s="94"/>
    </row>
    <row r="55" spans="1:9" ht="15.75">
      <c r="A55" s="51" t="s">
        <v>122</v>
      </c>
      <c r="B55" s="83" t="s">
        <v>124</v>
      </c>
      <c r="C55" s="83"/>
      <c r="D55" s="83"/>
      <c r="E55" s="83"/>
      <c r="F55" s="83"/>
      <c r="G55" s="94">
        <f>G34+G44+G53</f>
        <v>97</v>
      </c>
      <c r="H55" s="76"/>
      <c r="I55" s="94">
        <f>I34+I44+I53</f>
        <v>-3526</v>
      </c>
    </row>
    <row r="56" spans="1:9" ht="15.75">
      <c r="A56" s="51"/>
      <c r="B56" s="83"/>
      <c r="C56" s="83"/>
      <c r="D56" s="83"/>
      <c r="E56" s="83"/>
      <c r="F56" s="83"/>
      <c r="G56" s="94"/>
      <c r="H56" s="76"/>
      <c r="I56" s="94"/>
    </row>
    <row r="57" spans="1:9" ht="15.75">
      <c r="A57" s="51"/>
      <c r="B57" s="83" t="s">
        <v>156</v>
      </c>
      <c r="C57" s="83"/>
      <c r="D57" s="83"/>
      <c r="E57" s="83"/>
      <c r="F57" s="83"/>
      <c r="G57" s="94">
        <v>3</v>
      </c>
      <c r="H57" s="76"/>
      <c r="I57" s="94">
        <v>0</v>
      </c>
    </row>
    <row r="58" spans="1:9" ht="15.75">
      <c r="A58" s="51"/>
      <c r="B58" s="83"/>
      <c r="C58" s="83"/>
      <c r="D58" s="83"/>
      <c r="E58" s="83"/>
      <c r="F58" s="83"/>
      <c r="G58" s="94"/>
      <c r="H58" s="76"/>
      <c r="I58" s="94"/>
    </row>
    <row r="59" spans="1:9" ht="15.75">
      <c r="A59" s="51"/>
      <c r="B59" s="83" t="s">
        <v>171</v>
      </c>
      <c r="C59" s="83"/>
      <c r="D59" s="83"/>
      <c r="E59" s="83"/>
      <c r="F59" s="83"/>
      <c r="G59" s="94">
        <v>7718</v>
      </c>
      <c r="H59" s="76"/>
      <c r="I59" s="94">
        <v>12922</v>
      </c>
    </row>
    <row r="60" spans="1:9" ht="15.75">
      <c r="A60" s="51"/>
      <c r="B60" s="73"/>
      <c r="C60" s="73"/>
      <c r="D60" s="73"/>
      <c r="E60" s="73"/>
      <c r="F60" s="73"/>
      <c r="G60" s="95"/>
      <c r="H60" s="76"/>
      <c r="I60" s="95"/>
    </row>
    <row r="61" spans="1:9" ht="15.75">
      <c r="A61" s="51"/>
      <c r="B61" s="83" t="s">
        <v>170</v>
      </c>
      <c r="C61" s="73"/>
      <c r="D61" s="73"/>
      <c r="E61" s="73"/>
      <c r="F61" s="73"/>
      <c r="G61" s="97">
        <f>SUM(G55:G60)</f>
        <v>7818</v>
      </c>
      <c r="H61" s="76"/>
      <c r="I61" s="97">
        <f>SUM(I55:I60)</f>
        <v>9396</v>
      </c>
    </row>
    <row r="62" spans="1:9" ht="15.75">
      <c r="A62" s="51"/>
      <c r="B62" s="73"/>
      <c r="C62" s="73"/>
      <c r="D62" s="73"/>
      <c r="E62" s="73"/>
      <c r="F62" s="73"/>
      <c r="G62" s="95"/>
      <c r="H62" s="76"/>
      <c r="I62" s="95"/>
    </row>
    <row r="63" spans="1:9" ht="15.75">
      <c r="A63" s="51"/>
      <c r="B63" s="73" t="s">
        <v>169</v>
      </c>
      <c r="C63" s="73"/>
      <c r="D63" s="73"/>
      <c r="E63" s="73"/>
      <c r="F63" s="73"/>
      <c r="G63" s="95"/>
      <c r="H63" s="76"/>
      <c r="I63" s="95"/>
    </row>
    <row r="64" spans="1:9" ht="15.75">
      <c r="A64" s="51"/>
      <c r="B64" s="73"/>
      <c r="C64" s="73"/>
      <c r="D64" s="73"/>
      <c r="E64" s="73"/>
      <c r="F64" s="73"/>
      <c r="G64" s="99" t="s">
        <v>4</v>
      </c>
      <c r="H64" s="76"/>
      <c r="I64" s="99" t="s">
        <v>4</v>
      </c>
    </row>
    <row r="65" spans="1:11" ht="15.75">
      <c r="A65" s="51"/>
      <c r="B65" s="1" t="s">
        <v>186</v>
      </c>
      <c r="C65" s="83"/>
      <c r="D65" s="73"/>
      <c r="E65" s="73"/>
      <c r="F65" s="73"/>
      <c r="G65" s="95">
        <v>131</v>
      </c>
      <c r="H65" s="76"/>
      <c r="I65" s="95">
        <v>6060</v>
      </c>
      <c r="K65" s="154"/>
    </row>
    <row r="66" spans="1:9" ht="15.75">
      <c r="A66" s="51"/>
      <c r="B66" s="73" t="s">
        <v>84</v>
      </c>
      <c r="C66" s="83"/>
      <c r="D66" s="73"/>
      <c r="E66" s="73"/>
      <c r="F66" s="73"/>
      <c r="G66" s="95">
        <f>'bs'!F26-'cf'!G65</f>
        <v>7687</v>
      </c>
      <c r="H66" s="76"/>
      <c r="I66" s="95">
        <v>3336</v>
      </c>
    </row>
    <row r="67" spans="1:9" ht="16.5" thickBot="1">
      <c r="A67" s="51"/>
      <c r="B67" s="73"/>
      <c r="C67" s="73"/>
      <c r="D67" s="73"/>
      <c r="E67" s="73"/>
      <c r="F67" s="73"/>
      <c r="G67" s="101">
        <f>SUM(G65:G66)</f>
        <v>7818</v>
      </c>
      <c r="H67" s="76"/>
      <c r="I67" s="101">
        <f>SUM(I65:I66)</f>
        <v>9396</v>
      </c>
    </row>
    <row r="68" spans="1:9" ht="16.5" thickTop="1">
      <c r="A68" s="51"/>
      <c r="B68" s="73"/>
      <c r="C68" s="73"/>
      <c r="D68" s="73"/>
      <c r="E68" s="73"/>
      <c r="F68" s="73"/>
      <c r="G68" s="100"/>
      <c r="H68" s="76"/>
      <c r="I68" s="100"/>
    </row>
    <row r="69" spans="2:9" ht="15.75" customHeight="1">
      <c r="B69" s="173" t="s">
        <v>128</v>
      </c>
      <c r="C69" s="173"/>
      <c r="D69" s="173"/>
      <c r="E69" s="173"/>
      <c r="F69" s="173"/>
      <c r="G69" s="173"/>
      <c r="H69" s="173"/>
      <c r="I69" s="173"/>
    </row>
    <row r="70" spans="2:9" ht="15.75">
      <c r="B70" s="173" t="s">
        <v>163</v>
      </c>
      <c r="C70" s="173"/>
      <c r="D70" s="173"/>
      <c r="E70" s="173"/>
      <c r="F70" s="173"/>
      <c r="G70" s="173"/>
      <c r="H70" s="173"/>
      <c r="I70" s="173"/>
    </row>
    <row r="71" spans="2:9" ht="15.75">
      <c r="B71" s="68"/>
      <c r="C71" s="83"/>
      <c r="D71" s="83"/>
      <c r="E71" s="83"/>
      <c r="F71" s="83"/>
      <c r="G71" s="94">
        <f>+G61-G67</f>
        <v>0</v>
      </c>
      <c r="I71" s="94">
        <f>+I61-I67</f>
        <v>0</v>
      </c>
    </row>
    <row r="72" spans="2:9" ht="32.25" customHeight="1">
      <c r="B72" s="83"/>
      <c r="C72" s="83"/>
      <c r="D72" s="83"/>
      <c r="E72" s="83"/>
      <c r="F72" s="83"/>
      <c r="G72" s="94"/>
      <c r="H72" s="82"/>
      <c r="I72" s="94"/>
    </row>
    <row r="73" spans="2:9" ht="13.5" customHeight="1">
      <c r="B73" s="83"/>
      <c r="C73" s="83"/>
      <c r="D73" s="83"/>
      <c r="E73" s="83"/>
      <c r="F73" s="83"/>
      <c r="G73" s="94"/>
      <c r="I73" s="94"/>
    </row>
    <row r="74" spans="2:9" ht="15.75">
      <c r="B74" s="83"/>
      <c r="C74" s="83"/>
      <c r="D74" s="83"/>
      <c r="E74" s="102"/>
      <c r="F74" s="102"/>
      <c r="G74" s="103"/>
      <c r="H74" s="85"/>
      <c r="I74" s="103"/>
    </row>
    <row r="75" spans="2:9" ht="15.75">
      <c r="B75" s="83"/>
      <c r="C75" s="83"/>
      <c r="D75" s="83"/>
      <c r="E75" s="83"/>
      <c r="F75" s="83"/>
      <c r="G75" s="94"/>
      <c r="H75" s="85"/>
      <c r="I75" s="94"/>
    </row>
    <row r="76" spans="2:9" ht="15.75">
      <c r="B76" s="83"/>
      <c r="C76" s="83"/>
      <c r="D76" s="83"/>
      <c r="E76" s="83"/>
      <c r="F76" s="83"/>
      <c r="G76" s="94"/>
      <c r="I76" s="94"/>
    </row>
    <row r="77" spans="2:9" ht="15.75">
      <c r="B77" s="68"/>
      <c r="C77" s="83"/>
      <c r="D77" s="83"/>
      <c r="E77" s="83"/>
      <c r="F77" s="83"/>
      <c r="G77" s="94"/>
      <c r="I77" s="94"/>
    </row>
    <row r="78" spans="1:9" ht="15.75">
      <c r="A78" s="80"/>
      <c r="B78" s="83"/>
      <c r="C78" s="83"/>
      <c r="D78" s="83"/>
      <c r="E78" s="83"/>
      <c r="F78" s="83"/>
      <c r="G78" s="94"/>
      <c r="H78" s="85"/>
      <c r="I78" s="94"/>
    </row>
    <row r="79" spans="2:9" ht="15.75">
      <c r="B79" s="83"/>
      <c r="C79" s="83"/>
      <c r="D79" s="83"/>
      <c r="E79" s="83"/>
      <c r="F79" s="83"/>
      <c r="G79" s="94"/>
      <c r="H79" s="85"/>
      <c r="I79" s="94"/>
    </row>
    <row r="80" spans="1:9" ht="15.75">
      <c r="A80" s="80"/>
      <c r="B80" s="83"/>
      <c r="C80" s="83"/>
      <c r="D80" s="83"/>
      <c r="E80" s="83"/>
      <c r="F80" s="83"/>
      <c r="G80" s="94"/>
      <c r="I80" s="94"/>
    </row>
    <row r="81" spans="1:9" ht="15.75">
      <c r="A81" s="80"/>
      <c r="B81" s="83"/>
      <c r="C81" s="83"/>
      <c r="D81" s="83"/>
      <c r="E81" s="83"/>
      <c r="F81" s="83"/>
      <c r="G81" s="94"/>
      <c r="I81" s="94"/>
    </row>
    <row r="82" spans="1:9" ht="15.75">
      <c r="A82" s="80"/>
      <c r="B82" s="68"/>
      <c r="C82" s="83"/>
      <c r="D82" s="83"/>
      <c r="E82" s="83"/>
      <c r="F82" s="83"/>
      <c r="G82" s="94"/>
      <c r="I82" s="94"/>
    </row>
    <row r="83" spans="1:9" ht="15.75">
      <c r="A83" s="80"/>
      <c r="B83" s="83"/>
      <c r="C83" s="83"/>
      <c r="D83" s="83"/>
      <c r="E83" s="83"/>
      <c r="F83" s="83"/>
      <c r="G83" s="94"/>
      <c r="H83" s="87"/>
      <c r="I83" s="94"/>
    </row>
    <row r="84" spans="1:9" ht="15.75">
      <c r="A84" s="80"/>
      <c r="B84" s="80"/>
      <c r="C84" s="80"/>
      <c r="D84" s="80"/>
      <c r="E84" s="80"/>
      <c r="F84" s="80"/>
      <c r="G84" s="86"/>
      <c r="H84" s="88"/>
      <c r="I84" s="86"/>
    </row>
    <row r="85" spans="1:9" ht="15.75">
      <c r="A85" s="80"/>
      <c r="B85" s="80"/>
      <c r="C85" s="80"/>
      <c r="D85" s="80"/>
      <c r="E85" s="80"/>
      <c r="F85" s="80"/>
      <c r="G85" s="86"/>
      <c r="H85" s="89"/>
      <c r="I85" s="86"/>
    </row>
    <row r="86" spans="1:9" ht="15.75">
      <c r="A86" s="80"/>
      <c r="B86" s="80"/>
      <c r="C86" s="80"/>
      <c r="D86" s="80"/>
      <c r="E86" s="80"/>
      <c r="F86" s="80"/>
      <c r="G86" s="86"/>
      <c r="I86" s="86"/>
    </row>
    <row r="87" spans="1:9" ht="15.75">
      <c r="A87" s="80"/>
      <c r="B87" s="68"/>
      <c r="C87" s="80"/>
      <c r="D87" s="80"/>
      <c r="E87" s="80"/>
      <c r="F87" s="80"/>
      <c r="G87" s="86"/>
      <c r="I87" s="86"/>
    </row>
    <row r="88" spans="1:9" ht="15.75">
      <c r="A88" s="80"/>
      <c r="B88" s="80"/>
      <c r="C88" s="80"/>
      <c r="D88" s="80"/>
      <c r="E88" s="80"/>
      <c r="F88" s="80"/>
      <c r="G88" s="86"/>
      <c r="H88" s="90"/>
      <c r="I88" s="86"/>
    </row>
    <row r="89" spans="1:9" ht="15.75">
      <c r="A89" s="80"/>
      <c r="B89" s="80"/>
      <c r="C89" s="80"/>
      <c r="D89" s="80"/>
      <c r="E89" s="80"/>
      <c r="F89" s="80"/>
      <c r="G89" s="86"/>
      <c r="H89" s="91"/>
      <c r="I89" s="86"/>
    </row>
    <row r="90" spans="1:9" ht="15.75">
      <c r="A90" s="80"/>
      <c r="B90" s="80"/>
      <c r="C90" s="80"/>
      <c r="D90" s="80"/>
      <c r="E90" s="80"/>
      <c r="F90" s="80"/>
      <c r="G90" s="86"/>
      <c r="H90" s="91"/>
      <c r="I90" s="86"/>
    </row>
    <row r="91" spans="1:9" ht="15.75">
      <c r="A91" s="80"/>
      <c r="B91" s="80"/>
      <c r="C91" s="80"/>
      <c r="D91" s="80"/>
      <c r="E91" s="80"/>
      <c r="F91" s="80"/>
      <c r="G91" s="86"/>
      <c r="H91" s="88"/>
      <c r="I91" s="86"/>
    </row>
    <row r="92" spans="1:9" ht="15.75">
      <c r="A92" s="80"/>
      <c r="B92" s="80"/>
      <c r="C92" s="80"/>
      <c r="D92" s="80"/>
      <c r="E92" s="80"/>
      <c r="F92" s="80"/>
      <c r="G92" s="86"/>
      <c r="H92" s="88"/>
      <c r="I92" s="86"/>
    </row>
    <row r="93" spans="1:9" ht="15.75">
      <c r="A93" s="80"/>
      <c r="B93" s="80"/>
      <c r="C93" s="80"/>
      <c r="D93" s="80"/>
      <c r="E93" s="80"/>
      <c r="F93" s="80"/>
      <c r="G93" s="86"/>
      <c r="H93" s="93"/>
      <c r="I93" s="86"/>
    </row>
    <row r="94" spans="1:9" ht="15.75">
      <c r="A94" s="80"/>
      <c r="B94" s="80"/>
      <c r="C94" s="80"/>
      <c r="D94" s="80"/>
      <c r="E94" s="80"/>
      <c r="F94" s="80"/>
      <c r="G94" s="86"/>
      <c r="I94" s="86"/>
    </row>
    <row r="95" spans="1:9" ht="15.75">
      <c r="A95" s="80"/>
      <c r="B95" s="80"/>
      <c r="C95" s="80"/>
      <c r="D95" s="80"/>
      <c r="E95" s="80"/>
      <c r="F95" s="80"/>
      <c r="G95" s="86"/>
      <c r="I95" s="86"/>
    </row>
    <row r="96" spans="1:9" ht="15.75">
      <c r="A96" s="80"/>
      <c r="B96" s="80"/>
      <c r="C96" s="80"/>
      <c r="D96" s="80"/>
      <c r="E96" s="80"/>
      <c r="F96" s="80"/>
      <c r="G96" s="86"/>
      <c r="I96" s="86"/>
    </row>
    <row r="97" spans="1:9" ht="15.75">
      <c r="A97" s="80"/>
      <c r="B97" s="80"/>
      <c r="C97" s="80"/>
      <c r="D97" s="80"/>
      <c r="E97" s="80"/>
      <c r="F97" s="80"/>
      <c r="G97" s="86"/>
      <c r="I97" s="86"/>
    </row>
    <row r="98" spans="1:9" ht="15.75">
      <c r="A98" s="80"/>
      <c r="B98" s="80"/>
      <c r="C98" s="80"/>
      <c r="D98" s="80"/>
      <c r="E98" s="80"/>
      <c r="F98" s="80"/>
      <c r="G98" s="86"/>
      <c r="I98" s="86"/>
    </row>
  </sheetData>
  <sheetProtection password="84DD" sheet="1" objects="1" scenarios="1" selectLockedCells="1" selectUnlockedCells="1"/>
  <printOptions/>
  <pageMargins left="0.7874015748031497" right="0.7874015748031497" top="0.7874015748031497" bottom="0.1968503937007874" header="0.2362204724409449" footer="0.1574803149606299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2012-02-23T08:07:26Z</cp:lastPrinted>
  <dcterms:created xsi:type="dcterms:W3CDTF">2004-05-26T03:18:48Z</dcterms:created>
  <dcterms:modified xsi:type="dcterms:W3CDTF">2012-02-23T08:51:38Z</dcterms:modified>
  <cp:category/>
  <cp:version/>
  <cp:contentType/>
  <cp:contentStatus/>
</cp:coreProperties>
</file>