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3"/>
  </bookViews>
  <sheets>
    <sheet name="CONPL" sheetId="1" r:id="rId1"/>
    <sheet name="CONBS" sheetId="2" r:id="rId2"/>
    <sheet name="CONSOCE" sheetId="3" r:id="rId3"/>
    <sheet name="CASHFLOW" sheetId="4" r:id="rId4"/>
  </sheets>
  <definedNames>
    <definedName name="_xlnm.Print_Area" localSheetId="1">'CONBS'!$B$2:$Q$94</definedName>
    <definedName name="_xlnm.Print_Area" localSheetId="0">'CONPL'!$B$2:$L$112</definedName>
    <definedName name="_xlnm.Print_Area" localSheetId="2">'CONSOCE'!$B$2:$O$59</definedName>
    <definedName name="_xlnm.Print_Titles" localSheetId="3">'CASHFLOW'!$1:$5</definedName>
    <definedName name="_xlnm.Print_Titles" localSheetId="1">'CONBS'!$2:$4</definedName>
    <definedName name="_xlnm.Print_Titles" localSheetId="0">'CONPL'!$2:$4</definedName>
  </definedNames>
  <calcPr fullCalcOnLoad="1"/>
</workbook>
</file>

<file path=xl/sharedStrings.xml><?xml version="1.0" encoding="utf-8"?>
<sst xmlns="http://schemas.openxmlformats.org/spreadsheetml/2006/main" count="313" uniqueCount="253">
  <si>
    <t>AHMAD ZAKI RESOURCES BERHAD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</si>
  <si>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</si>
  <si>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</si>
  <si>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</si>
  <si>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</si>
  <si>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</si>
  <si>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</si>
  <si>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</si>
  <si>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PROFIT AFTER TAXATION</t>
  </si>
  <si>
    <t>LESS: MINORITY INTEREST</t>
  </si>
  <si>
    <t>NET PROFIT FOR THE PERIOD</t>
  </si>
  <si>
    <t xml:space="preserve">Current </t>
  </si>
  <si>
    <t>quarter</t>
  </si>
  <si>
    <t>Comparative</t>
  </si>
  <si>
    <t>cumulative</t>
  </si>
  <si>
    <t>to date</t>
  </si>
  <si>
    <t>As at</t>
  </si>
  <si>
    <t>Property, Plant &amp; Equipment</t>
  </si>
  <si>
    <t>Intangible Assets</t>
  </si>
  <si>
    <t>Other Investments</t>
  </si>
  <si>
    <t>Current Assets</t>
  </si>
  <si>
    <t>Investments in Associates and Joint Ventures</t>
  </si>
  <si>
    <t xml:space="preserve">   Cash &amp; Cash Equivalents</t>
  </si>
  <si>
    <t>Current Liabilities</t>
  </si>
  <si>
    <t xml:space="preserve">   Trade &amp; Other Creditors</t>
  </si>
  <si>
    <t xml:space="preserve">   Bank Borrowings</t>
  </si>
  <si>
    <t xml:space="preserve">   Taxation</t>
  </si>
  <si>
    <t>Net Current Assets</t>
  </si>
  <si>
    <t>Share Capital</t>
  </si>
  <si>
    <t>Reserves</t>
  </si>
  <si>
    <t>Shareholders' Fund</t>
  </si>
  <si>
    <t>Minority Interest</t>
  </si>
  <si>
    <t>Long Term Liabilities</t>
  </si>
  <si>
    <t xml:space="preserve">   Borrowings</t>
  </si>
  <si>
    <t xml:space="preserve">   Other Deferred Liabilities</t>
  </si>
  <si>
    <t xml:space="preserve">   Property Development Expenditure</t>
  </si>
  <si>
    <t>Investment Properties</t>
  </si>
  <si>
    <t>The Condensed Consolidated Income Statements should be read in conjunction with the Annual Financial Report for the year</t>
  </si>
  <si>
    <t xml:space="preserve">Share </t>
  </si>
  <si>
    <t>Capital</t>
  </si>
  <si>
    <t>Premium</t>
  </si>
  <si>
    <t>Retained</t>
  </si>
  <si>
    <t>Profits</t>
  </si>
  <si>
    <t>Total</t>
  </si>
  <si>
    <t>Shareholders</t>
  </si>
  <si>
    <t>Equity</t>
  </si>
  <si>
    <t xml:space="preserve">   Bonus issue shares</t>
  </si>
  <si>
    <t>Balance at the beginning of the year</t>
  </si>
  <si>
    <t xml:space="preserve">The Condensed Consolidated Statements of Changes in Equity should be read in conjunction with the Annual Financial Report </t>
  </si>
  <si>
    <t>ended</t>
  </si>
  <si>
    <t>RM</t>
  </si>
  <si>
    <t xml:space="preserve">TAXATION </t>
  </si>
  <si>
    <t>EPS - Basic (sen)</t>
  </si>
  <si>
    <t>EPS - Diluted (sen)</t>
  </si>
  <si>
    <t>Note</t>
  </si>
  <si>
    <t>Operating expenses represents the followings:-</t>
  </si>
  <si>
    <t xml:space="preserve">   Cost of sales</t>
  </si>
  <si>
    <t xml:space="preserve">   Other operating expenses</t>
  </si>
  <si>
    <t>Note 1 - Operating Expenses</t>
  </si>
  <si>
    <t>Note 2 - Investing Results</t>
  </si>
  <si>
    <t>Investing results represents the followings:-</t>
  </si>
  <si>
    <t xml:space="preserve">   Share of profit/(losses) from associated companies</t>
  </si>
  <si>
    <t xml:space="preserve">The significant transactions with the Directors, parties connected to the Directors and companies in which the Directors have </t>
  </si>
  <si>
    <t>substantial financial interest are as follows:</t>
  </si>
  <si>
    <t>Trade</t>
  </si>
  <si>
    <t>Purchases from following subsidiaries of Chuan Huat Resources Berhad, a company</t>
  </si>
  <si>
    <t>in which Dato' Haji Wan Zaki bin Haji Wan Muda has substantial financial interest and</t>
  </si>
  <si>
    <t>is also a director :-</t>
  </si>
  <si>
    <t>- Chuan Huat Industrial Marketing Sdn Bhd</t>
  </si>
  <si>
    <t>- Chuan Huat Hardware Sdn Bhd</t>
  </si>
  <si>
    <t>Purchases from QMC Sdn Bhd, a company in which Dato' Haji Wan Zaki has substantial</t>
  </si>
  <si>
    <t>financial interest and is also a director</t>
  </si>
  <si>
    <t>Non-Trade</t>
  </si>
  <si>
    <t>Administrative service charged by Zaki Holdings (M) Sdn Bhd</t>
  </si>
  <si>
    <t>Rental paid and payable to Zaki Holdings (M) Sdn Bhd</t>
  </si>
  <si>
    <t>Insurance premium paid to Zaki Holdings (M) Sdn Bhd</t>
  </si>
  <si>
    <t>Note 4 - Recurrent Related Party Transactions</t>
  </si>
  <si>
    <t>Long Term</t>
  </si>
  <si>
    <t>Leasehold</t>
  </si>
  <si>
    <t xml:space="preserve">Freehold </t>
  </si>
  <si>
    <t>Land</t>
  </si>
  <si>
    <t>Buildings &amp;</t>
  </si>
  <si>
    <t>Renovation</t>
  </si>
  <si>
    <t>Plant &amp;</t>
  </si>
  <si>
    <t>Machinery</t>
  </si>
  <si>
    <t>Motor</t>
  </si>
  <si>
    <t>Vehicles</t>
  </si>
  <si>
    <t>Furniture,</t>
  </si>
  <si>
    <t>Fittings &amp; Off</t>
  </si>
  <si>
    <t>Equipment</t>
  </si>
  <si>
    <t>TOTAL</t>
  </si>
  <si>
    <t>COST</t>
  </si>
  <si>
    <t>Additions</t>
  </si>
  <si>
    <t>Written off</t>
  </si>
  <si>
    <t>ACCUMULATED DEPRECIATION</t>
  </si>
  <si>
    <t>Charge for the period</t>
  </si>
  <si>
    <t>NET BOOK VALUE</t>
  </si>
  <si>
    <t>Approved and contracted but not provided for</t>
  </si>
  <si>
    <t>CONDENSED CONSOLIDATED CASH FLOW STATEMENT</t>
  </si>
  <si>
    <t>CASH FLOW FROM OPERATING ACTIVITIES</t>
  </si>
  <si>
    <t>Net profit before taxation</t>
  </si>
  <si>
    <t>Adjustments for:-</t>
  </si>
  <si>
    <t>Amortisation of goodwill on consolidation</t>
  </si>
  <si>
    <t>Depreciation of property, plant &amp; equipment</t>
  </si>
  <si>
    <t>Property, plant &amp; equipment written off</t>
  </si>
  <si>
    <t>Interest expenses</t>
  </si>
  <si>
    <t>Interest revenue</t>
  </si>
  <si>
    <t>Gain on disposal of property, plant &amp; equipment</t>
  </si>
  <si>
    <t>Provision for diminution in the value of investment</t>
  </si>
  <si>
    <t>Operating profit before working capital changes</t>
  </si>
  <si>
    <t>Tax paid</t>
  </si>
  <si>
    <t>Interest paid</t>
  </si>
  <si>
    <t>Interest received</t>
  </si>
  <si>
    <t>CASH FLOWS FROM INVESTING ACTIVITIES</t>
  </si>
  <si>
    <t>Distribution received from a joint venture</t>
  </si>
  <si>
    <t xml:space="preserve">Acquisition of investment in unquoted shares </t>
  </si>
  <si>
    <t>Purchase of property, plant &amp; equipment</t>
  </si>
  <si>
    <t xml:space="preserve">Proceeds from disposal of property, plant &amp; equipment </t>
  </si>
  <si>
    <t>CASH FLOWS FROM FINANCING ACTIVITIES</t>
  </si>
  <si>
    <t>Dividend paid</t>
  </si>
  <si>
    <t>Proceeds from trust receipt</t>
  </si>
  <si>
    <t>Repayment of trust receipts</t>
  </si>
  <si>
    <t xml:space="preserve">Payment to hire purchase creditors </t>
  </si>
  <si>
    <t>Repayment of term loan</t>
  </si>
  <si>
    <t>Cash and cash equivalents at beginning of the year</t>
  </si>
  <si>
    <t>Cash and cash equivalents at end of the period</t>
  </si>
  <si>
    <t>Cash and cash equivalents included in the condensed cash flows statements</t>
  </si>
  <si>
    <t>comprise the following amounts :-</t>
  </si>
  <si>
    <t>Cash and bank balances</t>
  </si>
  <si>
    <t>Cash deposits with licensed banks</t>
  </si>
  <si>
    <t>Bank overdrafts</t>
  </si>
  <si>
    <t>Decrease in inventories</t>
  </si>
  <si>
    <t>Increase in trade and other payables</t>
  </si>
  <si>
    <t xml:space="preserve">Zaki bin Haji Wan Muda, Dato' Hamzah bin Hasan, Dato' Wan Zakariah bin Haji Wan Muda, </t>
  </si>
  <si>
    <t xml:space="preserve">Haji Mustaffa bin Mohamad and W Zulkifli bin Haji W Muda have substantial financial interest </t>
  </si>
  <si>
    <t xml:space="preserve">   Inventories </t>
  </si>
  <si>
    <t xml:space="preserve">   Amount Due From Customers For Contract Work </t>
  </si>
  <si>
    <t xml:space="preserve">   Amount Due To Customers For Contract Work </t>
  </si>
  <si>
    <t xml:space="preserve">   Hire Purchase Creditors</t>
  </si>
  <si>
    <t>Share of loss of joint ventures</t>
  </si>
  <si>
    <t>Share of loss of associated companies</t>
  </si>
  <si>
    <t>The share options were calculated based on the number of shares which could have been acquired at the market price ( the</t>
  </si>
  <si>
    <t xml:space="preserve">outstanding share options.  No adjustment is made to the net profit attributable to the shareholders for the share options </t>
  </si>
  <si>
    <t xml:space="preserve">   Debtors And Other Deposits And Prepayments</t>
  </si>
  <si>
    <t xml:space="preserve">The Condensed Consolidated Balance Sheets should be read in conjunction with the Annual  </t>
  </si>
  <si>
    <t>Note 1 - Property, Plant &amp; Equipment</t>
  </si>
  <si>
    <t>Note 2 - Capital Commitment</t>
  </si>
  <si>
    <t>Note 3 - EPS - Basic &amp; Diluted (sen)</t>
  </si>
  <si>
    <t>No. of Shares of RM1.00 each</t>
  </si>
  <si>
    <t>Add : Dilutive ESOS</t>
  </si>
  <si>
    <t>Adjusted weighted average number of shares</t>
  </si>
  <si>
    <t>This is in respect of commitment to purchase of landed property from third party.</t>
  </si>
  <si>
    <t>(Figures have not been audited)</t>
  </si>
  <si>
    <t>Note : There are no comparative figures as this is the first interim financial report prepared in accordance with MASB 26 on</t>
  </si>
  <si>
    <t xml:space="preserve">            Interim Financial Reporting.</t>
  </si>
  <si>
    <t>12 month</t>
  </si>
  <si>
    <t>31 Dec 2002</t>
  </si>
  <si>
    <t>Balance at the end of the year</t>
  </si>
  <si>
    <t>31 Dec</t>
  </si>
  <si>
    <t>Reserve on</t>
  </si>
  <si>
    <t>Consolidation</t>
  </si>
  <si>
    <t xml:space="preserve">   Amortisation of reserve on consolidation</t>
  </si>
  <si>
    <t>The Condensed Consolidated Cash Flow Statements should be read in conjunction</t>
  </si>
  <si>
    <t>Provision for doubtful debts no longer required</t>
  </si>
  <si>
    <t>At 31.12.02</t>
  </si>
  <si>
    <t xml:space="preserve">The fully diluted earnings per share for the year has been calculated using an enlarged weighted average number of shares </t>
  </si>
  <si>
    <t xml:space="preserve">   Issue of shares pursuant to private placement </t>
  </si>
  <si>
    <t xml:space="preserve">   Issue of shares pursuant to ESOS </t>
  </si>
  <si>
    <t>Movements during the year</t>
  </si>
  <si>
    <t xml:space="preserve">   Net profit for the year</t>
  </si>
  <si>
    <t>Loss on disposal of subsidiary</t>
  </si>
  <si>
    <t xml:space="preserve">Disposal of investment in unquoted shares </t>
  </si>
  <si>
    <t xml:space="preserve">Net proceeds from issuance of share capital </t>
  </si>
  <si>
    <t>Property, plant &amp; equipments</t>
  </si>
  <si>
    <t>Sub-contracts works paid and payable to Duta Technic Sdn Bhd, an associated company of</t>
  </si>
  <si>
    <t xml:space="preserve">Aztech Corporation Sdn Bhd, a company in which Dato' Haji Wan Zaki bin Haji Wan Muda, Dato' </t>
  </si>
  <si>
    <t xml:space="preserve">Hamzah bin Hasan, Dato' Wan Zakariah bin Haji Wan Muda, Haji Mustaffa bin Mohamad and </t>
  </si>
  <si>
    <t xml:space="preserve">W Zulkifli bin Haji W Muda have substantial financial interest and are also directors except for </t>
  </si>
  <si>
    <t>12 months ended 31 December 2001</t>
  </si>
  <si>
    <t>Current assets</t>
  </si>
  <si>
    <t>Current liabilities</t>
  </si>
  <si>
    <t>Net assets</t>
  </si>
  <si>
    <t>Cash disposed of</t>
  </si>
  <si>
    <t>Net cash inflow</t>
  </si>
  <si>
    <t xml:space="preserve">   First &amp; final dividend paid(15% per share less</t>
  </si>
  <si>
    <t xml:space="preserve">                                                    28% income tax)</t>
  </si>
  <si>
    <t xml:space="preserve">Revaluation </t>
  </si>
  <si>
    <t>Reserve</t>
  </si>
  <si>
    <t xml:space="preserve">   Revaluation surplus arising from inv. properties</t>
  </si>
  <si>
    <t>Disposals arising from disposal of subsidiary</t>
  </si>
  <si>
    <t>Disposals to third party</t>
  </si>
  <si>
    <t xml:space="preserve">   Share of losses from joint ventures</t>
  </si>
  <si>
    <t>ended 31st December 2002.</t>
  </si>
  <si>
    <t>The basic and diluted earnings per share for the corresponding quarter of preceding financial period have been restated to</t>
  </si>
  <si>
    <t>Management fee paid to Aztech Corporation Sdn Bhd, a company in which Dato' Haji Wan</t>
  </si>
  <si>
    <t>Dato' Haji Wan Zaki bin Haji Wan Muda and W Zulkifli bin Haji W Muda who are not directors</t>
  </si>
  <si>
    <t xml:space="preserve">and are also directors except for Dato' Haji Wan Zaki bin Haji Wan Muda and W Zulkifli bin </t>
  </si>
  <si>
    <t>Haji W Muda who are not directors</t>
  </si>
  <si>
    <t>As at 01.01.03</t>
  </si>
  <si>
    <t>Financial Statements for the year ended 31st December 2002.</t>
  </si>
  <si>
    <t>Balance at the end of the period</t>
  </si>
  <si>
    <t>for the year ended 31st December 2002.</t>
  </si>
  <si>
    <t>with the Annual Financial Statements for the year ended 31st December 2002.</t>
  </si>
  <si>
    <t>Decrease in amount due from customers for contract work</t>
  </si>
  <si>
    <t>Decrease in property development expenditure</t>
  </si>
  <si>
    <t>Increase in amount due to customers for contract work</t>
  </si>
  <si>
    <t>Decrease in trade and other receivables</t>
  </si>
  <si>
    <t>Cash used in operations</t>
  </si>
  <si>
    <t xml:space="preserve">Net cash used in operating activities </t>
  </si>
  <si>
    <t xml:space="preserve">Net cash used in investing activities </t>
  </si>
  <si>
    <t>Term loan disbursements</t>
  </si>
  <si>
    <t xml:space="preserve">Net cash generated from financing activities </t>
  </si>
  <si>
    <t>Net decrease in cash and cash equivalents</t>
  </si>
  <si>
    <t xml:space="preserve">The basic earnings per share has been calculated based on the consolidated profit after taxation and minority interests of </t>
  </si>
  <si>
    <t>Rental paid/payable to Dato' Haji Wan Zaki bin Haji Wan Muda</t>
  </si>
  <si>
    <t xml:space="preserve">   Net profit for the period</t>
  </si>
  <si>
    <t>Repayment from related companies</t>
  </si>
  <si>
    <t xml:space="preserve">   Proposed Dividend</t>
  </si>
  <si>
    <t xml:space="preserve">   As previously reported  </t>
  </si>
  <si>
    <t xml:space="preserve">   * Prior year adjustment  </t>
  </si>
  <si>
    <t>Balance restated at the beginning of the year</t>
  </si>
  <si>
    <t xml:space="preserve">   *Prior year adjustment</t>
  </si>
  <si>
    <t xml:space="preserve">Prior year adjustment relates to the recognition of deferred tax on surplus arising from the revaluation of freehold land and hotel </t>
  </si>
  <si>
    <t>buildings as required by MASB 25, Income Taxes.</t>
  </si>
  <si>
    <t>CONDENSED CONSOLIDATED INCOME STATEMENT FOR THE QUARTER ENDED 30 SEPTEMBER 2003</t>
  </si>
  <si>
    <t>ended 30 Sep</t>
  </si>
  <si>
    <t>9 month</t>
  </si>
  <si>
    <t xml:space="preserve">September 2003 of 3,932,800 shares (2002: 5,738,600). </t>
  </si>
  <si>
    <t>Weighted average number of shares as at 30/09/2003</t>
  </si>
  <si>
    <t>CONDENSED CONSOLIDATED BALANCE SHEETS AS AT 30 SEPTEMBER 2003</t>
  </si>
  <si>
    <t>30 Sep 2003</t>
  </si>
  <si>
    <t>As at 30.09.03</t>
  </si>
  <si>
    <t>At 30.09.03</t>
  </si>
  <si>
    <t>9 months ended 30 September 2003</t>
  </si>
  <si>
    <t>CONDENSED CONSOLIDATED STATEMENTS OF CHANGES IN EQUITY FOR THE 9 MONTHS ENDED 30 SEPTEMBER 2003</t>
  </si>
  <si>
    <t>FOR THE QUARTER ENDED 30 SEPTEMBER 2003</t>
  </si>
  <si>
    <t>30 Sep</t>
  </si>
  <si>
    <t xml:space="preserve">65,050,756 (2002 :59,453,334). </t>
  </si>
  <si>
    <t xml:space="preserve">of shares of 65,679,597 (2002: 59,930,588) after the inclusion of the number of unexercised options outstanding as at 30 </t>
  </si>
  <si>
    <t xml:space="preserve">average nine months price of the Company’s share) based on the monetary value of the subscription rights attached to the </t>
  </si>
  <si>
    <t>Additions arising from acquisition of TGM</t>
  </si>
  <si>
    <t>Note 1 - Acquisition of subsidiary, net of cash acquired</t>
  </si>
  <si>
    <t>Manufacturing Sdn Bhd for a purchase consideration of RM4,000,000.</t>
  </si>
  <si>
    <t xml:space="preserve">The carrying value of the assets and liabilities acquired of were as follows:  </t>
  </si>
  <si>
    <t>Consideration paid, satisfied in cash</t>
  </si>
  <si>
    <t>Goodwill in acquisition of the subsidiary</t>
  </si>
  <si>
    <t>Net cash outflow</t>
  </si>
  <si>
    <t>The total additions of assets financed by hire purchase was RM2,375,020.</t>
  </si>
  <si>
    <t>Acquisition of subsidiary, net of cash acquired</t>
  </si>
  <si>
    <t xml:space="preserve">RM10,593,051 (2002: RM9,475,830) and on the weighted average number of ordinary shares in issue during the period of  </t>
  </si>
  <si>
    <t xml:space="preserve">calculations as the exercise price of the option shares is deemed to be their average fair value during the period. </t>
  </si>
  <si>
    <t xml:space="preserve">account for the effect of  the bonus issue of 2 for 5 in Year 2003.   </t>
  </si>
  <si>
    <t xml:space="preserve">On 15 July 2003, AZRB completed its 100% equity acquisition on Tadok Granite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</si>
</sst>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dd/mm/yyyy"/>
    <numFmt numFmtId="168" formatCode="#,##0.0_);\(#,##0.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_);\(#,##0.000\)"/>
    <numFmt numFmtId="173" formatCode="_(* #,##0.0_);_(* \(#,##0.0\);_(* &quot;-&quot;?_);_(@_)"/>
  </numFmts>
  <fonts count="6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.5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3" fontId="2" fillId="0" borderId="0" xfId="15" applyFont="1" applyAlignment="1">
      <alignment/>
    </xf>
    <xf numFmtId="166" fontId="2" fillId="0" borderId="0" xfId="15" applyNumberFormat="1" applyFont="1" applyBorder="1" applyAlignment="1">
      <alignment/>
    </xf>
    <xf numFmtId="166" fontId="2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6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66" fontId="2" fillId="0" borderId="5" xfId="15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2" fillId="0" borderId="3" xfId="0" applyNumberFormat="1" applyFont="1" applyBorder="1" applyAlignment="1">
      <alignment/>
    </xf>
    <xf numFmtId="166" fontId="2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43" fontId="2" fillId="0" borderId="0" xfId="15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6" fontId="2" fillId="0" borderId="3" xfId="15" applyNumberFormat="1" applyFont="1" applyBorder="1" applyAlignment="1">
      <alignment/>
    </xf>
    <xf numFmtId="43" fontId="2" fillId="0" borderId="1" xfId="15" applyFont="1" applyBorder="1" applyAlignment="1">
      <alignment/>
    </xf>
    <xf numFmtId="166" fontId="2" fillId="0" borderId="0" xfId="15" applyNumberFormat="1" applyFont="1" applyBorder="1" applyAlignment="1">
      <alignment/>
    </xf>
    <xf numFmtId="0" fontId="2" fillId="0" borderId="2" xfId="0" applyFont="1" applyBorder="1" applyAlignment="1">
      <alignment/>
    </xf>
    <xf numFmtId="166" fontId="2" fillId="0" borderId="2" xfId="15" applyNumberFormat="1" applyFont="1" applyBorder="1" applyAlignment="1">
      <alignment/>
    </xf>
    <xf numFmtId="0" fontId="2" fillId="0" borderId="5" xfId="0" applyFont="1" applyBorder="1" applyAlignment="1">
      <alignment/>
    </xf>
    <xf numFmtId="166" fontId="2" fillId="0" borderId="5" xfId="15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166" fontId="1" fillId="0" borderId="0" xfId="15" applyNumberFormat="1" applyFont="1" applyBorder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Border="1" applyAlignment="1">
      <alignment/>
    </xf>
    <xf numFmtId="2" fontId="2" fillId="0" borderId="0" xfId="0" applyNumberFormat="1" applyFont="1" applyAlignment="1">
      <alignment horizontal="right"/>
    </xf>
    <xf numFmtId="166" fontId="0" fillId="0" borderId="0" xfId="15" applyNumberFormat="1" applyFont="1" applyAlignment="1">
      <alignment/>
    </xf>
    <xf numFmtId="166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166" fontId="2" fillId="0" borderId="0" xfId="15" applyNumberFormat="1" applyFont="1" applyAlignment="1">
      <alignment/>
    </xf>
    <xf numFmtId="166" fontId="2" fillId="0" borderId="3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37" fontId="2" fillId="0" borderId="0" xfId="15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12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6"/>
  <sheetViews>
    <sheetView view="pageBreakPreview" zoomScale="75" zoomScaleNormal="75" zoomScaleSheetLayoutView="75" workbookViewId="0" topLeftCell="B5">
      <selection activeCell="F5" sqref="F5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45.57421875" style="2" customWidth="1"/>
    <col min="4" max="4" width="10.28125" style="2" customWidth="1"/>
    <col min="5" max="5" width="1.7109375" style="2" customWidth="1"/>
    <col min="6" max="6" width="16.28125" style="2" customWidth="1"/>
    <col min="7" max="7" width="3.57421875" style="2" customWidth="1"/>
    <col min="8" max="8" width="16.28125" style="2" customWidth="1"/>
    <col min="9" max="9" width="3.57421875" style="2" customWidth="1"/>
    <col min="10" max="10" width="16.28125" style="2" customWidth="1"/>
    <col min="11" max="11" width="3.57421875" style="2" customWidth="1"/>
    <col min="12" max="12" width="16.28125" style="2" customWidth="1"/>
    <col min="13" max="13" width="3.57421875" style="2" customWidth="1"/>
    <col min="14" max="14" width="17.140625" style="2" customWidth="1"/>
    <col min="15" max="16384" width="12.421875" style="2" customWidth="1"/>
  </cols>
  <sheetData>
    <row r="2" ht="15.75">
      <c r="B2" s="1" t="s">
        <v>0</v>
      </c>
    </row>
    <row r="3" ht="15.75">
      <c r="B3" s="1" t="s">
        <v>224</v>
      </c>
    </row>
    <row r="4" ht="15">
      <c r="B4" s="94" t="s">
        <v>152</v>
      </c>
    </row>
    <row r="5" spans="2:13" ht="15.75">
      <c r="B5" s="3"/>
      <c r="C5" s="3"/>
      <c r="D5" s="3"/>
      <c r="E5" s="3"/>
      <c r="F5" s="4"/>
      <c r="G5" s="3"/>
      <c r="H5" s="4"/>
      <c r="I5" s="3"/>
      <c r="J5" s="4"/>
      <c r="K5" s="3"/>
      <c r="L5" s="4"/>
      <c r="M5" s="3"/>
    </row>
    <row r="6" spans="2:13" ht="15.75">
      <c r="B6" s="3"/>
      <c r="F6" s="4">
        <v>2003</v>
      </c>
      <c r="G6" s="3"/>
      <c r="H6" s="4">
        <v>2002</v>
      </c>
      <c r="I6" s="3"/>
      <c r="J6" s="4">
        <v>2003</v>
      </c>
      <c r="K6" s="3"/>
      <c r="L6" s="4">
        <v>2002</v>
      </c>
      <c r="M6" s="3"/>
    </row>
    <row r="7" spans="2:13" ht="15.75">
      <c r="B7" s="3"/>
      <c r="F7" s="4" t="s">
        <v>11</v>
      </c>
      <c r="G7" s="3"/>
      <c r="H7" s="4" t="s">
        <v>13</v>
      </c>
      <c r="I7" s="3"/>
      <c r="J7" s="4" t="s">
        <v>226</v>
      </c>
      <c r="K7" s="3"/>
      <c r="L7" s="4" t="s">
        <v>226</v>
      </c>
      <c r="M7" s="3"/>
    </row>
    <row r="8" spans="2:13" ht="15.75">
      <c r="B8" s="3"/>
      <c r="F8" s="4" t="s">
        <v>12</v>
      </c>
      <c r="G8" s="3"/>
      <c r="H8" s="4" t="s">
        <v>12</v>
      </c>
      <c r="I8" s="3"/>
      <c r="J8" s="4" t="s">
        <v>14</v>
      </c>
      <c r="K8" s="3"/>
      <c r="L8" s="4" t="s">
        <v>14</v>
      </c>
      <c r="M8" s="3"/>
    </row>
    <row r="9" spans="2:13" ht="15.75">
      <c r="B9" s="3"/>
      <c r="D9" s="46" t="s">
        <v>54</v>
      </c>
      <c r="F9" s="4" t="s">
        <v>225</v>
      </c>
      <c r="G9" s="3"/>
      <c r="H9" s="4" t="s">
        <v>225</v>
      </c>
      <c r="I9" s="3"/>
      <c r="J9" s="4" t="s">
        <v>15</v>
      </c>
      <c r="K9" s="3"/>
      <c r="L9" s="4" t="s">
        <v>15</v>
      </c>
      <c r="M9" s="3"/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15.75" customHeight="1">
      <c r="B11" s="3"/>
      <c r="C11" s="1" t="s">
        <v>1</v>
      </c>
      <c r="D11" s="1"/>
      <c r="E11" s="1"/>
      <c r="F11" s="5">
        <v>71239134.30000001</v>
      </c>
      <c r="G11" s="3"/>
      <c r="H11" s="5">
        <v>135879792</v>
      </c>
      <c r="I11" s="12"/>
      <c r="J11" s="5">
        <v>248334506.5</v>
      </c>
      <c r="K11" s="3"/>
      <c r="L11" s="5">
        <v>336924843</v>
      </c>
      <c r="M11" s="3"/>
      <c r="N11" s="116"/>
    </row>
    <row r="12" spans="2:14" s="15" customFormat="1" ht="15.75">
      <c r="B12" s="12"/>
      <c r="C12" s="13"/>
      <c r="D12" s="13"/>
      <c r="E12" s="13"/>
      <c r="F12" s="14"/>
      <c r="G12" s="12"/>
      <c r="H12" s="14"/>
      <c r="I12" s="12"/>
      <c r="J12" s="14"/>
      <c r="K12" s="12"/>
      <c r="L12" s="14"/>
      <c r="M12" s="12"/>
      <c r="N12" s="37"/>
    </row>
    <row r="13" spans="2:14" s="15" customFormat="1" ht="15.75">
      <c r="B13" s="12"/>
      <c r="C13" s="13" t="s">
        <v>2</v>
      </c>
      <c r="D13" s="47">
        <v>1</v>
      </c>
      <c r="E13" s="13"/>
      <c r="F13" s="35">
        <v>-65354212.515000015</v>
      </c>
      <c r="G13" s="12"/>
      <c r="H13" s="35">
        <v>-131764100</v>
      </c>
      <c r="I13" s="12"/>
      <c r="J13" s="35">
        <v>-231229789.435</v>
      </c>
      <c r="K13" s="114"/>
      <c r="L13" s="35">
        <v>-323783735</v>
      </c>
      <c r="M13" s="12"/>
      <c r="N13" s="117"/>
    </row>
    <row r="14" spans="2:14" s="15" customFormat="1" ht="15.75">
      <c r="B14" s="12"/>
      <c r="C14" s="13"/>
      <c r="D14" s="13"/>
      <c r="E14" s="13"/>
      <c r="F14" s="14"/>
      <c r="G14" s="12"/>
      <c r="H14" s="14"/>
      <c r="I14" s="12"/>
      <c r="J14" s="14"/>
      <c r="K14" s="12"/>
      <c r="L14" s="14"/>
      <c r="M14" s="12"/>
      <c r="N14" s="37"/>
    </row>
    <row r="15" spans="2:14" s="15" customFormat="1" ht="15.75">
      <c r="B15" s="12"/>
      <c r="C15" s="13" t="s">
        <v>3</v>
      </c>
      <c r="D15" s="13"/>
      <c r="E15" s="13"/>
      <c r="F15" s="14">
        <v>679428.64</v>
      </c>
      <c r="G15" s="12"/>
      <c r="H15" s="14">
        <v>578670</v>
      </c>
      <c r="I15" s="12"/>
      <c r="J15" s="14">
        <v>2675860.41</v>
      </c>
      <c r="K15" s="28"/>
      <c r="L15" s="14">
        <v>2177402</v>
      </c>
      <c r="M15" s="12"/>
      <c r="N15" s="118"/>
    </row>
    <row r="16" spans="2:14" s="15" customFormat="1" ht="15.75">
      <c r="B16" s="12"/>
      <c r="C16" s="13"/>
      <c r="D16" s="13"/>
      <c r="E16" s="13"/>
      <c r="F16" s="29"/>
      <c r="G16" s="12"/>
      <c r="H16" s="29"/>
      <c r="I16" s="12"/>
      <c r="J16" s="29"/>
      <c r="K16" s="12"/>
      <c r="L16" s="29"/>
      <c r="M16" s="12"/>
      <c r="N16" s="37"/>
    </row>
    <row r="17" spans="2:14" s="15" customFormat="1" ht="15.75">
      <c r="B17" s="12"/>
      <c r="C17" s="13" t="s">
        <v>4</v>
      </c>
      <c r="D17" s="13"/>
      <c r="E17" s="13"/>
      <c r="F17" s="14">
        <f>SUM(F11:F16)</f>
        <v>6564350.424999996</v>
      </c>
      <c r="G17" s="12"/>
      <c r="H17" s="35">
        <f>SUM(H11:H16)</f>
        <v>4694362</v>
      </c>
      <c r="I17" s="12"/>
      <c r="J17" s="14">
        <f>SUM(J11:J16)+0.2</f>
        <v>19780577.674999997</v>
      </c>
      <c r="K17" s="12"/>
      <c r="L17" s="14">
        <f>SUM(L11:L16)</f>
        <v>15318510</v>
      </c>
      <c r="M17" s="12"/>
      <c r="N17" s="37"/>
    </row>
    <row r="18" spans="2:14" s="15" customFormat="1" ht="15.75">
      <c r="B18" s="12"/>
      <c r="C18" s="13"/>
      <c r="D18" s="13"/>
      <c r="E18" s="13"/>
      <c r="F18" s="14"/>
      <c r="G18" s="12"/>
      <c r="H18" s="14"/>
      <c r="I18" s="12"/>
      <c r="J18" s="14"/>
      <c r="K18" s="12"/>
      <c r="L18" s="14"/>
      <c r="M18" s="12"/>
      <c r="N18" s="37"/>
    </row>
    <row r="19" spans="2:14" s="15" customFormat="1" ht="15.75">
      <c r="B19" s="12"/>
      <c r="C19" s="13" t="s">
        <v>5</v>
      </c>
      <c r="D19" s="13"/>
      <c r="E19" s="13"/>
      <c r="F19" s="35">
        <v>-481855.36</v>
      </c>
      <c r="G19" s="12"/>
      <c r="H19" s="35">
        <v>-340894</v>
      </c>
      <c r="I19" s="12"/>
      <c r="J19" s="35">
        <v>-1324653.73</v>
      </c>
      <c r="K19" s="114"/>
      <c r="L19" s="35">
        <v>-1071907</v>
      </c>
      <c r="M19" s="12"/>
      <c r="N19" s="117"/>
    </row>
    <row r="20" spans="2:14" s="15" customFormat="1" ht="15.75">
      <c r="B20" s="12"/>
      <c r="C20" s="13"/>
      <c r="D20" s="13"/>
      <c r="E20" s="13"/>
      <c r="F20" s="14"/>
      <c r="G20" s="12"/>
      <c r="H20" s="14"/>
      <c r="I20" s="12"/>
      <c r="J20" s="14"/>
      <c r="K20" s="35"/>
      <c r="L20" s="14"/>
      <c r="M20" s="12"/>
      <c r="N20" s="103"/>
    </row>
    <row r="21" spans="2:14" s="15" customFormat="1" ht="15.75">
      <c r="B21" s="12"/>
      <c r="C21" s="13" t="s">
        <v>6</v>
      </c>
      <c r="D21" s="47">
        <v>2</v>
      </c>
      <c r="E21" s="13"/>
      <c r="F21" s="35">
        <v>-15699.0625</v>
      </c>
      <c r="G21" s="12"/>
      <c r="H21" s="35">
        <v>-540524</v>
      </c>
      <c r="I21" s="12"/>
      <c r="J21" s="35">
        <v>-3095600.8024999998</v>
      </c>
      <c r="K21" s="114"/>
      <c r="L21" s="35">
        <v>-370947</v>
      </c>
      <c r="M21" s="12"/>
      <c r="N21" s="117"/>
    </row>
    <row r="22" spans="2:14" s="15" customFormat="1" ht="15.75">
      <c r="B22" s="12"/>
      <c r="C22" s="13"/>
      <c r="D22" s="13"/>
      <c r="E22" s="13"/>
      <c r="F22" s="29"/>
      <c r="G22" s="12"/>
      <c r="H22" s="29"/>
      <c r="I22" s="12"/>
      <c r="J22" s="29"/>
      <c r="K22" s="12"/>
      <c r="L22" s="29"/>
      <c r="M22" s="12"/>
      <c r="N22" s="37"/>
    </row>
    <row r="23" spans="2:14" s="15" customFormat="1" ht="15.75">
      <c r="B23" s="12"/>
      <c r="C23" s="13" t="s">
        <v>7</v>
      </c>
      <c r="D23" s="13"/>
      <c r="E23" s="13"/>
      <c r="F23" s="14">
        <f>SUM(F17:F22)</f>
        <v>6066796.002499996</v>
      </c>
      <c r="G23" s="14"/>
      <c r="H23" s="14">
        <f>SUM(H17:H22)</f>
        <v>3812944</v>
      </c>
      <c r="I23" s="14"/>
      <c r="J23" s="14">
        <f>SUM(J17:J22)</f>
        <v>15360323.142499996</v>
      </c>
      <c r="K23" s="14"/>
      <c r="L23" s="14">
        <f>SUM(L17:L22)</f>
        <v>13875656</v>
      </c>
      <c r="M23" s="14"/>
      <c r="N23" s="37"/>
    </row>
    <row r="24" spans="2:14" s="15" customFormat="1" ht="15.75">
      <c r="B24" s="12"/>
      <c r="C24" s="13"/>
      <c r="D24" s="13"/>
      <c r="E24" s="13"/>
      <c r="F24" s="14"/>
      <c r="G24" s="12"/>
      <c r="H24" s="14"/>
      <c r="I24" s="12"/>
      <c r="J24" s="14"/>
      <c r="K24" s="12"/>
      <c r="L24" s="14"/>
      <c r="M24" s="12"/>
      <c r="N24" s="37"/>
    </row>
    <row r="25" spans="2:14" s="15" customFormat="1" ht="15.75">
      <c r="B25" s="12"/>
      <c r="C25" s="13" t="s">
        <v>51</v>
      </c>
      <c r="D25" s="13"/>
      <c r="E25" s="13"/>
      <c r="F25" s="35">
        <v>-1868507.48</v>
      </c>
      <c r="G25" s="12"/>
      <c r="H25" s="35">
        <v>-1175499</v>
      </c>
      <c r="I25" s="12"/>
      <c r="J25" s="35">
        <v>-4762834.99</v>
      </c>
      <c r="K25" s="114"/>
      <c r="L25" s="35">
        <v>-4250598</v>
      </c>
      <c r="M25" s="12"/>
      <c r="N25" s="117"/>
    </row>
    <row r="26" spans="2:14" s="15" customFormat="1" ht="15.75">
      <c r="B26" s="12"/>
      <c r="C26" s="13"/>
      <c r="D26" s="13"/>
      <c r="E26" s="13"/>
      <c r="F26" s="29"/>
      <c r="G26" s="12"/>
      <c r="H26" s="29"/>
      <c r="I26" s="12"/>
      <c r="J26" s="29"/>
      <c r="K26" s="12"/>
      <c r="L26" s="29"/>
      <c r="M26" s="12"/>
      <c r="N26" s="37"/>
    </row>
    <row r="27" spans="2:14" s="15" customFormat="1" ht="16.5" customHeight="1">
      <c r="B27" s="12"/>
      <c r="C27" s="13" t="s">
        <v>8</v>
      </c>
      <c r="D27" s="13"/>
      <c r="E27" s="13"/>
      <c r="F27" s="14">
        <f>SUM(F23:F26)</f>
        <v>4198288.522499995</v>
      </c>
      <c r="G27" s="12"/>
      <c r="H27" s="14">
        <f>SUM(H23:H26)</f>
        <v>2637445</v>
      </c>
      <c r="I27" s="12"/>
      <c r="J27" s="14">
        <f>SUM(J23:J26)</f>
        <v>10597488.152499996</v>
      </c>
      <c r="K27" s="12"/>
      <c r="L27" s="14">
        <f>SUM(L23:L26)</f>
        <v>9625058</v>
      </c>
      <c r="M27" s="12"/>
      <c r="N27" s="37"/>
    </row>
    <row r="28" spans="2:14" s="15" customFormat="1" ht="15.75">
      <c r="B28" s="12"/>
      <c r="C28" s="13"/>
      <c r="D28" s="13"/>
      <c r="E28" s="13"/>
      <c r="F28" s="14"/>
      <c r="G28" s="12"/>
      <c r="H28" s="14"/>
      <c r="I28" s="12"/>
      <c r="J28" s="14"/>
      <c r="K28" s="12"/>
      <c r="L28" s="14"/>
      <c r="M28" s="12"/>
      <c r="N28" s="37"/>
    </row>
    <row r="29" spans="2:14" s="15" customFormat="1" ht="15.75">
      <c r="B29" s="12"/>
      <c r="C29" s="13" t="s">
        <v>9</v>
      </c>
      <c r="D29" s="13"/>
      <c r="E29" s="13"/>
      <c r="F29" s="35">
        <v>-5858.501999999975</v>
      </c>
      <c r="G29" s="12"/>
      <c r="H29" s="35">
        <v>-56073</v>
      </c>
      <c r="I29" s="12"/>
      <c r="J29" s="35">
        <v>-4437.315999999969</v>
      </c>
      <c r="K29" s="28"/>
      <c r="L29" s="35">
        <v>-149228.1</v>
      </c>
      <c r="M29" s="12"/>
      <c r="N29" s="117"/>
    </row>
    <row r="30" spans="2:14" s="15" customFormat="1" ht="15.75">
      <c r="B30" s="12"/>
      <c r="C30" s="13"/>
      <c r="D30" s="13"/>
      <c r="E30" s="13"/>
      <c r="F30" s="14"/>
      <c r="G30" s="12"/>
      <c r="H30" s="14"/>
      <c r="I30" s="12"/>
      <c r="J30" s="14"/>
      <c r="K30" s="12"/>
      <c r="L30" s="14"/>
      <c r="M30" s="12"/>
      <c r="N30" s="37"/>
    </row>
    <row r="31" spans="2:14" s="15" customFormat="1" ht="15.75">
      <c r="B31" s="12"/>
      <c r="C31" s="13" t="s">
        <v>10</v>
      </c>
      <c r="D31" s="13"/>
      <c r="E31" s="13"/>
      <c r="F31" s="21">
        <f>SUM(F27:F30)</f>
        <v>4192430.0204999954</v>
      </c>
      <c r="G31" s="12"/>
      <c r="H31" s="21">
        <f>SUM(H27:H30)</f>
        <v>2581372</v>
      </c>
      <c r="I31" s="12"/>
      <c r="J31" s="21">
        <f>SUM(J27:J30)</f>
        <v>10593050.836499996</v>
      </c>
      <c r="K31" s="12"/>
      <c r="L31" s="21">
        <f>SUM(L27:L30)</f>
        <v>9475829.9</v>
      </c>
      <c r="M31" s="12"/>
      <c r="N31" s="37"/>
    </row>
    <row r="32" spans="2:14" s="15" customFormat="1" ht="15.75">
      <c r="B32" s="12"/>
      <c r="C32" s="13"/>
      <c r="D32" s="13"/>
      <c r="E32" s="13"/>
      <c r="F32" s="14"/>
      <c r="G32" s="12"/>
      <c r="H32" s="14"/>
      <c r="I32" s="12"/>
      <c r="J32" s="14"/>
      <c r="K32" s="12"/>
      <c r="L32" s="14"/>
      <c r="M32" s="12"/>
      <c r="N32" s="37"/>
    </row>
    <row r="33" spans="2:14" s="15" customFormat="1" ht="15.75">
      <c r="B33" s="12"/>
      <c r="C33" s="13" t="s">
        <v>52</v>
      </c>
      <c r="D33" s="47">
        <v>3</v>
      </c>
      <c r="E33" s="13"/>
      <c r="F33" s="16">
        <v>6.444859840128249</v>
      </c>
      <c r="G33" s="12"/>
      <c r="H33" s="16">
        <v>4.342857142857143</v>
      </c>
      <c r="I33" s="12"/>
      <c r="J33" s="17">
        <v>16.28428531848978</v>
      </c>
      <c r="K33" s="12"/>
      <c r="L33" s="16">
        <v>15.935714285714285</v>
      </c>
      <c r="M33" s="12"/>
      <c r="N33" s="40"/>
    </row>
    <row r="34" spans="2:14" s="15" customFormat="1" ht="15.75">
      <c r="B34" s="12"/>
      <c r="C34" s="13" t="s">
        <v>53</v>
      </c>
      <c r="D34" s="47">
        <v>3</v>
      </c>
      <c r="E34" s="13"/>
      <c r="F34" s="16">
        <v>6.383154348010349</v>
      </c>
      <c r="G34" s="12"/>
      <c r="H34" s="113">
        <v>4.307142857142858</v>
      </c>
      <c r="I34" s="12"/>
      <c r="J34" s="17">
        <v>16.128373496620632</v>
      </c>
      <c r="K34" s="12"/>
      <c r="L34" s="113">
        <v>15.814285714285715</v>
      </c>
      <c r="M34" s="12"/>
      <c r="N34" s="119"/>
    </row>
    <row r="35" spans="2:14" ht="15">
      <c r="B35" s="3"/>
      <c r="F35" s="6"/>
      <c r="G35" s="3"/>
      <c r="H35" s="6"/>
      <c r="I35" s="3"/>
      <c r="J35" s="6"/>
      <c r="K35" s="3"/>
      <c r="L35" s="6"/>
      <c r="M35" s="3"/>
      <c r="N35" s="42"/>
    </row>
    <row r="36" spans="2:14" ht="15">
      <c r="B36" s="3"/>
      <c r="C36" s="3"/>
      <c r="D36" s="3"/>
      <c r="E36" s="3"/>
      <c r="F36" s="6"/>
      <c r="H36" s="6"/>
      <c r="J36" s="6"/>
      <c r="L36" s="6"/>
      <c r="N36" s="42"/>
    </row>
    <row r="37" spans="3:14" ht="15">
      <c r="C37" s="2" t="s">
        <v>37</v>
      </c>
      <c r="F37" s="6"/>
      <c r="H37" s="6"/>
      <c r="J37" s="6"/>
      <c r="L37" s="6"/>
      <c r="N37" s="42"/>
    </row>
    <row r="38" spans="3:14" ht="15">
      <c r="C38" s="2" t="s">
        <v>192</v>
      </c>
      <c r="F38" s="6"/>
      <c r="H38" s="6"/>
      <c r="J38" s="6"/>
      <c r="L38" s="6"/>
      <c r="N38" s="42"/>
    </row>
    <row r="39" spans="6:12" ht="15">
      <c r="F39" s="6"/>
      <c r="H39" s="6"/>
      <c r="J39" s="6"/>
      <c r="L39" s="6"/>
    </row>
    <row r="40" s="8" customFormat="1" ht="15.75">
      <c r="B40" s="7"/>
    </row>
    <row r="41" spans="2:3" s="8" customFormat="1" ht="15.75">
      <c r="B41" s="7"/>
      <c r="C41" s="26" t="s">
        <v>58</v>
      </c>
    </row>
    <row r="42" s="8" customFormat="1" ht="15">
      <c r="C42" s="8" t="s">
        <v>55</v>
      </c>
    </row>
    <row r="43" spans="2:14" s="8" customFormat="1" ht="15">
      <c r="B43" s="9"/>
      <c r="C43" s="24" t="s">
        <v>56</v>
      </c>
      <c r="D43" s="9"/>
      <c r="E43" s="9"/>
      <c r="F43" s="48">
        <v>61384590.32000002</v>
      </c>
      <c r="H43" s="48">
        <v>127339542</v>
      </c>
      <c r="J43" s="48">
        <v>219473823.69</v>
      </c>
      <c r="L43" s="48">
        <v>312587068</v>
      </c>
      <c r="N43" s="48"/>
    </row>
    <row r="44" spans="2:14" s="8" customFormat="1" ht="15">
      <c r="B44" s="9"/>
      <c r="C44" s="23" t="s">
        <v>57</v>
      </c>
      <c r="F44" s="48">
        <v>3969622.5049999985</v>
      </c>
      <c r="H44" s="48">
        <v>4424558</v>
      </c>
      <c r="J44" s="48">
        <v>11755965.444999998</v>
      </c>
      <c r="L44" s="48">
        <v>11196667</v>
      </c>
      <c r="N44" s="48"/>
    </row>
    <row r="45" spans="2:14" s="8" customFormat="1" ht="15">
      <c r="B45" s="9"/>
      <c r="C45" s="23"/>
      <c r="F45" s="52">
        <f>SUM(F43:F44)</f>
        <v>65354212.82500002</v>
      </c>
      <c r="G45" s="23"/>
      <c r="H45" s="53">
        <f>SUM(H43:H44)</f>
        <v>131764100</v>
      </c>
      <c r="I45" s="23"/>
      <c r="J45" s="53">
        <f>SUM(J43:J44)</f>
        <v>231229789.135</v>
      </c>
      <c r="L45" s="52">
        <f>SUM(L43:L44)</f>
        <v>323783735</v>
      </c>
      <c r="N45" s="48"/>
    </row>
    <row r="46" spans="2:14" s="8" customFormat="1" ht="15.75">
      <c r="B46" s="9"/>
      <c r="C46" s="23"/>
      <c r="F46" s="115"/>
      <c r="H46" s="115"/>
      <c r="J46" s="115"/>
      <c r="L46" s="115"/>
      <c r="N46" s="115"/>
    </row>
    <row r="47" spans="2:14" s="8" customFormat="1" ht="15.75">
      <c r="B47" s="9"/>
      <c r="C47" s="49" t="s">
        <v>59</v>
      </c>
      <c r="D47" s="9"/>
      <c r="E47" s="9"/>
      <c r="F47" s="24"/>
      <c r="G47" s="23"/>
      <c r="H47" s="24"/>
      <c r="I47" s="23"/>
      <c r="J47" s="24"/>
      <c r="K47" s="23"/>
      <c r="L47" s="24"/>
      <c r="N47" s="24"/>
    </row>
    <row r="48" spans="2:14" s="8" customFormat="1" ht="15.75">
      <c r="B48" s="9"/>
      <c r="C48" s="23" t="s">
        <v>60</v>
      </c>
      <c r="D48" s="7"/>
      <c r="E48" s="7"/>
      <c r="F48" s="27"/>
      <c r="G48" s="23"/>
      <c r="H48" s="27"/>
      <c r="I48" s="23"/>
      <c r="J48" s="27"/>
      <c r="K48" s="23"/>
      <c r="L48" s="27"/>
      <c r="N48" s="27"/>
    </row>
    <row r="49" spans="2:14" s="8" customFormat="1" ht="15.75">
      <c r="B49" s="9"/>
      <c r="C49" s="23" t="s">
        <v>61</v>
      </c>
      <c r="D49" s="7"/>
      <c r="E49" s="7"/>
      <c r="F49" s="51">
        <v>-7707.8125</v>
      </c>
      <c r="G49" s="23"/>
      <c r="H49" s="51">
        <v>-3831</v>
      </c>
      <c r="I49" s="23"/>
      <c r="J49" s="51">
        <v>-14113.6725</v>
      </c>
      <c r="K49" s="23"/>
      <c r="L49" s="51">
        <v>-59455</v>
      </c>
      <c r="N49" s="51"/>
    </row>
    <row r="50" spans="2:14" s="8" customFormat="1" ht="15.75">
      <c r="B50" s="9"/>
      <c r="C50" s="23" t="s">
        <v>191</v>
      </c>
      <c r="D50" s="7"/>
      <c r="E50" s="7"/>
      <c r="F50" s="51">
        <v>-7991.25</v>
      </c>
      <c r="G50" s="23"/>
      <c r="H50" s="51">
        <v>-536693</v>
      </c>
      <c r="I50" s="23"/>
      <c r="J50" s="51">
        <v>-3081487.13</v>
      </c>
      <c r="K50" s="23"/>
      <c r="L50" s="51">
        <v>-311492</v>
      </c>
      <c r="N50" s="51"/>
    </row>
    <row r="51" spans="2:14" s="8" customFormat="1" ht="15.75">
      <c r="B51" s="9"/>
      <c r="C51" s="26"/>
      <c r="D51" s="7"/>
      <c r="E51" s="7"/>
      <c r="F51" s="50">
        <f>SUM(F49:F50)</f>
        <v>-15699.0625</v>
      </c>
      <c r="G51" s="23"/>
      <c r="H51" s="50">
        <f>SUM(H49:H50)</f>
        <v>-540524</v>
      </c>
      <c r="I51" s="23"/>
      <c r="J51" s="50">
        <f>SUM(J49:J50)</f>
        <v>-3095600.8024999998</v>
      </c>
      <c r="K51" s="23"/>
      <c r="L51" s="50">
        <f>SUM(L49:L50)</f>
        <v>-370947</v>
      </c>
      <c r="N51" s="51"/>
    </row>
    <row r="52" spans="2:12" s="8" customFormat="1" ht="15.75">
      <c r="B52" s="9"/>
      <c r="C52" s="26"/>
      <c r="D52" s="7"/>
      <c r="E52" s="7"/>
      <c r="F52" s="27"/>
      <c r="G52" s="23"/>
      <c r="H52" s="27"/>
      <c r="I52" s="23"/>
      <c r="J52" s="27"/>
      <c r="K52" s="23"/>
      <c r="L52" s="27"/>
    </row>
    <row r="53" spans="2:12" s="8" customFormat="1" ht="15.75">
      <c r="B53" s="9"/>
      <c r="C53" s="26" t="s">
        <v>147</v>
      </c>
      <c r="D53" s="7"/>
      <c r="E53" s="7"/>
      <c r="F53" s="27"/>
      <c r="G53" s="23"/>
      <c r="H53" s="27"/>
      <c r="I53" s="23"/>
      <c r="J53" s="27"/>
      <c r="K53" s="23"/>
      <c r="L53" s="27"/>
    </row>
    <row r="54" spans="2:12" s="8" customFormat="1" ht="15.75">
      <c r="B54" s="9"/>
      <c r="C54" s="71" t="s">
        <v>213</v>
      </c>
      <c r="D54" s="82"/>
      <c r="E54" s="82"/>
      <c r="F54" s="37"/>
      <c r="G54" s="54"/>
      <c r="H54" s="37"/>
      <c r="I54" s="54"/>
      <c r="J54" s="37"/>
      <c r="K54" s="54"/>
      <c r="L54" s="37"/>
    </row>
    <row r="55" spans="2:12" s="8" customFormat="1" ht="15.75">
      <c r="B55" s="9"/>
      <c r="C55" s="71" t="s">
        <v>249</v>
      </c>
      <c r="D55" s="82"/>
      <c r="E55" s="82"/>
      <c r="F55" s="37"/>
      <c r="G55" s="54"/>
      <c r="H55" s="37"/>
      <c r="I55" s="54"/>
      <c r="J55" s="37"/>
      <c r="K55" s="54"/>
      <c r="L55" s="37"/>
    </row>
    <row r="56" spans="2:12" s="8" customFormat="1" ht="15.75">
      <c r="B56" s="9"/>
      <c r="C56" s="71" t="s">
        <v>237</v>
      </c>
      <c r="D56" s="82"/>
      <c r="E56" s="82"/>
      <c r="F56" s="37"/>
      <c r="G56" s="54"/>
      <c r="H56" s="37"/>
      <c r="I56" s="54"/>
      <c r="J56" s="37"/>
      <c r="K56" s="54"/>
      <c r="L56" s="37"/>
    </row>
    <row r="57" spans="2:12" s="8" customFormat="1" ht="15.75">
      <c r="B57" s="9"/>
      <c r="C57" s="71"/>
      <c r="D57" s="82"/>
      <c r="E57" s="82"/>
      <c r="F57" s="37"/>
      <c r="G57" s="54"/>
      <c r="H57" s="37"/>
      <c r="I57" s="54"/>
      <c r="J57" s="37"/>
      <c r="K57" s="54"/>
      <c r="L57" s="37"/>
    </row>
    <row r="58" spans="2:12" s="8" customFormat="1" ht="15.75">
      <c r="B58" s="9"/>
      <c r="C58" s="81"/>
      <c r="D58" s="82"/>
      <c r="E58" s="82"/>
      <c r="F58" s="37"/>
      <c r="G58" s="54"/>
      <c r="H58" s="37"/>
      <c r="I58" s="54"/>
      <c r="J58" s="37"/>
      <c r="K58" s="54"/>
      <c r="L58" s="37"/>
    </row>
    <row r="59" spans="2:12" s="8" customFormat="1" ht="15">
      <c r="B59" s="9"/>
      <c r="C59" s="127" t="s">
        <v>165</v>
      </c>
      <c r="D59" s="128"/>
      <c r="E59" s="128"/>
      <c r="F59" s="128"/>
      <c r="G59" s="128"/>
      <c r="H59" s="128"/>
      <c r="I59" s="128"/>
      <c r="J59" s="128"/>
      <c r="K59" s="128"/>
      <c r="L59" s="128"/>
    </row>
    <row r="60" spans="2:12" s="8" customFormat="1" ht="15.75">
      <c r="B60" s="9"/>
      <c r="C60" s="71" t="s">
        <v>238</v>
      </c>
      <c r="D60" s="7"/>
      <c r="E60" s="7"/>
      <c r="F60" s="27"/>
      <c r="G60" s="23"/>
      <c r="H60" s="27"/>
      <c r="I60" s="23"/>
      <c r="J60" s="27"/>
      <c r="K60" s="23"/>
      <c r="L60" s="27"/>
    </row>
    <row r="61" spans="2:12" s="8" customFormat="1" ht="15.75">
      <c r="B61" s="9"/>
      <c r="C61" s="71" t="s">
        <v>227</v>
      </c>
      <c r="D61" s="7"/>
      <c r="E61" s="7"/>
      <c r="F61" s="27"/>
      <c r="G61" s="23"/>
      <c r="H61" s="27"/>
      <c r="I61" s="23"/>
      <c r="J61" s="27"/>
      <c r="K61" s="23"/>
      <c r="L61" s="27"/>
    </row>
    <row r="62" spans="2:12" s="8" customFormat="1" ht="15.75">
      <c r="B62" s="9"/>
      <c r="C62" s="121"/>
      <c r="D62" s="7"/>
      <c r="E62" s="7"/>
      <c r="F62" s="27"/>
      <c r="G62" s="23"/>
      <c r="H62" s="27"/>
      <c r="I62" s="23"/>
      <c r="J62" s="27"/>
      <c r="K62" s="23"/>
      <c r="L62" s="27"/>
    </row>
    <row r="63" spans="2:12" s="8" customFormat="1" ht="15.75">
      <c r="B63" s="9"/>
      <c r="C63" s="71" t="s">
        <v>141</v>
      </c>
      <c r="D63" s="7"/>
      <c r="E63" s="7"/>
      <c r="F63" s="27"/>
      <c r="G63" s="23"/>
      <c r="H63" s="27"/>
      <c r="I63" s="23"/>
      <c r="J63" s="27"/>
      <c r="K63" s="23"/>
      <c r="L63" s="27"/>
    </row>
    <row r="64" spans="2:12" s="8" customFormat="1" ht="15.75">
      <c r="B64" s="9"/>
      <c r="C64" s="71" t="s">
        <v>239</v>
      </c>
      <c r="D64" s="7"/>
      <c r="E64" s="7"/>
      <c r="F64" s="27"/>
      <c r="G64" s="23"/>
      <c r="H64" s="27"/>
      <c r="I64" s="23"/>
      <c r="J64" s="27"/>
      <c r="K64" s="23"/>
      <c r="L64" s="27"/>
    </row>
    <row r="65" spans="2:12" s="8" customFormat="1" ht="15.75">
      <c r="B65" s="9"/>
      <c r="C65" s="71" t="s">
        <v>142</v>
      </c>
      <c r="D65" s="7"/>
      <c r="E65" s="7"/>
      <c r="F65" s="27"/>
      <c r="G65" s="23"/>
      <c r="H65" s="27"/>
      <c r="I65" s="23"/>
      <c r="J65" s="27"/>
      <c r="K65" s="23"/>
      <c r="L65" s="27"/>
    </row>
    <row r="66" spans="2:12" s="8" customFormat="1" ht="15.75">
      <c r="B66" s="9"/>
      <c r="C66" s="23" t="s">
        <v>250</v>
      </c>
      <c r="D66" s="7"/>
      <c r="E66" s="7"/>
      <c r="F66" s="27"/>
      <c r="G66" s="23"/>
      <c r="H66" s="27"/>
      <c r="I66" s="23"/>
      <c r="J66" s="27"/>
      <c r="K66" s="23"/>
      <c r="L66" s="27"/>
    </row>
    <row r="67" spans="2:12" s="8" customFormat="1" ht="15.75">
      <c r="B67" s="9"/>
      <c r="C67" s="71"/>
      <c r="D67" s="7"/>
      <c r="E67" s="7"/>
      <c r="F67" s="27"/>
      <c r="G67" s="23"/>
      <c r="H67" s="27"/>
      <c r="I67" s="23"/>
      <c r="J67" s="27"/>
      <c r="K67" s="23"/>
      <c r="L67" s="27"/>
    </row>
    <row r="68" spans="2:12" s="8" customFormat="1" ht="28.5" customHeight="1">
      <c r="B68" s="9"/>
      <c r="C68" s="85"/>
      <c r="D68" s="89"/>
      <c r="E68" s="87"/>
      <c r="F68" s="134" t="s">
        <v>148</v>
      </c>
      <c r="G68" s="135"/>
      <c r="H68" s="27"/>
      <c r="I68" s="23"/>
      <c r="J68" s="27"/>
      <c r="K68" s="23"/>
      <c r="L68" s="27"/>
    </row>
    <row r="69" spans="2:12" s="8" customFormat="1" ht="15">
      <c r="B69" s="9"/>
      <c r="C69" s="131" t="s">
        <v>228</v>
      </c>
      <c r="D69" s="132"/>
      <c r="E69" s="133"/>
      <c r="F69" s="122">
        <v>65050755.55555555</v>
      </c>
      <c r="G69" s="90"/>
      <c r="H69" s="27"/>
      <c r="I69" s="23"/>
      <c r="J69" s="27"/>
      <c r="K69" s="23"/>
      <c r="L69" s="27"/>
    </row>
    <row r="70" spans="2:12" s="8" customFormat="1" ht="15.75">
      <c r="B70" s="9"/>
      <c r="C70" s="86" t="s">
        <v>149</v>
      </c>
      <c r="D70" s="84"/>
      <c r="E70" s="88">
        <v>340896</v>
      </c>
      <c r="F70" s="122">
        <v>628841</v>
      </c>
      <c r="G70" s="91"/>
      <c r="H70" s="27"/>
      <c r="I70" s="23"/>
      <c r="J70" s="27"/>
      <c r="K70" s="23"/>
      <c r="L70" s="27"/>
    </row>
    <row r="71" spans="2:12" s="8" customFormat="1" ht="15.75">
      <c r="B71" s="9"/>
      <c r="C71" s="129" t="s">
        <v>150</v>
      </c>
      <c r="D71" s="130"/>
      <c r="E71" s="83">
        <v>42807563</v>
      </c>
      <c r="F71" s="93">
        <f>SUM(F69:F70)</f>
        <v>65679596.55555555</v>
      </c>
      <c r="G71" s="92"/>
      <c r="H71" s="27"/>
      <c r="I71" s="23"/>
      <c r="J71" s="27"/>
      <c r="K71" s="23"/>
      <c r="L71" s="27"/>
    </row>
    <row r="72" spans="2:12" s="8" customFormat="1" ht="15.75">
      <c r="B72" s="9"/>
      <c r="C72" s="71"/>
      <c r="D72" s="7"/>
      <c r="E72" s="7"/>
      <c r="F72" s="27"/>
      <c r="G72" s="23"/>
      <c r="H72" s="27"/>
      <c r="I72" s="23"/>
      <c r="J72" s="27"/>
      <c r="K72" s="23"/>
      <c r="L72" s="27"/>
    </row>
    <row r="73" spans="2:12" s="8" customFormat="1" ht="15.75">
      <c r="B73" s="9"/>
      <c r="C73" s="71" t="s">
        <v>193</v>
      </c>
      <c r="D73" s="7"/>
      <c r="E73" s="7"/>
      <c r="F73" s="27"/>
      <c r="G73" s="23"/>
      <c r="H73" s="27"/>
      <c r="I73" s="23"/>
      <c r="J73" s="27"/>
      <c r="K73" s="23"/>
      <c r="L73" s="27"/>
    </row>
    <row r="74" spans="2:12" s="8" customFormat="1" ht="18" customHeight="1">
      <c r="B74" s="9"/>
      <c r="C74" s="71" t="s">
        <v>251</v>
      </c>
      <c r="D74" s="7"/>
      <c r="E74" s="7"/>
      <c r="F74" s="27"/>
      <c r="G74" s="23"/>
      <c r="H74" s="27"/>
      <c r="I74" s="23"/>
      <c r="J74" s="27"/>
      <c r="K74" s="23"/>
      <c r="L74" s="27"/>
    </row>
    <row r="75" spans="2:12" s="8" customFormat="1" ht="18" customHeight="1">
      <c r="B75" s="9"/>
      <c r="C75" s="71"/>
      <c r="D75" s="7"/>
      <c r="E75" s="7"/>
      <c r="F75" s="27"/>
      <c r="G75" s="23"/>
      <c r="H75" s="27"/>
      <c r="I75" s="23"/>
      <c r="J75" s="27"/>
      <c r="K75" s="23"/>
      <c r="L75" s="27"/>
    </row>
    <row r="76" spans="2:12" s="8" customFormat="1" ht="15.75">
      <c r="B76" s="9"/>
      <c r="C76" s="23"/>
      <c r="D76" s="7"/>
      <c r="E76" s="7"/>
      <c r="F76" s="27"/>
      <c r="G76" s="23"/>
      <c r="H76" s="27"/>
      <c r="I76" s="23"/>
      <c r="J76" s="27"/>
      <c r="K76" s="23"/>
      <c r="L76" s="27"/>
    </row>
    <row r="77" spans="2:12" s="8" customFormat="1" ht="15.75">
      <c r="B77" s="9"/>
      <c r="C77" s="7" t="s">
        <v>76</v>
      </c>
      <c r="D77" s="7"/>
      <c r="E77" s="7"/>
      <c r="F77" s="27"/>
      <c r="G77" s="23"/>
      <c r="H77" s="27"/>
      <c r="I77" s="23"/>
      <c r="J77" s="27"/>
      <c r="K77" s="23"/>
      <c r="L77" s="27"/>
    </row>
    <row r="78" spans="2:12" s="8" customFormat="1" ht="15.75">
      <c r="B78" s="9"/>
      <c r="C78" s="23" t="s">
        <v>62</v>
      </c>
      <c r="D78" s="7"/>
      <c r="E78" s="7"/>
      <c r="F78" s="27"/>
      <c r="G78" s="23"/>
      <c r="H78" s="27"/>
      <c r="I78" s="23"/>
      <c r="J78" s="27"/>
      <c r="K78" s="23"/>
      <c r="L78" s="27"/>
    </row>
    <row r="79" spans="2:12" s="8" customFormat="1" ht="15.75">
      <c r="B79" s="9"/>
      <c r="C79" s="23" t="s">
        <v>63</v>
      </c>
      <c r="D79" s="7"/>
      <c r="E79" s="7"/>
      <c r="F79" s="27"/>
      <c r="G79" s="23"/>
      <c r="H79" s="27"/>
      <c r="I79" s="23"/>
      <c r="J79" s="4">
        <v>2003</v>
      </c>
      <c r="K79" s="23"/>
      <c r="L79" s="27"/>
    </row>
    <row r="80" spans="2:12" s="8" customFormat="1" ht="15.75">
      <c r="B80" s="9"/>
      <c r="C80" s="7"/>
      <c r="D80" s="7"/>
      <c r="E80" s="7"/>
      <c r="F80" s="27"/>
      <c r="G80" s="23"/>
      <c r="H80" s="27"/>
      <c r="I80" s="23"/>
      <c r="J80" s="4" t="s">
        <v>226</v>
      </c>
      <c r="K80" s="23"/>
      <c r="L80" s="27"/>
    </row>
    <row r="81" spans="2:12" s="8" customFormat="1" ht="15.75">
      <c r="B81" s="9"/>
      <c r="D81" s="7"/>
      <c r="E81" s="7"/>
      <c r="F81" s="27"/>
      <c r="G81" s="23"/>
      <c r="H81" s="27"/>
      <c r="I81" s="23"/>
      <c r="J81" s="4" t="s">
        <v>14</v>
      </c>
      <c r="K81" s="23"/>
      <c r="L81" s="27"/>
    </row>
    <row r="82" spans="2:12" s="8" customFormat="1" ht="15.75">
      <c r="B82" s="9"/>
      <c r="D82" s="7"/>
      <c r="E82" s="7"/>
      <c r="F82" s="27"/>
      <c r="G82" s="23"/>
      <c r="H82" s="27"/>
      <c r="I82" s="23"/>
      <c r="J82" s="4" t="s">
        <v>15</v>
      </c>
      <c r="K82" s="23"/>
      <c r="L82" s="27"/>
    </row>
    <row r="83" spans="2:12" s="8" customFormat="1" ht="15.75">
      <c r="B83" s="9"/>
      <c r="C83" s="23" t="s">
        <v>64</v>
      </c>
      <c r="D83" s="7"/>
      <c r="E83" s="7"/>
      <c r="F83" s="27"/>
      <c r="G83" s="23"/>
      <c r="H83" s="27"/>
      <c r="I83" s="23"/>
      <c r="J83" s="27"/>
      <c r="K83" s="23"/>
      <c r="L83" s="27"/>
    </row>
    <row r="84" spans="2:12" s="8" customFormat="1" ht="15.75">
      <c r="B84" s="9"/>
      <c r="C84" s="23" t="s">
        <v>65</v>
      </c>
      <c r="D84" s="7"/>
      <c r="E84" s="7"/>
      <c r="F84" s="27"/>
      <c r="G84" s="23"/>
      <c r="H84" s="27"/>
      <c r="I84" s="23"/>
      <c r="J84" s="27"/>
      <c r="K84" s="23"/>
      <c r="L84" s="27"/>
    </row>
    <row r="85" spans="2:12" s="8" customFormat="1" ht="15.75">
      <c r="B85" s="9"/>
      <c r="C85" s="23" t="s">
        <v>66</v>
      </c>
      <c r="D85" s="7"/>
      <c r="E85" s="7"/>
      <c r="F85" s="27"/>
      <c r="G85" s="23"/>
      <c r="H85" s="27"/>
      <c r="I85" s="23"/>
      <c r="J85" s="27"/>
      <c r="K85" s="23"/>
      <c r="L85" s="27"/>
    </row>
    <row r="86" spans="2:12" s="8" customFormat="1" ht="15.75">
      <c r="B86" s="9"/>
      <c r="C86" s="23" t="s">
        <v>67</v>
      </c>
      <c r="D86" s="7"/>
      <c r="E86" s="7"/>
      <c r="F86" s="11"/>
      <c r="H86" s="11"/>
      <c r="J86" s="27"/>
      <c r="K86" s="23"/>
      <c r="L86" s="27"/>
    </row>
    <row r="87" spans="2:12" s="8" customFormat="1" ht="15.75">
      <c r="B87" s="9"/>
      <c r="C87" s="55" t="s">
        <v>68</v>
      </c>
      <c r="D87" s="7"/>
      <c r="E87" s="7"/>
      <c r="F87" s="11"/>
      <c r="H87" s="11"/>
      <c r="J87" s="27">
        <f>3619767</f>
        <v>3619767</v>
      </c>
      <c r="K87" s="23"/>
      <c r="L87" s="27"/>
    </row>
    <row r="88" spans="2:12" s="8" customFormat="1" ht="15">
      <c r="B88" s="9"/>
      <c r="C88" s="55" t="s">
        <v>69</v>
      </c>
      <c r="F88" s="11"/>
      <c r="H88" s="11"/>
      <c r="J88" s="27">
        <f>626793</f>
        <v>626793</v>
      </c>
      <c r="K88" s="23"/>
      <c r="L88" s="27"/>
    </row>
    <row r="89" spans="2:12" s="8" customFormat="1" ht="15.75">
      <c r="B89" s="9"/>
      <c r="C89" s="7"/>
      <c r="F89" s="11"/>
      <c r="H89" s="11"/>
      <c r="J89" s="27"/>
      <c r="K89" s="23"/>
      <c r="L89" s="27"/>
    </row>
    <row r="90" spans="2:12" s="8" customFormat="1" ht="15">
      <c r="B90" s="9"/>
      <c r="C90" s="8" t="s">
        <v>70</v>
      </c>
      <c r="F90" s="11"/>
      <c r="H90" s="11"/>
      <c r="J90" s="27"/>
      <c r="K90" s="23"/>
      <c r="L90" s="27"/>
    </row>
    <row r="91" spans="2:12" s="8" customFormat="1" ht="15.75">
      <c r="B91" s="9"/>
      <c r="C91" s="8" t="s">
        <v>71</v>
      </c>
      <c r="D91" s="7"/>
      <c r="E91" s="7"/>
      <c r="F91" s="11"/>
      <c r="H91" s="11"/>
      <c r="J91" s="27">
        <v>25341.06</v>
      </c>
      <c r="K91" s="23"/>
      <c r="L91" s="27"/>
    </row>
    <row r="92" spans="2:12" s="8" customFormat="1" ht="15.75">
      <c r="B92" s="9"/>
      <c r="C92" s="7"/>
      <c r="D92" s="7"/>
      <c r="E92" s="7"/>
      <c r="F92" s="11"/>
      <c r="H92" s="11"/>
      <c r="J92" s="27"/>
      <c r="K92" s="23"/>
      <c r="L92" s="27"/>
    </row>
    <row r="93" spans="2:12" s="8" customFormat="1" ht="15.75" hidden="1">
      <c r="B93" s="9"/>
      <c r="C93" s="23" t="s">
        <v>174</v>
      </c>
      <c r="D93" s="7"/>
      <c r="E93" s="7"/>
      <c r="F93" s="11"/>
      <c r="H93" s="11"/>
      <c r="J93" s="27"/>
      <c r="K93" s="23"/>
      <c r="L93" s="27"/>
    </row>
    <row r="94" spans="2:12" s="8" customFormat="1" ht="15.75" hidden="1">
      <c r="B94" s="9"/>
      <c r="C94" s="23" t="s">
        <v>175</v>
      </c>
      <c r="D94" s="7"/>
      <c r="E94" s="7"/>
      <c r="F94" s="11"/>
      <c r="H94" s="11"/>
      <c r="J94" s="27"/>
      <c r="K94" s="23"/>
      <c r="L94" s="27"/>
    </row>
    <row r="95" spans="2:12" s="8" customFormat="1" ht="15.75" hidden="1">
      <c r="B95" s="9"/>
      <c r="C95" s="23" t="s">
        <v>176</v>
      </c>
      <c r="D95" s="7"/>
      <c r="E95" s="7"/>
      <c r="F95" s="11"/>
      <c r="H95" s="11"/>
      <c r="J95" s="27"/>
      <c r="K95" s="23"/>
      <c r="L95" s="27"/>
    </row>
    <row r="96" spans="2:12" s="8" customFormat="1" ht="15.75" hidden="1">
      <c r="B96" s="9"/>
      <c r="C96" s="23" t="s">
        <v>177</v>
      </c>
      <c r="D96" s="7"/>
      <c r="E96" s="7"/>
      <c r="F96" s="11"/>
      <c r="H96" s="11"/>
      <c r="K96" s="23"/>
      <c r="L96" s="27"/>
    </row>
    <row r="97" spans="2:12" s="8" customFormat="1" ht="15.75" hidden="1">
      <c r="B97" s="9"/>
      <c r="C97" s="23" t="s">
        <v>195</v>
      </c>
      <c r="D97" s="7"/>
      <c r="E97" s="7"/>
      <c r="F97" s="11"/>
      <c r="H97" s="11"/>
      <c r="J97" s="27"/>
      <c r="K97" s="23"/>
      <c r="L97" s="27"/>
    </row>
    <row r="98" spans="2:12" s="8" customFormat="1" ht="15.75" hidden="1">
      <c r="B98" s="9"/>
      <c r="C98" s="7"/>
      <c r="D98" s="7"/>
      <c r="E98" s="7"/>
      <c r="F98" s="11"/>
      <c r="H98" s="11"/>
      <c r="J98" s="27"/>
      <c r="K98" s="23"/>
      <c r="L98" s="27"/>
    </row>
    <row r="99" spans="2:12" s="8" customFormat="1" ht="15.75">
      <c r="B99" s="9"/>
      <c r="C99" s="23" t="s">
        <v>72</v>
      </c>
      <c r="D99" s="7"/>
      <c r="E99" s="7"/>
      <c r="F99" s="11"/>
      <c r="H99" s="11"/>
      <c r="J99" s="27"/>
      <c r="K99" s="23"/>
      <c r="L99" s="27"/>
    </row>
    <row r="100" spans="2:12" s="8" customFormat="1" ht="15.75">
      <c r="B100" s="9"/>
      <c r="C100" s="23" t="s">
        <v>73</v>
      </c>
      <c r="D100" s="7"/>
      <c r="E100" s="7"/>
      <c r="F100" s="11"/>
      <c r="H100" s="11"/>
      <c r="J100" s="27">
        <f>91200</f>
        <v>91200</v>
      </c>
      <c r="K100" s="23"/>
      <c r="L100" s="27"/>
    </row>
    <row r="101" spans="2:12" s="8" customFormat="1" ht="15.75">
      <c r="B101" s="9"/>
      <c r="C101" s="23"/>
      <c r="D101" s="7"/>
      <c r="E101" s="7"/>
      <c r="F101" s="11"/>
      <c r="H101" s="11"/>
      <c r="J101" s="27"/>
      <c r="K101" s="23"/>
      <c r="L101" s="27"/>
    </row>
    <row r="102" spans="2:12" s="8" customFormat="1" ht="15.75">
      <c r="B102" s="9"/>
      <c r="C102" s="23" t="s">
        <v>74</v>
      </c>
      <c r="D102" s="7"/>
      <c r="E102" s="7"/>
      <c r="F102" s="11"/>
      <c r="H102" s="11"/>
      <c r="J102" s="27">
        <f>315000</f>
        <v>315000</v>
      </c>
      <c r="K102" s="23"/>
      <c r="L102" s="27"/>
    </row>
    <row r="103" spans="2:12" s="8" customFormat="1" ht="15.75">
      <c r="B103" s="9"/>
      <c r="C103" s="23"/>
      <c r="D103" s="7"/>
      <c r="E103" s="7"/>
      <c r="F103" s="11"/>
      <c r="H103" s="11"/>
      <c r="J103" s="27"/>
      <c r="K103" s="23"/>
      <c r="L103" s="27"/>
    </row>
    <row r="104" spans="2:12" s="8" customFormat="1" ht="15.75">
      <c r="B104" s="9"/>
      <c r="C104" s="23" t="s">
        <v>75</v>
      </c>
      <c r="D104" s="7"/>
      <c r="E104" s="7"/>
      <c r="F104" s="11"/>
      <c r="H104" s="11"/>
      <c r="J104" s="27">
        <f>212459</f>
        <v>212459</v>
      </c>
      <c r="K104" s="23"/>
      <c r="L104" s="27"/>
    </row>
    <row r="105" spans="2:12" s="8" customFormat="1" ht="15.75">
      <c r="B105" s="9"/>
      <c r="C105" s="23"/>
      <c r="D105" s="7"/>
      <c r="E105" s="7"/>
      <c r="F105" s="11"/>
      <c r="H105" s="11"/>
      <c r="J105" s="27"/>
      <c r="K105" s="23"/>
      <c r="L105" s="27"/>
    </row>
    <row r="106" spans="2:12" s="8" customFormat="1" ht="15">
      <c r="B106" s="9"/>
      <c r="C106" s="23" t="s">
        <v>194</v>
      </c>
      <c r="D106" s="23"/>
      <c r="E106" s="23"/>
      <c r="F106" s="56"/>
      <c r="G106" s="23"/>
      <c r="H106" s="56"/>
      <c r="I106" s="23"/>
      <c r="J106" s="27"/>
      <c r="K106" s="23"/>
      <c r="L106" s="27"/>
    </row>
    <row r="107" spans="2:12" s="8" customFormat="1" ht="15">
      <c r="B107" s="9"/>
      <c r="C107" s="23" t="s">
        <v>133</v>
      </c>
      <c r="D107" s="23"/>
      <c r="E107" s="23"/>
      <c r="F107" s="56"/>
      <c r="G107" s="23"/>
      <c r="H107" s="56"/>
      <c r="I107" s="23"/>
      <c r="J107" s="27"/>
      <c r="K107" s="23"/>
      <c r="L107" s="27"/>
    </row>
    <row r="108" spans="2:12" s="8" customFormat="1" ht="15">
      <c r="B108" s="9"/>
      <c r="C108" s="23" t="s">
        <v>134</v>
      </c>
      <c r="D108" s="23"/>
      <c r="E108" s="23"/>
      <c r="F108" s="56"/>
      <c r="G108" s="23"/>
      <c r="H108" s="56"/>
      <c r="I108" s="23"/>
      <c r="J108" s="27"/>
      <c r="K108" s="23"/>
      <c r="L108" s="27"/>
    </row>
    <row r="109" spans="2:12" s="8" customFormat="1" ht="15">
      <c r="B109" s="9"/>
      <c r="C109" s="23" t="s">
        <v>196</v>
      </c>
      <c r="D109" s="23"/>
      <c r="E109" s="23"/>
      <c r="F109" s="56"/>
      <c r="G109" s="23"/>
      <c r="H109" s="56"/>
      <c r="I109" s="23"/>
      <c r="J109" s="27"/>
      <c r="K109" s="23"/>
      <c r="L109" s="27"/>
    </row>
    <row r="110" spans="2:12" s="8" customFormat="1" ht="15">
      <c r="B110" s="9"/>
      <c r="C110" s="23" t="s">
        <v>197</v>
      </c>
      <c r="D110" s="23"/>
      <c r="E110" s="23"/>
      <c r="F110" s="56"/>
      <c r="G110" s="23"/>
      <c r="H110" s="56"/>
      <c r="I110" s="23"/>
      <c r="J110" s="27">
        <v>0</v>
      </c>
      <c r="K110" s="23"/>
      <c r="L110" s="27"/>
    </row>
    <row r="111" spans="2:12" s="8" customFormat="1" ht="15">
      <c r="B111" s="9"/>
      <c r="C111" s="23"/>
      <c r="D111" s="23"/>
      <c r="E111" s="23"/>
      <c r="F111" s="56"/>
      <c r="G111" s="23"/>
      <c r="H111" s="56"/>
      <c r="I111" s="23"/>
      <c r="J111" s="27"/>
      <c r="K111" s="23"/>
      <c r="L111" s="27"/>
    </row>
    <row r="112" spans="2:12" s="8" customFormat="1" ht="15">
      <c r="B112" s="9"/>
      <c r="C112" s="23" t="s">
        <v>214</v>
      </c>
      <c r="D112" s="23"/>
      <c r="E112" s="23"/>
      <c r="F112" s="56"/>
      <c r="G112" s="23"/>
      <c r="H112" s="56"/>
      <c r="I112" s="23"/>
      <c r="J112" s="27">
        <f>27000</f>
        <v>27000</v>
      </c>
      <c r="K112" s="23"/>
      <c r="L112" s="27"/>
    </row>
    <row r="113" spans="2:12" s="8" customFormat="1" ht="15">
      <c r="B113" s="9"/>
      <c r="C113" s="23"/>
      <c r="D113" s="23"/>
      <c r="E113" s="23"/>
      <c r="F113" s="56"/>
      <c r="G113" s="23"/>
      <c r="H113" s="56"/>
      <c r="I113" s="23"/>
      <c r="J113" s="27"/>
      <c r="K113" s="23"/>
      <c r="L113" s="27"/>
    </row>
    <row r="114" spans="2:12" s="8" customFormat="1" ht="15">
      <c r="B114" s="9"/>
      <c r="C114" s="23"/>
      <c r="D114" s="23"/>
      <c r="E114" s="23"/>
      <c r="F114" s="56"/>
      <c r="G114" s="23"/>
      <c r="H114" s="56"/>
      <c r="I114" s="23"/>
      <c r="J114" s="27"/>
      <c r="K114" s="23"/>
      <c r="L114" s="27"/>
    </row>
    <row r="115" spans="2:12" s="8" customFormat="1" ht="15">
      <c r="B115" s="9"/>
      <c r="C115" s="23"/>
      <c r="D115" s="23"/>
      <c r="E115" s="23"/>
      <c r="F115" s="56"/>
      <c r="G115" s="23"/>
      <c r="H115" s="56"/>
      <c r="I115" s="23"/>
      <c r="J115" s="27"/>
      <c r="K115" s="23"/>
      <c r="L115" s="27"/>
    </row>
    <row r="116" spans="2:12" s="8" customFormat="1" ht="15">
      <c r="B116" s="9"/>
      <c r="C116" s="23"/>
      <c r="D116" s="23"/>
      <c r="E116" s="23"/>
      <c r="F116" s="56"/>
      <c r="G116" s="23"/>
      <c r="H116" s="56"/>
      <c r="I116" s="23"/>
      <c r="J116" s="27"/>
      <c r="K116" s="23"/>
      <c r="L116" s="27"/>
    </row>
    <row r="117" spans="2:12" s="8" customFormat="1" ht="15">
      <c r="B117" s="9"/>
      <c r="C117" s="23"/>
      <c r="D117" s="23"/>
      <c r="E117" s="23"/>
      <c r="F117" s="56"/>
      <c r="G117" s="23"/>
      <c r="H117" s="56"/>
      <c r="I117" s="23"/>
      <c r="J117" s="27"/>
      <c r="K117" s="23"/>
      <c r="L117" s="27"/>
    </row>
    <row r="118" spans="2:12" s="8" customFormat="1" ht="15">
      <c r="B118" s="9"/>
      <c r="C118" s="23"/>
      <c r="D118" s="23"/>
      <c r="E118" s="23"/>
      <c r="F118" s="56"/>
      <c r="G118" s="23"/>
      <c r="H118" s="56"/>
      <c r="I118" s="23"/>
      <c r="J118" s="27"/>
      <c r="K118" s="23"/>
      <c r="L118" s="27"/>
    </row>
    <row r="119" spans="2:12" s="8" customFormat="1" ht="15">
      <c r="B119" s="9"/>
      <c r="C119" s="23"/>
      <c r="D119" s="23"/>
      <c r="E119" s="23"/>
      <c r="F119" s="56"/>
      <c r="G119" s="23"/>
      <c r="H119" s="56"/>
      <c r="I119" s="23"/>
      <c r="J119" s="27"/>
      <c r="K119" s="23"/>
      <c r="L119" s="27"/>
    </row>
    <row r="120" spans="2:12" s="8" customFormat="1" ht="15">
      <c r="B120" s="9"/>
      <c r="C120" s="23"/>
      <c r="D120" s="23"/>
      <c r="E120" s="23"/>
      <c r="F120" s="56"/>
      <c r="G120" s="23"/>
      <c r="H120" s="56"/>
      <c r="I120" s="23"/>
      <c r="J120" s="27"/>
      <c r="K120" s="23"/>
      <c r="L120" s="27"/>
    </row>
    <row r="121" spans="2:12" s="8" customFormat="1" ht="15">
      <c r="B121" s="9"/>
      <c r="C121" s="57"/>
      <c r="D121" s="57"/>
      <c r="E121" s="57"/>
      <c r="F121" s="56"/>
      <c r="G121" s="23"/>
      <c r="H121" s="56"/>
      <c r="I121" s="23"/>
      <c r="J121" s="27"/>
      <c r="K121" s="23"/>
      <c r="L121" s="27"/>
    </row>
    <row r="122" spans="2:12" s="8" customFormat="1" ht="15">
      <c r="B122" s="9"/>
      <c r="C122" s="23"/>
      <c r="D122" s="23"/>
      <c r="E122" s="23"/>
      <c r="F122" s="56"/>
      <c r="G122" s="23"/>
      <c r="H122" s="56"/>
      <c r="I122" s="23"/>
      <c r="J122" s="56"/>
      <c r="K122" s="23"/>
      <c r="L122" s="56"/>
    </row>
    <row r="123" spans="2:12" s="8" customFormat="1" ht="15">
      <c r="B123" s="9"/>
      <c r="C123" s="57"/>
      <c r="D123" s="57"/>
      <c r="E123" s="57"/>
      <c r="F123" s="56"/>
      <c r="G123" s="23"/>
      <c r="H123" s="56"/>
      <c r="I123" s="23"/>
      <c r="J123" s="56"/>
      <c r="K123" s="23"/>
      <c r="L123" s="56"/>
    </row>
    <row r="124" spans="3:12" s="8" customFormat="1" ht="15">
      <c r="C124" s="23"/>
      <c r="D124" s="23"/>
      <c r="E124" s="23"/>
      <c r="F124" s="56"/>
      <c r="G124" s="23"/>
      <c r="H124" s="56"/>
      <c r="I124" s="23"/>
      <c r="J124" s="56"/>
      <c r="K124" s="23"/>
      <c r="L124" s="56"/>
    </row>
    <row r="125" spans="3:12" s="8" customFormat="1" ht="15">
      <c r="C125" s="23"/>
      <c r="D125" s="23"/>
      <c r="E125" s="23"/>
      <c r="F125" s="56"/>
      <c r="G125" s="23"/>
      <c r="H125" s="56"/>
      <c r="I125" s="23"/>
      <c r="J125" s="56"/>
      <c r="K125" s="23"/>
      <c r="L125" s="56"/>
    </row>
    <row r="126" spans="3:12" s="8" customFormat="1" ht="15">
      <c r="C126" s="23"/>
      <c r="D126" s="23"/>
      <c r="E126" s="23"/>
      <c r="F126" s="56"/>
      <c r="G126" s="23"/>
      <c r="H126" s="56"/>
      <c r="I126" s="23"/>
      <c r="J126" s="56"/>
      <c r="K126" s="23"/>
      <c r="L126" s="56"/>
    </row>
    <row r="127" spans="3:12" ht="15">
      <c r="C127" s="15"/>
      <c r="D127" s="15"/>
      <c r="E127" s="15"/>
      <c r="F127" s="58"/>
      <c r="G127" s="15"/>
      <c r="H127" s="58"/>
      <c r="I127" s="15"/>
      <c r="J127" s="58"/>
      <c r="K127" s="15"/>
      <c r="L127" s="58"/>
    </row>
    <row r="128" spans="3:12" ht="15">
      <c r="C128" s="15"/>
      <c r="D128" s="15"/>
      <c r="E128" s="15"/>
      <c r="F128" s="58"/>
      <c r="G128" s="15"/>
      <c r="H128" s="58"/>
      <c r="I128" s="15"/>
      <c r="J128" s="58"/>
      <c r="K128" s="15"/>
      <c r="L128" s="58"/>
    </row>
    <row r="129" spans="3:12" ht="15">
      <c r="C129" s="15"/>
      <c r="D129" s="15"/>
      <c r="E129" s="15"/>
      <c r="F129" s="58"/>
      <c r="G129" s="15"/>
      <c r="H129" s="58"/>
      <c r="I129" s="15"/>
      <c r="J129" s="58"/>
      <c r="K129" s="15"/>
      <c r="L129" s="58"/>
    </row>
    <row r="130" spans="3:12" ht="15">
      <c r="C130" s="15"/>
      <c r="D130" s="15"/>
      <c r="E130" s="15"/>
      <c r="F130" s="58"/>
      <c r="G130" s="15"/>
      <c r="H130" s="58"/>
      <c r="I130" s="15"/>
      <c r="J130" s="58"/>
      <c r="K130" s="15"/>
      <c r="L130" s="58"/>
    </row>
    <row r="131" spans="6:12" ht="15">
      <c r="F131" s="6"/>
      <c r="H131" s="6"/>
      <c r="J131" s="6"/>
      <c r="L131" s="6"/>
    </row>
    <row r="132" spans="6:12" ht="15">
      <c r="F132" s="6"/>
      <c r="H132" s="6"/>
      <c r="J132" s="6"/>
      <c r="L132" s="6"/>
    </row>
    <row r="133" spans="6:12" ht="15">
      <c r="F133" s="6"/>
      <c r="H133" s="6"/>
      <c r="J133" s="6"/>
      <c r="L133" s="6"/>
    </row>
    <row r="134" spans="6:12" ht="15">
      <c r="F134" s="6"/>
      <c r="H134" s="6"/>
      <c r="J134" s="6"/>
      <c r="L134" s="6"/>
    </row>
    <row r="135" spans="6:12" ht="15">
      <c r="F135" s="6"/>
      <c r="H135" s="6"/>
      <c r="J135" s="6"/>
      <c r="L135" s="6"/>
    </row>
    <row r="136" spans="6:12" ht="15">
      <c r="F136" s="6"/>
      <c r="H136" s="6"/>
      <c r="J136" s="6"/>
      <c r="L136" s="6"/>
    </row>
    <row r="137" spans="6:12" ht="15">
      <c r="F137" s="6"/>
      <c r="H137" s="6"/>
      <c r="J137" s="6"/>
      <c r="L137" s="6"/>
    </row>
    <row r="138" spans="6:12" ht="15">
      <c r="F138" s="6"/>
      <c r="H138" s="6"/>
      <c r="J138" s="6"/>
      <c r="L138" s="6"/>
    </row>
    <row r="139" spans="6:12" ht="15">
      <c r="F139" s="6"/>
      <c r="H139" s="6"/>
      <c r="J139" s="6"/>
      <c r="L139" s="6"/>
    </row>
    <row r="140" spans="6:12" ht="15">
      <c r="F140" s="6"/>
      <c r="H140" s="6"/>
      <c r="J140" s="6"/>
      <c r="L140" s="6"/>
    </row>
    <row r="141" spans="6:12" ht="15">
      <c r="F141" s="6"/>
      <c r="H141" s="6"/>
      <c r="J141" s="6"/>
      <c r="L141" s="6"/>
    </row>
    <row r="142" spans="6:12" ht="15">
      <c r="F142" s="6"/>
      <c r="H142" s="6"/>
      <c r="J142" s="6"/>
      <c r="L142" s="6"/>
    </row>
    <row r="143" spans="6:12" ht="15">
      <c r="F143" s="6"/>
      <c r="H143" s="6"/>
      <c r="J143" s="6"/>
      <c r="L143" s="6"/>
    </row>
    <row r="144" spans="6:12" ht="15">
      <c r="F144" s="6"/>
      <c r="H144" s="6"/>
      <c r="J144" s="6"/>
      <c r="L144" s="6"/>
    </row>
    <row r="145" spans="6:12" ht="15">
      <c r="F145" s="6"/>
      <c r="H145" s="6"/>
      <c r="J145" s="6"/>
      <c r="L145" s="6"/>
    </row>
    <row r="146" spans="6:12" ht="15">
      <c r="F146" s="6"/>
      <c r="H146" s="6"/>
      <c r="J146" s="6"/>
      <c r="L146" s="6"/>
    </row>
  </sheetData>
  <mergeCells count="4">
    <mergeCell ref="C59:L59"/>
    <mergeCell ref="C71:D71"/>
    <mergeCell ref="C69:E69"/>
    <mergeCell ref="F68:G68"/>
  </mergeCells>
  <printOptions/>
  <pageMargins left="0.75" right="0.75" top="1" bottom="1" header="0.5" footer="0.5"/>
  <pageSetup horizontalDpi="600" verticalDpi="600" orientation="portrait" scale="65" r:id="rId1"/>
  <rowBreaks count="1" manualBreakCount="1">
    <brk id="5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135"/>
  <sheetViews>
    <sheetView zoomScale="75" zoomScaleNormal="75" workbookViewId="0" topLeftCell="A28">
      <selection activeCell="E77" sqref="E77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5.57421875" style="2" customWidth="1"/>
    <col min="4" max="4" width="8.7109375" style="46" customWidth="1"/>
    <col min="5" max="5" width="16.28125" style="2" customWidth="1"/>
    <col min="6" max="6" width="1.7109375" style="2" customWidth="1"/>
    <col min="7" max="7" width="16.28125" style="2" customWidth="1"/>
    <col min="8" max="8" width="1.7109375" style="2" customWidth="1"/>
    <col min="9" max="9" width="14.00390625" style="2" customWidth="1"/>
    <col min="10" max="10" width="1.7109375" style="2" customWidth="1"/>
    <col min="11" max="11" width="14.00390625" style="2" customWidth="1"/>
    <col min="12" max="12" width="1.7109375" style="2" customWidth="1"/>
    <col min="13" max="13" width="14.140625" style="2" customWidth="1"/>
    <col min="14" max="14" width="1.57421875" style="2" customWidth="1"/>
    <col min="15" max="15" width="14.421875" style="2" customWidth="1"/>
    <col min="16" max="16" width="1.7109375" style="2" customWidth="1"/>
    <col min="17" max="17" width="13.7109375" style="2" customWidth="1"/>
    <col min="18" max="16384" width="12.421875" style="2" customWidth="1"/>
  </cols>
  <sheetData>
    <row r="2" ht="15.75">
      <c r="B2" s="1" t="s">
        <v>0</v>
      </c>
    </row>
    <row r="3" ht="15.75">
      <c r="B3" s="1" t="s">
        <v>229</v>
      </c>
    </row>
    <row r="4" ht="15">
      <c r="B4" s="94" t="s">
        <v>152</v>
      </c>
    </row>
    <row r="5" spans="2:12" ht="15.75">
      <c r="B5" s="3"/>
      <c r="C5" s="3"/>
      <c r="D5" s="76"/>
      <c r="E5" s="4"/>
      <c r="F5" s="3"/>
      <c r="G5" s="4"/>
      <c r="H5" s="3"/>
      <c r="I5" s="4"/>
      <c r="J5" s="3"/>
      <c r="K5" s="4"/>
      <c r="L5" s="3"/>
    </row>
    <row r="6" spans="2:12" ht="15.75">
      <c r="B6" s="3"/>
      <c r="E6" s="4" t="s">
        <v>16</v>
      </c>
      <c r="F6" s="3"/>
      <c r="G6" s="4" t="s">
        <v>16</v>
      </c>
      <c r="H6" s="3"/>
      <c r="I6" s="4"/>
      <c r="J6" s="3"/>
      <c r="K6" s="4"/>
      <c r="L6" s="3"/>
    </row>
    <row r="7" spans="2:12" ht="15.75">
      <c r="B7" s="3"/>
      <c r="D7" s="46" t="s">
        <v>54</v>
      </c>
      <c r="E7" s="19" t="s">
        <v>230</v>
      </c>
      <c r="F7" s="3"/>
      <c r="G7" s="19" t="s">
        <v>156</v>
      </c>
      <c r="H7" s="3"/>
      <c r="I7" s="4"/>
      <c r="J7" s="3"/>
      <c r="K7" s="4"/>
      <c r="L7" s="3"/>
    </row>
    <row r="8" spans="2:12" ht="15.75">
      <c r="B8" s="3"/>
      <c r="E8" s="4"/>
      <c r="F8" s="3"/>
      <c r="G8" s="4"/>
      <c r="H8" s="3"/>
      <c r="I8" s="4"/>
      <c r="J8" s="3"/>
      <c r="K8" s="4"/>
      <c r="L8" s="3"/>
    </row>
    <row r="9" spans="2:12" ht="15.75">
      <c r="B9" s="3"/>
      <c r="E9" s="4"/>
      <c r="F9" s="3"/>
      <c r="G9" s="4"/>
      <c r="H9" s="3"/>
      <c r="I9" s="4"/>
      <c r="J9" s="3"/>
      <c r="K9" s="4"/>
      <c r="L9" s="3"/>
    </row>
    <row r="10" spans="2:12" ht="15">
      <c r="B10" s="3"/>
      <c r="C10" s="28"/>
      <c r="D10" s="77"/>
      <c r="E10" s="3"/>
      <c r="F10" s="3"/>
      <c r="G10" s="3"/>
      <c r="H10" s="3"/>
      <c r="I10" s="3"/>
      <c r="J10" s="3"/>
      <c r="K10" s="3"/>
      <c r="L10" s="3"/>
    </row>
    <row r="11" spans="2:12" ht="15.75" customHeight="1">
      <c r="B11" s="3"/>
      <c r="C11" s="15" t="s">
        <v>17</v>
      </c>
      <c r="D11" s="47">
        <v>1</v>
      </c>
      <c r="E11" s="20">
        <v>20916645.130000003</v>
      </c>
      <c r="F11" s="3"/>
      <c r="G11" s="20">
        <f>13708784</f>
        <v>13708784</v>
      </c>
      <c r="H11" s="3"/>
      <c r="I11" s="5"/>
      <c r="J11" s="3"/>
      <c r="K11" s="5"/>
      <c r="L11" s="3"/>
    </row>
    <row r="12" spans="2:12" s="15" customFormat="1" ht="15">
      <c r="B12" s="12"/>
      <c r="D12" s="47"/>
      <c r="E12" s="14"/>
      <c r="F12" s="12"/>
      <c r="G12" s="14"/>
      <c r="H12" s="12"/>
      <c r="I12" s="14"/>
      <c r="J12" s="12"/>
      <c r="K12" s="14"/>
      <c r="L12" s="12"/>
    </row>
    <row r="13" spans="2:12" s="15" customFormat="1" ht="15">
      <c r="B13" s="12"/>
      <c r="C13" s="15" t="s">
        <v>18</v>
      </c>
      <c r="D13" s="47"/>
      <c r="E13" s="14">
        <v>4221552.415</v>
      </c>
      <c r="F13" s="12"/>
      <c r="G13" s="14">
        <v>525000</v>
      </c>
      <c r="H13" s="12"/>
      <c r="I13" s="14"/>
      <c r="J13" s="12"/>
      <c r="K13" s="14"/>
      <c r="L13" s="12"/>
    </row>
    <row r="14" spans="2:12" s="15" customFormat="1" ht="15">
      <c r="B14" s="12"/>
      <c r="D14" s="47"/>
      <c r="E14" s="14"/>
      <c r="F14" s="12"/>
      <c r="G14" s="14"/>
      <c r="H14" s="12"/>
      <c r="I14" s="14"/>
      <c r="J14" s="12"/>
      <c r="K14" s="14"/>
      <c r="L14" s="12"/>
    </row>
    <row r="15" spans="2:12" s="15" customFormat="1" ht="15">
      <c r="B15" s="12"/>
      <c r="C15" s="15" t="s">
        <v>21</v>
      </c>
      <c r="D15" s="47"/>
      <c r="E15" s="14">
        <v>310192.60750000004</v>
      </c>
      <c r="F15" s="12"/>
      <c r="G15" s="14">
        <f>113191+3542603</f>
        <v>3655794</v>
      </c>
      <c r="H15" s="12"/>
      <c r="I15" s="14"/>
      <c r="J15" s="12"/>
      <c r="K15" s="14"/>
      <c r="L15" s="12"/>
    </row>
    <row r="16" spans="2:12" s="15" customFormat="1" ht="15">
      <c r="B16" s="12"/>
      <c r="D16" s="47"/>
      <c r="E16" s="14"/>
      <c r="F16" s="12"/>
      <c r="G16" s="14"/>
      <c r="H16" s="12"/>
      <c r="I16" s="14"/>
      <c r="J16" s="12"/>
      <c r="K16" s="14"/>
      <c r="L16" s="12"/>
    </row>
    <row r="17" spans="2:12" s="15" customFormat="1" ht="15">
      <c r="B17" s="12"/>
      <c r="C17" s="15" t="s">
        <v>36</v>
      </c>
      <c r="D17" s="47"/>
      <c r="E17" s="14">
        <v>24199999.78</v>
      </c>
      <c r="F17" s="12"/>
      <c r="G17" s="14">
        <f>24200000</f>
        <v>24200000</v>
      </c>
      <c r="H17" s="12"/>
      <c r="I17" s="14"/>
      <c r="J17" s="12"/>
      <c r="K17" s="14"/>
      <c r="L17" s="12"/>
    </row>
    <row r="18" spans="2:12" s="15" customFormat="1" ht="15">
      <c r="B18" s="12"/>
      <c r="D18" s="47"/>
      <c r="E18" s="14"/>
      <c r="F18" s="12"/>
      <c r="G18" s="14"/>
      <c r="H18" s="12"/>
      <c r="I18" s="14"/>
      <c r="J18" s="12"/>
      <c r="K18" s="14"/>
      <c r="L18" s="12"/>
    </row>
    <row r="19" spans="2:12" s="15" customFormat="1" ht="15">
      <c r="B19" s="12"/>
      <c r="C19" s="15" t="s">
        <v>19</v>
      </c>
      <c r="D19" s="47"/>
      <c r="E19" s="14">
        <v>115500</v>
      </c>
      <c r="F19" s="12"/>
      <c r="G19" s="14">
        <f>1115500</f>
        <v>1115500</v>
      </c>
      <c r="H19" s="12"/>
      <c r="I19" s="14"/>
      <c r="J19" s="12"/>
      <c r="K19" s="14"/>
      <c r="L19" s="12"/>
    </row>
    <row r="20" spans="2:12" s="15" customFormat="1" ht="15">
      <c r="B20" s="12"/>
      <c r="D20" s="47"/>
      <c r="E20" s="14"/>
      <c r="F20" s="12"/>
      <c r="G20" s="14"/>
      <c r="H20" s="12"/>
      <c r="I20" s="14"/>
      <c r="J20" s="12"/>
      <c r="K20" s="14"/>
      <c r="L20" s="12"/>
    </row>
    <row r="21" spans="2:12" s="15" customFormat="1" ht="15">
      <c r="B21" s="12"/>
      <c r="C21" s="15" t="s">
        <v>20</v>
      </c>
      <c r="D21" s="47"/>
      <c r="F21" s="12"/>
      <c r="G21" s="14"/>
      <c r="H21" s="12"/>
      <c r="I21" s="14"/>
      <c r="J21" s="12"/>
      <c r="K21" s="14"/>
      <c r="L21" s="12"/>
    </row>
    <row r="22" spans="2:12" s="15" customFormat="1" ht="15">
      <c r="B22" s="12"/>
      <c r="C22" s="15" t="s">
        <v>135</v>
      </c>
      <c r="D22" s="47"/>
      <c r="E22" s="14">
        <v>3237568.5</v>
      </c>
      <c r="F22" s="12"/>
      <c r="G22" s="14">
        <f>5111030</f>
        <v>5111030</v>
      </c>
      <c r="H22" s="12"/>
      <c r="I22" s="14"/>
      <c r="J22" s="12"/>
      <c r="K22" s="14"/>
      <c r="L22" s="12"/>
    </row>
    <row r="23" spans="2:12" s="15" customFormat="1" ht="15">
      <c r="B23" s="12"/>
      <c r="C23" s="15" t="s">
        <v>136</v>
      </c>
      <c r="D23" s="47"/>
      <c r="E23" s="14">
        <v>65207965.21</v>
      </c>
      <c r="F23" s="12"/>
      <c r="G23" s="14">
        <f>71568747</f>
        <v>71568747</v>
      </c>
      <c r="H23" s="12"/>
      <c r="I23" s="14"/>
      <c r="J23" s="12"/>
      <c r="K23" s="14"/>
      <c r="L23" s="12"/>
    </row>
    <row r="24" spans="2:12" s="15" customFormat="1" ht="15">
      <c r="B24" s="12"/>
      <c r="C24" s="15" t="s">
        <v>35</v>
      </c>
      <c r="D24" s="47"/>
      <c r="E24" s="14">
        <v>4492678.76</v>
      </c>
      <c r="F24" s="12"/>
      <c r="G24" s="14">
        <f>4717395</f>
        <v>4717395</v>
      </c>
      <c r="H24" s="12"/>
      <c r="I24" s="14"/>
      <c r="J24" s="12"/>
      <c r="K24" s="14"/>
      <c r="L24" s="12"/>
    </row>
    <row r="25" spans="2:12" s="15" customFormat="1" ht="15">
      <c r="B25" s="12"/>
      <c r="C25" s="15" t="s">
        <v>143</v>
      </c>
      <c r="D25" s="47"/>
      <c r="E25" s="14">
        <v>81423496.11</v>
      </c>
      <c r="F25" s="12"/>
      <c r="G25" s="14">
        <f>54074856+8033633+1229118+349794+1073775+2493594</f>
        <v>67254770</v>
      </c>
      <c r="H25" s="12"/>
      <c r="I25" s="14"/>
      <c r="J25" s="12"/>
      <c r="K25" s="14"/>
      <c r="L25" s="12"/>
    </row>
    <row r="26" spans="2:12" s="15" customFormat="1" ht="15">
      <c r="B26" s="12"/>
      <c r="C26" s="15" t="s">
        <v>22</v>
      </c>
      <c r="D26" s="47"/>
      <c r="E26" s="14">
        <v>78202637.02</v>
      </c>
      <c r="F26" s="12"/>
      <c r="G26" s="14">
        <f>70948185</f>
        <v>70948185</v>
      </c>
      <c r="H26" s="12"/>
      <c r="I26" s="14"/>
      <c r="J26" s="12"/>
      <c r="K26" s="14"/>
      <c r="L26" s="12"/>
    </row>
    <row r="27" spans="2:12" s="15" customFormat="1" ht="15">
      <c r="B27" s="12"/>
      <c r="D27" s="47"/>
      <c r="E27" s="21">
        <f>SUM(E22:E26)</f>
        <v>232564345.60000002</v>
      </c>
      <c r="F27" s="14"/>
      <c r="G27" s="21">
        <f>SUM(G22:G26)</f>
        <v>219600127</v>
      </c>
      <c r="H27" s="14"/>
      <c r="I27" s="14"/>
      <c r="J27" s="14"/>
      <c r="K27" s="14"/>
      <c r="L27" s="14"/>
    </row>
    <row r="28" spans="2:12" s="15" customFormat="1" ht="15">
      <c r="B28" s="12"/>
      <c r="D28" s="47"/>
      <c r="E28" s="14"/>
      <c r="F28" s="12"/>
      <c r="G28" s="14"/>
      <c r="H28" s="12"/>
      <c r="I28" s="14"/>
      <c r="J28" s="12"/>
      <c r="K28" s="14"/>
      <c r="L28" s="12"/>
    </row>
    <row r="29" spans="2:12" s="15" customFormat="1" ht="15">
      <c r="B29" s="12"/>
      <c r="C29" s="15" t="s">
        <v>23</v>
      </c>
      <c r="D29" s="47"/>
      <c r="E29" s="14"/>
      <c r="F29" s="12"/>
      <c r="G29" s="14"/>
      <c r="H29" s="12"/>
      <c r="I29" s="14"/>
      <c r="J29" s="12"/>
      <c r="K29" s="14"/>
      <c r="L29" s="12"/>
    </row>
    <row r="30" spans="2:12" s="15" customFormat="1" ht="15">
      <c r="B30" s="12"/>
      <c r="C30" s="15" t="s">
        <v>137</v>
      </c>
      <c r="D30" s="47"/>
      <c r="E30" s="14">
        <v>7082867.64</v>
      </c>
      <c r="F30" s="12"/>
      <c r="G30" s="14">
        <f>2197457</f>
        <v>2197457</v>
      </c>
      <c r="H30" s="12"/>
      <c r="I30" s="14"/>
      <c r="J30" s="12"/>
      <c r="K30" s="14"/>
      <c r="L30" s="12"/>
    </row>
    <row r="31" spans="2:12" s="15" customFormat="1" ht="15">
      <c r="B31" s="12"/>
      <c r="C31" s="15" t="s">
        <v>24</v>
      </c>
      <c r="D31" s="47"/>
      <c r="E31" s="14">
        <v>126991615.2</v>
      </c>
      <c r="F31" s="12"/>
      <c r="G31" s="14">
        <f>122450875+3447137+7736113+13301</f>
        <v>133647426</v>
      </c>
      <c r="H31" s="12"/>
      <c r="I31" s="14"/>
      <c r="J31" s="12"/>
      <c r="K31" s="14"/>
      <c r="L31" s="12"/>
    </row>
    <row r="32" spans="2:12" s="15" customFormat="1" ht="15">
      <c r="B32" s="12"/>
      <c r="C32" s="15" t="s">
        <v>25</v>
      </c>
      <c r="D32" s="47"/>
      <c r="E32" s="14">
        <v>19967264.240000002</v>
      </c>
      <c r="F32" s="12"/>
      <c r="G32" s="14">
        <f>1726033+7458215</f>
        <v>9184248</v>
      </c>
      <c r="H32" s="12"/>
      <c r="I32" s="14"/>
      <c r="J32" s="12"/>
      <c r="K32" s="14"/>
      <c r="L32" s="12"/>
    </row>
    <row r="33" spans="2:12" s="15" customFormat="1" ht="15">
      <c r="B33" s="12"/>
      <c r="C33" s="15" t="s">
        <v>138</v>
      </c>
      <c r="D33" s="47"/>
      <c r="E33" s="14">
        <v>1268883.53</v>
      </c>
      <c r="F33" s="12"/>
      <c r="G33" s="14">
        <f>1010015</f>
        <v>1010015</v>
      </c>
      <c r="H33" s="12"/>
      <c r="I33" s="14"/>
      <c r="J33" s="12"/>
      <c r="K33" s="14"/>
      <c r="L33" s="12"/>
    </row>
    <row r="34" spans="2:12" s="15" customFormat="1" ht="15">
      <c r="B34" s="12"/>
      <c r="C34" s="15" t="s">
        <v>26</v>
      </c>
      <c r="D34" s="47"/>
      <c r="E34" s="35">
        <v>0</v>
      </c>
      <c r="F34" s="12"/>
      <c r="G34" s="14">
        <v>138028</v>
      </c>
      <c r="H34" s="12"/>
      <c r="I34" s="14"/>
      <c r="J34" s="12"/>
      <c r="K34" s="14"/>
      <c r="L34" s="12"/>
    </row>
    <row r="35" spans="2:12" s="15" customFormat="1" ht="16.5" customHeight="1">
      <c r="B35" s="12"/>
      <c r="C35" s="15" t="s">
        <v>217</v>
      </c>
      <c r="D35" s="47"/>
      <c r="E35" s="35">
        <v>0</v>
      </c>
      <c r="F35" s="12"/>
      <c r="G35" s="33">
        <v>0</v>
      </c>
      <c r="H35" s="12"/>
      <c r="I35" s="14"/>
      <c r="J35" s="12"/>
      <c r="K35" s="14"/>
      <c r="L35" s="12"/>
    </row>
    <row r="36" spans="2:12" s="15" customFormat="1" ht="15">
      <c r="B36" s="12"/>
      <c r="D36" s="47"/>
      <c r="E36" s="21">
        <f>SUM(E30:E35)</f>
        <v>155310630.61</v>
      </c>
      <c r="F36" s="12"/>
      <c r="G36" s="21">
        <f>SUM(G30:G35)</f>
        <v>146177174</v>
      </c>
      <c r="H36" s="12"/>
      <c r="I36" s="14"/>
      <c r="J36" s="12"/>
      <c r="K36" s="14"/>
      <c r="L36" s="12"/>
    </row>
    <row r="37" spans="2:12" s="15" customFormat="1" ht="15">
      <c r="B37" s="12"/>
      <c r="D37" s="47"/>
      <c r="E37" s="14"/>
      <c r="F37" s="12"/>
      <c r="G37" s="14"/>
      <c r="H37" s="12"/>
      <c r="I37" s="14"/>
      <c r="J37" s="12"/>
      <c r="K37" s="14"/>
      <c r="L37" s="12"/>
    </row>
    <row r="38" spans="2:12" s="15" customFormat="1" ht="15">
      <c r="B38" s="12"/>
      <c r="C38" s="15" t="s">
        <v>27</v>
      </c>
      <c r="D38" s="47"/>
      <c r="E38" s="14">
        <f>E27-E36</f>
        <v>77253714.99000001</v>
      </c>
      <c r="F38" s="12"/>
      <c r="G38" s="14">
        <f>G27-G36</f>
        <v>73422953</v>
      </c>
      <c r="H38" s="12"/>
      <c r="I38" s="14"/>
      <c r="J38" s="12"/>
      <c r="K38" s="14"/>
      <c r="L38" s="12"/>
    </row>
    <row r="39" spans="2:12" s="15" customFormat="1" ht="15">
      <c r="B39" s="12"/>
      <c r="D39" s="47"/>
      <c r="E39" s="14"/>
      <c r="F39" s="12"/>
      <c r="G39" s="14"/>
      <c r="H39" s="12"/>
      <c r="I39" s="14"/>
      <c r="J39" s="12"/>
      <c r="K39" s="14"/>
      <c r="L39" s="12"/>
    </row>
    <row r="40" spans="2:12" s="15" customFormat="1" ht="15.75" thickBot="1">
      <c r="B40" s="12"/>
      <c r="D40" s="47"/>
      <c r="E40" s="22">
        <f>E11+E13+E15+E17+E19+E38</f>
        <v>127017604.92250001</v>
      </c>
      <c r="F40" s="12"/>
      <c r="G40" s="22">
        <f>G11+G13+G15+G17+G19+G38</f>
        <v>116628031</v>
      </c>
      <c r="H40" s="12"/>
      <c r="I40" s="14"/>
      <c r="J40" s="12"/>
      <c r="K40" s="14"/>
      <c r="L40" s="12"/>
    </row>
    <row r="41" spans="2:12" s="15" customFormat="1" ht="15">
      <c r="B41" s="12"/>
      <c r="D41" s="47"/>
      <c r="E41" s="16"/>
      <c r="F41" s="12"/>
      <c r="G41" s="16"/>
      <c r="H41" s="12"/>
      <c r="I41" s="17"/>
      <c r="J41" s="12"/>
      <c r="K41" s="16"/>
      <c r="L41" s="12"/>
    </row>
    <row r="42" spans="2:12" s="15" customFormat="1" ht="15">
      <c r="B42" s="12"/>
      <c r="C42" s="15" t="s">
        <v>28</v>
      </c>
      <c r="D42" s="47"/>
      <c r="E42" s="14">
        <v>65579400.22</v>
      </c>
      <c r="F42" s="12"/>
      <c r="G42" s="14">
        <f>46301000</f>
        <v>46301000</v>
      </c>
      <c r="H42" s="12"/>
      <c r="I42" s="17"/>
      <c r="J42" s="12"/>
      <c r="K42" s="17"/>
      <c r="L42" s="12"/>
    </row>
    <row r="43" spans="2:12" ht="15">
      <c r="B43" s="3"/>
      <c r="C43" s="2" t="s">
        <v>29</v>
      </c>
      <c r="E43" s="29">
        <v>52773999.6965</v>
      </c>
      <c r="F43" s="3"/>
      <c r="G43" s="29">
        <f>65402958-529143</f>
        <v>64873815</v>
      </c>
      <c r="H43" s="3"/>
      <c r="I43" s="6"/>
      <c r="J43" s="3"/>
      <c r="K43" s="6"/>
      <c r="L43" s="3"/>
    </row>
    <row r="44" spans="2:11" ht="15">
      <c r="B44" s="3"/>
      <c r="C44" s="12" t="s">
        <v>30</v>
      </c>
      <c r="D44" s="47"/>
      <c r="E44" s="14">
        <f>SUM(E42:E43)</f>
        <v>118353399.9165</v>
      </c>
      <c r="G44" s="14">
        <f>SUM(G42:G43)</f>
        <v>111174815</v>
      </c>
      <c r="I44" s="6"/>
      <c r="K44" s="6"/>
    </row>
    <row r="45" spans="3:11" ht="15">
      <c r="C45" s="15"/>
      <c r="D45" s="47"/>
      <c r="E45" s="14"/>
      <c r="G45" s="6"/>
      <c r="I45" s="6"/>
      <c r="K45" s="6"/>
    </row>
    <row r="46" spans="3:11" ht="15">
      <c r="C46" s="15" t="s">
        <v>31</v>
      </c>
      <c r="D46" s="47"/>
      <c r="E46" s="14">
        <v>1484130.0760000001</v>
      </c>
      <c r="G46" s="14">
        <f>1479693</f>
        <v>1479693</v>
      </c>
      <c r="I46" s="6"/>
      <c r="K46" s="6"/>
    </row>
    <row r="47" spans="3:11" ht="15">
      <c r="C47" s="15"/>
      <c r="D47" s="47"/>
      <c r="E47" s="14"/>
      <c r="G47" s="6"/>
      <c r="I47" s="6"/>
      <c r="K47" s="6"/>
    </row>
    <row r="48" spans="2:5" s="8" customFormat="1" ht="15.75">
      <c r="B48" s="7"/>
      <c r="C48" s="23" t="s">
        <v>32</v>
      </c>
      <c r="D48" s="60"/>
      <c r="E48" s="23"/>
    </row>
    <row r="49" spans="2:7" s="8" customFormat="1" ht="15.75">
      <c r="B49" s="7"/>
      <c r="C49" s="15" t="s">
        <v>138</v>
      </c>
      <c r="D49" s="47"/>
      <c r="E49" s="30">
        <v>3140383.96</v>
      </c>
      <c r="G49" s="34">
        <f>2196068</f>
        <v>2196068</v>
      </c>
    </row>
    <row r="50" spans="2:7" s="8" customFormat="1" ht="15.75">
      <c r="B50" s="7"/>
      <c r="C50" s="15" t="s">
        <v>33</v>
      </c>
      <c r="D50" s="47"/>
      <c r="E50" s="30">
        <v>3270718.23</v>
      </c>
      <c r="G50" s="34">
        <f>1008482</f>
        <v>1008482</v>
      </c>
    </row>
    <row r="51" spans="3:7" s="8" customFormat="1" ht="15">
      <c r="C51" s="15" t="s">
        <v>34</v>
      </c>
      <c r="D51" s="47"/>
      <c r="E51" s="30">
        <v>768972.5</v>
      </c>
      <c r="G51" s="34">
        <f>239830+529143</f>
        <v>768973</v>
      </c>
    </row>
    <row r="52" spans="2:11" s="8" customFormat="1" ht="16.5" thickBot="1">
      <c r="B52" s="9"/>
      <c r="C52" s="24"/>
      <c r="D52" s="60"/>
      <c r="E52" s="31">
        <f>SUM(E44:E51)</f>
        <v>127017604.6825</v>
      </c>
      <c r="G52" s="31">
        <f>SUM(G44:G51)</f>
        <v>116628031</v>
      </c>
      <c r="I52" s="10"/>
      <c r="K52" s="10"/>
    </row>
    <row r="53" spans="2:11" s="8" customFormat="1" ht="15.75">
      <c r="B53" s="9"/>
      <c r="C53" s="23"/>
      <c r="D53" s="60"/>
      <c r="E53" s="25"/>
      <c r="G53" s="10"/>
      <c r="I53" s="10"/>
      <c r="K53" s="10"/>
    </row>
    <row r="54" spans="2:11" s="8" customFormat="1" ht="15.75">
      <c r="B54" s="9"/>
      <c r="C54" s="23"/>
      <c r="D54" s="60"/>
      <c r="E54" s="32"/>
      <c r="G54" s="10"/>
      <c r="I54" s="10"/>
      <c r="K54" s="10"/>
    </row>
    <row r="55" spans="2:11" s="8" customFormat="1" ht="15.75">
      <c r="B55" s="9"/>
      <c r="C55" s="2" t="s">
        <v>144</v>
      </c>
      <c r="D55" s="46"/>
      <c r="E55" s="25"/>
      <c r="G55" s="10"/>
      <c r="I55" s="10"/>
      <c r="K55" s="10"/>
    </row>
    <row r="56" spans="2:11" s="8" customFormat="1" ht="15">
      <c r="B56" s="9"/>
      <c r="C56" s="2" t="s">
        <v>199</v>
      </c>
      <c r="D56" s="46"/>
      <c r="E56" s="24"/>
      <c r="G56" s="9"/>
      <c r="I56" s="9"/>
      <c r="K56" s="9"/>
    </row>
    <row r="57" spans="2:11" s="8" customFormat="1" ht="15.75">
      <c r="B57" s="9"/>
      <c r="C57" s="26"/>
      <c r="D57" s="25"/>
      <c r="E57" s="27"/>
      <c r="G57" s="11"/>
      <c r="I57" s="11"/>
      <c r="K57" s="11"/>
    </row>
    <row r="58" spans="2:20" s="8" customFormat="1" ht="15.75">
      <c r="B58" s="9"/>
      <c r="C58" s="26"/>
      <c r="D58" s="26"/>
      <c r="E58" s="26"/>
      <c r="F58" s="26"/>
      <c r="G58" s="26"/>
      <c r="H58" s="27"/>
      <c r="J58" s="11"/>
      <c r="L58" s="11"/>
      <c r="N58" s="11"/>
      <c r="P58" s="11"/>
      <c r="R58" s="11"/>
      <c r="T58" s="11"/>
    </row>
    <row r="59" spans="2:18" s="8" customFormat="1" ht="15.75">
      <c r="B59" s="9"/>
      <c r="C59" s="80" t="s">
        <v>145</v>
      </c>
      <c r="D59" s="61"/>
      <c r="E59" s="61"/>
      <c r="F59" s="11"/>
      <c r="H59" s="11"/>
      <c r="J59" s="11"/>
      <c r="L59" s="11"/>
      <c r="N59" s="11"/>
      <c r="O59" s="59" t="s">
        <v>87</v>
      </c>
      <c r="R59" s="59"/>
    </row>
    <row r="60" spans="2:18" s="23" customFormat="1" ht="15.75">
      <c r="B60" s="24"/>
      <c r="D60" s="26"/>
      <c r="E60" s="59" t="s">
        <v>77</v>
      </c>
      <c r="G60" s="59" t="s">
        <v>79</v>
      </c>
      <c r="I60" s="59" t="s">
        <v>81</v>
      </c>
      <c r="K60" s="59" t="s">
        <v>83</v>
      </c>
      <c r="M60" s="59" t="s">
        <v>85</v>
      </c>
      <c r="O60" s="59" t="s">
        <v>88</v>
      </c>
      <c r="R60" s="59"/>
    </row>
    <row r="61" spans="2:17" s="23" customFormat="1" ht="15.75">
      <c r="B61" s="24"/>
      <c r="D61" s="26"/>
      <c r="E61" s="59" t="s">
        <v>78</v>
      </c>
      <c r="G61" s="59" t="s">
        <v>80</v>
      </c>
      <c r="I61" s="59" t="s">
        <v>82</v>
      </c>
      <c r="K61" s="59" t="s">
        <v>84</v>
      </c>
      <c r="M61" s="59" t="s">
        <v>86</v>
      </c>
      <c r="O61" s="59" t="s">
        <v>89</v>
      </c>
      <c r="Q61" s="59" t="s">
        <v>90</v>
      </c>
    </row>
    <row r="62" spans="2:17" s="23" customFormat="1" ht="15.75">
      <c r="B62" s="24"/>
      <c r="D62" s="26"/>
      <c r="E62" s="59" t="s">
        <v>50</v>
      </c>
      <c r="G62" s="59" t="s">
        <v>50</v>
      </c>
      <c r="I62" s="59" t="s">
        <v>50</v>
      </c>
      <c r="K62" s="59" t="s">
        <v>50</v>
      </c>
      <c r="M62" s="59" t="s">
        <v>50</v>
      </c>
      <c r="O62" s="59" t="s">
        <v>50</v>
      </c>
      <c r="Q62" s="59" t="s">
        <v>50</v>
      </c>
    </row>
    <row r="63" spans="2:17" s="23" customFormat="1" ht="15.75">
      <c r="B63" s="24"/>
      <c r="C63" s="69" t="s">
        <v>91</v>
      </c>
      <c r="D63" s="62"/>
      <c r="E63" s="27"/>
      <c r="G63" s="27"/>
      <c r="I63" s="27"/>
      <c r="K63" s="27"/>
      <c r="M63" s="27"/>
      <c r="O63" s="27"/>
      <c r="Q63" s="27"/>
    </row>
    <row r="64" spans="2:17" s="23" customFormat="1" ht="15.75">
      <c r="B64" s="24"/>
      <c r="C64" s="69" t="s">
        <v>198</v>
      </c>
      <c r="D64" s="62"/>
      <c r="E64" s="51">
        <v>1188180</v>
      </c>
      <c r="G64" s="27">
        <v>729840</v>
      </c>
      <c r="I64" s="27">
        <v>5870603.0600000005</v>
      </c>
      <c r="K64" s="27">
        <v>9898386.2</v>
      </c>
      <c r="M64" s="27">
        <v>12119832.11</v>
      </c>
      <c r="O64" s="27">
        <v>2375833</v>
      </c>
      <c r="Q64" s="27">
        <f aca="true" t="shared" si="0" ref="Q64:Q70">SUM(E64:P64)</f>
        <v>32182674.369999997</v>
      </c>
    </row>
    <row r="65" spans="2:17" s="23" customFormat="1" ht="15.75">
      <c r="B65" s="24"/>
      <c r="C65" s="69" t="s">
        <v>240</v>
      </c>
      <c r="D65" s="62"/>
      <c r="E65" s="51">
        <v>159745</v>
      </c>
      <c r="G65" s="51">
        <v>0</v>
      </c>
      <c r="I65" s="51">
        <v>0</v>
      </c>
      <c r="K65" s="51">
        <v>0</v>
      </c>
      <c r="M65" s="51">
        <v>0</v>
      </c>
      <c r="O65" s="51">
        <v>0</v>
      </c>
      <c r="Q65" s="51">
        <f t="shared" si="0"/>
        <v>159745</v>
      </c>
    </row>
    <row r="66" spans="2:17" s="23" customFormat="1" ht="15.75">
      <c r="B66" s="24"/>
      <c r="C66" s="69" t="s">
        <v>92</v>
      </c>
      <c r="D66" s="62"/>
      <c r="E66" s="51">
        <v>0</v>
      </c>
      <c r="G66" s="51">
        <v>4639999.5</v>
      </c>
      <c r="I66" s="27">
        <v>900877.6</v>
      </c>
      <c r="K66" s="51">
        <v>570470</v>
      </c>
      <c r="M66" s="27">
        <v>3151274.46</v>
      </c>
      <c r="O66" s="27">
        <v>76841</v>
      </c>
      <c r="Q66" s="27">
        <f t="shared" si="0"/>
        <v>9339462.559999999</v>
      </c>
    </row>
    <row r="67" spans="2:17" s="23" customFormat="1" ht="15.75" hidden="1">
      <c r="B67" s="24"/>
      <c r="C67" s="69" t="s">
        <v>189</v>
      </c>
      <c r="D67" s="62"/>
      <c r="E67" s="51">
        <v>0</v>
      </c>
      <c r="G67" s="51">
        <v>0</v>
      </c>
      <c r="I67" s="51">
        <v>0</v>
      </c>
      <c r="K67" s="98">
        <v>0</v>
      </c>
      <c r="M67" s="51">
        <v>0</v>
      </c>
      <c r="O67" s="51">
        <v>0</v>
      </c>
      <c r="Q67" s="51">
        <f t="shared" si="0"/>
        <v>0</v>
      </c>
    </row>
    <row r="68" spans="2:17" s="23" customFormat="1" ht="15.75">
      <c r="B68" s="24"/>
      <c r="C68" s="69" t="s">
        <v>190</v>
      </c>
      <c r="D68" s="62"/>
      <c r="E68" s="51">
        <v>0</v>
      </c>
      <c r="G68" s="51">
        <v>0</v>
      </c>
      <c r="I68" s="112">
        <v>0</v>
      </c>
      <c r="K68" s="51">
        <v>-12500</v>
      </c>
      <c r="M68" s="51">
        <v>-2908291.35</v>
      </c>
      <c r="O68" s="51">
        <v>-5957</v>
      </c>
      <c r="Q68" s="51">
        <f t="shared" si="0"/>
        <v>-2926748.35</v>
      </c>
    </row>
    <row r="69" spans="2:17" s="23" customFormat="1" ht="15.75" hidden="1">
      <c r="B69" s="24"/>
      <c r="C69" s="69" t="s">
        <v>93</v>
      </c>
      <c r="D69" s="62"/>
      <c r="E69" s="51">
        <v>0</v>
      </c>
      <c r="G69" s="51">
        <v>0</v>
      </c>
      <c r="I69" s="112">
        <v>0</v>
      </c>
      <c r="K69" s="51">
        <v>0</v>
      </c>
      <c r="M69" s="51">
        <v>0</v>
      </c>
      <c r="O69" s="51">
        <v>0</v>
      </c>
      <c r="Q69" s="51">
        <f t="shared" si="0"/>
        <v>0</v>
      </c>
    </row>
    <row r="70" spans="2:17" s="23" customFormat="1" ht="15.75">
      <c r="B70" s="24"/>
      <c r="C70" s="69" t="s">
        <v>93</v>
      </c>
      <c r="D70" s="62"/>
      <c r="E70" s="51">
        <v>0</v>
      </c>
      <c r="G70" s="51">
        <v>0</v>
      </c>
      <c r="I70" s="112">
        <v>0</v>
      </c>
      <c r="K70" s="112">
        <v>0</v>
      </c>
      <c r="M70" s="66">
        <v>-230004</v>
      </c>
      <c r="O70" s="112">
        <v>0</v>
      </c>
      <c r="Q70" s="51">
        <f t="shared" si="0"/>
        <v>-230004</v>
      </c>
    </row>
    <row r="71" spans="2:17" s="23" customFormat="1" ht="3.75" customHeight="1">
      <c r="B71" s="24"/>
      <c r="C71" s="69"/>
      <c r="D71" s="62"/>
      <c r="E71" s="27"/>
      <c r="G71" s="27"/>
      <c r="I71" s="27"/>
      <c r="K71" s="27"/>
      <c r="M71" s="27"/>
      <c r="O71" s="27"/>
      <c r="Q71" s="27"/>
    </row>
    <row r="72" spans="2:17" s="23" customFormat="1" ht="3.75" customHeight="1">
      <c r="B72" s="24"/>
      <c r="C72" s="69"/>
      <c r="D72" s="62"/>
      <c r="E72" s="63"/>
      <c r="G72" s="63"/>
      <c r="I72" s="63"/>
      <c r="K72" s="63"/>
      <c r="M72" s="63"/>
      <c r="O72" s="63"/>
      <c r="Q72" s="63"/>
    </row>
    <row r="73" spans="2:17" s="23" customFormat="1" ht="15.75">
      <c r="B73" s="24"/>
      <c r="C73" s="69" t="s">
        <v>231</v>
      </c>
      <c r="D73" s="62"/>
      <c r="E73" s="27">
        <f>SUM(E64:E71)</f>
        <v>1347925</v>
      </c>
      <c r="G73" s="27">
        <f>SUM(G64:G71)</f>
        <v>5369839.5</v>
      </c>
      <c r="I73" s="27">
        <f>SUM(I64:I71)</f>
        <v>6771480.66</v>
      </c>
      <c r="K73" s="27">
        <f>SUM(K64:K71)</f>
        <v>10456356.2</v>
      </c>
      <c r="M73" s="27">
        <f>SUM(M64:M71)</f>
        <v>12132811.22</v>
      </c>
      <c r="O73" s="27">
        <f>SUM(O64:O71)</f>
        <v>2446717</v>
      </c>
      <c r="Q73" s="27">
        <f>SUM(Q64:Q71)</f>
        <v>38525129.57999999</v>
      </c>
    </row>
    <row r="74" spans="2:17" s="23" customFormat="1" ht="3.75" customHeight="1">
      <c r="B74" s="24"/>
      <c r="C74" s="69"/>
      <c r="D74" s="26"/>
      <c r="E74" s="64"/>
      <c r="G74" s="95"/>
      <c r="H74" s="27"/>
      <c r="I74" s="64"/>
      <c r="K74" s="64"/>
      <c r="M74" s="64"/>
      <c r="O74" s="64"/>
      <c r="Q74" s="64"/>
    </row>
    <row r="75" spans="2:17" s="23" customFormat="1" ht="15.75">
      <c r="B75" s="24"/>
      <c r="C75" s="69"/>
      <c r="D75" s="26"/>
      <c r="E75" s="26"/>
      <c r="F75" s="27"/>
      <c r="H75" s="27"/>
      <c r="I75" s="27"/>
      <c r="K75" s="27"/>
      <c r="M75" s="27"/>
      <c r="O75" s="27"/>
      <c r="Q75" s="27"/>
    </row>
    <row r="76" spans="2:17" s="23" customFormat="1" ht="15.75">
      <c r="B76" s="24"/>
      <c r="C76" s="69" t="s">
        <v>94</v>
      </c>
      <c r="D76" s="62"/>
      <c r="E76" s="62"/>
      <c r="F76" s="27"/>
      <c r="H76" s="27"/>
      <c r="I76" s="27"/>
      <c r="K76" s="27"/>
      <c r="M76" s="27"/>
      <c r="O76" s="27"/>
      <c r="Q76" s="27"/>
    </row>
    <row r="77" spans="2:17" s="23" customFormat="1" ht="15.75">
      <c r="B77" s="24"/>
      <c r="C77" s="69" t="s">
        <v>198</v>
      </c>
      <c r="D77" s="62"/>
      <c r="E77" s="51">
        <v>30860.91</v>
      </c>
      <c r="G77" s="51">
        <v>0</v>
      </c>
      <c r="I77" s="51">
        <v>440714.41</v>
      </c>
      <c r="K77" s="51">
        <v>8464474.14</v>
      </c>
      <c r="M77" s="51">
        <v>8237109.989999999</v>
      </c>
      <c r="O77" s="51">
        <v>1300730.63</v>
      </c>
      <c r="Q77" s="27">
        <f aca="true" t="shared" si="1" ref="Q77:Q83">SUM(E77:P77)</f>
        <v>18473890.08</v>
      </c>
    </row>
    <row r="78" spans="2:17" s="23" customFormat="1" ht="15.75">
      <c r="B78" s="24"/>
      <c r="C78" s="69" t="s">
        <v>240</v>
      </c>
      <c r="D78" s="62"/>
      <c r="E78" s="51">
        <v>10416.6</v>
      </c>
      <c r="G78" s="51">
        <v>0</v>
      </c>
      <c r="I78" s="51">
        <v>0</v>
      </c>
      <c r="K78" s="51">
        <v>0</v>
      </c>
      <c r="M78" s="51">
        <v>0</v>
      </c>
      <c r="O78" s="51">
        <v>0</v>
      </c>
      <c r="Q78" s="126">
        <f>SUM(E78:P78)</f>
        <v>10416.6</v>
      </c>
    </row>
    <row r="79" spans="2:17" s="23" customFormat="1" ht="15.75">
      <c r="B79" s="24"/>
      <c r="C79" s="69" t="s">
        <v>95</v>
      </c>
      <c r="D79" s="62"/>
      <c r="E79" s="51">
        <v>13309.25</v>
      </c>
      <c r="G79" s="51">
        <v>0</v>
      </c>
      <c r="I79" s="51">
        <v>97410.5</v>
      </c>
      <c r="K79" s="51">
        <v>448517.03</v>
      </c>
      <c r="M79" s="51">
        <v>1326007.43</v>
      </c>
      <c r="O79" s="51">
        <v>234569.27</v>
      </c>
      <c r="Q79" s="27">
        <f t="shared" si="1"/>
        <v>2119813.48</v>
      </c>
    </row>
    <row r="80" spans="2:17" s="23" customFormat="1" ht="15.75" hidden="1">
      <c r="B80" s="24"/>
      <c r="C80" s="69" t="s">
        <v>189</v>
      </c>
      <c r="D80" s="62"/>
      <c r="E80" s="98">
        <v>0</v>
      </c>
      <c r="G80" s="51">
        <v>0</v>
      </c>
      <c r="I80" s="51">
        <v>0</v>
      </c>
      <c r="K80" s="51">
        <v>0</v>
      </c>
      <c r="M80" s="51">
        <v>0</v>
      </c>
      <c r="O80" s="51">
        <v>-0.2999999999999545</v>
      </c>
      <c r="Q80" s="51">
        <f t="shared" si="1"/>
        <v>-0.2999999999999545</v>
      </c>
    </row>
    <row r="81" spans="2:17" s="23" customFormat="1" ht="15.75">
      <c r="B81" s="24"/>
      <c r="C81" s="69" t="s">
        <v>190</v>
      </c>
      <c r="D81" s="62"/>
      <c r="E81" s="51">
        <v>0</v>
      </c>
      <c r="G81" s="51">
        <v>0</v>
      </c>
      <c r="I81" s="112">
        <v>0</v>
      </c>
      <c r="K81" s="51">
        <v>0</v>
      </c>
      <c r="M81" s="51">
        <v>-2880633.35</v>
      </c>
      <c r="O81" s="66">
        <v>0</v>
      </c>
      <c r="Q81" s="51">
        <f t="shared" si="1"/>
        <v>-2880633.35</v>
      </c>
    </row>
    <row r="82" spans="2:17" s="23" customFormat="1" ht="15.75" hidden="1">
      <c r="B82" s="24"/>
      <c r="C82" s="69" t="s">
        <v>93</v>
      </c>
      <c r="D82" s="62"/>
      <c r="E82" s="51">
        <v>0</v>
      </c>
      <c r="G82" s="51">
        <v>0</v>
      </c>
      <c r="I82" s="112">
        <v>0</v>
      </c>
      <c r="K82" s="51">
        <v>0</v>
      </c>
      <c r="M82" s="51">
        <v>0</v>
      </c>
      <c r="O82" s="51">
        <v>0</v>
      </c>
      <c r="Q82" s="51">
        <f t="shared" si="1"/>
        <v>0</v>
      </c>
    </row>
    <row r="83" spans="2:17" s="23" customFormat="1" ht="15.75">
      <c r="B83" s="24"/>
      <c r="C83" s="69" t="s">
        <v>93</v>
      </c>
      <c r="D83" s="62"/>
      <c r="E83" s="51">
        <v>0</v>
      </c>
      <c r="G83" s="51">
        <v>0</v>
      </c>
      <c r="I83" s="112">
        <v>0</v>
      </c>
      <c r="K83" s="51">
        <v>0</v>
      </c>
      <c r="M83" s="51">
        <v>-115002</v>
      </c>
      <c r="O83" s="51">
        <v>0</v>
      </c>
      <c r="Q83" s="51">
        <f t="shared" si="1"/>
        <v>-115002</v>
      </c>
    </row>
    <row r="84" spans="2:17" s="23" customFormat="1" ht="3.75" customHeight="1">
      <c r="B84" s="24"/>
      <c r="C84" s="69"/>
      <c r="D84" s="62"/>
      <c r="E84" s="27"/>
      <c r="G84" s="27"/>
      <c r="I84" s="27"/>
      <c r="K84" s="27"/>
      <c r="M84" s="27"/>
      <c r="O84" s="27"/>
      <c r="Q84" s="27"/>
    </row>
    <row r="85" spans="2:17" s="23" customFormat="1" ht="3.75" customHeight="1">
      <c r="B85" s="24"/>
      <c r="C85" s="69"/>
      <c r="D85" s="62"/>
      <c r="E85" s="63"/>
      <c r="G85" s="63"/>
      <c r="I85" s="63"/>
      <c r="K85" s="63"/>
      <c r="M85" s="63"/>
      <c r="O85" s="63"/>
      <c r="Q85" s="63"/>
    </row>
    <row r="86" spans="2:17" s="23" customFormat="1" ht="15.75">
      <c r="B86" s="24"/>
      <c r="C86" s="69" t="s">
        <v>231</v>
      </c>
      <c r="D86" s="62"/>
      <c r="E86" s="51">
        <f>SUM(E77:E84)</f>
        <v>54586.76</v>
      </c>
      <c r="G86" s="51">
        <f>SUM(G77:G84)</f>
        <v>0</v>
      </c>
      <c r="I86" s="27">
        <f>SUM(I77:I84)</f>
        <v>538124.9099999999</v>
      </c>
      <c r="K86" s="27">
        <f>SUM(K77:K84)</f>
        <v>8912991.17</v>
      </c>
      <c r="M86" s="27">
        <f>SUM(M77:M84)</f>
        <v>6567482.07</v>
      </c>
      <c r="O86" s="27">
        <f>SUM(O77:O84)</f>
        <v>1535299.5999999999</v>
      </c>
      <c r="Q86" s="27">
        <f>SUM(Q77:Q84)</f>
        <v>17608484.509999998</v>
      </c>
    </row>
    <row r="87" spans="2:17" s="23" customFormat="1" ht="3.75" customHeight="1">
      <c r="B87" s="24"/>
      <c r="C87" s="69"/>
      <c r="E87" s="64"/>
      <c r="G87" s="64"/>
      <c r="I87" s="64"/>
      <c r="K87" s="64"/>
      <c r="M87" s="64"/>
      <c r="O87" s="64"/>
      <c r="Q87" s="64"/>
    </row>
    <row r="88" spans="2:17" s="23" customFormat="1" ht="15.75">
      <c r="B88" s="24"/>
      <c r="C88" s="69"/>
      <c r="D88" s="26"/>
      <c r="E88" s="27"/>
      <c r="G88" s="27"/>
      <c r="I88" s="27"/>
      <c r="K88" s="27"/>
      <c r="M88" s="27"/>
      <c r="P88" s="27"/>
      <c r="Q88" s="27"/>
    </row>
    <row r="89" spans="2:17" s="23" customFormat="1" ht="15.75">
      <c r="B89" s="24"/>
      <c r="C89" s="69" t="s">
        <v>96</v>
      </c>
      <c r="D89" s="62"/>
      <c r="E89" s="27"/>
      <c r="G89" s="27"/>
      <c r="I89" s="27"/>
      <c r="K89" s="27"/>
      <c r="M89" s="27"/>
      <c r="P89" s="27"/>
      <c r="Q89" s="27"/>
    </row>
    <row r="90" spans="2:17" s="23" customFormat="1" ht="16.5" thickBot="1">
      <c r="B90" s="24"/>
      <c r="C90" s="69" t="s">
        <v>232</v>
      </c>
      <c r="D90" s="62"/>
      <c r="E90" s="65">
        <f>E73-E86</f>
        <v>1293338.24</v>
      </c>
      <c r="G90" s="65">
        <f>G73-G86</f>
        <v>5369839.5</v>
      </c>
      <c r="I90" s="65">
        <f>I73-I86</f>
        <v>6233355.75</v>
      </c>
      <c r="K90" s="65">
        <f>K73-K86</f>
        <v>1543365.0299999993</v>
      </c>
      <c r="M90" s="65">
        <f>M73-M86</f>
        <v>5565329.15</v>
      </c>
      <c r="O90" s="65">
        <f>O73-O86</f>
        <v>911417.4000000001</v>
      </c>
      <c r="Q90" s="65">
        <f>SUM(E90:P90)</f>
        <v>20916645.07</v>
      </c>
    </row>
    <row r="91" spans="2:17" s="23" customFormat="1" ht="15.75">
      <c r="B91" s="24"/>
      <c r="C91" s="69"/>
      <c r="D91" s="26"/>
      <c r="E91" s="27"/>
      <c r="G91" s="27"/>
      <c r="J91" s="27"/>
      <c r="L91" s="27"/>
      <c r="M91" s="27"/>
      <c r="O91" s="27"/>
      <c r="Q91" s="27"/>
    </row>
    <row r="92" spans="2:17" s="23" customFormat="1" ht="16.5" thickBot="1">
      <c r="B92" s="24"/>
      <c r="C92" s="69" t="s">
        <v>164</v>
      </c>
      <c r="D92" s="62"/>
      <c r="E92" s="65">
        <f>E64-E77</f>
        <v>1157319.09</v>
      </c>
      <c r="G92" s="65">
        <f>G64-G77</f>
        <v>729840</v>
      </c>
      <c r="I92" s="65">
        <f>I64-I77</f>
        <v>5429888.65</v>
      </c>
      <c r="K92" s="65">
        <f>K64-K77</f>
        <v>1433912.0599999987</v>
      </c>
      <c r="M92" s="65">
        <f>M64-M77</f>
        <v>3882722.12</v>
      </c>
      <c r="O92" s="65">
        <f>O64-O77</f>
        <v>1075102.37</v>
      </c>
      <c r="Q92" s="65">
        <f>SUM(E92:P92)</f>
        <v>13708784.29</v>
      </c>
    </row>
    <row r="93" spans="2:17" s="23" customFormat="1" ht="15.75">
      <c r="B93" s="24"/>
      <c r="C93" s="69"/>
      <c r="D93" s="26"/>
      <c r="E93" s="26"/>
      <c r="F93" s="27"/>
      <c r="H93" s="27"/>
      <c r="J93" s="27"/>
      <c r="L93" s="27"/>
      <c r="N93" s="27"/>
      <c r="P93" s="27"/>
      <c r="Q93" s="27"/>
    </row>
    <row r="94" spans="2:18" s="23" customFormat="1" ht="15.75">
      <c r="B94" s="24"/>
      <c r="C94" s="69" t="s">
        <v>247</v>
      </c>
      <c r="D94" s="26"/>
      <c r="E94" s="26"/>
      <c r="F94" s="27"/>
      <c r="H94" s="27"/>
      <c r="J94" s="27"/>
      <c r="L94" s="27"/>
      <c r="N94" s="27"/>
      <c r="P94" s="27"/>
      <c r="R94" s="27"/>
    </row>
    <row r="95" spans="2:18" s="23" customFormat="1" ht="15.75">
      <c r="B95" s="24"/>
      <c r="C95" s="69"/>
      <c r="D95" s="26"/>
      <c r="E95" s="26"/>
      <c r="F95" s="27"/>
      <c r="H95" s="27"/>
      <c r="J95" s="27"/>
      <c r="L95" s="27"/>
      <c r="N95" s="27"/>
      <c r="P95" s="27"/>
      <c r="R95" s="27"/>
    </row>
    <row r="96" spans="2:18" s="23" customFormat="1" ht="15.75">
      <c r="B96" s="24"/>
      <c r="C96" s="69"/>
      <c r="D96" s="26"/>
      <c r="E96" s="26"/>
      <c r="F96" s="60">
        <v>2002</v>
      </c>
      <c r="G96" s="60"/>
      <c r="H96" s="60">
        <v>2001</v>
      </c>
      <c r="J96" s="27"/>
      <c r="L96" s="27"/>
      <c r="N96" s="27"/>
      <c r="P96" s="27"/>
      <c r="R96" s="27"/>
    </row>
    <row r="97" spans="2:18" s="23" customFormat="1" ht="15.75" hidden="1">
      <c r="B97" s="24"/>
      <c r="C97" s="69"/>
      <c r="D97" s="26"/>
      <c r="E97" s="59" t="s">
        <v>50</v>
      </c>
      <c r="F97" s="60"/>
      <c r="G97" s="59" t="s">
        <v>50</v>
      </c>
      <c r="J97" s="27"/>
      <c r="L97" s="27"/>
      <c r="N97" s="27"/>
      <c r="P97" s="27"/>
      <c r="R97" s="27"/>
    </row>
    <row r="98" spans="2:18" s="23" customFormat="1" ht="15.75" hidden="1">
      <c r="B98" s="24"/>
      <c r="C98" s="80" t="s">
        <v>146</v>
      </c>
      <c r="D98" s="62"/>
      <c r="J98" s="27"/>
      <c r="L98" s="27"/>
      <c r="N98" s="27"/>
      <c r="P98" s="27"/>
      <c r="R98" s="27"/>
    </row>
    <row r="99" spans="2:18" s="23" customFormat="1" ht="15.75" hidden="1">
      <c r="B99" s="24"/>
      <c r="C99" s="80"/>
      <c r="D99" s="62"/>
      <c r="J99" s="27"/>
      <c r="L99" s="27"/>
      <c r="N99" s="27"/>
      <c r="P99" s="27"/>
      <c r="R99" s="27"/>
    </row>
    <row r="100" spans="2:18" s="23" customFormat="1" ht="15.75" hidden="1" thickBot="1">
      <c r="B100" s="24"/>
      <c r="C100" s="69" t="s">
        <v>97</v>
      </c>
      <c r="D100" s="67"/>
      <c r="E100" s="65">
        <v>0</v>
      </c>
      <c r="G100" s="68">
        <v>0</v>
      </c>
      <c r="J100" s="27"/>
      <c r="L100" s="27"/>
      <c r="N100" s="27"/>
      <c r="P100" s="27"/>
      <c r="R100" s="27"/>
    </row>
    <row r="101" spans="2:18" s="23" customFormat="1" ht="15" hidden="1">
      <c r="B101" s="24"/>
      <c r="C101" s="69"/>
      <c r="D101" s="67"/>
      <c r="E101" s="67"/>
      <c r="F101" s="27"/>
      <c r="H101" s="51"/>
      <c r="J101" s="27"/>
      <c r="L101" s="27"/>
      <c r="N101" s="27"/>
      <c r="P101" s="27"/>
      <c r="R101" s="27"/>
    </row>
    <row r="102" spans="2:18" s="23" customFormat="1" ht="15.75" hidden="1">
      <c r="B102" s="24"/>
      <c r="C102" s="69" t="s">
        <v>151</v>
      </c>
      <c r="D102" s="26"/>
      <c r="E102" s="26"/>
      <c r="F102" s="27"/>
      <c r="H102" s="27"/>
      <c r="J102" s="27"/>
      <c r="L102" s="27"/>
      <c r="N102" s="27"/>
      <c r="P102" s="27"/>
      <c r="R102" s="27"/>
    </row>
    <row r="103" spans="2:11" s="8" customFormat="1" ht="15.75">
      <c r="B103" s="9"/>
      <c r="C103" s="7"/>
      <c r="D103" s="10"/>
      <c r="E103" s="11"/>
      <c r="G103" s="11"/>
      <c r="I103" s="11"/>
      <c r="K103" s="11"/>
    </row>
    <row r="104" spans="2:11" s="8" customFormat="1" ht="15.75">
      <c r="B104" s="9"/>
      <c r="C104" s="7"/>
      <c r="D104" s="10"/>
      <c r="E104" s="11"/>
      <c r="G104" s="11"/>
      <c r="I104" s="11"/>
      <c r="K104" s="11"/>
    </row>
    <row r="105" spans="2:11" s="8" customFormat="1" ht="15.75">
      <c r="B105" s="9"/>
      <c r="C105" s="7"/>
      <c r="D105" s="10"/>
      <c r="E105" s="11"/>
      <c r="G105" s="11"/>
      <c r="I105" s="11"/>
      <c r="K105" s="11"/>
    </row>
    <row r="106" spans="2:11" s="8" customFormat="1" ht="15.75">
      <c r="B106" s="9"/>
      <c r="C106" s="7"/>
      <c r="D106" s="10"/>
      <c r="E106" s="11"/>
      <c r="G106" s="11"/>
      <c r="I106" s="11"/>
      <c r="K106" s="11"/>
    </row>
    <row r="107" spans="2:11" s="8" customFormat="1" ht="15.75">
      <c r="B107" s="9"/>
      <c r="C107" s="7"/>
      <c r="D107" s="10"/>
      <c r="E107" s="11"/>
      <c r="G107" s="11"/>
      <c r="I107" s="11"/>
      <c r="K107" s="11"/>
    </row>
    <row r="108" spans="2:11" s="8" customFormat="1" ht="15.75">
      <c r="B108" s="9"/>
      <c r="C108" s="7"/>
      <c r="D108" s="10"/>
      <c r="E108" s="11"/>
      <c r="G108" s="11"/>
      <c r="I108" s="11"/>
      <c r="K108" s="11"/>
    </row>
    <row r="109" spans="2:11" s="8" customFormat="1" ht="15.75">
      <c r="B109" s="9"/>
      <c r="C109" s="7"/>
      <c r="D109" s="10"/>
      <c r="E109" s="11"/>
      <c r="G109" s="11"/>
      <c r="I109" s="11"/>
      <c r="K109" s="11"/>
    </row>
    <row r="110" spans="2:11" s="8" customFormat="1" ht="15">
      <c r="B110" s="9"/>
      <c r="C110" s="9"/>
      <c r="D110" s="79"/>
      <c r="E110" s="11"/>
      <c r="G110" s="11"/>
      <c r="I110" s="11"/>
      <c r="K110" s="11"/>
    </row>
    <row r="111" spans="2:11" s="8" customFormat="1" ht="15">
      <c r="B111" s="9"/>
      <c r="D111" s="78"/>
      <c r="E111" s="11"/>
      <c r="G111" s="11"/>
      <c r="I111" s="11"/>
      <c r="K111" s="11"/>
    </row>
    <row r="112" spans="2:11" s="8" customFormat="1" ht="15">
      <c r="B112" s="9"/>
      <c r="C112" s="9"/>
      <c r="D112" s="79"/>
      <c r="E112" s="11"/>
      <c r="G112" s="11"/>
      <c r="I112" s="11"/>
      <c r="K112" s="11"/>
    </row>
    <row r="113" spans="4:11" s="8" customFormat="1" ht="15">
      <c r="D113" s="78"/>
      <c r="E113" s="11"/>
      <c r="G113" s="11"/>
      <c r="I113" s="11"/>
      <c r="K113" s="11"/>
    </row>
    <row r="114" spans="4:11" s="8" customFormat="1" ht="15">
      <c r="D114" s="78"/>
      <c r="E114" s="11"/>
      <c r="G114" s="11"/>
      <c r="I114" s="11"/>
      <c r="K114" s="11"/>
    </row>
    <row r="115" spans="4:11" s="8" customFormat="1" ht="15">
      <c r="D115" s="78"/>
      <c r="E115" s="11"/>
      <c r="G115" s="11"/>
      <c r="I115" s="11"/>
      <c r="K115" s="11"/>
    </row>
    <row r="116" spans="5:11" ht="15">
      <c r="E116" s="6"/>
      <c r="G116" s="6"/>
      <c r="I116" s="6"/>
      <c r="K116" s="6"/>
    </row>
    <row r="117" spans="5:11" ht="15">
      <c r="E117" s="6"/>
      <c r="G117" s="6"/>
      <c r="I117" s="6"/>
      <c r="K117" s="6"/>
    </row>
    <row r="118" spans="5:11" ht="15">
      <c r="E118" s="6"/>
      <c r="G118" s="6"/>
      <c r="I118" s="6"/>
      <c r="K118" s="6"/>
    </row>
    <row r="119" spans="5:11" ht="15">
      <c r="E119" s="6"/>
      <c r="G119" s="6"/>
      <c r="I119" s="6"/>
      <c r="K119" s="6"/>
    </row>
    <row r="120" spans="5:11" ht="15">
      <c r="E120" s="6"/>
      <c r="G120" s="6"/>
      <c r="I120" s="6"/>
      <c r="K120" s="6"/>
    </row>
    <row r="121" spans="5:11" ht="15">
      <c r="E121" s="6"/>
      <c r="G121" s="6"/>
      <c r="I121" s="6"/>
      <c r="K121" s="6"/>
    </row>
    <row r="122" spans="5:11" ht="15">
      <c r="E122" s="6"/>
      <c r="G122" s="6"/>
      <c r="I122" s="6"/>
      <c r="K122" s="6"/>
    </row>
    <row r="123" spans="5:11" ht="15">
      <c r="E123" s="6"/>
      <c r="G123" s="6"/>
      <c r="I123" s="6"/>
      <c r="K123" s="6"/>
    </row>
    <row r="124" spans="5:11" ht="15">
      <c r="E124" s="6"/>
      <c r="G124" s="6"/>
      <c r="I124" s="6"/>
      <c r="K124" s="6"/>
    </row>
    <row r="125" spans="5:11" ht="15">
      <c r="E125" s="6"/>
      <c r="G125" s="6"/>
      <c r="I125" s="6"/>
      <c r="K125" s="6"/>
    </row>
    <row r="126" spans="5:11" ht="15">
      <c r="E126" s="6"/>
      <c r="G126" s="6"/>
      <c r="I126" s="6"/>
      <c r="K126" s="6"/>
    </row>
    <row r="127" spans="5:11" ht="15">
      <c r="E127" s="6"/>
      <c r="G127" s="6"/>
      <c r="I127" s="6"/>
      <c r="K127" s="6"/>
    </row>
    <row r="128" spans="5:11" ht="15">
      <c r="E128" s="6"/>
      <c r="G128" s="6"/>
      <c r="I128" s="6"/>
      <c r="K128" s="6"/>
    </row>
    <row r="129" spans="5:11" ht="15">
      <c r="E129" s="6"/>
      <c r="G129" s="6"/>
      <c r="I129" s="6"/>
      <c r="K129" s="6"/>
    </row>
    <row r="130" spans="5:11" ht="15">
      <c r="E130" s="6"/>
      <c r="G130" s="6"/>
      <c r="I130" s="6"/>
      <c r="K130" s="6"/>
    </row>
    <row r="131" spans="5:11" ht="15">
      <c r="E131" s="6"/>
      <c r="G131" s="6"/>
      <c r="I131" s="6"/>
      <c r="K131" s="6"/>
    </row>
    <row r="132" spans="5:11" ht="15">
      <c r="E132" s="6"/>
      <c r="G132" s="6"/>
      <c r="I132" s="6"/>
      <c r="K132" s="6"/>
    </row>
    <row r="133" spans="5:11" ht="15">
      <c r="E133" s="6"/>
      <c r="G133" s="6"/>
      <c r="I133" s="6"/>
      <c r="K133" s="6"/>
    </row>
    <row r="134" spans="5:11" ht="15">
      <c r="E134" s="6"/>
      <c r="G134" s="6"/>
      <c r="I134" s="6"/>
      <c r="K134" s="6"/>
    </row>
    <row r="135" spans="5:11" ht="15">
      <c r="E135" s="6"/>
      <c r="G135" s="6"/>
      <c r="I135" s="6"/>
      <c r="K135" s="6"/>
    </row>
  </sheetData>
  <printOptions/>
  <pageMargins left="0.75" right="0.75" top="1" bottom="1" header="0.5" footer="0.5"/>
  <pageSetup horizontalDpi="600" verticalDpi="600" orientation="landscape" scale="65" r:id="rId1"/>
  <rowBreaks count="1" manualBreakCount="1">
    <brk id="57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61"/>
  <sheetViews>
    <sheetView zoomScale="75" zoomScaleNormal="75" zoomScaleSheetLayoutView="75" workbookViewId="0" topLeftCell="C9">
      <selection activeCell="L19" sqref="L19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2.28125" style="2" customWidth="1"/>
    <col min="4" max="4" width="16.28125" style="2" customWidth="1"/>
    <col min="5" max="5" width="1.7109375" style="2" customWidth="1"/>
    <col min="6" max="6" width="16.28125" style="2" customWidth="1"/>
    <col min="7" max="7" width="1.7109375" style="2" customWidth="1"/>
    <col min="8" max="8" width="16.421875" style="2" customWidth="1"/>
    <col min="9" max="9" width="1.7109375" style="2" customWidth="1"/>
    <col min="10" max="10" width="16.28125" style="2" hidden="1" customWidth="1"/>
    <col min="11" max="11" width="1.7109375" style="2" hidden="1" customWidth="1"/>
    <col min="12" max="12" width="16.28125" style="2" customWidth="1"/>
    <col min="13" max="13" width="1.7109375" style="2" customWidth="1"/>
    <col min="14" max="14" width="16.421875" style="2" customWidth="1"/>
    <col min="15" max="15" width="1.7109375" style="2" customWidth="1"/>
    <col min="16" max="16384" width="12.421875" style="2" customWidth="1"/>
  </cols>
  <sheetData>
    <row r="2" ht="15.75">
      <c r="B2" s="1" t="s">
        <v>0</v>
      </c>
    </row>
    <row r="3" ht="15.75">
      <c r="B3" s="1" t="s">
        <v>234</v>
      </c>
    </row>
    <row r="4" ht="15">
      <c r="B4" s="94" t="s">
        <v>152</v>
      </c>
    </row>
    <row r="5" spans="2:13" ht="15.75">
      <c r="B5" s="3"/>
      <c r="C5" s="3"/>
      <c r="D5" s="4"/>
      <c r="E5" s="3"/>
      <c r="F5" s="4"/>
      <c r="G5" s="3"/>
      <c r="H5" s="3"/>
      <c r="I5" s="3"/>
      <c r="J5" s="4"/>
      <c r="K5" s="3"/>
      <c r="L5" s="4"/>
      <c r="M5" s="3"/>
    </row>
    <row r="6" spans="2:14" ht="15.75">
      <c r="B6" s="3"/>
      <c r="D6" s="4" t="s">
        <v>38</v>
      </c>
      <c r="E6" s="3"/>
      <c r="F6" s="4" t="s">
        <v>38</v>
      </c>
      <c r="G6" s="3"/>
      <c r="H6" s="4" t="s">
        <v>186</v>
      </c>
      <c r="I6" s="3"/>
      <c r="J6" s="72" t="s">
        <v>159</v>
      </c>
      <c r="L6" s="4" t="s">
        <v>41</v>
      </c>
      <c r="M6" s="3"/>
      <c r="N6" s="4" t="s">
        <v>43</v>
      </c>
    </row>
    <row r="7" spans="2:14" ht="15.75">
      <c r="B7" s="3"/>
      <c r="C7" s="13" t="s">
        <v>233</v>
      </c>
      <c r="D7" s="18" t="s">
        <v>39</v>
      </c>
      <c r="E7" s="3"/>
      <c r="F7" s="18" t="s">
        <v>40</v>
      </c>
      <c r="G7" s="3"/>
      <c r="H7" s="18" t="s">
        <v>187</v>
      </c>
      <c r="I7" s="3"/>
      <c r="J7" s="72" t="s">
        <v>160</v>
      </c>
      <c r="L7" s="4" t="s">
        <v>42</v>
      </c>
      <c r="M7" s="3"/>
      <c r="N7" s="4" t="s">
        <v>44</v>
      </c>
    </row>
    <row r="8" spans="2:14" ht="15.75">
      <c r="B8" s="3"/>
      <c r="D8" s="4"/>
      <c r="E8" s="3"/>
      <c r="F8" s="4"/>
      <c r="G8" s="3"/>
      <c r="H8" s="3"/>
      <c r="I8" s="3"/>
      <c r="L8" s="4"/>
      <c r="M8" s="3"/>
      <c r="N8" s="4" t="s">
        <v>45</v>
      </c>
    </row>
    <row r="9" spans="2:14" ht="15.75">
      <c r="B9" s="3"/>
      <c r="D9" s="4"/>
      <c r="E9" s="3"/>
      <c r="F9" s="4"/>
      <c r="G9" s="3"/>
      <c r="H9" s="3"/>
      <c r="I9" s="3"/>
      <c r="L9" s="4"/>
      <c r="M9" s="3"/>
      <c r="N9" s="4"/>
    </row>
    <row r="10" spans="2:3" ht="15">
      <c r="B10" s="3"/>
      <c r="C10" s="12" t="s">
        <v>47</v>
      </c>
    </row>
    <row r="11" spans="2:14" ht="15">
      <c r="B11" s="3"/>
      <c r="C11" s="15" t="s">
        <v>218</v>
      </c>
      <c r="D11" s="35">
        <f>46301000</f>
        <v>46301000</v>
      </c>
      <c r="E11" s="12"/>
      <c r="F11" s="35">
        <f>8688317</f>
        <v>8688317</v>
      </c>
      <c r="G11" s="12"/>
      <c r="H11" s="35">
        <f>7371460</f>
        <v>7371460</v>
      </c>
      <c r="I11" s="12"/>
      <c r="J11" s="96">
        <v>0</v>
      </c>
      <c r="L11" s="35">
        <f>49343181</f>
        <v>49343181</v>
      </c>
      <c r="M11" s="12"/>
      <c r="N11" s="36">
        <f>SUM(D11:M11)</f>
        <v>111703958</v>
      </c>
    </row>
    <row r="12" spans="2:14" ht="15">
      <c r="B12" s="3"/>
      <c r="C12" s="15" t="s">
        <v>219</v>
      </c>
      <c r="D12" s="101">
        <v>0</v>
      </c>
      <c r="E12" s="12"/>
      <c r="F12" s="101">
        <v>0</v>
      </c>
      <c r="G12" s="12"/>
      <c r="H12" s="101">
        <f>-368573</f>
        <v>-368573</v>
      </c>
      <c r="I12" s="12"/>
      <c r="J12" s="96"/>
      <c r="L12" s="101">
        <f>-160570</f>
        <v>-160570</v>
      </c>
      <c r="M12" s="12"/>
      <c r="N12" s="120">
        <f>SUM(D12:M12)</f>
        <v>-529143</v>
      </c>
    </row>
    <row r="13" spans="2:14" ht="15">
      <c r="B13" s="3"/>
      <c r="C13" s="15" t="s">
        <v>220</v>
      </c>
      <c r="D13" s="35">
        <f>SUM(D11:D12)</f>
        <v>46301000</v>
      </c>
      <c r="E13" s="12"/>
      <c r="F13" s="35">
        <f>SUM(F11:F12)</f>
        <v>8688317</v>
      </c>
      <c r="G13" s="12"/>
      <c r="H13" s="35">
        <f>SUM(H11:H12)</f>
        <v>7002887</v>
      </c>
      <c r="I13" s="12"/>
      <c r="J13" s="96"/>
      <c r="L13" s="35">
        <f>SUM(L11:L12)</f>
        <v>49182611</v>
      </c>
      <c r="M13" s="12"/>
      <c r="N13" s="35">
        <f>SUM(N11:N12)</f>
        <v>111174815</v>
      </c>
    </row>
    <row r="14" spans="2:14" ht="15.75" customHeight="1">
      <c r="B14" s="3"/>
      <c r="C14" s="15"/>
      <c r="D14" s="20"/>
      <c r="E14" s="3"/>
      <c r="F14" s="20"/>
      <c r="G14" s="3"/>
      <c r="H14" s="3"/>
      <c r="I14" s="3"/>
      <c r="L14" s="5"/>
      <c r="M14" s="3"/>
      <c r="N14" s="5"/>
    </row>
    <row r="15" spans="2:14" s="15" customFormat="1" ht="15">
      <c r="B15" s="12"/>
      <c r="C15" s="15" t="s">
        <v>168</v>
      </c>
      <c r="D15" s="14"/>
      <c r="E15" s="12"/>
      <c r="F15" s="14"/>
      <c r="G15" s="12"/>
      <c r="H15" s="12"/>
      <c r="I15" s="12"/>
      <c r="L15" s="14"/>
      <c r="M15" s="12"/>
      <c r="N15" s="14"/>
    </row>
    <row r="16" spans="2:14" s="15" customFormat="1" ht="15">
      <c r="B16" s="12"/>
      <c r="C16" s="15" t="s">
        <v>46</v>
      </c>
      <c r="D16" s="35">
        <v>18712400.4</v>
      </c>
      <c r="E16" s="12"/>
      <c r="F16" s="35">
        <v>-8688317</v>
      </c>
      <c r="G16" s="12"/>
      <c r="H16" s="33">
        <v>0</v>
      </c>
      <c r="I16" s="12"/>
      <c r="J16" s="97">
        <v>0</v>
      </c>
      <c r="L16" s="35">
        <v>-10024083.4</v>
      </c>
      <c r="M16" s="12"/>
      <c r="N16" s="35">
        <f>SUM(D16:M16)</f>
        <v>0</v>
      </c>
    </row>
    <row r="17" spans="2:14" s="15" customFormat="1" ht="15" hidden="1">
      <c r="B17" s="12"/>
      <c r="C17" s="15" t="s">
        <v>166</v>
      </c>
      <c r="D17" s="33">
        <v>0</v>
      </c>
      <c r="E17" s="12"/>
      <c r="F17" s="35">
        <v>0</v>
      </c>
      <c r="G17" s="12"/>
      <c r="H17" s="33">
        <v>0</v>
      </c>
      <c r="I17" s="12"/>
      <c r="J17" s="97">
        <v>0</v>
      </c>
      <c r="L17" s="33">
        <v>0</v>
      </c>
      <c r="M17" s="12"/>
      <c r="N17" s="35">
        <f>SUM(D17:M17)</f>
        <v>0</v>
      </c>
    </row>
    <row r="18" spans="2:14" s="15" customFormat="1" ht="15">
      <c r="B18" s="12"/>
      <c r="C18" s="15" t="s">
        <v>167</v>
      </c>
      <c r="D18" s="35">
        <v>566000</v>
      </c>
      <c r="E18" s="12"/>
      <c r="F18" s="35">
        <v>1033650</v>
      </c>
      <c r="G18" s="12"/>
      <c r="H18" s="33">
        <v>0</v>
      </c>
      <c r="I18" s="12"/>
      <c r="J18" s="97">
        <v>0</v>
      </c>
      <c r="L18" s="33">
        <v>0</v>
      </c>
      <c r="M18" s="12"/>
      <c r="N18" s="35">
        <f>SUM(D18:M18)</f>
        <v>1599650</v>
      </c>
    </row>
    <row r="19" spans="2:14" s="15" customFormat="1" ht="15">
      <c r="B19" s="12"/>
      <c r="C19" s="15" t="s">
        <v>215</v>
      </c>
      <c r="D19" s="33">
        <v>0</v>
      </c>
      <c r="E19" s="12"/>
      <c r="F19" s="35">
        <v>0</v>
      </c>
      <c r="G19" s="12"/>
      <c r="H19" s="125">
        <v>0</v>
      </c>
      <c r="I19" s="12"/>
      <c r="J19" s="97">
        <v>0</v>
      </c>
      <c r="L19" s="14">
        <v>10593051.0365</v>
      </c>
      <c r="M19" s="12"/>
      <c r="N19" s="35">
        <f>SUM(D19:M19)</f>
        <v>10593051.0365</v>
      </c>
    </row>
    <row r="20" spans="2:14" s="15" customFormat="1" ht="15" hidden="1">
      <c r="B20" s="12"/>
      <c r="C20" s="15" t="s">
        <v>188</v>
      </c>
      <c r="D20" s="33">
        <v>0</v>
      </c>
      <c r="E20" s="12"/>
      <c r="F20" s="33">
        <v>0</v>
      </c>
      <c r="G20" s="12"/>
      <c r="H20" s="33">
        <v>0</v>
      </c>
      <c r="I20" s="12"/>
      <c r="J20" s="97">
        <v>0</v>
      </c>
      <c r="L20" s="33">
        <v>0</v>
      </c>
      <c r="M20" s="12"/>
      <c r="N20" s="35">
        <f>SUM(D20:M20)</f>
        <v>0</v>
      </c>
    </row>
    <row r="21" spans="2:3" s="15" customFormat="1" ht="15">
      <c r="B21" s="12"/>
      <c r="C21" s="15" t="s">
        <v>184</v>
      </c>
    </row>
    <row r="22" spans="2:14" s="15" customFormat="1" ht="15">
      <c r="B22" s="12"/>
      <c r="C22" s="15" t="s">
        <v>185</v>
      </c>
      <c r="D22" s="33">
        <v>0</v>
      </c>
      <c r="E22" s="12"/>
      <c r="F22" s="33">
        <v>0</v>
      </c>
      <c r="G22" s="12"/>
      <c r="H22" s="33">
        <v>0</v>
      </c>
      <c r="I22" s="12"/>
      <c r="J22" s="97">
        <v>0</v>
      </c>
      <c r="L22" s="35">
        <v>-5014116.1</v>
      </c>
      <c r="M22" s="12"/>
      <c r="N22" s="35">
        <f>SUM(D22:M22)</f>
        <v>-5014116.1</v>
      </c>
    </row>
    <row r="23" spans="2:14" s="15" customFormat="1" ht="15">
      <c r="B23" s="12"/>
      <c r="C23" s="15" t="s">
        <v>200</v>
      </c>
      <c r="D23" s="21">
        <f>SUM(D13:D22)</f>
        <v>65579400.4</v>
      </c>
      <c r="E23" s="12"/>
      <c r="F23" s="21">
        <f>SUM(F13:F22)</f>
        <v>1033650</v>
      </c>
      <c r="G23" s="12"/>
      <c r="H23" s="21">
        <f>SUM(H13:H22)</f>
        <v>7002887</v>
      </c>
      <c r="I23" s="12"/>
      <c r="J23" s="102">
        <f>SUM(J11:J18)</f>
        <v>0</v>
      </c>
      <c r="L23" s="21">
        <f>SUM(L13:L22)</f>
        <v>44737462.5365</v>
      </c>
      <c r="M23" s="12"/>
      <c r="N23" s="21">
        <f>SUM(N13:N22)</f>
        <v>118353399.93650001</v>
      </c>
    </row>
    <row r="24" spans="2:14" s="15" customFormat="1" ht="15">
      <c r="B24" s="12"/>
      <c r="D24" s="37"/>
      <c r="E24" s="12"/>
      <c r="F24" s="37"/>
      <c r="G24" s="12"/>
      <c r="H24" s="12"/>
      <c r="I24" s="12"/>
      <c r="L24" s="37"/>
      <c r="M24" s="12"/>
      <c r="N24" s="37"/>
    </row>
    <row r="25" spans="2:13" s="15" customFormat="1" ht="15">
      <c r="B25" s="12"/>
      <c r="C25" s="12" t="s">
        <v>221</v>
      </c>
      <c r="D25" s="14"/>
      <c r="E25" s="12"/>
      <c r="F25" s="14"/>
      <c r="G25" s="12"/>
      <c r="H25" s="12"/>
      <c r="I25" s="12"/>
      <c r="J25" s="14"/>
      <c r="K25" s="12"/>
      <c r="L25" s="14"/>
      <c r="M25" s="12"/>
    </row>
    <row r="26" spans="2:13" s="15" customFormat="1" ht="15">
      <c r="B26" s="12"/>
      <c r="C26" s="15" t="s">
        <v>222</v>
      </c>
      <c r="D26" s="14"/>
      <c r="E26" s="12"/>
      <c r="F26" s="14"/>
      <c r="G26" s="12"/>
      <c r="H26" s="12"/>
      <c r="I26" s="12"/>
      <c r="J26" s="14"/>
      <c r="K26" s="12"/>
      <c r="L26" s="14"/>
      <c r="M26" s="12"/>
    </row>
    <row r="27" spans="2:13" s="15" customFormat="1" ht="15">
      <c r="B27" s="12"/>
      <c r="C27" s="15" t="s">
        <v>223</v>
      </c>
      <c r="D27" s="14"/>
      <c r="E27" s="12"/>
      <c r="F27" s="14"/>
      <c r="G27" s="12"/>
      <c r="H27" s="12"/>
      <c r="I27" s="12"/>
      <c r="J27" s="14"/>
      <c r="K27" s="12"/>
      <c r="L27" s="14"/>
      <c r="M27" s="12"/>
    </row>
    <row r="28" spans="2:14" s="15" customFormat="1" ht="15">
      <c r="B28" s="12"/>
      <c r="D28" s="37"/>
      <c r="E28" s="12"/>
      <c r="F28" s="37"/>
      <c r="G28" s="12"/>
      <c r="H28" s="12"/>
      <c r="I28" s="12"/>
      <c r="L28" s="37"/>
      <c r="M28" s="12"/>
      <c r="N28" s="37"/>
    </row>
    <row r="29" spans="2:14" s="15" customFormat="1" ht="15">
      <c r="B29" s="12"/>
      <c r="C29" s="2" t="s">
        <v>48</v>
      </c>
      <c r="D29" s="37"/>
      <c r="E29" s="12"/>
      <c r="F29" s="37"/>
      <c r="G29" s="12"/>
      <c r="H29" s="12"/>
      <c r="I29" s="12"/>
      <c r="L29" s="37"/>
      <c r="M29" s="12"/>
      <c r="N29" s="37"/>
    </row>
    <row r="30" spans="2:14" s="15" customFormat="1" ht="15">
      <c r="B30" s="12"/>
      <c r="C30" s="2" t="s">
        <v>201</v>
      </c>
      <c r="D30" s="37"/>
      <c r="E30" s="12"/>
      <c r="F30" s="37"/>
      <c r="G30" s="12"/>
      <c r="H30" s="12"/>
      <c r="I30" s="12"/>
      <c r="L30" s="37"/>
      <c r="M30" s="12"/>
      <c r="N30" s="37"/>
    </row>
    <row r="31" spans="2:14" s="15" customFormat="1" ht="15">
      <c r="B31" s="12"/>
      <c r="D31" s="37"/>
      <c r="E31" s="12"/>
      <c r="F31" s="37"/>
      <c r="G31" s="12"/>
      <c r="H31" s="12"/>
      <c r="I31" s="12"/>
      <c r="L31" s="37"/>
      <c r="M31" s="12"/>
      <c r="N31" s="37"/>
    </row>
    <row r="32" spans="2:14" s="15" customFormat="1" ht="15">
      <c r="B32" s="12"/>
      <c r="D32" s="37"/>
      <c r="E32" s="12"/>
      <c r="F32" s="37"/>
      <c r="G32" s="12"/>
      <c r="H32" s="12"/>
      <c r="I32" s="12"/>
      <c r="L32" s="37"/>
      <c r="M32" s="12"/>
      <c r="N32" s="37"/>
    </row>
    <row r="33" spans="2:14" s="15" customFormat="1" ht="15">
      <c r="B33" s="12"/>
      <c r="D33" s="37"/>
      <c r="E33" s="12"/>
      <c r="F33" s="37"/>
      <c r="G33" s="12"/>
      <c r="H33" s="12"/>
      <c r="I33" s="12"/>
      <c r="L33" s="37"/>
      <c r="M33" s="12"/>
      <c r="N33" s="37"/>
    </row>
    <row r="34" spans="2:14" s="15" customFormat="1" ht="15">
      <c r="B34" s="12"/>
      <c r="D34" s="37"/>
      <c r="E34" s="12"/>
      <c r="F34" s="37"/>
      <c r="G34" s="12"/>
      <c r="H34" s="12"/>
      <c r="I34" s="12"/>
      <c r="L34" s="37"/>
      <c r="M34" s="12"/>
      <c r="N34" s="37"/>
    </row>
    <row r="35" spans="2:14" s="15" customFormat="1" ht="15">
      <c r="B35" s="12"/>
      <c r="D35" s="37"/>
      <c r="E35" s="12"/>
      <c r="F35" s="37"/>
      <c r="G35" s="12"/>
      <c r="H35" s="12"/>
      <c r="I35" s="12"/>
      <c r="L35" s="37"/>
      <c r="M35" s="12"/>
      <c r="N35" s="37"/>
    </row>
    <row r="36" spans="2:14" s="15" customFormat="1" ht="15">
      <c r="B36" s="12"/>
      <c r="D36" s="37"/>
      <c r="E36" s="12"/>
      <c r="F36" s="37"/>
      <c r="G36" s="12"/>
      <c r="H36" s="12"/>
      <c r="I36" s="12"/>
      <c r="L36" s="37"/>
      <c r="M36" s="12"/>
      <c r="N36" s="37"/>
    </row>
    <row r="37" spans="2:14" s="15" customFormat="1" ht="15">
      <c r="B37" s="12"/>
      <c r="D37" s="37"/>
      <c r="E37" s="12"/>
      <c r="F37" s="37"/>
      <c r="G37" s="12"/>
      <c r="H37" s="12"/>
      <c r="I37" s="12"/>
      <c r="L37" s="37"/>
      <c r="M37" s="12"/>
      <c r="N37" s="37"/>
    </row>
    <row r="38" spans="2:14" s="15" customFormat="1" ht="15">
      <c r="B38" s="12"/>
      <c r="D38" s="37"/>
      <c r="E38" s="12"/>
      <c r="F38" s="37"/>
      <c r="G38" s="12"/>
      <c r="H38" s="12"/>
      <c r="I38" s="12"/>
      <c r="L38" s="37"/>
      <c r="M38" s="12"/>
      <c r="N38" s="37"/>
    </row>
    <row r="39" spans="2:14" s="15" customFormat="1" ht="15">
      <c r="B39" s="12"/>
      <c r="D39" s="37"/>
      <c r="E39" s="12"/>
      <c r="F39" s="37"/>
      <c r="G39" s="12"/>
      <c r="H39" s="12"/>
      <c r="I39" s="12"/>
      <c r="L39" s="37"/>
      <c r="M39" s="12"/>
      <c r="N39" s="37"/>
    </row>
    <row r="40" spans="2:14" s="15" customFormat="1" ht="15">
      <c r="B40" s="12"/>
      <c r="D40" s="37"/>
      <c r="E40" s="12"/>
      <c r="F40" s="37"/>
      <c r="G40" s="12"/>
      <c r="H40" s="12"/>
      <c r="I40" s="12"/>
      <c r="J40" s="37"/>
      <c r="K40" s="12"/>
      <c r="L40" s="37"/>
      <c r="M40" s="12"/>
      <c r="N40" s="20"/>
    </row>
    <row r="41" spans="2:14" ht="15.75" hidden="1">
      <c r="B41" s="3"/>
      <c r="D41" s="4" t="s">
        <v>38</v>
      </c>
      <c r="E41" s="3"/>
      <c r="F41" s="4" t="s">
        <v>38</v>
      </c>
      <c r="G41" s="3"/>
      <c r="H41" s="4" t="s">
        <v>186</v>
      </c>
      <c r="I41" s="3"/>
      <c r="J41" s="72" t="s">
        <v>159</v>
      </c>
      <c r="L41" s="4" t="s">
        <v>41</v>
      </c>
      <c r="M41" s="3"/>
      <c r="N41" s="4" t="s">
        <v>43</v>
      </c>
    </row>
    <row r="42" spans="2:14" ht="15.75" hidden="1">
      <c r="B42" s="3"/>
      <c r="C42" s="13" t="s">
        <v>178</v>
      </c>
      <c r="D42" s="18" t="s">
        <v>39</v>
      </c>
      <c r="E42" s="3"/>
      <c r="F42" s="18" t="s">
        <v>40</v>
      </c>
      <c r="G42" s="3"/>
      <c r="H42" s="18" t="s">
        <v>187</v>
      </c>
      <c r="I42" s="3"/>
      <c r="J42" s="72" t="s">
        <v>160</v>
      </c>
      <c r="L42" s="4" t="s">
        <v>42</v>
      </c>
      <c r="M42" s="3"/>
      <c r="N42" s="4" t="s">
        <v>44</v>
      </c>
    </row>
    <row r="43" spans="2:14" ht="15.75" hidden="1">
      <c r="B43" s="3"/>
      <c r="D43" s="4"/>
      <c r="E43" s="3"/>
      <c r="F43" s="4"/>
      <c r="G43" s="3"/>
      <c r="H43" s="3"/>
      <c r="I43" s="3"/>
      <c r="L43" s="4"/>
      <c r="M43" s="3"/>
      <c r="N43" s="4" t="s">
        <v>45</v>
      </c>
    </row>
    <row r="44" spans="2:14" ht="15.75" hidden="1">
      <c r="B44" s="3"/>
      <c r="D44" s="4"/>
      <c r="E44" s="3"/>
      <c r="F44" s="4"/>
      <c r="G44" s="3"/>
      <c r="H44" s="3"/>
      <c r="I44" s="3"/>
      <c r="L44" s="4"/>
      <c r="M44" s="3"/>
      <c r="N44" s="4"/>
    </row>
    <row r="45" spans="2:14" ht="15" hidden="1">
      <c r="B45" s="3"/>
      <c r="C45" s="12" t="s">
        <v>47</v>
      </c>
      <c r="D45" s="35">
        <v>30000000</v>
      </c>
      <c r="E45" s="12"/>
      <c r="F45" s="35">
        <v>4688749</v>
      </c>
      <c r="G45" s="12"/>
      <c r="H45" s="33">
        <v>0</v>
      </c>
      <c r="I45" s="12"/>
      <c r="J45" s="96">
        <v>840433</v>
      </c>
      <c r="L45" s="35">
        <f>38219163</f>
        <v>38219163</v>
      </c>
      <c r="M45" s="12"/>
      <c r="N45" s="36">
        <f>SUM(D45:M45)</f>
        <v>73748345</v>
      </c>
    </row>
    <row r="46" spans="2:14" ht="15.75" customHeight="1" hidden="1">
      <c r="B46" s="3"/>
      <c r="C46" s="15"/>
      <c r="D46" s="20"/>
      <c r="E46" s="3"/>
      <c r="F46" s="20"/>
      <c r="G46" s="3"/>
      <c r="H46" s="111"/>
      <c r="I46" s="3"/>
      <c r="L46" s="5"/>
      <c r="M46" s="3"/>
      <c r="N46" s="5"/>
    </row>
    <row r="47" spans="2:14" s="15" customFormat="1" ht="15" hidden="1">
      <c r="B47" s="12"/>
      <c r="C47" s="15" t="s">
        <v>168</v>
      </c>
      <c r="D47" s="14"/>
      <c r="E47" s="12"/>
      <c r="F47" s="14"/>
      <c r="G47" s="12"/>
      <c r="H47" s="33"/>
      <c r="I47" s="12"/>
      <c r="L47" s="14"/>
      <c r="M47" s="12"/>
      <c r="N47" s="14"/>
    </row>
    <row r="48" spans="2:14" s="15" customFormat="1" ht="15" hidden="1">
      <c r="B48" s="12"/>
      <c r="C48" s="15" t="s">
        <v>161</v>
      </c>
      <c r="D48" s="33">
        <v>0</v>
      </c>
      <c r="E48" s="12"/>
      <c r="F48" s="33">
        <v>0</v>
      </c>
      <c r="G48" s="12"/>
      <c r="H48" s="33">
        <v>0</v>
      </c>
      <c r="I48" s="12"/>
      <c r="J48" s="97">
        <f>-J45</f>
        <v>-840433</v>
      </c>
      <c r="L48" s="33">
        <v>0</v>
      </c>
      <c r="M48" s="12"/>
      <c r="N48" s="35">
        <f>SUM(D48:M48)</f>
        <v>-840433</v>
      </c>
    </row>
    <row r="49" spans="2:14" s="15" customFormat="1" ht="15" hidden="1">
      <c r="B49" s="12"/>
      <c r="C49" s="15" t="s">
        <v>169</v>
      </c>
      <c r="D49" s="33">
        <v>0</v>
      </c>
      <c r="E49" s="12"/>
      <c r="F49" s="33">
        <v>0</v>
      </c>
      <c r="G49" s="12"/>
      <c r="H49" s="33">
        <v>0</v>
      </c>
      <c r="I49" s="12"/>
      <c r="J49" s="110">
        <v>0</v>
      </c>
      <c r="L49" s="14">
        <v>11479252</v>
      </c>
      <c r="M49" s="12"/>
      <c r="N49" s="35">
        <f>SUM(D49:M49)</f>
        <v>11479252</v>
      </c>
    </row>
    <row r="50" spans="2:8" s="15" customFormat="1" ht="15" hidden="1">
      <c r="B50" s="12"/>
      <c r="C50" s="15" t="s">
        <v>184</v>
      </c>
      <c r="H50" s="110"/>
    </row>
    <row r="51" spans="2:14" s="15" customFormat="1" ht="15" hidden="1">
      <c r="B51" s="12"/>
      <c r="C51" s="15" t="s">
        <v>185</v>
      </c>
      <c r="D51" s="33">
        <v>0</v>
      </c>
      <c r="E51" s="12"/>
      <c r="F51" s="33">
        <v>0</v>
      </c>
      <c r="G51" s="12"/>
      <c r="H51" s="33">
        <v>0</v>
      </c>
      <c r="I51" s="12"/>
      <c r="J51" s="110">
        <v>0</v>
      </c>
      <c r="L51" s="35">
        <f>-3240000</f>
        <v>-3240000</v>
      </c>
      <c r="M51" s="12"/>
      <c r="N51" s="35">
        <f>SUM(D51:M51)</f>
        <v>-3240000</v>
      </c>
    </row>
    <row r="52" spans="2:14" s="15" customFormat="1" ht="15" hidden="1">
      <c r="B52" s="12"/>
      <c r="C52" s="15" t="s">
        <v>157</v>
      </c>
      <c r="D52" s="21">
        <f>SUM(D45:D51)</f>
        <v>30000000</v>
      </c>
      <c r="E52" s="12"/>
      <c r="F52" s="21">
        <f>SUM(F45:F51)</f>
        <v>4688749</v>
      </c>
      <c r="G52" s="12"/>
      <c r="H52" s="102">
        <f>SUM(H45:H51)</f>
        <v>0</v>
      </c>
      <c r="I52" s="12"/>
      <c r="J52" s="102">
        <f>SUM(J45:J51)</f>
        <v>0</v>
      </c>
      <c r="L52" s="21">
        <f>SUM(L45:L51)</f>
        <v>46458415</v>
      </c>
      <c r="M52" s="12"/>
      <c r="N52" s="21">
        <f>SUM(N45:N51)</f>
        <v>81147164</v>
      </c>
    </row>
    <row r="53" spans="2:13" s="15" customFormat="1" ht="15" hidden="1">
      <c r="B53" s="12"/>
      <c r="D53" s="37"/>
      <c r="E53" s="12"/>
      <c r="F53" s="37"/>
      <c r="G53" s="12"/>
      <c r="H53" s="12"/>
      <c r="I53" s="12"/>
      <c r="J53" s="37"/>
      <c r="K53" s="12"/>
      <c r="L53" s="37"/>
      <c r="M53" s="12"/>
    </row>
    <row r="54" spans="2:13" s="15" customFormat="1" ht="15">
      <c r="B54" s="12"/>
      <c r="D54" s="37"/>
      <c r="E54" s="12"/>
      <c r="F54" s="37"/>
      <c r="G54" s="12"/>
      <c r="H54" s="12"/>
      <c r="I54" s="12"/>
      <c r="J54" s="37"/>
      <c r="K54" s="12"/>
      <c r="L54" s="37"/>
      <c r="M54" s="12"/>
    </row>
    <row r="55" spans="2:13" s="15" customFormat="1" ht="15">
      <c r="B55" s="12"/>
      <c r="D55" s="14"/>
      <c r="E55" s="12"/>
      <c r="F55" s="14"/>
      <c r="G55" s="12"/>
      <c r="H55" s="12"/>
      <c r="I55" s="12"/>
      <c r="J55" s="14"/>
      <c r="K55" s="12"/>
      <c r="L55" s="14"/>
      <c r="M55" s="12"/>
    </row>
    <row r="56" spans="2:13" s="15" customFormat="1" ht="15">
      <c r="B56" s="12"/>
      <c r="D56" s="14"/>
      <c r="E56" s="12"/>
      <c r="F56" s="14"/>
      <c r="G56" s="12"/>
      <c r="H56" s="12"/>
      <c r="I56" s="12"/>
      <c r="J56" s="14"/>
      <c r="K56" s="12"/>
      <c r="L56" s="14"/>
      <c r="M56" s="12"/>
    </row>
    <row r="57" spans="2:13" s="15" customFormat="1" ht="15">
      <c r="B57" s="12"/>
      <c r="D57" s="14"/>
      <c r="E57" s="12"/>
      <c r="F57" s="14"/>
      <c r="G57" s="12"/>
      <c r="H57" s="12"/>
      <c r="I57" s="12"/>
      <c r="J57" s="14"/>
      <c r="K57" s="12"/>
      <c r="L57" s="14"/>
      <c r="M57" s="12"/>
    </row>
    <row r="58" spans="2:13" s="15" customFormat="1" ht="15" hidden="1">
      <c r="B58" s="12"/>
      <c r="C58" s="15" t="s">
        <v>153</v>
      </c>
      <c r="D58" s="14"/>
      <c r="E58" s="12"/>
      <c r="F58" s="14"/>
      <c r="G58" s="12"/>
      <c r="H58" s="12"/>
      <c r="I58" s="12"/>
      <c r="J58" s="14"/>
      <c r="K58" s="12"/>
      <c r="L58" s="14"/>
      <c r="M58" s="12"/>
    </row>
    <row r="59" spans="2:13" s="15" customFormat="1" ht="15" hidden="1">
      <c r="B59" s="12"/>
      <c r="C59" s="15" t="s">
        <v>154</v>
      </c>
      <c r="D59" s="14"/>
      <c r="E59" s="12"/>
      <c r="F59" s="14"/>
      <c r="G59" s="12"/>
      <c r="H59" s="12"/>
      <c r="I59" s="12"/>
      <c r="J59" s="14"/>
      <c r="K59" s="12"/>
      <c r="L59" s="14"/>
      <c r="M59" s="12"/>
    </row>
    <row r="60" spans="2:13" s="15" customFormat="1" ht="15">
      <c r="B60" s="12"/>
      <c r="D60" s="37"/>
      <c r="E60" s="37"/>
      <c r="F60" s="37"/>
      <c r="G60" s="14"/>
      <c r="H60" s="14"/>
      <c r="I60" s="14"/>
      <c r="J60" s="14"/>
      <c r="K60" s="14"/>
      <c r="L60" s="14"/>
      <c r="M60" s="14"/>
    </row>
    <row r="61" spans="2:13" s="15" customFormat="1" ht="15">
      <c r="B61" s="12"/>
      <c r="D61" s="37"/>
      <c r="E61" s="38"/>
      <c r="F61" s="37"/>
      <c r="G61" s="12"/>
      <c r="H61" s="12"/>
      <c r="I61" s="12"/>
      <c r="J61" s="14"/>
      <c r="K61" s="12"/>
      <c r="L61" s="14"/>
      <c r="M61" s="12"/>
    </row>
    <row r="62" spans="2:13" s="15" customFormat="1" ht="15">
      <c r="B62" s="12"/>
      <c r="D62" s="37"/>
      <c r="E62" s="38"/>
      <c r="F62" s="37"/>
      <c r="G62" s="12"/>
      <c r="H62" s="12"/>
      <c r="I62" s="12"/>
      <c r="J62" s="14"/>
      <c r="K62" s="12"/>
      <c r="L62" s="14"/>
      <c r="M62" s="12"/>
    </row>
    <row r="63" spans="2:13" s="15" customFormat="1" ht="15">
      <c r="B63" s="12"/>
      <c r="D63" s="37"/>
      <c r="E63" s="38"/>
      <c r="F63" s="37"/>
      <c r="G63" s="12"/>
      <c r="H63" s="12"/>
      <c r="I63" s="12"/>
      <c r="J63" s="14"/>
      <c r="K63" s="12"/>
      <c r="L63" s="14"/>
      <c r="M63" s="12"/>
    </row>
    <row r="64" spans="2:13" s="15" customFormat="1" ht="15">
      <c r="B64" s="12"/>
      <c r="D64" s="37"/>
      <c r="E64" s="38"/>
      <c r="F64" s="37"/>
      <c r="G64" s="12"/>
      <c r="H64" s="12"/>
      <c r="I64" s="12"/>
      <c r="J64" s="14"/>
      <c r="K64" s="12"/>
      <c r="L64" s="14"/>
      <c r="M64" s="12"/>
    </row>
    <row r="65" spans="2:13" s="15" customFormat="1" ht="15">
      <c r="B65" s="12"/>
      <c r="D65" s="37"/>
      <c r="E65" s="38"/>
      <c r="F65" s="37"/>
      <c r="G65" s="12"/>
      <c r="H65" s="12"/>
      <c r="I65" s="12"/>
      <c r="J65" s="14"/>
      <c r="K65" s="12"/>
      <c r="L65" s="14"/>
      <c r="M65" s="12"/>
    </row>
    <row r="66" spans="2:13" s="15" customFormat="1" ht="15">
      <c r="B66" s="12"/>
      <c r="D66" s="37"/>
      <c r="E66" s="38"/>
      <c r="F66" s="37"/>
      <c r="G66" s="12"/>
      <c r="H66" s="12"/>
      <c r="I66" s="12"/>
      <c r="J66" s="14"/>
      <c r="K66" s="12"/>
      <c r="L66" s="14"/>
      <c r="M66" s="12"/>
    </row>
    <row r="67" spans="2:13" s="15" customFormat="1" ht="15">
      <c r="B67" s="12"/>
      <c r="D67" s="37"/>
      <c r="E67" s="38"/>
      <c r="F67" s="37"/>
      <c r="G67" s="12"/>
      <c r="H67" s="12"/>
      <c r="I67" s="12"/>
      <c r="J67" s="14"/>
      <c r="K67" s="12"/>
      <c r="L67" s="14"/>
      <c r="M67" s="12"/>
    </row>
    <row r="68" spans="2:13" s="15" customFormat="1" ht="16.5" customHeight="1">
      <c r="B68" s="12"/>
      <c r="D68" s="37"/>
      <c r="E68" s="38"/>
      <c r="F68" s="39"/>
      <c r="G68" s="12"/>
      <c r="H68" s="12"/>
      <c r="I68" s="12"/>
      <c r="J68" s="14"/>
      <c r="K68" s="12"/>
      <c r="L68" s="14"/>
      <c r="M68" s="12"/>
    </row>
    <row r="69" spans="2:13" s="15" customFormat="1" ht="15">
      <c r="B69" s="12"/>
      <c r="D69" s="37"/>
      <c r="E69" s="38"/>
      <c r="F69" s="37"/>
      <c r="G69" s="12"/>
      <c r="H69" s="12"/>
      <c r="I69" s="12"/>
      <c r="J69" s="14"/>
      <c r="K69" s="12"/>
      <c r="L69" s="14"/>
      <c r="M69" s="12"/>
    </row>
    <row r="70" spans="2:13" s="15" customFormat="1" ht="15">
      <c r="B70" s="12"/>
      <c r="D70" s="37"/>
      <c r="E70" s="38"/>
      <c r="F70" s="37"/>
      <c r="G70" s="12"/>
      <c r="H70" s="12"/>
      <c r="I70" s="12"/>
      <c r="J70" s="14"/>
      <c r="K70" s="12"/>
      <c r="L70" s="14"/>
      <c r="M70" s="12"/>
    </row>
    <row r="71" spans="2:13" s="15" customFormat="1" ht="15">
      <c r="B71" s="12"/>
      <c r="D71" s="37"/>
      <c r="E71" s="38"/>
      <c r="F71" s="37"/>
      <c r="G71" s="12"/>
      <c r="H71" s="12"/>
      <c r="I71" s="12"/>
      <c r="J71" s="14"/>
      <c r="K71" s="12"/>
      <c r="L71" s="14"/>
      <c r="M71" s="12"/>
    </row>
    <row r="72" spans="2:13" s="15" customFormat="1" ht="15">
      <c r="B72" s="12"/>
      <c r="D72" s="37"/>
      <c r="E72" s="38"/>
      <c r="F72" s="37"/>
      <c r="G72" s="12"/>
      <c r="H72" s="12"/>
      <c r="I72" s="12"/>
      <c r="J72" s="14"/>
      <c r="K72" s="12"/>
      <c r="L72" s="14"/>
      <c r="M72" s="12"/>
    </row>
    <row r="73" spans="2:13" s="15" customFormat="1" ht="15">
      <c r="B73" s="12"/>
      <c r="D73" s="37"/>
      <c r="E73" s="38"/>
      <c r="F73" s="37"/>
      <c r="G73" s="12"/>
      <c r="H73" s="12"/>
      <c r="I73" s="12"/>
      <c r="J73" s="14"/>
      <c r="K73" s="12"/>
      <c r="L73" s="14"/>
      <c r="M73" s="12"/>
    </row>
    <row r="74" spans="2:13" s="15" customFormat="1" ht="15">
      <c r="B74" s="12"/>
      <c r="D74" s="40"/>
      <c r="E74" s="38"/>
      <c r="F74" s="40"/>
      <c r="G74" s="12"/>
      <c r="H74" s="12"/>
      <c r="I74" s="12"/>
      <c r="J74" s="17"/>
      <c r="K74" s="12"/>
      <c r="L74" s="16"/>
      <c r="M74" s="12"/>
    </row>
    <row r="75" spans="2:13" s="15" customFormat="1" ht="15">
      <c r="B75" s="12"/>
      <c r="D75" s="37"/>
      <c r="E75" s="38"/>
      <c r="F75" s="37"/>
      <c r="G75" s="12"/>
      <c r="H75" s="12"/>
      <c r="I75" s="12"/>
      <c r="J75" s="17"/>
      <c r="K75" s="12"/>
      <c r="L75" s="17"/>
      <c r="M75" s="12"/>
    </row>
    <row r="76" spans="2:13" ht="15">
      <c r="B76" s="3"/>
      <c r="D76" s="37"/>
      <c r="E76" s="41"/>
      <c r="F76" s="37"/>
      <c r="G76" s="3"/>
      <c r="H76" s="3"/>
      <c r="I76" s="3"/>
      <c r="J76" s="6"/>
      <c r="K76" s="3"/>
      <c r="L76" s="6"/>
      <c r="M76" s="3"/>
    </row>
    <row r="77" spans="2:12" ht="15">
      <c r="B77" s="3"/>
      <c r="C77" s="12"/>
      <c r="D77" s="37"/>
      <c r="E77" s="42"/>
      <c r="F77" s="37"/>
      <c r="J77" s="6"/>
      <c r="L77" s="6"/>
    </row>
    <row r="78" spans="3:12" ht="15">
      <c r="C78" s="15"/>
      <c r="D78" s="37"/>
      <c r="E78" s="42"/>
      <c r="F78" s="43"/>
      <c r="J78" s="6"/>
      <c r="L78" s="6"/>
    </row>
    <row r="79" spans="3:12" ht="15">
      <c r="C79" s="15"/>
      <c r="D79" s="37"/>
      <c r="E79" s="42"/>
      <c r="F79" s="37"/>
      <c r="J79" s="6"/>
      <c r="L79" s="6"/>
    </row>
    <row r="80" spans="3:12" ht="15">
      <c r="C80" s="15"/>
      <c r="D80" s="37"/>
      <c r="E80" s="42"/>
      <c r="F80" s="43"/>
      <c r="J80" s="6"/>
      <c r="L80" s="6"/>
    </row>
    <row r="81" spans="2:4" s="8" customFormat="1" ht="15.75">
      <c r="B81" s="7"/>
      <c r="C81" s="23"/>
      <c r="D81" s="23"/>
    </row>
    <row r="82" spans="2:6" s="8" customFormat="1" ht="15.75">
      <c r="B82" s="7"/>
      <c r="C82" s="15"/>
      <c r="D82" s="30"/>
      <c r="F82" s="34"/>
    </row>
    <row r="83" spans="3:6" s="8" customFormat="1" ht="15">
      <c r="C83" s="15"/>
      <c r="D83" s="30"/>
      <c r="F83" s="34"/>
    </row>
    <row r="84" spans="2:12" s="8" customFormat="1" ht="15.75">
      <c r="B84" s="9"/>
      <c r="C84" s="24"/>
      <c r="D84" s="44"/>
      <c r="F84" s="44"/>
      <c r="J84" s="10"/>
      <c r="L84" s="10"/>
    </row>
    <row r="85" spans="2:12" s="8" customFormat="1" ht="15.75">
      <c r="B85" s="9"/>
      <c r="C85" s="23"/>
      <c r="D85" s="25"/>
      <c r="F85" s="10"/>
      <c r="J85" s="10"/>
      <c r="L85" s="10"/>
    </row>
    <row r="86" spans="2:12" s="8" customFormat="1" ht="15.75">
      <c r="B86" s="9"/>
      <c r="C86" s="23"/>
      <c r="D86" s="32"/>
      <c r="F86" s="10"/>
      <c r="J86" s="10"/>
      <c r="L86" s="10"/>
    </row>
    <row r="87" spans="2:12" s="8" customFormat="1" ht="15.75">
      <c r="B87" s="9"/>
      <c r="C87" s="2"/>
      <c r="D87" s="25"/>
      <c r="F87" s="10"/>
      <c r="J87" s="10"/>
      <c r="L87" s="10"/>
    </row>
    <row r="88" spans="2:12" s="8" customFormat="1" ht="15">
      <c r="B88" s="9"/>
      <c r="C88" s="2"/>
      <c r="D88" s="24"/>
      <c r="F88" s="9"/>
      <c r="J88" s="9"/>
      <c r="L88" s="9"/>
    </row>
    <row r="89" spans="2:12" s="8" customFormat="1" ht="15.75">
      <c r="B89" s="9"/>
      <c r="C89" s="26"/>
      <c r="D89" s="27"/>
      <c r="F89" s="11"/>
      <c r="J89" s="11"/>
      <c r="L89" s="11"/>
    </row>
    <row r="90" spans="2:12" s="8" customFormat="1" ht="15.75">
      <c r="B90" s="9"/>
      <c r="C90" s="26"/>
      <c r="D90" s="27"/>
      <c r="F90" s="11"/>
      <c r="J90" s="11"/>
      <c r="L90" s="11"/>
    </row>
    <row r="91" spans="2:12" s="8" customFormat="1" ht="15.75">
      <c r="B91" s="9"/>
      <c r="C91" s="7"/>
      <c r="D91" s="11"/>
      <c r="F91" s="11"/>
      <c r="J91" s="11"/>
      <c r="L91" s="11"/>
    </row>
    <row r="92" spans="2:12" s="8" customFormat="1" ht="15.75">
      <c r="B92" s="9"/>
      <c r="C92" s="7"/>
      <c r="D92" s="11"/>
      <c r="F92" s="11"/>
      <c r="J92" s="11"/>
      <c r="L92" s="11"/>
    </row>
    <row r="93" spans="2:12" s="8" customFormat="1" ht="15.75">
      <c r="B93" s="9"/>
      <c r="C93" s="7"/>
      <c r="D93" s="11"/>
      <c r="F93" s="11"/>
      <c r="J93" s="11"/>
      <c r="L93" s="11"/>
    </row>
    <row r="94" spans="2:12" s="8" customFormat="1" ht="15.75">
      <c r="B94" s="9"/>
      <c r="C94" s="7"/>
      <c r="D94" s="11"/>
      <c r="F94" s="11"/>
      <c r="J94" s="11"/>
      <c r="L94" s="11"/>
    </row>
    <row r="95" spans="2:12" s="8" customFormat="1" ht="15.75">
      <c r="B95" s="9"/>
      <c r="C95" s="7"/>
      <c r="D95" s="11"/>
      <c r="F95" s="11"/>
      <c r="J95" s="11"/>
      <c r="L95" s="11"/>
    </row>
    <row r="96" spans="2:12" s="8" customFormat="1" ht="15.75">
      <c r="B96" s="9"/>
      <c r="C96" s="7"/>
      <c r="D96" s="11"/>
      <c r="F96" s="11"/>
      <c r="J96" s="11"/>
      <c r="L96" s="11"/>
    </row>
    <row r="97" spans="2:12" s="8" customFormat="1" ht="15.75">
      <c r="B97" s="9"/>
      <c r="C97" s="7"/>
      <c r="D97" s="11"/>
      <c r="F97" s="11"/>
      <c r="J97" s="11"/>
      <c r="L97" s="11"/>
    </row>
    <row r="98" spans="2:12" s="8" customFormat="1" ht="15.75">
      <c r="B98" s="9"/>
      <c r="C98" s="7"/>
      <c r="D98" s="11"/>
      <c r="F98" s="11"/>
      <c r="J98" s="11"/>
      <c r="L98" s="11"/>
    </row>
    <row r="99" spans="2:12" s="8" customFormat="1" ht="15.75">
      <c r="B99" s="9"/>
      <c r="C99" s="7"/>
      <c r="D99" s="11"/>
      <c r="F99" s="11"/>
      <c r="J99" s="11"/>
      <c r="L99" s="11"/>
    </row>
    <row r="100" spans="2:12" s="8" customFormat="1" ht="15.75">
      <c r="B100" s="9"/>
      <c r="C100" s="7"/>
      <c r="D100" s="11"/>
      <c r="F100" s="11"/>
      <c r="J100" s="11"/>
      <c r="L100" s="11"/>
    </row>
    <row r="101" spans="2:12" s="8" customFormat="1" ht="15.75">
      <c r="B101" s="9"/>
      <c r="C101" s="7"/>
      <c r="D101" s="11"/>
      <c r="F101" s="11"/>
      <c r="J101" s="11"/>
      <c r="L101" s="11"/>
    </row>
    <row r="102" spans="2:12" s="8" customFormat="1" ht="15.75">
      <c r="B102" s="9"/>
      <c r="C102" s="7"/>
      <c r="D102" s="11"/>
      <c r="F102" s="11"/>
      <c r="J102" s="11"/>
      <c r="L102" s="11"/>
    </row>
    <row r="103" spans="2:12" s="8" customFormat="1" ht="15.75">
      <c r="B103" s="9"/>
      <c r="C103" s="7"/>
      <c r="D103" s="11"/>
      <c r="F103" s="11"/>
      <c r="J103" s="11"/>
      <c r="L103" s="11"/>
    </row>
    <row r="104" spans="2:12" s="8" customFormat="1" ht="15.75">
      <c r="B104" s="9"/>
      <c r="C104" s="7"/>
      <c r="D104" s="11"/>
      <c r="F104" s="11"/>
      <c r="J104" s="11"/>
      <c r="L104" s="11"/>
    </row>
    <row r="105" spans="2:12" s="8" customFormat="1" ht="15.75">
      <c r="B105" s="9"/>
      <c r="C105" s="7"/>
      <c r="D105" s="11"/>
      <c r="F105" s="11"/>
      <c r="J105" s="11"/>
      <c r="L105" s="11"/>
    </row>
    <row r="106" spans="2:12" s="8" customFormat="1" ht="15.75">
      <c r="B106" s="9"/>
      <c r="C106" s="7"/>
      <c r="D106" s="11"/>
      <c r="F106" s="11"/>
      <c r="J106" s="11"/>
      <c r="L106" s="11"/>
    </row>
    <row r="107" spans="2:12" s="8" customFormat="1" ht="15.75">
      <c r="B107" s="9"/>
      <c r="C107" s="7"/>
      <c r="D107" s="11"/>
      <c r="F107" s="11"/>
      <c r="J107" s="11"/>
      <c r="L107" s="11"/>
    </row>
    <row r="108" spans="2:12" s="8" customFormat="1" ht="15.75">
      <c r="B108" s="9"/>
      <c r="C108" s="7"/>
      <c r="D108" s="11"/>
      <c r="F108" s="11"/>
      <c r="J108" s="11"/>
      <c r="L108" s="11"/>
    </row>
    <row r="109" spans="2:12" s="8" customFormat="1" ht="15.75">
      <c r="B109" s="9"/>
      <c r="C109" s="7"/>
      <c r="D109" s="11"/>
      <c r="F109" s="11"/>
      <c r="J109" s="11"/>
      <c r="L109" s="11"/>
    </row>
    <row r="110" spans="2:12" s="8" customFormat="1" ht="15">
      <c r="B110" s="9"/>
      <c r="D110" s="11"/>
      <c r="F110" s="11"/>
      <c r="J110" s="11"/>
      <c r="L110" s="11"/>
    </row>
    <row r="111" spans="2:12" s="8" customFormat="1" ht="15">
      <c r="B111" s="9"/>
      <c r="D111" s="11"/>
      <c r="F111" s="11"/>
      <c r="J111" s="11"/>
      <c r="L111" s="11"/>
    </row>
    <row r="112" spans="2:12" s="8" customFormat="1" ht="15">
      <c r="B112" s="9"/>
      <c r="D112" s="11"/>
      <c r="F112" s="11"/>
      <c r="J112" s="11"/>
      <c r="L112" s="11"/>
    </row>
    <row r="113" spans="2:12" s="8" customFormat="1" ht="15.75">
      <c r="B113" s="9"/>
      <c r="C113" s="7"/>
      <c r="D113" s="11"/>
      <c r="F113" s="11"/>
      <c r="J113" s="11"/>
      <c r="L113" s="11"/>
    </row>
    <row r="114" spans="2:12" s="8" customFormat="1" ht="15.75">
      <c r="B114" s="9"/>
      <c r="C114" s="7"/>
      <c r="D114" s="11"/>
      <c r="F114" s="11"/>
      <c r="J114" s="11"/>
      <c r="L114" s="11"/>
    </row>
    <row r="115" spans="2:12" s="8" customFormat="1" ht="15.75">
      <c r="B115" s="9"/>
      <c r="C115" s="7"/>
      <c r="D115" s="11"/>
      <c r="F115" s="11"/>
      <c r="J115" s="11"/>
      <c r="L115" s="11"/>
    </row>
    <row r="116" spans="2:12" s="8" customFormat="1" ht="15.75">
      <c r="B116" s="9"/>
      <c r="C116" s="7"/>
      <c r="D116" s="11"/>
      <c r="F116" s="11"/>
      <c r="J116" s="11"/>
      <c r="L116" s="11"/>
    </row>
    <row r="117" spans="2:12" s="8" customFormat="1" ht="15.75">
      <c r="B117" s="9"/>
      <c r="C117" s="7"/>
      <c r="D117" s="11"/>
      <c r="F117" s="11"/>
      <c r="J117" s="11"/>
      <c r="L117" s="11"/>
    </row>
    <row r="118" spans="2:12" s="8" customFormat="1" ht="15.75">
      <c r="B118" s="9"/>
      <c r="C118" s="7"/>
      <c r="D118" s="11"/>
      <c r="F118" s="11"/>
      <c r="J118" s="11"/>
      <c r="L118" s="11"/>
    </row>
    <row r="119" spans="2:12" s="8" customFormat="1" ht="15.75">
      <c r="B119" s="9"/>
      <c r="C119" s="7"/>
      <c r="D119" s="11"/>
      <c r="F119" s="11"/>
      <c r="J119" s="11"/>
      <c r="L119" s="11"/>
    </row>
    <row r="120" spans="2:12" s="8" customFormat="1" ht="15.75">
      <c r="B120" s="9"/>
      <c r="C120" s="7"/>
      <c r="D120" s="11"/>
      <c r="F120" s="11"/>
      <c r="J120" s="11"/>
      <c r="L120" s="11"/>
    </row>
    <row r="121" spans="2:12" s="8" customFormat="1" ht="15.75">
      <c r="B121" s="9"/>
      <c r="C121" s="7"/>
      <c r="D121" s="11"/>
      <c r="F121" s="11"/>
      <c r="J121" s="11"/>
      <c r="L121" s="11"/>
    </row>
    <row r="122" spans="2:12" s="8" customFormat="1" ht="15.75">
      <c r="B122" s="9"/>
      <c r="C122" s="7"/>
      <c r="D122" s="11"/>
      <c r="F122" s="11"/>
      <c r="J122" s="11"/>
      <c r="L122" s="11"/>
    </row>
    <row r="123" spans="2:12" s="8" customFormat="1" ht="15.75">
      <c r="B123" s="9"/>
      <c r="C123" s="7"/>
      <c r="D123" s="11"/>
      <c r="F123" s="11"/>
      <c r="J123" s="11"/>
      <c r="L123" s="11"/>
    </row>
    <row r="124" spans="2:12" s="8" customFormat="1" ht="15.75">
      <c r="B124" s="9"/>
      <c r="C124" s="7"/>
      <c r="D124" s="11"/>
      <c r="F124" s="11"/>
      <c r="J124" s="11"/>
      <c r="L124" s="11"/>
    </row>
    <row r="125" spans="2:12" s="8" customFormat="1" ht="15.75">
      <c r="B125" s="9"/>
      <c r="C125" s="7"/>
      <c r="D125" s="11"/>
      <c r="F125" s="11"/>
      <c r="J125" s="11"/>
      <c r="L125" s="11"/>
    </row>
    <row r="126" spans="2:12" s="8" customFormat="1" ht="15.75">
      <c r="B126" s="9"/>
      <c r="C126" s="7"/>
      <c r="D126" s="11"/>
      <c r="F126" s="11"/>
      <c r="J126" s="11"/>
      <c r="L126" s="11"/>
    </row>
    <row r="127" spans="2:12" s="8" customFormat="1" ht="15.75">
      <c r="B127" s="9"/>
      <c r="C127" s="7"/>
      <c r="D127" s="11"/>
      <c r="F127" s="11"/>
      <c r="J127" s="11"/>
      <c r="L127" s="11"/>
    </row>
    <row r="128" spans="2:12" s="8" customFormat="1" ht="15.75">
      <c r="B128" s="9"/>
      <c r="C128" s="7"/>
      <c r="D128" s="11"/>
      <c r="F128" s="11"/>
      <c r="J128" s="11"/>
      <c r="L128" s="11"/>
    </row>
    <row r="129" spans="2:12" s="8" customFormat="1" ht="15.75">
      <c r="B129" s="9"/>
      <c r="C129" s="7"/>
      <c r="D129" s="11"/>
      <c r="F129" s="11"/>
      <c r="J129" s="11"/>
      <c r="L129" s="11"/>
    </row>
    <row r="130" spans="2:12" s="8" customFormat="1" ht="15.75">
      <c r="B130" s="9"/>
      <c r="C130" s="7"/>
      <c r="D130" s="11"/>
      <c r="F130" s="11"/>
      <c r="J130" s="11"/>
      <c r="L130" s="11"/>
    </row>
    <row r="131" spans="2:12" s="8" customFormat="1" ht="15.75">
      <c r="B131" s="9"/>
      <c r="C131" s="7"/>
      <c r="D131" s="11"/>
      <c r="F131" s="11"/>
      <c r="J131" s="11"/>
      <c r="L131" s="11"/>
    </row>
    <row r="132" spans="2:12" s="8" customFormat="1" ht="15.75">
      <c r="B132" s="9"/>
      <c r="C132" s="7"/>
      <c r="D132" s="11"/>
      <c r="F132" s="11"/>
      <c r="J132" s="11"/>
      <c r="L132" s="11"/>
    </row>
    <row r="133" spans="2:12" s="8" customFormat="1" ht="15.75">
      <c r="B133" s="9"/>
      <c r="C133" s="7"/>
      <c r="D133" s="11"/>
      <c r="F133" s="11"/>
      <c r="J133" s="11"/>
      <c r="L133" s="11"/>
    </row>
    <row r="134" spans="2:12" s="8" customFormat="1" ht="15.75">
      <c r="B134" s="9"/>
      <c r="C134" s="7"/>
      <c r="D134" s="11"/>
      <c r="F134" s="11"/>
      <c r="J134" s="11"/>
      <c r="L134" s="11"/>
    </row>
    <row r="135" spans="2:12" s="8" customFormat="1" ht="15.75">
      <c r="B135" s="9"/>
      <c r="C135" s="7"/>
      <c r="D135" s="11"/>
      <c r="F135" s="11"/>
      <c r="J135" s="11"/>
      <c r="L135" s="11"/>
    </row>
    <row r="136" spans="2:12" s="8" customFormat="1" ht="15">
      <c r="B136" s="9"/>
      <c r="C136" s="9"/>
      <c r="D136" s="11"/>
      <c r="F136" s="11"/>
      <c r="J136" s="11"/>
      <c r="L136" s="11"/>
    </row>
    <row r="137" spans="2:12" s="8" customFormat="1" ht="15">
      <c r="B137" s="9"/>
      <c r="D137" s="11"/>
      <c r="F137" s="11"/>
      <c r="J137" s="11"/>
      <c r="L137" s="11"/>
    </row>
    <row r="138" spans="2:12" s="8" customFormat="1" ht="15">
      <c r="B138" s="9"/>
      <c r="C138" s="9"/>
      <c r="D138" s="11"/>
      <c r="F138" s="11"/>
      <c r="J138" s="11"/>
      <c r="L138" s="11"/>
    </row>
    <row r="139" spans="4:12" s="8" customFormat="1" ht="15">
      <c r="D139" s="11"/>
      <c r="F139" s="11"/>
      <c r="J139" s="11"/>
      <c r="L139" s="11"/>
    </row>
    <row r="140" spans="4:12" s="8" customFormat="1" ht="15">
      <c r="D140" s="11"/>
      <c r="F140" s="11"/>
      <c r="J140" s="11"/>
      <c r="L140" s="11"/>
    </row>
    <row r="141" spans="4:12" s="8" customFormat="1" ht="15">
      <c r="D141" s="11"/>
      <c r="F141" s="11"/>
      <c r="J141" s="11"/>
      <c r="L141" s="11"/>
    </row>
    <row r="142" spans="4:12" ht="15">
      <c r="D142" s="6"/>
      <c r="F142" s="6"/>
      <c r="J142" s="6"/>
      <c r="L142" s="6"/>
    </row>
    <row r="143" spans="4:12" ht="15">
      <c r="D143" s="6"/>
      <c r="F143" s="6"/>
      <c r="J143" s="6"/>
      <c r="L143" s="6"/>
    </row>
    <row r="144" spans="4:12" ht="15">
      <c r="D144" s="6"/>
      <c r="F144" s="6"/>
      <c r="J144" s="6"/>
      <c r="L144" s="6"/>
    </row>
    <row r="145" spans="4:12" ht="15">
      <c r="D145" s="6"/>
      <c r="F145" s="6"/>
      <c r="J145" s="6"/>
      <c r="L145" s="6"/>
    </row>
    <row r="146" spans="4:12" ht="15">
      <c r="D146" s="6"/>
      <c r="F146" s="6"/>
      <c r="J146" s="6"/>
      <c r="L146" s="6"/>
    </row>
    <row r="147" spans="4:12" ht="15">
      <c r="D147" s="6"/>
      <c r="F147" s="6"/>
      <c r="J147" s="6"/>
      <c r="L147" s="6"/>
    </row>
    <row r="148" spans="4:12" ht="15">
      <c r="D148" s="6"/>
      <c r="F148" s="6"/>
      <c r="J148" s="6"/>
      <c r="L148" s="6"/>
    </row>
    <row r="149" spans="4:12" ht="15">
      <c r="D149" s="6"/>
      <c r="F149" s="6"/>
      <c r="J149" s="6"/>
      <c r="L149" s="6"/>
    </row>
    <row r="150" spans="4:12" ht="15">
      <c r="D150" s="6"/>
      <c r="F150" s="6"/>
      <c r="J150" s="6"/>
      <c r="L150" s="6"/>
    </row>
    <row r="151" spans="4:12" ht="15">
      <c r="D151" s="6"/>
      <c r="F151" s="6"/>
      <c r="J151" s="6"/>
      <c r="L151" s="6"/>
    </row>
    <row r="152" spans="4:12" ht="15">
      <c r="D152" s="6"/>
      <c r="F152" s="6"/>
      <c r="J152" s="6"/>
      <c r="L152" s="6"/>
    </row>
    <row r="153" spans="4:12" ht="15">
      <c r="D153" s="6"/>
      <c r="F153" s="6"/>
      <c r="J153" s="6"/>
      <c r="L153" s="6"/>
    </row>
    <row r="154" spans="4:12" ht="15">
      <c r="D154" s="6"/>
      <c r="F154" s="6"/>
      <c r="J154" s="6"/>
      <c r="L154" s="6"/>
    </row>
    <row r="155" spans="4:12" ht="15">
      <c r="D155" s="6"/>
      <c r="F155" s="6"/>
      <c r="J155" s="6"/>
      <c r="L155" s="6"/>
    </row>
    <row r="156" spans="4:12" ht="15">
      <c r="D156" s="6"/>
      <c r="F156" s="6"/>
      <c r="J156" s="6"/>
      <c r="L156" s="6"/>
    </row>
    <row r="157" spans="4:12" ht="15">
      <c r="D157" s="6"/>
      <c r="F157" s="6"/>
      <c r="J157" s="6"/>
      <c r="L157" s="6"/>
    </row>
    <row r="158" spans="4:12" ht="15">
      <c r="D158" s="6"/>
      <c r="F158" s="6"/>
      <c r="J158" s="6"/>
      <c r="L158" s="6"/>
    </row>
    <row r="159" spans="4:12" ht="15">
      <c r="D159" s="6"/>
      <c r="F159" s="6"/>
      <c r="J159" s="6"/>
      <c r="L159" s="6"/>
    </row>
    <row r="160" spans="4:12" ht="15">
      <c r="D160" s="6"/>
      <c r="F160" s="6"/>
      <c r="J160" s="6"/>
      <c r="L160" s="6"/>
    </row>
    <row r="161" spans="4:12" ht="15">
      <c r="D161" s="6"/>
      <c r="F161" s="6"/>
      <c r="J161" s="6"/>
      <c r="L161" s="6"/>
    </row>
  </sheetData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6"/>
  <sheetViews>
    <sheetView tabSelected="1" zoomScale="75" zoomScaleNormal="75" workbookViewId="0" topLeftCell="A1">
      <selection activeCell="B85" sqref="B85"/>
    </sheetView>
  </sheetViews>
  <sheetFormatPr defaultColWidth="9.140625" defaultRowHeight="12.75"/>
  <cols>
    <col min="1" max="1" width="2.28125" style="71" customWidth="1"/>
    <col min="2" max="2" width="12.7109375" style="71" customWidth="1"/>
    <col min="3" max="3" width="13.421875" style="71" customWidth="1"/>
    <col min="4" max="6" width="14.7109375" style="71" customWidth="1"/>
    <col min="7" max="7" width="15.140625" style="71" customWidth="1"/>
    <col min="8" max="8" width="1.7109375" style="0" customWidth="1"/>
    <col min="9" max="9" width="15.28125" style="71" hidden="1" customWidth="1"/>
    <col min="10" max="10" width="15.28125" style="0" customWidth="1"/>
  </cols>
  <sheetData>
    <row r="2" ht="15.75">
      <c r="A2" s="70" t="s">
        <v>0</v>
      </c>
    </row>
    <row r="4" ht="15.75">
      <c r="A4" s="70" t="s">
        <v>98</v>
      </c>
    </row>
    <row r="5" spans="1:2" ht="15.75">
      <c r="A5" s="70"/>
      <c r="B5" s="70" t="s">
        <v>235</v>
      </c>
    </row>
    <row r="6" spans="1:10" ht="15.75">
      <c r="A6" s="70"/>
      <c r="B6" s="94" t="s">
        <v>152</v>
      </c>
      <c r="G6" s="4">
        <v>2003</v>
      </c>
      <c r="I6" s="4">
        <v>2002</v>
      </c>
      <c r="J6" s="4">
        <v>2002</v>
      </c>
    </row>
    <row r="7" spans="7:10" ht="15.75">
      <c r="G7" s="4" t="s">
        <v>226</v>
      </c>
      <c r="I7" s="4" t="s">
        <v>155</v>
      </c>
      <c r="J7" s="4" t="s">
        <v>226</v>
      </c>
    </row>
    <row r="8" spans="7:10" ht="15.75">
      <c r="G8" s="4" t="s">
        <v>49</v>
      </c>
      <c r="I8" s="4" t="s">
        <v>49</v>
      </c>
      <c r="J8" s="4" t="s">
        <v>49</v>
      </c>
    </row>
    <row r="9" spans="7:10" ht="15.75">
      <c r="G9" s="45" t="s">
        <v>236</v>
      </c>
      <c r="I9" s="45" t="s">
        <v>158</v>
      </c>
      <c r="J9" s="45" t="s">
        <v>236</v>
      </c>
    </row>
    <row r="10" spans="1:10" ht="15.75">
      <c r="A10" s="70" t="s">
        <v>99</v>
      </c>
      <c r="B10" s="70"/>
      <c r="C10" s="70"/>
      <c r="D10" s="70"/>
      <c r="E10" s="70"/>
      <c r="F10" s="100"/>
      <c r="G10" s="4" t="s">
        <v>50</v>
      </c>
      <c r="I10" s="4" t="s">
        <v>50</v>
      </c>
      <c r="J10" s="4" t="s">
        <v>50</v>
      </c>
    </row>
    <row r="11" ht="6" customHeight="1"/>
    <row r="12" spans="1:10" ht="15">
      <c r="A12" s="71" t="s">
        <v>100</v>
      </c>
      <c r="G12" s="73">
        <v>15360322.942500005</v>
      </c>
      <c r="I12" s="73">
        <f>17153357</f>
        <v>17153357</v>
      </c>
      <c r="J12" s="123">
        <v>13875656</v>
      </c>
    </row>
    <row r="13" spans="1:10" ht="15">
      <c r="A13" s="71" t="s">
        <v>101</v>
      </c>
      <c r="J13" s="123"/>
    </row>
    <row r="14" spans="2:10" ht="15">
      <c r="B14" s="71" t="s">
        <v>102</v>
      </c>
      <c r="G14" s="73">
        <v>162091.075</v>
      </c>
      <c r="I14" s="73">
        <f>91529</f>
        <v>91529</v>
      </c>
      <c r="J14" s="123">
        <v>65625</v>
      </c>
    </row>
    <row r="15" spans="2:10" ht="15">
      <c r="B15" s="71" t="s">
        <v>103</v>
      </c>
      <c r="G15" s="73">
        <v>2119813.17</v>
      </c>
      <c r="I15" s="73">
        <f>3118243</f>
        <v>3118243</v>
      </c>
      <c r="J15" s="123">
        <v>2234820</v>
      </c>
    </row>
    <row r="16" spans="2:10" ht="15">
      <c r="B16" s="71" t="s">
        <v>104</v>
      </c>
      <c r="G16" s="73">
        <v>115002</v>
      </c>
      <c r="I16" s="73">
        <v>6921</v>
      </c>
      <c r="J16" s="123">
        <v>36902</v>
      </c>
    </row>
    <row r="17" spans="2:10" ht="15">
      <c r="B17" s="71" t="s">
        <v>105</v>
      </c>
      <c r="G17" s="73">
        <v>1112875.47</v>
      </c>
      <c r="I17" s="73">
        <v>898655</v>
      </c>
      <c r="J17" s="123">
        <f>1071907-373462</f>
        <v>698445</v>
      </c>
    </row>
    <row r="18" spans="2:10" ht="15">
      <c r="B18" s="71" t="s">
        <v>106</v>
      </c>
      <c r="G18" s="73">
        <v>-1454090.41</v>
      </c>
      <c r="I18" s="73">
        <f>-1428798</f>
        <v>-1428798</v>
      </c>
      <c r="J18" s="123">
        <f>-1237598</f>
        <v>-1237598</v>
      </c>
    </row>
    <row r="19" spans="2:10" ht="15">
      <c r="B19" s="71" t="s">
        <v>107</v>
      </c>
      <c r="G19" s="73">
        <v>-723555.65</v>
      </c>
      <c r="I19" s="73">
        <f>-18491</f>
        <v>-18491</v>
      </c>
      <c r="J19" s="123">
        <f>-317976</f>
        <v>-317976</v>
      </c>
    </row>
    <row r="20" spans="2:10" ht="15" hidden="1">
      <c r="B20" s="71" t="s">
        <v>170</v>
      </c>
      <c r="G20" s="73">
        <v>0</v>
      </c>
      <c r="I20" s="73">
        <v>0</v>
      </c>
      <c r="J20" s="123"/>
    </row>
    <row r="21" spans="2:10" ht="15">
      <c r="B21" s="71" t="s">
        <v>108</v>
      </c>
      <c r="G21" s="35">
        <v>0</v>
      </c>
      <c r="I21" s="73">
        <v>0</v>
      </c>
      <c r="J21" s="123">
        <v>15566</v>
      </c>
    </row>
    <row r="22" spans="2:10" ht="15" hidden="1">
      <c r="B22" s="71" t="s">
        <v>163</v>
      </c>
      <c r="G22" s="73">
        <v>0</v>
      </c>
      <c r="I22" s="73">
        <f>-1500</f>
        <v>-1500</v>
      </c>
      <c r="J22" s="123"/>
    </row>
    <row r="23" spans="2:10" ht="15">
      <c r="B23" s="71" t="s">
        <v>139</v>
      </c>
      <c r="G23" s="73">
        <v>3081487.13</v>
      </c>
      <c r="I23" s="73">
        <f>195878</f>
        <v>195878</v>
      </c>
      <c r="J23" s="123">
        <v>311492</v>
      </c>
    </row>
    <row r="24" spans="2:10" ht="15">
      <c r="B24" s="71" t="s">
        <v>140</v>
      </c>
      <c r="G24" s="73">
        <v>14113.6725</v>
      </c>
      <c r="I24" s="73">
        <f>-1292</f>
        <v>-1292</v>
      </c>
      <c r="J24" s="123">
        <v>59455</v>
      </c>
    </row>
    <row r="25" spans="7:10" ht="5.25" customHeight="1">
      <c r="G25" s="75"/>
      <c r="I25" s="75"/>
      <c r="J25" s="124"/>
    </row>
    <row r="26" spans="1:10" ht="15">
      <c r="A26" s="71" t="s">
        <v>109</v>
      </c>
      <c r="G26" s="73">
        <f>SUM(G12:G25)</f>
        <v>19788059.400000002</v>
      </c>
      <c r="I26" s="73">
        <f>SUM(I12:I25)</f>
        <v>20014502</v>
      </c>
      <c r="J26" s="73">
        <f>SUM(J12:J25)</f>
        <v>15742387</v>
      </c>
    </row>
    <row r="27" spans="2:10" ht="15">
      <c r="B27" s="71" t="s">
        <v>131</v>
      </c>
      <c r="G27" s="73">
        <v>1873461.4</v>
      </c>
      <c r="I27" s="73">
        <f>-16812</f>
        <v>-16812</v>
      </c>
      <c r="J27" s="123">
        <v>975365</v>
      </c>
    </row>
    <row r="28" spans="2:10" ht="15">
      <c r="B28" s="71" t="s">
        <v>203</v>
      </c>
      <c r="G28" s="73">
        <v>6360781.789999999</v>
      </c>
      <c r="I28" s="73">
        <f>-4686153</f>
        <v>-4686153</v>
      </c>
      <c r="J28" s="123">
        <f>-38451408</f>
        <v>-38451408</v>
      </c>
    </row>
    <row r="29" spans="2:10" ht="15">
      <c r="B29" s="71" t="s">
        <v>204</v>
      </c>
      <c r="G29" s="73">
        <v>224715.91</v>
      </c>
      <c r="I29" s="73">
        <f>-2171614</f>
        <v>-2171614</v>
      </c>
      <c r="J29" s="123">
        <f>-576067</f>
        <v>-576067</v>
      </c>
    </row>
    <row r="30" spans="2:10" ht="15">
      <c r="B30" s="71" t="s">
        <v>205</v>
      </c>
      <c r="G30" s="73">
        <v>4885410.64</v>
      </c>
      <c r="I30" s="73">
        <v>16617178</v>
      </c>
      <c r="J30" s="123">
        <f>-16462674</f>
        <v>-16462674</v>
      </c>
    </row>
    <row r="31" spans="2:10" ht="15">
      <c r="B31" s="71" t="s">
        <v>206</v>
      </c>
      <c r="G31" s="73">
        <v>-13019197.680000002</v>
      </c>
      <c r="I31" s="73">
        <f>-19351427+57019+4486328-2135270</f>
        <v>-16943350</v>
      </c>
      <c r="J31" s="123">
        <f>-35442884</f>
        <v>-35442884</v>
      </c>
    </row>
    <row r="32" spans="2:10" ht="15">
      <c r="B32" s="71" t="s">
        <v>132</v>
      </c>
      <c r="G32" s="73">
        <v>-6663861.469999999</v>
      </c>
      <c r="I32" s="73">
        <v>10884775</v>
      </c>
      <c r="J32" s="123">
        <f>72634938</f>
        <v>72634938</v>
      </c>
    </row>
    <row r="33" spans="7:10" ht="3.75" customHeight="1">
      <c r="G33" s="75"/>
      <c r="I33" s="75"/>
      <c r="J33" s="124"/>
    </row>
    <row r="34" spans="1:10" ht="15">
      <c r="A34" s="71" t="s">
        <v>207</v>
      </c>
      <c r="G34" s="73">
        <f>SUM(G26:G33)</f>
        <v>13449369.990000002</v>
      </c>
      <c r="I34" s="73">
        <f>SUM(I26:I33)</f>
        <v>23698526</v>
      </c>
      <c r="J34" s="73">
        <f>SUM(J26:J33)</f>
        <v>-1580343</v>
      </c>
    </row>
    <row r="35" spans="2:10" ht="15">
      <c r="B35" s="71" t="s">
        <v>110</v>
      </c>
      <c r="G35" s="73">
        <v>-6181976.09</v>
      </c>
      <c r="I35" s="73">
        <f>-5835890</f>
        <v>-5835890</v>
      </c>
      <c r="J35" s="123">
        <f>-7394514</f>
        <v>-7394514</v>
      </c>
    </row>
    <row r="36" spans="2:10" ht="15">
      <c r="B36" s="71" t="s">
        <v>111</v>
      </c>
      <c r="G36" s="73">
        <v>-1112875.47</v>
      </c>
      <c r="I36" s="73">
        <f>-911102</f>
        <v>-911102</v>
      </c>
      <c r="J36" s="123">
        <f>-1071907+373462</f>
        <v>-698445</v>
      </c>
    </row>
    <row r="37" spans="2:10" ht="15">
      <c r="B37" s="71" t="s">
        <v>112</v>
      </c>
      <c r="G37" s="73">
        <v>1454090.41</v>
      </c>
      <c r="I37" s="73">
        <f>1336830</f>
        <v>1336830</v>
      </c>
      <c r="J37" s="123">
        <v>1161260</v>
      </c>
    </row>
    <row r="38" spans="7:10" ht="5.25" customHeight="1">
      <c r="G38" s="75"/>
      <c r="I38" s="75"/>
      <c r="J38" s="123"/>
    </row>
    <row r="39" spans="1:10" ht="15">
      <c r="A39" s="71" t="s">
        <v>208</v>
      </c>
      <c r="G39" s="74">
        <f>SUM(G34:G38)</f>
        <v>7608608.840000003</v>
      </c>
      <c r="I39" s="74">
        <f>SUM(I34:I38)</f>
        <v>18288364</v>
      </c>
      <c r="J39" s="74">
        <f>SUM(J34:J38)</f>
        <v>-8512042</v>
      </c>
    </row>
    <row r="40" ht="15" customHeight="1">
      <c r="J40" s="123"/>
    </row>
    <row r="41" spans="1:10" ht="15.75">
      <c r="A41" s="70" t="s">
        <v>113</v>
      </c>
      <c r="B41" s="70"/>
      <c r="C41" s="70"/>
      <c r="D41" s="70"/>
      <c r="E41" s="70"/>
      <c r="F41" s="70"/>
      <c r="J41" s="123"/>
    </row>
    <row r="42" ht="5.25" customHeight="1">
      <c r="J42" s="123"/>
    </row>
    <row r="43" spans="2:10" ht="15">
      <c r="B43" s="71" t="s">
        <v>114</v>
      </c>
      <c r="G43" s="73">
        <v>249999.93</v>
      </c>
      <c r="I43" s="73">
        <v>5500000</v>
      </c>
      <c r="J43" s="123">
        <v>8000000</v>
      </c>
    </row>
    <row r="44" spans="2:10" ht="15">
      <c r="B44" s="71" t="s">
        <v>248</v>
      </c>
      <c r="F44" s="99">
        <v>1</v>
      </c>
      <c r="G44" s="73">
        <v>-3999920.5</v>
      </c>
      <c r="I44" s="73">
        <v>0</v>
      </c>
      <c r="J44" s="123">
        <v>0</v>
      </c>
    </row>
    <row r="45" spans="2:10" ht="15">
      <c r="B45" s="71" t="s">
        <v>115</v>
      </c>
      <c r="G45" s="33">
        <v>0</v>
      </c>
      <c r="I45" s="73">
        <f>-310500</f>
        <v>-310500</v>
      </c>
      <c r="J45" s="123">
        <f>-747500</f>
        <v>-747500</v>
      </c>
    </row>
    <row r="46" spans="2:10" ht="15">
      <c r="B46" s="71" t="s">
        <v>171</v>
      </c>
      <c r="G46" s="73">
        <v>1000000</v>
      </c>
      <c r="I46" s="73">
        <v>0</v>
      </c>
      <c r="J46" s="123">
        <v>0</v>
      </c>
    </row>
    <row r="47" spans="2:10" ht="15">
      <c r="B47" s="71" t="s">
        <v>116</v>
      </c>
      <c r="G47" s="73">
        <v>-6964442.66</v>
      </c>
      <c r="I47" s="73">
        <f>-3579075</f>
        <v>-3579075</v>
      </c>
      <c r="J47" s="123">
        <f>-1237195</f>
        <v>-1237195</v>
      </c>
    </row>
    <row r="48" spans="2:10" ht="15">
      <c r="B48" s="71" t="s">
        <v>117</v>
      </c>
      <c r="G48" s="73">
        <v>769670.69</v>
      </c>
      <c r="I48" s="73">
        <v>19162</v>
      </c>
      <c r="J48" s="123">
        <v>334066</v>
      </c>
    </row>
    <row r="49" ht="5.25" customHeight="1">
      <c r="J49" s="123"/>
    </row>
    <row r="50" spans="1:10" ht="15">
      <c r="A50" s="71" t="s">
        <v>209</v>
      </c>
      <c r="G50" s="74">
        <f>SUM(G43:G49)</f>
        <v>-8944692.540000001</v>
      </c>
      <c r="I50" s="74">
        <f>SUM(I43:I49)</f>
        <v>1629587</v>
      </c>
      <c r="J50" s="74">
        <f>SUM(J43:J49)</f>
        <v>6349371</v>
      </c>
    </row>
    <row r="51" ht="15">
      <c r="J51" s="123"/>
    </row>
    <row r="52" spans="1:10" ht="15.75">
      <c r="A52" s="70" t="s">
        <v>118</v>
      </c>
      <c r="B52" s="70"/>
      <c r="C52" s="70"/>
      <c r="D52" s="70"/>
      <c r="E52" s="70"/>
      <c r="F52" s="70"/>
      <c r="J52" s="123"/>
    </row>
    <row r="53" ht="5.25" customHeight="1">
      <c r="J53" s="123"/>
    </row>
    <row r="54" spans="2:10" ht="15">
      <c r="B54" s="71" t="s">
        <v>119</v>
      </c>
      <c r="G54" s="73">
        <v>-5014116</v>
      </c>
      <c r="I54" s="73">
        <f>-3240000</f>
        <v>-3240000</v>
      </c>
      <c r="J54" s="123">
        <f>-3240000</f>
        <v>-3240000</v>
      </c>
    </row>
    <row r="55" spans="2:10" ht="15">
      <c r="B55" s="71" t="s">
        <v>172</v>
      </c>
      <c r="G55" s="73">
        <v>1599649.61</v>
      </c>
      <c r="I55" s="73" t="e">
        <f>#REF!</f>
        <v>#REF!</v>
      </c>
      <c r="J55" s="123">
        <f>12698438</f>
        <v>12698438</v>
      </c>
    </row>
    <row r="56" spans="2:10" ht="15">
      <c r="B56" s="71" t="s">
        <v>216</v>
      </c>
      <c r="G56" s="73">
        <v>131585.56</v>
      </c>
      <c r="I56" s="73"/>
      <c r="J56" s="123">
        <v>0</v>
      </c>
    </row>
    <row r="57" spans="2:10" ht="15">
      <c r="B57" s="71" t="s">
        <v>120</v>
      </c>
      <c r="G57" s="73">
        <v>9519816</v>
      </c>
      <c r="I57" s="73">
        <v>337876</v>
      </c>
      <c r="J57" s="123">
        <v>7840802</v>
      </c>
    </row>
    <row r="58" spans="2:10" ht="15">
      <c r="B58" s="71" t="s">
        <v>121</v>
      </c>
      <c r="G58" s="73">
        <v>-7822166</v>
      </c>
      <c r="I58" s="73">
        <f>-378015</f>
        <v>-378015</v>
      </c>
      <c r="J58" s="123">
        <f>-6339085</f>
        <v>-6339085</v>
      </c>
    </row>
    <row r="59" spans="2:10" ht="15">
      <c r="B59" s="71" t="s">
        <v>122</v>
      </c>
      <c r="G59" s="73">
        <v>-1171835.57</v>
      </c>
      <c r="I59" s="73">
        <f>-1441873</f>
        <v>-1441873</v>
      </c>
      <c r="J59" s="123">
        <f>-1206697</f>
        <v>-1206697</v>
      </c>
    </row>
    <row r="60" spans="2:10" ht="15">
      <c r="B60" s="71" t="s">
        <v>210</v>
      </c>
      <c r="G60" s="73">
        <v>3300000</v>
      </c>
      <c r="I60" s="73"/>
      <c r="J60" s="123">
        <v>0</v>
      </c>
    </row>
    <row r="61" spans="2:10" ht="15">
      <c r="B61" s="71" t="s">
        <v>123</v>
      </c>
      <c r="G61" s="73">
        <v>-407030.91</v>
      </c>
      <c r="I61" s="73">
        <f>-59490</f>
        <v>-59490</v>
      </c>
      <c r="J61" s="123">
        <f>-67889</f>
        <v>-67889</v>
      </c>
    </row>
    <row r="62" ht="5.25" customHeight="1">
      <c r="J62" s="123"/>
    </row>
    <row r="63" spans="1:10" ht="15">
      <c r="A63" s="71" t="s">
        <v>211</v>
      </c>
      <c r="G63" s="74">
        <f>SUM(G54:G62)</f>
        <v>135902.68999999965</v>
      </c>
      <c r="I63" s="74" t="e">
        <f>SUM(I54:I62)</f>
        <v>#REF!</v>
      </c>
      <c r="J63" s="74">
        <f>SUM(J54:J62)</f>
        <v>9685569</v>
      </c>
    </row>
    <row r="64" ht="6" customHeight="1">
      <c r="J64" s="123"/>
    </row>
    <row r="65" spans="1:10" ht="15">
      <c r="A65" s="71" t="s">
        <v>212</v>
      </c>
      <c r="G65" s="73">
        <f>G39+G50+G63</f>
        <v>-1200181.0099999986</v>
      </c>
      <c r="I65" s="73" t="e">
        <f>I39+I50+I63</f>
        <v>#REF!</v>
      </c>
      <c r="J65" s="73">
        <f>J39+J50+J63</f>
        <v>7522898</v>
      </c>
    </row>
    <row r="66" spans="1:10" ht="15">
      <c r="A66" s="71" t="s">
        <v>124</v>
      </c>
      <c r="G66" s="73">
        <v>63489970</v>
      </c>
      <c r="I66" s="73">
        <f>38925973</f>
        <v>38925973</v>
      </c>
      <c r="J66" s="123">
        <v>54481989</v>
      </c>
    </row>
    <row r="67" ht="5.25" customHeight="1">
      <c r="J67" s="123"/>
    </row>
    <row r="68" spans="1:10" ht="15">
      <c r="A68" s="71" t="s">
        <v>125</v>
      </c>
      <c r="G68" s="74">
        <f>SUM(G65:G67)</f>
        <v>62289788.99</v>
      </c>
      <c r="I68" s="74" t="e">
        <f>SUM(I65:I67)</f>
        <v>#REF!</v>
      </c>
      <c r="J68" s="74">
        <f>SUM(J65:J67)</f>
        <v>62004887</v>
      </c>
    </row>
    <row r="69" ht="9" customHeight="1">
      <c r="J69" s="123"/>
    </row>
    <row r="70" spans="1:10" ht="15">
      <c r="A70" s="71" t="s">
        <v>126</v>
      </c>
      <c r="J70" s="123"/>
    </row>
    <row r="71" spans="1:10" ht="15">
      <c r="A71" s="71" t="s">
        <v>127</v>
      </c>
      <c r="J71" s="123"/>
    </row>
    <row r="72" ht="5.25" customHeight="1">
      <c r="J72" s="123"/>
    </row>
    <row r="73" spans="2:10" ht="15">
      <c r="B73" s="71" t="s">
        <v>128</v>
      </c>
      <c r="G73" s="73">
        <v>6186933.34</v>
      </c>
      <c r="I73" s="73">
        <v>9020582</v>
      </c>
      <c r="J73" s="123">
        <v>11477065</v>
      </c>
    </row>
    <row r="74" spans="2:10" ht="15">
      <c r="B74" s="71" t="s">
        <v>129</v>
      </c>
      <c r="G74" s="73">
        <v>72015703.67999999</v>
      </c>
      <c r="I74" s="73">
        <f>48296300</f>
        <v>48296300</v>
      </c>
      <c r="J74" s="123">
        <v>55325099</v>
      </c>
    </row>
    <row r="75" spans="2:10" ht="15">
      <c r="B75" s="71" t="s">
        <v>130</v>
      </c>
      <c r="G75" s="73">
        <v>-15912848.22</v>
      </c>
      <c r="I75" s="73">
        <f>-2834893</f>
        <v>-2834893</v>
      </c>
      <c r="J75" s="123">
        <f>-4797277</f>
        <v>-4797277</v>
      </c>
    </row>
    <row r="76" ht="5.25" customHeight="1">
      <c r="J76" s="123"/>
    </row>
    <row r="77" spans="7:10" ht="15">
      <c r="G77" s="74">
        <f>SUM(G73:G76)</f>
        <v>62289788.8</v>
      </c>
      <c r="I77" s="74">
        <f>SUM(I73:I76)</f>
        <v>54481989</v>
      </c>
      <c r="J77" s="74">
        <f>SUM(J73:J76)</f>
        <v>62004887</v>
      </c>
    </row>
    <row r="79" ht="15">
      <c r="A79" s="2" t="s">
        <v>162</v>
      </c>
    </row>
    <row r="80" ht="15">
      <c r="A80" s="2" t="s">
        <v>202</v>
      </c>
    </row>
    <row r="82" ht="15.75">
      <c r="A82" s="70" t="s">
        <v>241</v>
      </c>
    </row>
    <row r="84" ht="15">
      <c r="B84" s="71" t="s">
        <v>252</v>
      </c>
    </row>
    <row r="85" ht="15">
      <c r="B85" s="71" t="s">
        <v>242</v>
      </c>
    </row>
    <row r="86" ht="15">
      <c r="B86" s="71" t="s">
        <v>243</v>
      </c>
    </row>
    <row r="88" spans="2:7" ht="15.75" thickBot="1">
      <c r="B88" s="106"/>
      <c r="C88" s="106"/>
      <c r="D88" s="106"/>
      <c r="E88" s="106"/>
      <c r="F88" s="106"/>
      <c r="G88" s="108" t="s">
        <v>50</v>
      </c>
    </row>
    <row r="89" spans="2:7" ht="15">
      <c r="B89" s="71" t="s">
        <v>173</v>
      </c>
      <c r="G89" s="35">
        <f>149328</f>
        <v>149328</v>
      </c>
    </row>
    <row r="90" spans="2:7" ht="15">
      <c r="B90" s="71" t="s">
        <v>179</v>
      </c>
      <c r="G90" s="35">
        <v>79</v>
      </c>
    </row>
    <row r="91" spans="2:7" ht="15">
      <c r="B91" s="75" t="s">
        <v>180</v>
      </c>
      <c r="C91" s="75"/>
      <c r="D91" s="75"/>
      <c r="E91" s="75"/>
      <c r="F91" s="75"/>
      <c r="G91" s="101">
        <f>-8050</f>
        <v>-8050</v>
      </c>
    </row>
    <row r="92" spans="2:7" ht="15">
      <c r="B92" s="71" t="s">
        <v>181</v>
      </c>
      <c r="G92" s="35">
        <f>SUM(G89:G91)</f>
        <v>141357</v>
      </c>
    </row>
    <row r="93" spans="2:7" ht="15.75" thickBot="1">
      <c r="B93" s="106" t="s">
        <v>245</v>
      </c>
      <c r="C93" s="106"/>
      <c r="D93" s="106"/>
      <c r="E93" s="106"/>
      <c r="F93" s="106"/>
      <c r="G93" s="107">
        <v>3858643</v>
      </c>
    </row>
    <row r="94" spans="2:7" ht="15">
      <c r="B94" s="71" t="s">
        <v>244</v>
      </c>
      <c r="G94" s="103">
        <f>SUM(G92:G93)</f>
        <v>4000000</v>
      </c>
    </row>
    <row r="95" spans="2:7" ht="15">
      <c r="B95" s="75" t="s">
        <v>182</v>
      </c>
      <c r="C95" s="75"/>
      <c r="D95" s="75"/>
      <c r="E95" s="75"/>
      <c r="F95" s="75"/>
      <c r="G95" s="101">
        <f>-G90</f>
        <v>-79</v>
      </c>
    </row>
    <row r="96" spans="2:7" ht="15.75" thickBot="1">
      <c r="B96" s="104" t="s">
        <v>246</v>
      </c>
      <c r="C96" s="104"/>
      <c r="D96" s="104"/>
      <c r="E96" s="104"/>
      <c r="F96" s="104"/>
      <c r="G96" s="105">
        <f>SUM(G94:G95)</f>
        <v>3999921</v>
      </c>
    </row>
    <row r="97" ht="15">
      <c r="G97" s="35"/>
    </row>
    <row r="98" spans="2:7" ht="15.75" hidden="1" thickBot="1">
      <c r="B98" s="104" t="s">
        <v>183</v>
      </c>
      <c r="C98" s="104"/>
      <c r="D98" s="104"/>
      <c r="E98" s="104"/>
      <c r="F98" s="104"/>
      <c r="G98" s="105">
        <f>SUM(G96:G97)</f>
        <v>3999921</v>
      </c>
    </row>
    <row r="99" ht="15" hidden="1">
      <c r="G99" s="35"/>
    </row>
    <row r="100" ht="15" hidden="1">
      <c r="G100" s="103"/>
    </row>
    <row r="101" ht="15.75">
      <c r="G101" s="109"/>
    </row>
    <row r="102" ht="15">
      <c r="G102" s="35"/>
    </row>
    <row r="103" ht="15">
      <c r="G103" s="35"/>
    </row>
    <row r="104" ht="15">
      <c r="G104" s="35"/>
    </row>
    <row r="105" ht="15">
      <c r="G105" s="35"/>
    </row>
    <row r="106" ht="15">
      <c r="G106" s="33"/>
    </row>
  </sheetData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Pre-Installed User</cp:lastModifiedBy>
  <cp:lastPrinted>2003-11-11T02:44:31Z</cp:lastPrinted>
  <dcterms:created xsi:type="dcterms:W3CDTF">2002-09-24T08:40:55Z</dcterms:created>
  <dcterms:modified xsi:type="dcterms:W3CDTF">2004-11-19T05:13:56Z</dcterms:modified>
  <cp:category/>
  <cp:version/>
  <cp:contentType/>
  <cp:contentStatus/>
</cp:coreProperties>
</file>