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" sheetId="1" r:id="rId1"/>
    <sheet name="BS" sheetId="2" r:id="rId2"/>
    <sheet name="NOTES" sheetId="3" r:id="rId3"/>
  </sheets>
  <externalReferences>
    <externalReference r:id="rId6"/>
    <externalReference r:id="rId7"/>
  </externalReferences>
  <definedNames>
    <definedName name="_xlnm.Print_Area" localSheetId="1">'BS'!$A$1:$G$61</definedName>
    <definedName name="_xlnm.Print_Area" localSheetId="0">'PL'!$A$1:$I$73</definedName>
  </definedNames>
  <calcPr fullCalcOnLoad="1"/>
</workbook>
</file>

<file path=xl/sharedStrings.xml><?xml version="1.0" encoding="utf-8"?>
<sst xmlns="http://schemas.openxmlformats.org/spreadsheetml/2006/main" count="341" uniqueCount="279">
  <si>
    <t>QUARTERLY REPORT</t>
  </si>
  <si>
    <t>Quarterly report on consolidated results for the nine months period ended 31/05/00. The figures have not been audited.</t>
  </si>
  <si>
    <t>CONSOLIDATED INCOME STATEMENT</t>
  </si>
  <si>
    <t>INDIVIDUAL QUARTER</t>
  </si>
  <si>
    <t xml:space="preserve">      CUMULATIVE QUARTER</t>
  </si>
  <si>
    <t xml:space="preserve">CURRENT </t>
  </si>
  <si>
    <t>PRECEDING YEAR</t>
  </si>
  <si>
    <t>CURRENT</t>
  </si>
  <si>
    <t>YEAR</t>
  </si>
  <si>
    <t>CORRESPONDING</t>
  </si>
  <si>
    <t>QUARTER</t>
  </si>
  <si>
    <t>TO DATE</t>
  </si>
  <si>
    <t>PERIOD</t>
  </si>
  <si>
    <t>RM'000</t>
  </si>
  <si>
    <t>1(a)</t>
  </si>
  <si>
    <t xml:space="preserve">Turnover </t>
  </si>
  <si>
    <t>-</t>
  </si>
  <si>
    <t xml:space="preserve">  (b)</t>
  </si>
  <si>
    <t>Investment income</t>
  </si>
  <si>
    <t xml:space="preserve">  (c)</t>
  </si>
  <si>
    <t>Other income including interest income</t>
  </si>
  <si>
    <t>2(a)</t>
  </si>
  <si>
    <t>Operating profit before</t>
  </si>
  <si>
    <t>interest on borrowings, depreciation and</t>
  </si>
  <si>
    <t>amortisation and exceptional items, income tax,</t>
  </si>
  <si>
    <t xml:space="preserve">minority interests and extraordinary items </t>
  </si>
  <si>
    <t xml:space="preserve">  (b) </t>
  </si>
  <si>
    <t>Interest on borrowings</t>
  </si>
  <si>
    <t>Depreciation and amortisation</t>
  </si>
  <si>
    <t xml:space="preserve">  (d) </t>
  </si>
  <si>
    <t>Exceptional items</t>
  </si>
  <si>
    <t xml:space="preserve">  (e)</t>
  </si>
  <si>
    <t>Operating profit after</t>
  </si>
  <si>
    <t>amortisation, exceptional items but</t>
  </si>
  <si>
    <t xml:space="preserve">before income tax,minority interests and </t>
  </si>
  <si>
    <t>extraordinary items</t>
  </si>
  <si>
    <t xml:space="preserve">  (f)</t>
  </si>
  <si>
    <t xml:space="preserve">Share in results of associated </t>
  </si>
  <si>
    <t>companies</t>
  </si>
  <si>
    <t xml:space="preserve">  (g)</t>
  </si>
  <si>
    <t xml:space="preserve">Profit before taxation, minority </t>
  </si>
  <si>
    <t>interests and extraordinary items</t>
  </si>
  <si>
    <t xml:space="preserve">  (h)</t>
  </si>
  <si>
    <t>Taxation</t>
  </si>
  <si>
    <t xml:space="preserve">  (i)</t>
  </si>
  <si>
    <t xml:space="preserve">(i) Profit after taxation </t>
  </si>
  <si>
    <t xml:space="preserve">    before deducting minority interests</t>
  </si>
  <si>
    <t>(ii) Add : minority interests</t>
  </si>
  <si>
    <t xml:space="preserve">  (j) </t>
  </si>
  <si>
    <t>Profit after taxation attributable</t>
  </si>
  <si>
    <t>to members of the company</t>
  </si>
  <si>
    <t xml:space="preserve">  (k) </t>
  </si>
  <si>
    <t>(i)   Extraordinary items</t>
  </si>
  <si>
    <t>(ii)  Less minority interests</t>
  </si>
  <si>
    <t xml:space="preserve">(iii) Extraordinary items attributable to </t>
  </si>
  <si>
    <t xml:space="preserve">       members of the company</t>
  </si>
  <si>
    <t xml:space="preserve">  (l)</t>
  </si>
  <si>
    <t>Profit after taxation and extraordinary items</t>
  </si>
  <si>
    <t>attributable to members of the company</t>
  </si>
  <si>
    <t xml:space="preserve"> </t>
  </si>
  <si>
    <t>3(a)</t>
  </si>
  <si>
    <t xml:space="preserve">Earnings per share based on 2(j) above after </t>
  </si>
  <si>
    <t>deducting any provision for preference</t>
  </si>
  <si>
    <t>dividends, if any :-</t>
  </si>
  <si>
    <t>(i) Basic (based on 40,126,778</t>
  </si>
  <si>
    <t xml:space="preserve">    ordinary shares) (sen)</t>
  </si>
  <si>
    <t>(ii)Fully diluted (based on 40,715,087</t>
  </si>
  <si>
    <t xml:space="preserve">     ordinary shares) (sen)</t>
  </si>
  <si>
    <t>CONSOLIDATED BALANCE SHEET</t>
  </si>
  <si>
    <t xml:space="preserve">AS AT </t>
  </si>
  <si>
    <t xml:space="preserve">END OF </t>
  </si>
  <si>
    <t>PRECEDING</t>
  </si>
  <si>
    <t>FINANCIAL</t>
  </si>
  <si>
    <t>YEAR END</t>
  </si>
  <si>
    <t>Fixed Assets</t>
  </si>
  <si>
    <t>Investment in Associated Company</t>
  </si>
  <si>
    <t>Investment in Subsidiary Company</t>
  </si>
  <si>
    <t>Future Development Properties</t>
  </si>
  <si>
    <t>Goodwill on Consolidation</t>
  </si>
  <si>
    <t>Current Assets</t>
  </si>
  <si>
    <t>Contract work-in-progress</t>
  </si>
  <si>
    <t xml:space="preserve">Stocks </t>
  </si>
  <si>
    <t>Trade Debtors</t>
  </si>
  <si>
    <t>Others debtors, deposits &amp; prepayment</t>
  </si>
  <si>
    <t>Amount due from a related company</t>
  </si>
  <si>
    <t>Fixed deposits with licensed banks</t>
  </si>
  <si>
    <t>Cash and bank balances</t>
  </si>
  <si>
    <t xml:space="preserve">Current Liabilities </t>
  </si>
  <si>
    <t>Trade creditors</t>
  </si>
  <si>
    <t>Other creditors, accruals and deposits receivable</t>
  </si>
  <si>
    <t>Amount due to directors</t>
  </si>
  <si>
    <t>Amount due to ultimate holding company</t>
  </si>
  <si>
    <t>Bank Borrowings</t>
  </si>
  <si>
    <t>Provision for Taxation</t>
  </si>
  <si>
    <t>Dividend payable</t>
  </si>
  <si>
    <t>Proposed Dividend</t>
  </si>
  <si>
    <t xml:space="preserve">Net Current Assets </t>
  </si>
  <si>
    <t>Expenditure carried forward</t>
  </si>
  <si>
    <t>Shareholders' Fund</t>
  </si>
  <si>
    <t>Share Capital</t>
  </si>
  <si>
    <t>Reserves</t>
  </si>
  <si>
    <t>Share Premium</t>
  </si>
  <si>
    <t>Reserve on consolidation</t>
  </si>
  <si>
    <t>Retained Profit</t>
  </si>
  <si>
    <t>Minority Interests</t>
  </si>
  <si>
    <t>Long Term Borrowings</t>
  </si>
  <si>
    <t>Deferred  Taxation</t>
  </si>
  <si>
    <t>Net tangible assets per share (RM)</t>
  </si>
  <si>
    <t>Notes</t>
  </si>
  <si>
    <t>Accounting Policies</t>
  </si>
  <si>
    <t>The quarterly report of the PLB Group is prepared based on accounting policies and method of computation consistent</t>
  </si>
  <si>
    <t>with those applied by the Group in the annual report for the year ended 31 August 1999.</t>
  </si>
  <si>
    <t>Exceptional Items</t>
  </si>
  <si>
    <t>The exceptional item consist of gain on disposal of PLB-KH Bina Sdn Bhd's revalued leasehold land with building.</t>
  </si>
  <si>
    <t>Extraordinary Items</t>
  </si>
  <si>
    <t>Not applicable.</t>
  </si>
  <si>
    <t>The taxation is provided at statutory rate.</t>
  </si>
  <si>
    <t>Pre-acquisition Profit /(Loss)</t>
  </si>
  <si>
    <t xml:space="preserve">Profit on sale of investments and/or properties </t>
  </si>
  <si>
    <t xml:space="preserve">The disposal of investment and/or properties of the Group for the current financial year todate has been reported in </t>
  </si>
  <si>
    <t>quarterly report for the period ended 29 February 2000.</t>
  </si>
  <si>
    <t>Quoted Securities</t>
  </si>
  <si>
    <t>Changes in the composition of the Group</t>
  </si>
  <si>
    <t>The changes in the composition of the Group for the current financial year todate has been reported in quarterly</t>
  </si>
  <si>
    <t>report for the period ended 29 February 2000.</t>
  </si>
  <si>
    <t xml:space="preserve">Status of Corporate Proposals </t>
  </si>
  <si>
    <t>The following proposals have been announced by PLB on 8 December 1999 which is currently still pending:-</t>
  </si>
  <si>
    <t>a) bonus issue of up to a maximum of 28,714,667 new ordinary shares on the basis of  two (2) new ordinary shares for</t>
  </si>
  <si>
    <t>every three (3) existing ordinary shares held ("Bonus Issue"); and</t>
  </si>
  <si>
    <t>b) renounceable rights issue of up to a maximum of 21,536,000 new ordinary shares with up to a maximum of 21,536,000</t>
  </si>
  <si>
    <t>free detachable Warrants on the basis of one(1) new ordinary share together with one (1) free Warrants for every two (2)</t>
  </si>
  <si>
    <t>existing ordinary shares held at an issue price of RM1.70 per new ordinary shares ("Rights Issue");</t>
  </si>
  <si>
    <t>hereinafter refer to as the "Proposals".</t>
  </si>
  <si>
    <t>The Securities Commission ("SC") had approved the Proposals on 19 April 2000 whilst the shareholders of PLB had</t>
  </si>
  <si>
    <t xml:space="preserve">approved the approvals on 28 June 2000 in the Extraordinary General Meeting convened.  The exemptions from the Ministry </t>
  </si>
  <si>
    <t>of Finance for the Bonus Issue under Section 365 of the Company Act, 1965 was obtained on 3 May 2000.</t>
  </si>
  <si>
    <t xml:space="preserve">The Proposals are now pending the approvals of the Kuala Lumpur Stock Exchange for the admission of Warrants to the </t>
  </si>
  <si>
    <t>Officials List and the listing of and quotation for the Warrants, the new ordinary shares to be issued pursuant to the</t>
  </si>
  <si>
    <t xml:space="preserve">Proposals and the new ordinary shares to be issued upon exercise of the Warrants, the SC for the approval and </t>
  </si>
  <si>
    <t>registration of the Abridged Prospectus("AP") under the amended Securities Commission Act, 1993 and the Registrar of</t>
  </si>
  <si>
    <t>Companies for the registration of the AP under the Companies Act, 1965.</t>
  </si>
  <si>
    <t>Seasonal or Cyclical Factors</t>
  </si>
  <si>
    <t>In light of the current economic recovery and barring any unforeseen circumstances ,the PLB Group is optimistic that</t>
  </si>
  <si>
    <t>the Group shall enjoy continued growth in profits and turnover.</t>
  </si>
  <si>
    <t>Debt and Equity Securities</t>
  </si>
  <si>
    <t xml:space="preserve">The Company has implemented its Employee Share Options Scheme ("ESOS")by granting 3,073,000 Esos option on </t>
  </si>
  <si>
    <t>23/8/1999 .As at date of reporting, 436,000 of the Esos option shares have been exercised.</t>
  </si>
  <si>
    <t>Group Borrowings and Debt Securities</t>
  </si>
  <si>
    <t>Group</t>
  </si>
  <si>
    <t>Secured</t>
  </si>
  <si>
    <t>Unsecured</t>
  </si>
  <si>
    <t>S/Term</t>
  </si>
  <si>
    <t>L/Term</t>
  </si>
  <si>
    <t>As at</t>
  </si>
  <si>
    <t>Banker's acceptance</t>
  </si>
  <si>
    <t>Bank borrowings</t>
  </si>
  <si>
    <t>Hire purchases</t>
  </si>
  <si>
    <t>Revolving credits</t>
  </si>
  <si>
    <t>Term loans</t>
  </si>
  <si>
    <t xml:space="preserve">Contingent Liabilities </t>
  </si>
  <si>
    <t>Corporate guarantees extended to financial</t>
  </si>
  <si>
    <t xml:space="preserve"> instituitions for banking facilities granted to</t>
  </si>
  <si>
    <t xml:space="preserve"> subsidiary companies</t>
  </si>
  <si>
    <t>Corporate guarantees extended to third</t>
  </si>
  <si>
    <t xml:space="preserve"> parties for trade credit line granted to </t>
  </si>
  <si>
    <t>Off  Balance Sheet Financial Instruments</t>
  </si>
  <si>
    <r>
      <t xml:space="preserve">Material Litigation </t>
    </r>
    <r>
      <rPr>
        <b/>
        <sz val="10"/>
        <color indexed="10"/>
        <rFont val="Times New Roman"/>
        <family val="1"/>
      </rPr>
      <t xml:space="preserve"> </t>
    </r>
  </si>
  <si>
    <t>There are no material pending litigation as at the latest practicable date except for the followings:-</t>
  </si>
  <si>
    <t>(a) PLB vs Lean Seng</t>
  </si>
  <si>
    <t xml:space="preserve">There is a dispute between PLB and the vendors, Messrs Lee Chin Seng and Choo Cheng Sim, for the acquisition by PLB </t>
  </si>
  <si>
    <t>of the 51% issued and paid-up share capital of Lean Seng comprising of 255,000 ordinary shares for a cash consideration</t>
  </si>
  <si>
    <t xml:space="preserve">of RM4,500,000 vide a Share Sale Agreement dated 7 October 1997.  The dispute has not been resolved and PLB intends </t>
  </si>
  <si>
    <t>(b) Thermo-Plast Corporation Sdn Bhd ("TPC") vs PLB-KH</t>
  </si>
  <si>
    <t xml:space="preserve">TPC's petition for winding-up was fixed for hearing on 14 April 2000.  PLB-KH's notice of motion to strike out TPC's </t>
  </si>
  <si>
    <t>winding up petition was filed on 13 March 2000 (Notice of Motion) and also fixed for hearing on 14 April 2000.  On</t>
  </si>
  <si>
    <t xml:space="preserve">7 July 2000, the winding up petition filed by TPC against PLB-KH was withdrawn with no order as to costs and TPC </t>
  </si>
  <si>
    <t>agreed to replace the defective "Malpex Arcylic Roofing Sheets" to PLB-KH.  PLB-KH agreed to withdraw the Notice</t>
  </si>
  <si>
    <t>of Motion and agreed to pay RM13,995.00 within 14 days of PLB-KH receiving replacement of the "Malpex Arcylic</t>
  </si>
  <si>
    <t>Roofing Sheets" from TPC.  Upon completion of the above, neither party will have any claim on each other arising from</t>
  </si>
  <si>
    <t>these proceedings.  As at 21 July 2000, the above was duly complied with by both parties.</t>
  </si>
  <si>
    <t>(c) Penang High Court Suit No. 22-158-99 (MT 4) UCA Metal Marketing Sdn Bhd ("UCA") vs Lean Seng</t>
  </si>
  <si>
    <t>UCA have obtained judgement against Lean Seng on 27 August 1999 for an amount of RM368,134 and interest thereon</t>
  </si>
  <si>
    <t xml:space="preserve">being claim for goods sold and delivered.  The Directors of PLB are seeking the advice of their solicitors in view of </t>
  </si>
  <si>
    <t>unresolved dispute between PLB and Lean Seng as mentioned in (a) above.</t>
  </si>
  <si>
    <t>(d) PTL Gas System Sdn Bhd ("PTL") vs PLB-KH</t>
  </si>
  <si>
    <t>On 24 January 2000, a notice under Section 218 of  the Companies Act,1965 was served on PLB-KH by PTL's solicitors</t>
  </si>
  <si>
    <t>for failure by PLB-KH to pay an amount of RM482,445 being a claim in respect of building works done and services</t>
  </si>
  <si>
    <t>rendered.  PLB-KH's solicitors have replied stating that there is a back-to-back agreement and that the alleged amount</t>
  </si>
  <si>
    <t>is disputed and the notice is premature.  PTL's solicitors, Messrs Amin Tan &amp; Co., had, on 28 April 2000, confirmed that</t>
  </si>
  <si>
    <t>their client would not be pursuing with the winding-up petition against PLB-KH but would reserve their right to pursue</t>
  </si>
  <si>
    <t>(e) Penang High Court Civil Suit No. 22-746-99 Miw Yu Hock (t/a MIW Engineering) ("MIW") vs Gaintrend</t>
  </si>
  <si>
    <t>The sealed copy of the Writ of Summons dated 7 October 1999 was received by Gaintrend on 20 October 1999 for</t>
  </si>
  <si>
    <t>payment of a claim amounting to RM484,503 for subcontracting services.  Gaintrend have instructed its solicitors to</t>
  </si>
  <si>
    <t>file the Memorandum of Appearance.  MIW's application for summary judgement fixed for hearing on 13 April 2000</t>
  </si>
  <si>
    <t xml:space="preserve">(f) Penang High Court Civil No. MT3-22-885-99 Dijaya Ceil Sdn Bhd ("DJ") vs PLB-KH </t>
  </si>
  <si>
    <t>The Writ of Summons and the Statement of Claim was served on PLB-KH on 6 January 2000 for payment of a claim</t>
  </si>
  <si>
    <t>amounting to RM364,658 for goods sold and delivered.  PLB-KH has filed the Statement of Defence on 3 February</t>
  </si>
  <si>
    <t>(g) Penang High Court Civil Suit No. 22-387-1998 Dynabricks Sdn Bhd ("Dynabricks") vs (1) Pembinaan Pinang Dunia</t>
  </si>
  <si>
    <t>Sdn Bhd ("Pembinaan"), (2) Nurul Amin Bin Dato' Zachariah ("Second Defendant")</t>
  </si>
  <si>
    <t xml:space="preserve">Judgement for the sum of RM569,057 being a claim for goods sold and delivered was obtained on 19 November 1998.  </t>
  </si>
  <si>
    <t xml:space="preserve">Dynabricks had commenced with bankruptcy proceedings against the Second Defendant and order-in-terms of the </t>
  </si>
  <si>
    <t xml:space="preserve">application for substituted service of the Bankruptcy Notice ("BN") was granted 17 February 2000 and the same was </t>
  </si>
  <si>
    <t>advertised in The Star newspaper on 20 March 2000.  As the Second Defendant had not responded to the BN and had</t>
  </si>
  <si>
    <t>committed an act of bankruptcy, Dynabricks shall proceed with the filing of the creditor's petition.</t>
  </si>
  <si>
    <t>From the company search conducted on Pembinaan, the Official Receiver has been appointed as Liquidator of Pembinaan</t>
  </si>
  <si>
    <t>on 31 March 1999.  Dynabricks had, on 16 May 2000, instructed their solicitors to prepare the Proof of Debt Form for their</t>
  </si>
  <si>
    <t>director's affirmation and filing with the Official Assignee's office.</t>
  </si>
  <si>
    <t xml:space="preserve">Segmental Reporting </t>
  </si>
  <si>
    <t>As at 31/05/2000</t>
  </si>
  <si>
    <t>Turnover</t>
  </si>
  <si>
    <t>Profit/(Loss)</t>
  </si>
  <si>
    <t>Total assets</t>
  </si>
  <si>
    <t xml:space="preserve">before </t>
  </si>
  <si>
    <t>employed</t>
  </si>
  <si>
    <t>taxation</t>
  </si>
  <si>
    <t xml:space="preserve">    RM'000</t>
  </si>
  <si>
    <t>Investment holding</t>
  </si>
  <si>
    <t>Property letting</t>
  </si>
  <si>
    <t>Construction</t>
  </si>
  <si>
    <t>Manufacturing</t>
  </si>
  <si>
    <t>Property development</t>
  </si>
  <si>
    <t>E-Commerce business</t>
  </si>
  <si>
    <t>Associated companies</t>
  </si>
  <si>
    <t>Note:</t>
  </si>
  <si>
    <t>Turnover represents contract fees received and receivable, progress billings on development properties sold</t>
  </si>
  <si>
    <t xml:space="preserve">which reflects the stages of completion of contract and projects,invoiced value of goods sold and investment </t>
  </si>
  <si>
    <t>and rental income.</t>
  </si>
  <si>
    <t>Material Changes in the Quarterly Results As Compared with Preceding Quarter</t>
  </si>
  <si>
    <t>The Group recorded a  96% decrease in profit after taxation attributable to members of the company for the three months</t>
  </si>
  <si>
    <t>lower profit margin recorded.  In addition, the preceding quarter showed a better result mainly attributable to exceptional</t>
  </si>
  <si>
    <t>Review of Results</t>
  </si>
  <si>
    <t>PLB Group has recorded a group turnover and profit before tax of RM47.21 million and RM7.93 million respectively for the</t>
  </si>
  <si>
    <t>nine months period ended 31/05/2000.  This represents an increase of 55.96% and 7.56% in turnover and profit before</t>
  </si>
  <si>
    <t xml:space="preserve">taxation of group respectively as compared to the results of the six months period ended 28/02/2000.   The improvement </t>
  </si>
  <si>
    <t xml:space="preserve">was attributable to profit recognised on construction projects where the construction works were duly certified and </t>
  </si>
  <si>
    <t>captured as turnover  in current quarter.</t>
  </si>
  <si>
    <t>Prospects</t>
  </si>
  <si>
    <t>The Board of PLB Group is of the view that the anticipated fresh injection of funds arising from the corporate exercise</t>
  </si>
  <si>
    <t>(a)  Variation of Actual Profit from Forecast Profit</t>
  </si>
  <si>
    <t>(b)  Profit Guarantee</t>
  </si>
  <si>
    <t>Dividend</t>
  </si>
  <si>
    <t>The Board of Directors does not recommend any payment of interim dividend in respect of financial year ending 31 August</t>
  </si>
  <si>
    <t>2000.</t>
  </si>
  <si>
    <t>Disclosure in relation to internet-related business or e-commerce activities</t>
  </si>
  <si>
    <t>Status of Development of Online Educational Systems for PMR and SPM subjects.</t>
  </si>
  <si>
    <t>The management has chosen to develop PMR English as the first subject for the online education systems to test the</t>
  </si>
  <si>
    <t>market responses and it is currently under development.</t>
  </si>
  <si>
    <t>The following items associated with the online systems has been completed:</t>
  </si>
  <si>
    <t xml:space="preserve">       . Security login for multi-users to enable authorized subscribers to gain access to the systems</t>
  </si>
  <si>
    <t xml:space="preserve">       . Main web pages to greet the users</t>
  </si>
  <si>
    <t xml:space="preserve">       . One third of the total content for PMR English subject</t>
  </si>
  <si>
    <t xml:space="preserve">Presently, the partially completed subject is being tested online by in-house web specialists to simulate usage in real </t>
  </si>
  <si>
    <t>environment.  The entire subject materials are projected to be fully operational by mid August, 2000.</t>
  </si>
  <si>
    <t>to proceed by way of civil suit against the vendors, as advised by their solicitors.  Our solicitors have further advice that</t>
  </si>
  <si>
    <t>we have to issue a notice of demand to LSAG to terminate the Agreement prior to the filing of the writ of summons.  The</t>
  </si>
  <si>
    <t>draft notice of demand and writ of summons forwarded to us for approval have been returned to our solicitors for their</t>
  </si>
  <si>
    <t>further action.</t>
  </si>
  <si>
    <t>with other mode of legal proceedings.  However, PTL has again instructed their solicitors to file the summons at the Shah</t>
  </si>
  <si>
    <t>Alam Court to claim the balance sum of RM117,008.65 where the Plaintiff alleged that we have received the said sum from</t>
  </si>
  <si>
    <t>the main contractor.  The matter is fixed for mention on 27-07-2000 and we have on 11 July 2000 instructed our solicitors to</t>
  </si>
  <si>
    <t>file the Memorandum of Appearance on our behalf.</t>
  </si>
  <si>
    <t>was adjourned to 22 June 2000 to enable Gaintrend to file further affidavit in reply.   However, due to the short</t>
  </si>
  <si>
    <t>service of the MIW's affidavit on Gaintrend, the matter has been adjourned to 27 July 2000 for hearing.</t>
  </si>
  <si>
    <t>1999 and a copy was served to DJ on the same date.</t>
  </si>
  <si>
    <t>The Plaintiff has filed an application for Summary Judgment and the matter is fixed for hearing before the Senior</t>
  </si>
  <si>
    <t>Assistant Registrar on 3 August 2000.  Our solicitors will be raising a triable issue to set aside the Summary Judgment.</t>
  </si>
  <si>
    <t>period ended 31 May 2000 as compared to preceding quarter results.  This is mainly due to a lower turnover and a</t>
  </si>
  <si>
    <t>gains arising from disposal of revalued leasehold land and building of RM1.79 million owned by PLB-KH Bina Sdn Bhd</t>
  </si>
  <si>
    <t>and share in results of an associated company of RM0.37million.</t>
  </si>
  <si>
    <t>will enable the Group to undertake bigger and more profitable projects which require additional working capital.</t>
  </si>
  <si>
    <t>In addition, the Group can save on interest expense derived from the repayment of bank borrowings.</t>
  </si>
  <si>
    <t>To be the order winner and remain competitive in the global construction industry, PLB Group through its wholly-owned</t>
  </si>
  <si>
    <t>subsidiary PLB-KH Bina Sdn Bhd has recently launched the ISO9000 installation towards achieving certification.  This is</t>
  </si>
  <si>
    <t>quality management system.</t>
  </si>
  <si>
    <t>In addition, PLB Group is currently embarking on IT development to improve operation in the working environment and</t>
  </si>
  <si>
    <t>has allocated RM1.0 million in the implementation of Office Automation System (OAS) .  The deployment of  IT will</t>
  </si>
  <si>
    <t xml:space="preserve">facilitate an efficient and effective construction process and delivery system through cost savings, faster response time </t>
  </si>
  <si>
    <t>and higher productivity.</t>
  </si>
  <si>
    <t xml:space="preserve">testimony to the Group's concerted efforts to deliver consistent and excellent of service to our customers through our </t>
  </si>
</sst>
</file>

<file path=xl/styles.xml><?xml version="1.0" encoding="utf-8"?>
<styleSheet xmlns="http://schemas.openxmlformats.org/spreadsheetml/2006/main">
  <numFmts count="1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_-;\-* #,##0.0_-;_-* &quot;-&quot;??_-;_-@_-"/>
    <numFmt numFmtId="171" formatCode="_-* #,##0.00_-;\-* #,##0.00_-;_-* &quot;-&quot;??_-;_-@_-"/>
    <numFmt numFmtId="172" formatCode="_-* #,##0_-;\-* #,##0_-;_-* &quot;-&quot;??_-;_-@_-"/>
    <numFmt numFmtId="173" formatCode="_-* #,##0.0000_-;\-* #,##0.0000_-;_-* &quot;-&quot;??_-;_-@_-"/>
    <numFmt numFmtId="174" formatCode="_(* #,##0_);_(* \(#,##0\);_(* &quot;-&quot;??_);_(@_)"/>
  </numFmts>
  <fonts count="1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15" fontId="4" fillId="2" borderId="0" xfId="0" applyNumberFormat="1" applyFont="1" applyFill="1" applyAlignment="1">
      <alignment horizontal="center"/>
    </xf>
    <xf numFmtId="37" fontId="3" fillId="2" borderId="0" xfId="15" applyNumberFormat="1" applyFont="1" applyFill="1" applyAlignment="1">
      <alignment/>
    </xf>
    <xf numFmtId="37" fontId="3" fillId="2" borderId="1" xfId="15" applyNumberFormat="1" applyFont="1" applyFill="1" applyBorder="1" applyAlignment="1">
      <alignment/>
    </xf>
    <xf numFmtId="170" fontId="3" fillId="2" borderId="1" xfId="15" applyNumberFormat="1" applyFont="1" applyFill="1" applyBorder="1" applyAlignment="1">
      <alignment horizontal="center"/>
    </xf>
    <xf numFmtId="43" fontId="3" fillId="2" borderId="1" xfId="15" applyFont="1" applyFill="1" applyBorder="1" applyAlignment="1">
      <alignment horizontal="center"/>
    </xf>
    <xf numFmtId="37" fontId="3" fillId="2" borderId="0" xfId="15" applyNumberFormat="1" applyFont="1" applyFill="1" applyAlignment="1">
      <alignment horizontal="center"/>
    </xf>
    <xf numFmtId="43" fontId="3" fillId="2" borderId="0" xfId="15" applyFont="1" applyFill="1" applyAlignment="1">
      <alignment horizontal="center"/>
    </xf>
    <xf numFmtId="37" fontId="3" fillId="2" borderId="1" xfId="15" applyNumberFormat="1" applyFont="1" applyFill="1" applyBorder="1" applyAlignment="1">
      <alignment horizontal="center"/>
    </xf>
    <xf numFmtId="37" fontId="3" fillId="2" borderId="0" xfId="15" applyNumberFormat="1" applyFont="1" applyFill="1" applyBorder="1" applyAlignment="1">
      <alignment/>
    </xf>
    <xf numFmtId="37" fontId="3" fillId="2" borderId="0" xfId="15" applyNumberFormat="1" applyFont="1" applyFill="1" applyBorder="1" applyAlignment="1">
      <alignment horizontal="center"/>
    </xf>
    <xf numFmtId="43" fontId="3" fillId="2" borderId="0" xfId="15" applyFont="1" applyFill="1" applyBorder="1" applyAlignment="1">
      <alignment horizontal="center"/>
    </xf>
    <xf numFmtId="172" fontId="3" fillId="2" borderId="0" xfId="15" applyNumberFormat="1" applyFont="1" applyFill="1" applyAlignment="1">
      <alignment/>
    </xf>
    <xf numFmtId="37" fontId="3" fillId="2" borderId="2" xfId="15" applyNumberFormat="1" applyFont="1" applyFill="1" applyBorder="1" applyAlignment="1">
      <alignment/>
    </xf>
    <xf numFmtId="37" fontId="3" fillId="2" borderId="2" xfId="15" applyNumberFormat="1" applyFont="1" applyFill="1" applyBorder="1" applyAlignment="1">
      <alignment horizontal="center"/>
    </xf>
    <xf numFmtId="43" fontId="3" fillId="2" borderId="2" xfId="15" applyFont="1" applyFill="1" applyBorder="1" applyAlignment="1">
      <alignment horizontal="center"/>
    </xf>
    <xf numFmtId="37" fontId="3" fillId="2" borderId="3" xfId="15" applyNumberFormat="1" applyFont="1" applyFill="1" applyBorder="1" applyAlignment="1">
      <alignment/>
    </xf>
    <xf numFmtId="37" fontId="3" fillId="2" borderId="3" xfId="15" applyNumberFormat="1" applyFont="1" applyFill="1" applyBorder="1" applyAlignment="1">
      <alignment horizontal="center"/>
    </xf>
    <xf numFmtId="43" fontId="3" fillId="2" borderId="3" xfId="15" applyFont="1" applyFill="1" applyBorder="1" applyAlignment="1">
      <alignment horizontal="center"/>
    </xf>
    <xf numFmtId="37" fontId="3" fillId="2" borderId="4" xfId="15" applyNumberFormat="1" applyFont="1" applyFill="1" applyBorder="1" applyAlignment="1">
      <alignment/>
    </xf>
    <xf numFmtId="37" fontId="3" fillId="2" borderId="4" xfId="15" applyNumberFormat="1" applyFont="1" applyFill="1" applyBorder="1" applyAlignment="1">
      <alignment horizontal="center"/>
    </xf>
    <xf numFmtId="43" fontId="3" fillId="2" borderId="4" xfId="15" applyFont="1" applyFill="1" applyBorder="1" applyAlignment="1">
      <alignment horizontal="center"/>
    </xf>
    <xf numFmtId="39" fontId="3" fillId="2" borderId="0" xfId="15" applyNumberFormat="1" applyFont="1" applyFill="1" applyAlignment="1">
      <alignment/>
    </xf>
    <xf numFmtId="39" fontId="3" fillId="2" borderId="0" xfId="15" applyNumberFormat="1" applyFont="1" applyFill="1" applyAlignment="1">
      <alignment horizontal="center"/>
    </xf>
    <xf numFmtId="170" fontId="3" fillId="2" borderId="0" xfId="15" applyNumberFormat="1" applyFont="1" applyFill="1" applyAlignment="1">
      <alignment/>
    </xf>
    <xf numFmtId="172" fontId="2" fillId="2" borderId="0" xfId="15" applyNumberFormat="1" applyFont="1" applyFill="1" applyAlignment="1">
      <alignment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center"/>
    </xf>
    <xf numFmtId="172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center"/>
    </xf>
    <xf numFmtId="173" fontId="2" fillId="2" borderId="0" xfId="0" applyNumberFormat="1" applyFont="1" applyFill="1" applyAlignment="1">
      <alignment/>
    </xf>
    <xf numFmtId="15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72" fontId="2" fillId="2" borderId="5" xfId="15" applyNumberFormat="1" applyFont="1" applyFill="1" applyBorder="1" applyAlignment="1">
      <alignment/>
    </xf>
    <xf numFmtId="172" fontId="2" fillId="2" borderId="6" xfId="15" applyNumberFormat="1" applyFont="1" applyFill="1" applyBorder="1" applyAlignment="1">
      <alignment/>
    </xf>
    <xf numFmtId="174" fontId="2" fillId="2" borderId="7" xfId="15" applyNumberFormat="1" applyFont="1" applyFill="1" applyBorder="1" applyAlignment="1">
      <alignment/>
    </xf>
    <xf numFmtId="172" fontId="2" fillId="2" borderId="7" xfId="15" applyNumberFormat="1" applyFont="1" applyFill="1" applyBorder="1" applyAlignment="1">
      <alignment/>
    </xf>
    <xf numFmtId="172" fontId="2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74" fontId="2" fillId="2" borderId="0" xfId="15" applyNumberFormat="1" applyFont="1" applyFill="1" applyAlignment="1">
      <alignment/>
    </xf>
    <xf numFmtId="172" fontId="2" fillId="2" borderId="2" xfId="15" applyNumberFormat="1" applyFont="1" applyFill="1" applyBorder="1" applyAlignment="1">
      <alignment/>
    </xf>
    <xf numFmtId="174" fontId="2" fillId="2" borderId="4" xfId="15" applyNumberFormat="1" applyFont="1" applyFill="1" applyBorder="1" applyAlignment="1">
      <alignment/>
    </xf>
    <xf numFmtId="172" fontId="2" fillId="2" borderId="4" xfId="15" applyNumberFormat="1" applyFont="1" applyFill="1" applyBorder="1" applyAlignment="1">
      <alignment/>
    </xf>
    <xf numFmtId="174" fontId="2" fillId="2" borderId="0" xfId="15" applyNumberFormat="1" applyFont="1" applyFill="1" applyBorder="1" applyAlignment="1">
      <alignment/>
    </xf>
    <xf numFmtId="37" fontId="2" fillId="2" borderId="2" xfId="15" applyNumberFormat="1" applyFont="1" applyFill="1" applyBorder="1" applyAlignment="1">
      <alignment/>
    </xf>
    <xf numFmtId="37" fontId="2" fillId="2" borderId="0" xfId="0" applyNumberFormat="1" applyFont="1" applyFill="1" applyAlignment="1">
      <alignment/>
    </xf>
    <xf numFmtId="37" fontId="2" fillId="2" borderId="3" xfId="15" applyNumberFormat="1" applyFont="1" applyFill="1" applyBorder="1" applyAlignment="1">
      <alignment/>
    </xf>
    <xf numFmtId="172" fontId="2" fillId="2" borderId="3" xfId="15" applyNumberFormat="1" applyFont="1" applyFill="1" applyBorder="1" applyAlignment="1">
      <alignment/>
    </xf>
    <xf numFmtId="37" fontId="2" fillId="2" borderId="0" xfId="15" applyNumberFormat="1" applyFont="1" applyFill="1" applyBorder="1" applyAlignment="1">
      <alignment/>
    </xf>
    <xf numFmtId="172" fontId="2" fillId="2" borderId="8" xfId="15" applyNumberFormat="1" applyFont="1" applyFill="1" applyBorder="1" applyAlignment="1">
      <alignment/>
    </xf>
    <xf numFmtId="43" fontId="2" fillId="2" borderId="0" xfId="15" applyNumberFormat="1" applyFont="1" applyFill="1" applyAlignment="1">
      <alignment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left"/>
    </xf>
    <xf numFmtId="14" fontId="9" fillId="2" borderId="6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left"/>
    </xf>
    <xf numFmtId="172" fontId="8" fillId="2" borderId="6" xfId="15" applyNumberFormat="1" applyFont="1" applyFill="1" applyBorder="1" applyAlignment="1">
      <alignment horizontal="center"/>
    </xf>
    <xf numFmtId="172" fontId="8" fillId="2" borderId="6" xfId="15" applyNumberFormat="1" applyFont="1" applyFill="1" applyBorder="1" applyAlignment="1">
      <alignment/>
    </xf>
    <xf numFmtId="172" fontId="8" fillId="2" borderId="11" xfId="15" applyNumberFormat="1" applyFont="1" applyFill="1" applyBorder="1" applyAlignment="1">
      <alignment horizontal="center"/>
    </xf>
    <xf numFmtId="172" fontId="8" fillId="2" borderId="12" xfId="15" applyNumberFormat="1" applyFont="1" applyFill="1" applyBorder="1" applyAlignment="1">
      <alignment horizontal="center"/>
    </xf>
    <xf numFmtId="172" fontId="8" fillId="2" borderId="0" xfId="15" applyNumberFormat="1" applyFont="1" applyFill="1" applyBorder="1" applyAlignment="1">
      <alignment horizontal="center"/>
    </xf>
    <xf numFmtId="172" fontId="8" fillId="2" borderId="12" xfId="15" applyNumberFormat="1" applyFont="1" applyFill="1" applyBorder="1" applyAlignment="1">
      <alignment horizontal="left"/>
    </xf>
    <xf numFmtId="172" fontId="8" fillId="2" borderId="14" xfId="15" applyNumberFormat="1" applyFont="1" applyFill="1" applyBorder="1" applyAlignment="1">
      <alignment horizontal="left"/>
    </xf>
    <xf numFmtId="172" fontId="8" fillId="2" borderId="7" xfId="15" applyNumberFormat="1" applyFont="1" applyFill="1" applyBorder="1" applyAlignment="1">
      <alignment horizontal="center"/>
    </xf>
    <xf numFmtId="172" fontId="8" fillId="2" borderId="7" xfId="15" applyNumberFormat="1" applyFont="1" applyFill="1" applyBorder="1" applyAlignment="1">
      <alignment/>
    </xf>
    <xf numFmtId="172" fontId="8" fillId="2" borderId="0" xfId="15" applyNumberFormat="1" applyFont="1" applyFill="1" applyAlignment="1">
      <alignment horizontal="left"/>
    </xf>
    <xf numFmtId="172" fontId="13" fillId="2" borderId="0" xfId="0" applyNumberFormat="1" applyFont="1" applyFill="1" applyAlignment="1">
      <alignment horizontal="left"/>
    </xf>
    <xf numFmtId="17" fontId="9" fillId="2" borderId="0" xfId="0" applyNumberFormat="1" applyFont="1" applyFill="1" applyAlignment="1">
      <alignment horizontal="left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horizontal="left"/>
    </xf>
    <xf numFmtId="172" fontId="8" fillId="2" borderId="0" xfId="15" applyNumberFormat="1" applyFont="1" applyFill="1" applyAlignment="1">
      <alignment horizontal="right"/>
    </xf>
    <xf numFmtId="37" fontId="8" fillId="2" borderId="0" xfId="15" applyNumberFormat="1" applyFont="1" applyFill="1" applyBorder="1" applyAlignment="1">
      <alignment horizontal="right"/>
    </xf>
    <xf numFmtId="37" fontId="8" fillId="2" borderId="0" xfId="15" applyNumberFormat="1" applyFont="1" applyFill="1" applyAlignment="1">
      <alignment horizontal="right"/>
    </xf>
    <xf numFmtId="172" fontId="8" fillId="2" borderId="8" xfId="15" applyNumberFormat="1" applyFont="1" applyFill="1" applyBorder="1" applyAlignment="1">
      <alignment horizontal="left"/>
    </xf>
    <xf numFmtId="0" fontId="15" fillId="2" borderId="0" xfId="0" applyFont="1" applyFill="1" applyAlignment="1">
      <alignment/>
    </xf>
    <xf numFmtId="0" fontId="8" fillId="2" borderId="0" xfId="0" applyFont="1" applyFill="1" applyAlignment="1" quotePrefix="1">
      <alignment horizontal="left"/>
    </xf>
    <xf numFmtId="37" fontId="8" fillId="2" borderId="0" xfId="15" applyNumberFormat="1" applyFont="1" applyFill="1" applyBorder="1" applyAlignment="1">
      <alignment horizontal="right"/>
    </xf>
    <xf numFmtId="37" fontId="8" fillId="2" borderId="0" xfId="15" applyNumberFormat="1" applyFont="1" applyFill="1" applyAlignment="1">
      <alignment horizontal="right"/>
    </xf>
    <xf numFmtId="41" fontId="8" fillId="2" borderId="8" xfId="15" applyNumberFormat="1" applyFont="1" applyFill="1" applyBorder="1" applyAlignment="1">
      <alignment horizontal="right"/>
    </xf>
    <xf numFmtId="37" fontId="8" fillId="2" borderId="8" xfId="15" applyNumberFormat="1" applyFont="1" applyFill="1" applyBorder="1" applyAlignment="1">
      <alignment horizontal="right"/>
    </xf>
    <xf numFmtId="43" fontId="8" fillId="2" borderId="0" xfId="15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172" fontId="13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72" fontId="12" fillId="2" borderId="0" xfId="0" applyNumberFormat="1" applyFont="1" applyFill="1" applyAlignment="1">
      <alignment horizontal="center"/>
    </xf>
    <xf numFmtId="172" fontId="13" fillId="2" borderId="0" xfId="15" applyNumberFormat="1" applyFont="1" applyFill="1" applyAlignment="1">
      <alignment horizontal="center"/>
    </xf>
    <xf numFmtId="172" fontId="13" fillId="2" borderId="2" xfId="15" applyNumberFormat="1" applyFont="1" applyFill="1" applyBorder="1" applyAlignment="1">
      <alignment horizontal="center"/>
    </xf>
    <xf numFmtId="172" fontId="8" fillId="2" borderId="13" xfId="15" applyNumberFormat="1" applyFont="1" applyFill="1" applyBorder="1" applyAlignment="1">
      <alignment horizontal="center"/>
    </xf>
    <xf numFmtId="172" fontId="8" fillId="2" borderId="14" xfId="15" applyNumberFormat="1" applyFont="1" applyFill="1" applyBorder="1" applyAlignment="1">
      <alignment horizontal="center"/>
    </xf>
    <xf numFmtId="172" fontId="8" fillId="2" borderId="11" xfId="15" applyNumberFormat="1" applyFont="1" applyFill="1" applyBorder="1" applyAlignment="1">
      <alignment horizontal="center"/>
    </xf>
    <xf numFmtId="172" fontId="8" fillId="2" borderId="12" xfId="15" applyNumberFormat="1" applyFont="1" applyFill="1" applyBorder="1" applyAlignment="1">
      <alignment horizontal="center"/>
    </xf>
    <xf numFmtId="172" fontId="8" fillId="2" borderId="16" xfId="15" applyNumberFormat="1" applyFont="1" applyFill="1" applyBorder="1" applyAlignment="1">
      <alignment horizontal="center"/>
    </xf>
    <xf numFmtId="172" fontId="8" fillId="2" borderId="17" xfId="15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14" fontId="9" fillId="2" borderId="11" xfId="0" applyNumberFormat="1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ENPY\MIMB\3ndQrpt_3105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ENPY\CONSOL\3105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_s"/>
      <sheetName val="BS"/>
      <sheetName val="NOTES "/>
      <sheetName val="PKH-Proforma"/>
      <sheetName val="Wkg-MI"/>
      <sheetName val="TURNOVER"/>
      <sheetName val="SEGMENTAL"/>
      <sheetName val="INT"/>
      <sheetName val="Borrowings"/>
      <sheetName val="CG"/>
      <sheetName val="eps"/>
      <sheetName val="Analysis To&amp;Projcost"/>
      <sheetName val="Sheet1"/>
    </sheetNames>
    <sheetDataSet>
      <sheetData sheetId="5">
        <row r="15">
          <cell r="V15">
            <v>47213996.28</v>
          </cell>
        </row>
        <row r="29">
          <cell r="V29">
            <v>16941.197630000002</v>
          </cell>
        </row>
        <row r="62">
          <cell r="E62">
            <v>-1791169</v>
          </cell>
        </row>
        <row r="63">
          <cell r="V63">
            <v>235368.46999999997</v>
          </cell>
        </row>
        <row r="82">
          <cell r="V82">
            <v>168.6465</v>
          </cell>
        </row>
      </sheetData>
      <sheetData sheetId="6">
        <row r="11">
          <cell r="W11">
            <v>0</v>
          </cell>
        </row>
        <row r="12">
          <cell r="W12">
            <v>672784</v>
          </cell>
        </row>
        <row r="13">
          <cell r="W13">
            <v>46541212.28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28">
          <cell r="W28">
            <v>-1218098</v>
          </cell>
        </row>
        <row r="29">
          <cell r="W29">
            <v>24813.577530545823</v>
          </cell>
        </row>
        <row r="30">
          <cell r="W30">
            <v>9888737.422469454</v>
          </cell>
        </row>
        <row r="31">
          <cell r="W31">
            <v>-979421</v>
          </cell>
        </row>
        <row r="32">
          <cell r="W32">
            <v>-152910</v>
          </cell>
        </row>
        <row r="33">
          <cell r="W33">
            <v>370928</v>
          </cell>
        </row>
        <row r="34">
          <cell r="W34">
            <v>0</v>
          </cell>
        </row>
        <row r="53">
          <cell r="W53">
            <v>3340136</v>
          </cell>
        </row>
        <row r="54">
          <cell r="W54">
            <v>16626429.894816548</v>
          </cell>
        </row>
        <row r="55">
          <cell r="W55">
            <v>114327223.10518345</v>
          </cell>
        </row>
        <row r="56">
          <cell r="W56">
            <v>6389499</v>
          </cell>
        </row>
        <row r="57">
          <cell r="W57">
            <v>13508885</v>
          </cell>
        </row>
        <row r="58">
          <cell r="W58">
            <v>153318</v>
          </cell>
        </row>
        <row r="59">
          <cell r="W59">
            <v>219284</v>
          </cell>
        </row>
      </sheetData>
      <sheetData sheetId="7">
        <row r="53">
          <cell r="D53">
            <v>1779.20284</v>
          </cell>
          <cell r="H53">
            <v>-618.0179599999999</v>
          </cell>
        </row>
        <row r="54">
          <cell r="D54">
            <v>2394.56236</v>
          </cell>
          <cell r="H54">
            <v>-783.7725099999998</v>
          </cell>
        </row>
        <row r="56">
          <cell r="D56">
            <v>9945.887499999997</v>
          </cell>
          <cell r="H56">
            <v>1958.9287699999968</v>
          </cell>
        </row>
        <row r="59">
          <cell r="D59">
            <v>370.928</v>
          </cell>
          <cell r="H59">
            <v>0.8120000000000118</v>
          </cell>
        </row>
        <row r="62">
          <cell r="D62">
            <v>-2221.534084</v>
          </cell>
          <cell r="H62">
            <v>-156.2260839999999</v>
          </cell>
        </row>
        <row r="63">
          <cell r="D63">
            <v>115.698376</v>
          </cell>
          <cell r="H63">
            <v>-177.095624</v>
          </cell>
        </row>
      </sheetData>
      <sheetData sheetId="8">
        <row r="7">
          <cell r="U7">
            <v>6612000</v>
          </cell>
        </row>
        <row r="8">
          <cell r="U8">
            <v>18826381.57</v>
          </cell>
        </row>
        <row r="9">
          <cell r="U9">
            <v>1889200.16</v>
          </cell>
        </row>
        <row r="10">
          <cell r="U10">
            <v>5696299</v>
          </cell>
        </row>
        <row r="11">
          <cell r="U11">
            <v>954052</v>
          </cell>
        </row>
        <row r="16">
          <cell r="U16">
            <v>6612000</v>
          </cell>
        </row>
        <row r="17">
          <cell r="U17">
            <v>18826381.57</v>
          </cell>
        </row>
        <row r="18">
          <cell r="U18">
            <v>5696299</v>
          </cell>
        </row>
        <row r="19">
          <cell r="U19">
            <v>1250976.68</v>
          </cell>
        </row>
        <row r="20">
          <cell r="U20">
            <v>298750</v>
          </cell>
        </row>
        <row r="25">
          <cell r="U25">
            <v>638223.48</v>
          </cell>
        </row>
        <row r="26">
          <cell r="U26">
            <v>655302</v>
          </cell>
        </row>
      </sheetData>
      <sheetData sheetId="9">
        <row r="13">
          <cell r="G13">
            <v>272830.4</v>
          </cell>
        </row>
        <row r="34">
          <cell r="G34">
            <v>37710889.28</v>
          </cell>
        </row>
        <row r="56">
          <cell r="G56">
            <v>305383.99</v>
          </cell>
        </row>
      </sheetData>
      <sheetData sheetId="10">
        <row r="17">
          <cell r="D17">
            <v>0.1452492304335425</v>
          </cell>
        </row>
        <row r="46">
          <cell r="E46">
            <v>0.14315046530719822</v>
          </cell>
        </row>
        <row r="51">
          <cell r="D51">
            <v>0.005609881562042363</v>
          </cell>
        </row>
        <row r="67">
          <cell r="D67">
            <v>0.005528652154466324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BSB"/>
      <sheetName val="Group"/>
      <sheetName val="workings"/>
      <sheetName val="Forenotes"/>
      <sheetName val="CPL"/>
      <sheetName val="CBS"/>
      <sheetName val="prf_guar"/>
      <sheetName val="JOURNAL"/>
      <sheetName val="APPX I"/>
      <sheetName val="APPX II"/>
      <sheetName val="RP bf"/>
      <sheetName val="Wkg-MI"/>
      <sheetName val="INTERCO-MAY2K"/>
      <sheetName val="ANS_Queries"/>
      <sheetName val="TAX"/>
    </sheetNames>
    <sheetDataSet>
      <sheetData sheetId="5">
        <row r="25">
          <cell r="AB25">
            <v>29595667</v>
          </cell>
        </row>
        <row r="29">
          <cell r="AB29">
            <v>66387124.75</v>
          </cell>
        </row>
        <row r="53">
          <cell r="AB53">
            <v>8586659.15</v>
          </cell>
        </row>
        <row r="71">
          <cell r="AB71">
            <v>32684406.57</v>
          </cell>
        </row>
        <row r="72">
          <cell r="AB72">
            <v>3739037.4440000006</v>
          </cell>
        </row>
        <row r="141">
          <cell r="AB141">
            <v>1293525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75" zoomScaleNormal="75" workbookViewId="0" topLeftCell="A1">
      <selection activeCell="B40" sqref="B40"/>
    </sheetView>
  </sheetViews>
  <sheetFormatPr defaultColWidth="9.140625" defaultRowHeight="12.75"/>
  <cols>
    <col min="1" max="1" width="5.00390625" style="2" customWidth="1"/>
    <col min="2" max="2" width="35.28125" style="2" customWidth="1"/>
    <col min="3" max="3" width="15.28125" style="2" customWidth="1"/>
    <col min="4" max="4" width="1.421875" style="2" customWidth="1"/>
    <col min="5" max="5" width="18.28125" style="2" customWidth="1"/>
    <col min="6" max="6" width="2.28125" style="2" customWidth="1"/>
    <col min="7" max="7" width="15.8515625" style="2" customWidth="1"/>
    <col min="8" max="8" width="1.7109375" style="2" customWidth="1"/>
    <col min="9" max="9" width="15.57421875" style="2" customWidth="1"/>
    <col min="10" max="16384" width="9.140625" style="2" customWidth="1"/>
  </cols>
  <sheetData>
    <row r="1" s="1" customFormat="1" ht="12">
      <c r="A1" s="1" t="s">
        <v>0</v>
      </c>
    </row>
    <row r="2" s="1" customFormat="1" ht="9.75" customHeight="1"/>
    <row r="3" s="1" customFormat="1" ht="12">
      <c r="A3" s="1" t="s">
        <v>1</v>
      </c>
    </row>
    <row r="5" spans="1:2" ht="12">
      <c r="A5" s="1" t="s">
        <v>2</v>
      </c>
      <c r="B5" s="3"/>
    </row>
    <row r="6" spans="3:9" s="4" customFormat="1" ht="11.25">
      <c r="C6" s="5" t="s">
        <v>3</v>
      </c>
      <c r="D6" s="5"/>
      <c r="E6" s="5"/>
      <c r="F6" s="5"/>
      <c r="G6" s="5" t="s">
        <v>4</v>
      </c>
      <c r="H6" s="5"/>
      <c r="I6" s="5"/>
    </row>
    <row r="7" spans="3:9" s="4" customFormat="1" ht="11.25">
      <c r="C7" s="6" t="s">
        <v>5</v>
      </c>
      <c r="D7" s="6"/>
      <c r="E7" s="6" t="s">
        <v>6</v>
      </c>
      <c r="F7" s="6"/>
      <c r="G7" s="6" t="s">
        <v>7</v>
      </c>
      <c r="H7" s="6"/>
      <c r="I7" s="6" t="s">
        <v>6</v>
      </c>
    </row>
    <row r="8" spans="3:9" s="4" customFormat="1" ht="11.25">
      <c r="C8" s="6" t="s">
        <v>8</v>
      </c>
      <c r="D8" s="6"/>
      <c r="E8" s="6" t="s">
        <v>9</v>
      </c>
      <c r="F8" s="6"/>
      <c r="G8" s="6" t="s">
        <v>8</v>
      </c>
      <c r="H8" s="6"/>
      <c r="I8" s="6" t="s">
        <v>9</v>
      </c>
    </row>
    <row r="9" spans="3:9" s="4" customFormat="1" ht="11.25">
      <c r="C9" s="6" t="s">
        <v>10</v>
      </c>
      <c r="D9" s="6"/>
      <c r="E9" s="6" t="s">
        <v>10</v>
      </c>
      <c r="F9" s="6"/>
      <c r="G9" s="6" t="s">
        <v>11</v>
      </c>
      <c r="H9" s="6"/>
      <c r="I9" s="6" t="s">
        <v>12</v>
      </c>
    </row>
    <row r="10" spans="3:9" s="4" customFormat="1" ht="11.25">
      <c r="C10" s="7">
        <v>36677</v>
      </c>
      <c r="D10" s="6"/>
      <c r="E10" s="7">
        <v>36311</v>
      </c>
      <c r="F10" s="6"/>
      <c r="G10" s="7">
        <v>36677</v>
      </c>
      <c r="H10" s="6"/>
      <c r="I10" s="7">
        <v>36311</v>
      </c>
    </row>
    <row r="11" spans="3:9" s="4" customFormat="1" ht="11.25">
      <c r="C11" s="6" t="s">
        <v>13</v>
      </c>
      <c r="D11" s="6"/>
      <c r="E11" s="6" t="s">
        <v>13</v>
      </c>
      <c r="F11" s="6"/>
      <c r="G11" s="6" t="s">
        <v>13</v>
      </c>
      <c r="H11" s="6"/>
      <c r="I11" s="6" t="s">
        <v>13</v>
      </c>
    </row>
    <row r="12" spans="3:9" s="4" customFormat="1" ht="11.25">
      <c r="C12" s="8"/>
      <c r="D12" s="8"/>
      <c r="E12" s="8"/>
      <c r="F12" s="8"/>
      <c r="G12" s="8"/>
      <c r="H12" s="8"/>
      <c r="I12" s="8"/>
    </row>
    <row r="13" spans="1:9" s="4" customFormat="1" ht="12" thickBot="1">
      <c r="A13" s="4" t="s">
        <v>14</v>
      </c>
      <c r="B13" s="4" t="s">
        <v>15</v>
      </c>
      <c r="C13" s="9">
        <f>+'[1]TURNOVER'!V29</f>
        <v>16941.197630000002</v>
      </c>
      <c r="D13" s="8"/>
      <c r="E13" s="10" t="s">
        <v>16</v>
      </c>
      <c r="F13" s="8"/>
      <c r="G13" s="9">
        <f>+'[1]TURNOVER'!V15/1000</f>
        <v>47213.99628</v>
      </c>
      <c r="H13" s="8"/>
      <c r="I13" s="11">
        <v>0</v>
      </c>
    </row>
    <row r="14" spans="3:9" s="4" customFormat="1" ht="11.25">
      <c r="C14" s="8"/>
      <c r="D14" s="8"/>
      <c r="E14" s="12"/>
      <c r="F14" s="8"/>
      <c r="G14" s="8"/>
      <c r="H14" s="8"/>
      <c r="I14" s="13"/>
    </row>
    <row r="15" spans="1:9" s="4" customFormat="1" ht="12" thickBot="1">
      <c r="A15" s="4" t="s">
        <v>17</v>
      </c>
      <c r="B15" s="4" t="s">
        <v>18</v>
      </c>
      <c r="C15" s="14" t="s">
        <v>16</v>
      </c>
      <c r="D15" s="8"/>
      <c r="E15" s="14" t="s">
        <v>16</v>
      </c>
      <c r="F15" s="8"/>
      <c r="G15" s="14" t="s">
        <v>16</v>
      </c>
      <c r="H15" s="12"/>
      <c r="I15" s="11">
        <v>0</v>
      </c>
    </row>
    <row r="16" spans="3:9" s="4" customFormat="1" ht="11.25">
      <c r="C16" s="8"/>
      <c r="D16" s="8"/>
      <c r="E16" s="12"/>
      <c r="F16" s="8"/>
      <c r="G16" s="8"/>
      <c r="H16" s="8"/>
      <c r="I16" s="13"/>
    </row>
    <row r="17" spans="1:9" s="4" customFormat="1" ht="12" thickBot="1">
      <c r="A17" s="4" t="s">
        <v>19</v>
      </c>
      <c r="B17" s="4" t="s">
        <v>20</v>
      </c>
      <c r="C17" s="9">
        <f>+'[1]TURNOVER'!V82</f>
        <v>168.6465</v>
      </c>
      <c r="D17" s="8"/>
      <c r="E17" s="14" t="s">
        <v>16</v>
      </c>
      <c r="F17" s="8"/>
      <c r="G17" s="9">
        <f>+'[1]TURNOVER'!V63/1000</f>
        <v>235.36846999999997</v>
      </c>
      <c r="H17" s="8"/>
      <c r="I17" s="11">
        <v>0</v>
      </c>
    </row>
    <row r="18" spans="3:9" s="4" customFormat="1" ht="11.25">
      <c r="C18" s="15"/>
      <c r="D18" s="15"/>
      <c r="E18" s="16"/>
      <c r="F18" s="15"/>
      <c r="G18" s="15"/>
      <c r="H18" s="15"/>
      <c r="I18" s="17"/>
    </row>
    <row r="19" spans="3:9" s="4" customFormat="1" ht="11.25">
      <c r="C19" s="15"/>
      <c r="D19" s="15"/>
      <c r="E19" s="16"/>
      <c r="F19" s="15"/>
      <c r="G19" s="15"/>
      <c r="H19" s="15"/>
      <c r="I19" s="17"/>
    </row>
    <row r="20" spans="3:9" s="4" customFormat="1" ht="11.25">
      <c r="C20" s="8"/>
      <c r="D20" s="8"/>
      <c r="E20" s="12"/>
      <c r="F20" s="8"/>
      <c r="G20" s="8"/>
      <c r="H20" s="8"/>
      <c r="I20" s="13"/>
    </row>
    <row r="21" spans="1:9" s="4" customFormat="1" ht="11.25">
      <c r="A21" s="4" t="s">
        <v>21</v>
      </c>
      <c r="B21" s="4" t="s">
        <v>22</v>
      </c>
      <c r="C21" s="8">
        <f>+'[1]INT'!H56</f>
        <v>1958.9287699999968</v>
      </c>
      <c r="D21" s="8"/>
      <c r="E21" s="12" t="s">
        <v>16</v>
      </c>
      <c r="F21" s="8"/>
      <c r="G21" s="8">
        <f>+'[1]INT'!D56</f>
        <v>9945.887499999997</v>
      </c>
      <c r="H21" s="8"/>
      <c r="I21" s="13">
        <v>0</v>
      </c>
    </row>
    <row r="22" spans="2:9" s="4" customFormat="1" ht="11.25">
      <c r="B22" s="4" t="s">
        <v>23</v>
      </c>
      <c r="C22" s="8"/>
      <c r="D22" s="8"/>
      <c r="E22" s="12"/>
      <c r="F22" s="8"/>
      <c r="G22" s="8"/>
      <c r="H22" s="8"/>
      <c r="I22" s="13"/>
    </row>
    <row r="23" spans="2:9" s="4" customFormat="1" ht="11.25">
      <c r="B23" s="4" t="s">
        <v>24</v>
      </c>
      <c r="C23" s="8"/>
      <c r="D23" s="8"/>
      <c r="E23" s="12"/>
      <c r="F23" s="8"/>
      <c r="G23" s="8"/>
      <c r="H23" s="8"/>
      <c r="I23" s="13"/>
    </row>
    <row r="24" spans="2:9" s="4" customFormat="1" ht="11.25">
      <c r="B24" s="4" t="s">
        <v>25</v>
      </c>
      <c r="C24" s="8"/>
      <c r="D24" s="8"/>
      <c r="E24" s="12"/>
      <c r="F24" s="8"/>
      <c r="G24" s="8"/>
      <c r="H24" s="8"/>
      <c r="I24" s="13"/>
    </row>
    <row r="25" spans="3:9" s="4" customFormat="1" ht="11.25">
      <c r="C25" s="8"/>
      <c r="D25" s="8"/>
      <c r="E25" s="12"/>
      <c r="F25" s="8"/>
      <c r="G25" s="8"/>
      <c r="H25" s="8"/>
      <c r="I25" s="13"/>
    </row>
    <row r="26" spans="1:9" s="4" customFormat="1" ht="11.25">
      <c r="A26" s="4" t="s">
        <v>26</v>
      </c>
      <c r="B26" s="4" t="s">
        <v>27</v>
      </c>
      <c r="C26" s="8">
        <f>+'[1]INT'!H53</f>
        <v>-618.0179599999999</v>
      </c>
      <c r="D26" s="8"/>
      <c r="E26" s="12" t="s">
        <v>16</v>
      </c>
      <c r="F26" s="8"/>
      <c r="G26" s="8">
        <f>-'[1]INT'!D53</f>
        <v>-1779.20284</v>
      </c>
      <c r="H26" s="8"/>
      <c r="I26" s="13">
        <v>0</v>
      </c>
    </row>
    <row r="27" spans="3:9" s="4" customFormat="1" ht="11.25">
      <c r="C27" s="8"/>
      <c r="D27" s="8"/>
      <c r="E27" s="12"/>
      <c r="F27" s="8"/>
      <c r="G27" s="8"/>
      <c r="H27" s="8"/>
      <c r="I27" s="13"/>
    </row>
    <row r="28" spans="1:9" s="4" customFormat="1" ht="11.25">
      <c r="A28" s="4" t="s">
        <v>19</v>
      </c>
      <c r="B28" s="4" t="s">
        <v>28</v>
      </c>
      <c r="C28" s="8">
        <f>+'[1]INT'!H54</f>
        <v>-783.7725099999998</v>
      </c>
      <c r="D28" s="8"/>
      <c r="E28" s="12" t="s">
        <v>16</v>
      </c>
      <c r="F28" s="8"/>
      <c r="G28" s="8">
        <f>-'[1]INT'!D54</f>
        <v>-2394.56236</v>
      </c>
      <c r="H28" s="8"/>
      <c r="I28" s="13">
        <v>0</v>
      </c>
    </row>
    <row r="29" spans="3:9" s="4" customFormat="1" ht="11.25">
      <c r="C29" s="8"/>
      <c r="D29" s="8"/>
      <c r="E29" s="12"/>
      <c r="F29" s="8"/>
      <c r="G29" s="8"/>
      <c r="H29" s="8"/>
      <c r="I29" s="13"/>
    </row>
    <row r="30" spans="1:9" s="4" customFormat="1" ht="11.25">
      <c r="A30" s="4" t="s">
        <v>29</v>
      </c>
      <c r="B30" s="4" t="s">
        <v>30</v>
      </c>
      <c r="C30" s="12" t="s">
        <v>16</v>
      </c>
      <c r="D30" s="8"/>
      <c r="E30" s="12" t="s">
        <v>16</v>
      </c>
      <c r="F30" s="8"/>
      <c r="G30" s="8">
        <f>-'[1]TURNOVER'!E62/1000</f>
        <v>1791.169</v>
      </c>
      <c r="H30" s="8"/>
      <c r="I30" s="13">
        <v>0</v>
      </c>
    </row>
    <row r="31" spans="3:9" s="4" customFormat="1" ht="11.25">
      <c r="C31" s="19"/>
      <c r="D31" s="8"/>
      <c r="E31" s="20"/>
      <c r="F31" s="8"/>
      <c r="G31" s="19"/>
      <c r="H31" s="8"/>
      <c r="I31" s="21"/>
    </row>
    <row r="32" spans="1:9" s="4" customFormat="1" ht="11.25">
      <c r="A32" s="4" t="s">
        <v>31</v>
      </c>
      <c r="B32" s="4" t="s">
        <v>32</v>
      </c>
      <c r="C32" s="8">
        <f>SUM(C19:C31)</f>
        <v>557.1382999999971</v>
      </c>
      <c r="D32" s="8"/>
      <c r="E32" s="12" t="s">
        <v>16</v>
      </c>
      <c r="F32" s="8"/>
      <c r="G32" s="8">
        <f>SUM(G18:G31)</f>
        <v>7563.291299999997</v>
      </c>
      <c r="H32" s="8"/>
      <c r="I32" s="13">
        <f>SUM(I20:I31)</f>
        <v>0</v>
      </c>
    </row>
    <row r="33" spans="2:9" s="4" customFormat="1" ht="11.25">
      <c r="B33" s="4" t="s">
        <v>23</v>
      </c>
      <c r="C33" s="8"/>
      <c r="D33" s="8"/>
      <c r="E33" s="12"/>
      <c r="F33" s="8"/>
      <c r="G33" s="8"/>
      <c r="H33" s="8"/>
      <c r="I33" s="13"/>
    </row>
    <row r="34" spans="2:9" s="4" customFormat="1" ht="11.25">
      <c r="B34" s="4" t="s">
        <v>33</v>
      </c>
      <c r="C34" s="8"/>
      <c r="D34" s="8"/>
      <c r="E34" s="12"/>
      <c r="F34" s="8"/>
      <c r="G34" s="8"/>
      <c r="H34" s="8"/>
      <c r="I34" s="13"/>
    </row>
    <row r="35" spans="2:9" s="4" customFormat="1" ht="11.25">
      <c r="B35" s="4" t="s">
        <v>34</v>
      </c>
      <c r="C35" s="8"/>
      <c r="D35" s="8"/>
      <c r="E35" s="12"/>
      <c r="F35" s="8"/>
      <c r="G35" s="8"/>
      <c r="H35" s="8"/>
      <c r="I35" s="13"/>
    </row>
    <row r="36" spans="2:9" s="4" customFormat="1" ht="11.25">
      <c r="B36" s="4" t="s">
        <v>35</v>
      </c>
      <c r="C36" s="8"/>
      <c r="D36" s="8"/>
      <c r="E36" s="12"/>
      <c r="F36" s="8"/>
      <c r="G36" s="8"/>
      <c r="H36" s="8"/>
      <c r="I36" s="13"/>
    </row>
    <row r="37" spans="3:9" s="4" customFormat="1" ht="11.25">
      <c r="C37" s="8"/>
      <c r="D37" s="8"/>
      <c r="E37" s="12"/>
      <c r="F37" s="8"/>
      <c r="G37" s="8"/>
      <c r="H37" s="8"/>
      <c r="I37" s="13"/>
    </row>
    <row r="38" spans="1:9" s="4" customFormat="1" ht="11.25">
      <c r="A38" s="4" t="s">
        <v>36</v>
      </c>
      <c r="B38" s="4" t="s">
        <v>37</v>
      </c>
      <c r="C38" s="8">
        <f>+'[1]INT'!H59</f>
        <v>0.8120000000000118</v>
      </c>
      <c r="D38" s="8"/>
      <c r="E38" s="12" t="s">
        <v>16</v>
      </c>
      <c r="F38" s="8"/>
      <c r="G38" s="8">
        <f>+'[1]INT'!D59</f>
        <v>370.928</v>
      </c>
      <c r="H38" s="8"/>
      <c r="I38" s="13">
        <v>0</v>
      </c>
    </row>
    <row r="39" spans="2:9" s="4" customFormat="1" ht="11.25">
      <c r="B39" s="4" t="s">
        <v>38</v>
      </c>
      <c r="C39" s="8"/>
      <c r="D39" s="8"/>
      <c r="E39" s="12"/>
      <c r="F39" s="8"/>
      <c r="G39" s="8"/>
      <c r="H39" s="8"/>
      <c r="I39" s="13"/>
    </row>
    <row r="40" spans="3:9" s="4" customFormat="1" ht="11.25">
      <c r="C40" s="19"/>
      <c r="D40" s="8"/>
      <c r="E40" s="20"/>
      <c r="F40" s="8"/>
      <c r="G40" s="19"/>
      <c r="H40" s="8"/>
      <c r="I40" s="21"/>
    </row>
    <row r="41" spans="1:9" s="4" customFormat="1" ht="11.25">
      <c r="A41" s="4" t="s">
        <v>39</v>
      </c>
      <c r="B41" s="4" t="s">
        <v>40</v>
      </c>
      <c r="C41" s="8">
        <f>SUM(C32:C40)</f>
        <v>557.9502999999971</v>
      </c>
      <c r="D41" s="8"/>
      <c r="E41" s="16" t="s">
        <v>16</v>
      </c>
      <c r="F41" s="8"/>
      <c r="G41" s="8">
        <f>SUM(G32:G40)</f>
        <v>7934.219299999997</v>
      </c>
      <c r="H41" s="8"/>
      <c r="I41" s="17">
        <f>SUM(I32:I40)</f>
        <v>0</v>
      </c>
    </row>
    <row r="42" spans="2:9" s="4" customFormat="1" ht="11.25">
      <c r="B42" s="4" t="s">
        <v>41</v>
      </c>
      <c r="C42" s="8"/>
      <c r="D42" s="8"/>
      <c r="E42" s="12"/>
      <c r="F42" s="8"/>
      <c r="G42" s="8"/>
      <c r="H42" s="8"/>
      <c r="I42" s="13"/>
    </row>
    <row r="43" spans="3:9" s="4" customFormat="1" ht="11.25">
      <c r="C43" s="8"/>
      <c r="D43" s="8"/>
      <c r="E43" s="12"/>
      <c r="F43" s="8"/>
      <c r="G43" s="8"/>
      <c r="H43" s="8"/>
      <c r="I43" s="13"/>
    </row>
    <row r="44" spans="1:9" s="4" customFormat="1" ht="11.25">
      <c r="A44" s="4" t="s">
        <v>42</v>
      </c>
      <c r="B44" s="4" t="s">
        <v>43</v>
      </c>
      <c r="C44" s="8">
        <f>+'[1]INT'!H62</f>
        <v>-156.2260839999999</v>
      </c>
      <c r="D44" s="8"/>
      <c r="E44" s="12" t="s">
        <v>16</v>
      </c>
      <c r="F44" s="8"/>
      <c r="G44" s="8">
        <f>+'[1]INT'!D62</f>
        <v>-2221.534084</v>
      </c>
      <c r="H44" s="8"/>
      <c r="I44" s="13">
        <v>0</v>
      </c>
    </row>
    <row r="45" spans="3:9" s="4" customFormat="1" ht="11.25">
      <c r="C45" s="19"/>
      <c r="D45" s="8"/>
      <c r="E45" s="20"/>
      <c r="F45" s="8"/>
      <c r="G45" s="19"/>
      <c r="H45" s="8"/>
      <c r="I45" s="21"/>
    </row>
    <row r="46" spans="1:9" s="4" customFormat="1" ht="11.25">
      <c r="A46" s="4" t="s">
        <v>44</v>
      </c>
      <c r="B46" s="4" t="s">
        <v>45</v>
      </c>
      <c r="C46" s="8">
        <f>SUM(C41:C45)</f>
        <v>401.7242159999972</v>
      </c>
      <c r="D46" s="8"/>
      <c r="E46" s="12" t="s">
        <v>16</v>
      </c>
      <c r="F46" s="8"/>
      <c r="G46" s="8">
        <f>SUM(G41:G45)-1</f>
        <v>5711.685215999997</v>
      </c>
      <c r="H46" s="8"/>
      <c r="I46" s="13">
        <f>SUM(I41:I45)</f>
        <v>0</v>
      </c>
    </row>
    <row r="47" spans="2:9" s="4" customFormat="1" ht="11.25">
      <c r="B47" s="4" t="s">
        <v>46</v>
      </c>
      <c r="C47" s="8"/>
      <c r="D47" s="8"/>
      <c r="E47" s="12"/>
      <c r="F47" s="8"/>
      <c r="G47" s="8"/>
      <c r="H47" s="8"/>
      <c r="I47" s="13"/>
    </row>
    <row r="48" spans="3:9" s="4" customFormat="1" ht="11.25">
      <c r="C48" s="8"/>
      <c r="D48" s="8"/>
      <c r="E48" s="12"/>
      <c r="F48" s="8"/>
      <c r="G48" s="8"/>
      <c r="H48" s="8"/>
      <c r="I48" s="13"/>
    </row>
    <row r="49" spans="2:9" s="4" customFormat="1" ht="11.25">
      <c r="B49" s="4" t="s">
        <v>47</v>
      </c>
      <c r="C49" s="8">
        <f>+'[1]INT'!H63</f>
        <v>-177.095624</v>
      </c>
      <c r="D49" s="8"/>
      <c r="E49" s="12" t="s">
        <v>16</v>
      </c>
      <c r="F49" s="8"/>
      <c r="G49" s="8">
        <f>+'[1]INT'!D63</f>
        <v>115.698376</v>
      </c>
      <c r="H49" s="8"/>
      <c r="I49" s="13">
        <v>0</v>
      </c>
    </row>
    <row r="50" spans="3:9" s="4" customFormat="1" ht="11.25">
      <c r="C50" s="8"/>
      <c r="D50" s="8"/>
      <c r="E50" s="12"/>
      <c r="F50" s="8"/>
      <c r="G50" s="8"/>
      <c r="H50" s="8"/>
      <c r="I50" s="13"/>
    </row>
    <row r="51" spans="3:9" s="4" customFormat="1" ht="11.25">
      <c r="C51" s="19"/>
      <c r="D51" s="8"/>
      <c r="E51" s="20"/>
      <c r="F51" s="8"/>
      <c r="G51" s="19"/>
      <c r="H51" s="8"/>
      <c r="I51" s="21"/>
    </row>
    <row r="52" spans="1:9" s="4" customFormat="1" ht="11.25">
      <c r="A52" s="4" t="s">
        <v>48</v>
      </c>
      <c r="B52" s="4" t="s">
        <v>49</v>
      </c>
      <c r="C52" s="8">
        <f>SUM(C46:C51)</f>
        <v>224.62859199999724</v>
      </c>
      <c r="D52" s="8"/>
      <c r="E52" s="16" t="s">
        <v>16</v>
      </c>
      <c r="F52" s="8"/>
      <c r="G52" s="8">
        <f>SUM(G46:G51)+1</f>
        <v>5828.383591999997</v>
      </c>
      <c r="H52" s="8"/>
      <c r="I52" s="17">
        <f>SUM(I46:I51)</f>
        <v>0</v>
      </c>
    </row>
    <row r="53" spans="2:9" s="4" customFormat="1" ht="11.25">
      <c r="B53" s="4" t="s">
        <v>50</v>
      </c>
      <c r="C53" s="8"/>
      <c r="D53" s="8"/>
      <c r="E53" s="12"/>
      <c r="F53" s="8"/>
      <c r="G53" s="8"/>
      <c r="H53" s="8"/>
      <c r="I53" s="13"/>
    </row>
    <row r="54" spans="3:9" s="4" customFormat="1" ht="11.25">
      <c r="C54" s="8"/>
      <c r="D54" s="8"/>
      <c r="E54" s="12"/>
      <c r="F54" s="8"/>
      <c r="G54" s="8"/>
      <c r="H54" s="8"/>
      <c r="I54" s="13"/>
    </row>
    <row r="55" spans="1:9" s="4" customFormat="1" ht="11.25">
      <c r="A55" s="4" t="s">
        <v>51</v>
      </c>
      <c r="B55" s="4" t="s">
        <v>52</v>
      </c>
      <c r="C55" s="12" t="s">
        <v>16</v>
      </c>
      <c r="D55" s="12"/>
      <c r="E55" s="12" t="s">
        <v>16</v>
      </c>
      <c r="F55" s="12"/>
      <c r="G55" s="12" t="s">
        <v>16</v>
      </c>
      <c r="H55" s="8"/>
      <c r="I55" s="13" t="s">
        <v>16</v>
      </c>
    </row>
    <row r="56" spans="2:9" s="4" customFormat="1" ht="11.25">
      <c r="B56" s="4" t="s">
        <v>53</v>
      </c>
      <c r="C56" s="12" t="s">
        <v>16</v>
      </c>
      <c r="D56" s="12"/>
      <c r="E56" s="12" t="s">
        <v>16</v>
      </c>
      <c r="F56" s="12"/>
      <c r="G56" s="12" t="s">
        <v>16</v>
      </c>
      <c r="H56" s="8"/>
      <c r="I56" s="13" t="s">
        <v>16</v>
      </c>
    </row>
    <row r="57" spans="2:9" s="4" customFormat="1" ht="11.25">
      <c r="B57" s="4" t="s">
        <v>54</v>
      </c>
      <c r="C57" s="12" t="s">
        <v>16</v>
      </c>
      <c r="D57" s="12"/>
      <c r="E57" s="12" t="s">
        <v>16</v>
      </c>
      <c r="F57" s="12"/>
      <c r="G57" s="12" t="s">
        <v>16</v>
      </c>
      <c r="H57" s="8"/>
      <c r="I57" s="13" t="s">
        <v>16</v>
      </c>
    </row>
    <row r="58" spans="2:9" s="4" customFormat="1" ht="11.25">
      <c r="B58" s="4" t="s">
        <v>55</v>
      </c>
      <c r="C58" s="8"/>
      <c r="D58" s="8"/>
      <c r="E58" s="12"/>
      <c r="F58" s="15"/>
      <c r="G58" s="12"/>
      <c r="H58" s="8"/>
      <c r="I58" s="13"/>
    </row>
    <row r="59" spans="3:9" s="4" customFormat="1" ht="11.25">
      <c r="C59" s="8"/>
      <c r="D59" s="15"/>
      <c r="E59" s="12"/>
      <c r="F59" s="15"/>
      <c r="G59" s="8"/>
      <c r="H59" s="15"/>
      <c r="I59" s="13"/>
    </row>
    <row r="60" spans="1:9" s="4" customFormat="1" ht="11.25">
      <c r="A60" s="4" t="s">
        <v>56</v>
      </c>
      <c r="B60" s="4" t="s">
        <v>57</v>
      </c>
      <c r="C60" s="22">
        <f>SUM(C52:C59)</f>
        <v>224.62859199999724</v>
      </c>
      <c r="D60" s="15"/>
      <c r="E60" s="23" t="s">
        <v>16</v>
      </c>
      <c r="F60" s="15"/>
      <c r="G60" s="22">
        <f>SUM(G52:G59)</f>
        <v>5828.383591999997</v>
      </c>
      <c r="H60" s="15"/>
      <c r="I60" s="24">
        <v>0</v>
      </c>
    </row>
    <row r="61" spans="2:9" s="4" customFormat="1" ht="12" thickBot="1">
      <c r="B61" s="4" t="s">
        <v>58</v>
      </c>
      <c r="C61" s="25"/>
      <c r="D61" s="15"/>
      <c r="E61" s="26"/>
      <c r="F61" s="15"/>
      <c r="G61" s="25"/>
      <c r="H61" s="15"/>
      <c r="I61" s="27"/>
    </row>
    <row r="62" spans="1:9" s="4" customFormat="1" ht="12" thickTop="1">
      <c r="A62" s="4" t="s">
        <v>59</v>
      </c>
      <c r="C62" s="8"/>
      <c r="D62" s="15"/>
      <c r="E62" s="8"/>
      <c r="F62" s="15"/>
      <c r="G62" s="8"/>
      <c r="H62" s="15"/>
      <c r="I62" s="8"/>
    </row>
    <row r="63" spans="1:9" s="4" customFormat="1" ht="11.25">
      <c r="A63" s="4" t="s">
        <v>60</v>
      </c>
      <c r="B63" s="4" t="s">
        <v>61</v>
      </c>
      <c r="C63" s="8"/>
      <c r="D63" s="15"/>
      <c r="E63" s="8"/>
      <c r="F63" s="15"/>
      <c r="G63" s="8"/>
      <c r="H63" s="15"/>
      <c r="I63" s="8"/>
    </row>
    <row r="64" spans="2:9" s="4" customFormat="1" ht="11.25">
      <c r="B64" s="4" t="s">
        <v>62</v>
      </c>
      <c r="C64" s="8"/>
      <c r="D64" s="18"/>
      <c r="E64" s="18"/>
      <c r="F64" s="18"/>
      <c r="G64" s="8"/>
      <c r="H64" s="18"/>
      <c r="I64" s="18"/>
    </row>
    <row r="65" spans="2:9" s="4" customFormat="1" ht="11.25">
      <c r="B65" s="4" t="s">
        <v>63</v>
      </c>
      <c r="C65" s="8"/>
      <c r="D65" s="18"/>
      <c r="E65" s="18"/>
      <c r="F65" s="18"/>
      <c r="G65" s="8"/>
      <c r="H65" s="18"/>
      <c r="I65" s="18"/>
    </row>
    <row r="66" spans="3:9" s="4" customFormat="1" ht="11.25">
      <c r="C66" s="8"/>
      <c r="D66" s="18"/>
      <c r="E66" s="18"/>
      <c r="F66" s="18"/>
      <c r="G66" s="8"/>
      <c r="H66" s="18"/>
      <c r="I66" s="18"/>
    </row>
    <row r="67" spans="2:9" s="4" customFormat="1" ht="11.25">
      <c r="B67" s="4" t="s">
        <v>64</v>
      </c>
      <c r="C67" s="28">
        <f>+'[1]eps'!D51*100</f>
        <v>0.5609881562042363</v>
      </c>
      <c r="D67" s="28"/>
      <c r="E67" s="29" t="s">
        <v>16</v>
      </c>
      <c r="F67" s="28"/>
      <c r="G67" s="28">
        <f>+'[1]eps'!D17*100</f>
        <v>14.52492304335425</v>
      </c>
      <c r="H67" s="28"/>
      <c r="I67" s="30">
        <v>0</v>
      </c>
    </row>
    <row r="68" spans="2:9" s="4" customFormat="1" ht="11.25">
      <c r="B68" s="4" t="s">
        <v>65</v>
      </c>
      <c r="C68" s="28"/>
      <c r="D68" s="28"/>
      <c r="E68" s="29"/>
      <c r="F68" s="28"/>
      <c r="G68" s="28"/>
      <c r="H68" s="28"/>
      <c r="I68" s="28"/>
    </row>
    <row r="69" spans="3:9" s="4" customFormat="1" ht="11.25">
      <c r="C69" s="28"/>
      <c r="D69" s="28"/>
      <c r="E69" s="29"/>
      <c r="F69" s="28"/>
      <c r="G69" s="28"/>
      <c r="H69" s="28"/>
      <c r="I69" s="28"/>
    </row>
    <row r="70" spans="2:9" s="4" customFormat="1" ht="11.25">
      <c r="B70" s="4" t="s">
        <v>66</v>
      </c>
      <c r="C70" s="13">
        <f>+'[1]eps'!D67*100</f>
        <v>0.5528652154466324</v>
      </c>
      <c r="D70" s="13"/>
      <c r="E70" s="13" t="s">
        <v>16</v>
      </c>
      <c r="F70" s="13"/>
      <c r="G70" s="13">
        <f>+'[1]eps'!E46*100</f>
        <v>14.315046530719822</v>
      </c>
      <c r="H70" s="13"/>
      <c r="I70" s="13">
        <v>0</v>
      </c>
    </row>
    <row r="71" spans="2:9" s="4" customFormat="1" ht="11.25">
      <c r="B71" s="4" t="s">
        <v>67</v>
      </c>
      <c r="C71" s="28"/>
      <c r="D71" s="28"/>
      <c r="E71" s="29"/>
      <c r="F71" s="28"/>
      <c r="G71" s="28"/>
      <c r="H71" s="28"/>
      <c r="I71" s="28"/>
    </row>
    <row r="72" spans="3:9" s="4" customFormat="1" ht="11.25">
      <c r="C72" s="8"/>
      <c r="D72" s="8"/>
      <c r="E72" s="8"/>
      <c r="F72" s="8"/>
      <c r="G72" s="8"/>
      <c r="H72" s="8"/>
      <c r="I72" s="8"/>
    </row>
    <row r="73" spans="3:9" s="4" customFormat="1" ht="12.75">
      <c r="C73" s="8"/>
      <c r="D73" s="8"/>
      <c r="E73" s="8"/>
      <c r="F73" s="8"/>
      <c r="G73" s="61"/>
      <c r="H73" s="8"/>
      <c r="I73" s="8"/>
    </row>
    <row r="74" spans="3:9" s="4" customFormat="1" ht="11.25">
      <c r="C74" s="8"/>
      <c r="D74" s="18"/>
      <c r="E74" s="18"/>
      <c r="F74" s="18"/>
      <c r="G74" s="18"/>
      <c r="H74" s="18"/>
      <c r="I74" s="18"/>
    </row>
    <row r="75" spans="3:9" s="4" customFormat="1" ht="11.25">
      <c r="C75" s="18"/>
      <c r="D75" s="18"/>
      <c r="E75" s="18"/>
      <c r="F75" s="18"/>
      <c r="G75" s="18"/>
      <c r="H75" s="18"/>
      <c r="I75" s="18"/>
    </row>
    <row r="76" spans="3:9" s="4" customFormat="1" ht="11.25">
      <c r="C76" s="18"/>
      <c r="D76" s="18"/>
      <c r="E76" s="18"/>
      <c r="F76" s="18"/>
      <c r="G76" s="18"/>
      <c r="H76" s="18"/>
      <c r="I76" s="18"/>
    </row>
    <row r="77" spans="3:9" s="4" customFormat="1" ht="11.25">
      <c r="C77" s="18"/>
      <c r="D77" s="18"/>
      <c r="E77" s="18"/>
      <c r="F77" s="18"/>
      <c r="G77" s="18"/>
      <c r="H77" s="18"/>
      <c r="I77" s="18"/>
    </row>
    <row r="78" spans="3:9" s="4" customFormat="1" ht="11.25">
      <c r="C78" s="18"/>
      <c r="D78" s="18"/>
      <c r="E78" s="18"/>
      <c r="F78" s="18"/>
      <c r="G78" s="18"/>
      <c r="H78" s="18"/>
      <c r="I78" s="18"/>
    </row>
    <row r="79" spans="3:9" s="4" customFormat="1" ht="11.25">
      <c r="C79" s="18"/>
      <c r="D79" s="18"/>
      <c r="E79" s="18"/>
      <c r="F79" s="18"/>
      <c r="G79" s="18"/>
      <c r="H79" s="18"/>
      <c r="I79" s="18"/>
    </row>
    <row r="80" spans="3:9" s="4" customFormat="1" ht="11.25">
      <c r="C80" s="18"/>
      <c r="D80" s="18"/>
      <c r="E80" s="18"/>
      <c r="F80" s="18"/>
      <c r="G80" s="18"/>
      <c r="H80" s="18"/>
      <c r="I80" s="18"/>
    </row>
    <row r="81" spans="3:9" s="4" customFormat="1" ht="11.25">
      <c r="C81" s="18"/>
      <c r="D81" s="18"/>
      <c r="E81" s="18"/>
      <c r="F81" s="18"/>
      <c r="G81" s="18"/>
      <c r="H81" s="18"/>
      <c r="I81" s="18"/>
    </row>
    <row r="82" spans="3:9" s="4" customFormat="1" ht="11.25">
      <c r="C82" s="18"/>
      <c r="D82" s="18"/>
      <c r="E82" s="18"/>
      <c r="F82" s="18"/>
      <c r="G82" s="18"/>
      <c r="H82" s="18"/>
      <c r="I82" s="18"/>
    </row>
    <row r="83" spans="3:9" s="4" customFormat="1" ht="11.25">
      <c r="C83" s="18"/>
      <c r="D83" s="18"/>
      <c r="E83" s="18"/>
      <c r="F83" s="18"/>
      <c r="G83" s="18"/>
      <c r="H83" s="18"/>
      <c r="I83" s="18"/>
    </row>
    <row r="84" spans="3:9" ht="12">
      <c r="C84" s="31"/>
      <c r="D84" s="31"/>
      <c r="E84" s="31"/>
      <c r="F84" s="31"/>
      <c r="G84" s="31"/>
      <c r="H84" s="31"/>
      <c r="I84" s="31"/>
    </row>
    <row r="85" spans="3:9" ht="12">
      <c r="C85" s="31"/>
      <c r="D85" s="31"/>
      <c r="E85" s="31"/>
      <c r="F85" s="31"/>
      <c r="G85" s="31"/>
      <c r="H85" s="31"/>
      <c r="I85" s="31"/>
    </row>
    <row r="86" spans="3:9" ht="12">
      <c r="C86" s="31"/>
      <c r="D86" s="31"/>
      <c r="E86" s="31"/>
      <c r="F86" s="31"/>
      <c r="G86" s="31"/>
      <c r="H86" s="31"/>
      <c r="I86" s="31"/>
    </row>
    <row r="87" spans="3:9" ht="12">
      <c r="C87" s="31"/>
      <c r="D87" s="31"/>
      <c r="E87" s="31"/>
      <c r="F87" s="31"/>
      <c r="G87" s="31"/>
      <c r="H87" s="31"/>
      <c r="I87" s="31"/>
    </row>
    <row r="88" ht="12">
      <c r="I88" s="31"/>
    </row>
    <row r="89" ht="12">
      <c r="I89" s="31"/>
    </row>
    <row r="90" ht="12">
      <c r="I90" s="31"/>
    </row>
    <row r="91" ht="12">
      <c r="I91" s="31"/>
    </row>
    <row r="92" ht="12">
      <c r="I92" s="31"/>
    </row>
    <row r="93" ht="12">
      <c r="I93" s="31"/>
    </row>
    <row r="94" ht="12">
      <c r="I94" s="31"/>
    </row>
    <row r="95" ht="12">
      <c r="I95" s="31"/>
    </row>
  </sheetData>
  <printOptions/>
  <pageMargins left="0.53" right="0.38" top="0.62" bottom="0.42" header="0.31" footer="0.2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B40" sqref="B40"/>
    </sheetView>
  </sheetViews>
  <sheetFormatPr defaultColWidth="9.140625" defaultRowHeight="12.75"/>
  <cols>
    <col min="1" max="1" width="3.421875" style="2" customWidth="1"/>
    <col min="2" max="2" width="3.7109375" style="2" customWidth="1"/>
    <col min="3" max="3" width="36.8515625" style="2" customWidth="1"/>
    <col min="4" max="4" width="4.7109375" style="2" customWidth="1"/>
    <col min="5" max="5" width="12.8515625" style="2" customWidth="1"/>
    <col min="6" max="6" width="6.28125" style="2" customWidth="1"/>
    <col min="7" max="7" width="12.28125" style="2" customWidth="1"/>
    <col min="8" max="8" width="9.8515625" style="2" customWidth="1"/>
    <col min="9" max="16384" width="9.140625" style="2" customWidth="1"/>
  </cols>
  <sheetData>
    <row r="1" spans="1:4" ht="12">
      <c r="A1" s="1" t="s">
        <v>68</v>
      </c>
      <c r="B1" s="1"/>
      <c r="C1" s="1"/>
      <c r="D1" s="1"/>
    </row>
    <row r="2" spans="5:7" ht="9" customHeight="1">
      <c r="E2" s="32"/>
      <c r="F2" s="1"/>
      <c r="G2" s="33"/>
    </row>
    <row r="3" spans="5:7" ht="12">
      <c r="E3" s="33" t="s">
        <v>69</v>
      </c>
      <c r="F3" s="33"/>
      <c r="G3" s="33" t="s">
        <v>69</v>
      </c>
    </row>
    <row r="4" spans="5:7" ht="12">
      <c r="E4" s="33" t="s">
        <v>70</v>
      </c>
      <c r="F4" s="33"/>
      <c r="G4" s="33" t="s">
        <v>71</v>
      </c>
    </row>
    <row r="5" spans="5:7" ht="12">
      <c r="E5" s="33" t="s">
        <v>5</v>
      </c>
      <c r="F5" s="33"/>
      <c r="G5" s="33" t="s">
        <v>72</v>
      </c>
    </row>
    <row r="6" spans="3:7" ht="12">
      <c r="C6" s="34"/>
      <c r="D6" s="34"/>
      <c r="E6" s="33" t="s">
        <v>10</v>
      </c>
      <c r="F6" s="33"/>
      <c r="G6" s="33" t="s">
        <v>73</v>
      </c>
    </row>
    <row r="7" spans="1:7" ht="12">
      <c r="A7" s="35"/>
      <c r="C7" s="36"/>
      <c r="D7" s="36"/>
      <c r="E7" s="37">
        <v>36677</v>
      </c>
      <c r="F7" s="33"/>
      <c r="G7" s="37">
        <v>36403</v>
      </c>
    </row>
    <row r="8" spans="1:7" ht="12">
      <c r="A8" s="35"/>
      <c r="E8" s="33" t="s">
        <v>13</v>
      </c>
      <c r="F8" s="33"/>
      <c r="G8" s="33" t="s">
        <v>13</v>
      </c>
    </row>
    <row r="9" spans="1:7" ht="12" customHeight="1">
      <c r="A9" s="35"/>
      <c r="C9" s="34"/>
      <c r="D9" s="34"/>
      <c r="G9" s="38"/>
    </row>
    <row r="10" spans="1:7" ht="12">
      <c r="A10" s="35">
        <v>1</v>
      </c>
      <c r="B10" s="2" t="s">
        <v>74</v>
      </c>
      <c r="E10" s="31">
        <f>25225530/1000</f>
        <v>25225.53</v>
      </c>
      <c r="F10" s="31"/>
      <c r="G10" s="31">
        <f>31245335/1000</f>
        <v>31245.335</v>
      </c>
    </row>
    <row r="11" spans="1:7" ht="12">
      <c r="A11" s="35">
        <v>2</v>
      </c>
      <c r="B11" s="2" t="s">
        <v>75</v>
      </c>
      <c r="E11" s="31">
        <f>153318/1000</f>
        <v>153.318</v>
      </c>
      <c r="F11" s="31"/>
      <c r="G11" s="31">
        <f>177851/1000</f>
        <v>177.851</v>
      </c>
    </row>
    <row r="12" spans="1:7" ht="12">
      <c r="A12" s="35">
        <v>3</v>
      </c>
      <c r="B12" s="2" t="s">
        <v>76</v>
      </c>
      <c r="E12" s="31">
        <v>4500</v>
      </c>
      <c r="F12" s="31"/>
      <c r="G12" s="31">
        <f>4500000/1000</f>
        <v>4500</v>
      </c>
    </row>
    <row r="13" spans="1:7" ht="12">
      <c r="A13" s="35">
        <v>4</v>
      </c>
      <c r="B13" s="2" t="s">
        <v>77</v>
      </c>
      <c r="E13" s="31">
        <f>18520355/1000</f>
        <v>18520.355</v>
      </c>
      <c r="F13" s="31"/>
      <c r="G13" s="31">
        <f>18452933/1000</f>
        <v>18452.933</v>
      </c>
    </row>
    <row r="14" spans="1:8" ht="11.25" customHeight="1">
      <c r="A14" s="35">
        <v>5</v>
      </c>
      <c r="B14" s="2" t="s">
        <v>78</v>
      </c>
      <c r="E14" s="31">
        <v>17.619</v>
      </c>
      <c r="F14" s="31"/>
      <c r="G14" s="31">
        <v>13.584</v>
      </c>
      <c r="H14" s="34"/>
    </row>
    <row r="15" spans="1:7" ht="12">
      <c r="A15" s="35">
        <v>6</v>
      </c>
      <c r="B15" s="2" t="s">
        <v>79</v>
      </c>
      <c r="E15" s="31"/>
      <c r="F15" s="31"/>
      <c r="G15" s="31"/>
    </row>
    <row r="16" spans="1:7" ht="12">
      <c r="A16" s="35"/>
      <c r="C16" s="39" t="s">
        <v>80</v>
      </c>
      <c r="D16" s="39"/>
      <c r="E16" s="40">
        <f>+'[2]CBS'!$AB$25/1000</f>
        <v>29595.667</v>
      </c>
      <c r="F16" s="31"/>
      <c r="G16" s="40">
        <f>20609643/1000+1</f>
        <v>20610.643</v>
      </c>
    </row>
    <row r="17" spans="1:7" ht="12">
      <c r="A17" s="35"/>
      <c r="C17" s="39" t="s">
        <v>81</v>
      </c>
      <c r="D17" s="39"/>
      <c r="E17" s="41">
        <f>102347/1000</f>
        <v>102.347</v>
      </c>
      <c r="F17" s="31"/>
      <c r="G17" s="41">
        <f>156751/1000</f>
        <v>156.751</v>
      </c>
    </row>
    <row r="18" spans="1:7" ht="12">
      <c r="A18" s="35"/>
      <c r="C18" s="39" t="s">
        <v>82</v>
      </c>
      <c r="D18" s="39"/>
      <c r="E18" s="41">
        <f>+'[2]CBS'!$AB$29/1000</f>
        <v>66387.12475</v>
      </c>
      <c r="F18" s="31"/>
      <c r="G18" s="41">
        <f>68079013/1000</f>
        <v>68079.013</v>
      </c>
    </row>
    <row r="19" spans="1:7" ht="12">
      <c r="A19" s="35"/>
      <c r="C19" s="39" t="s">
        <v>83</v>
      </c>
      <c r="D19" s="39"/>
      <c r="E19" s="41">
        <f>8120589/1000-4</f>
        <v>8116.589</v>
      </c>
      <c r="F19" s="31"/>
      <c r="G19" s="41">
        <f>6424993/1000</f>
        <v>6424.993</v>
      </c>
    </row>
    <row r="20" spans="1:7" ht="12">
      <c r="A20" s="35"/>
      <c r="C20" s="39" t="s">
        <v>84</v>
      </c>
      <c r="D20" s="39"/>
      <c r="E20" s="41">
        <v>4</v>
      </c>
      <c r="F20" s="31"/>
      <c r="G20" s="41">
        <v>4.02</v>
      </c>
    </row>
    <row r="21" spans="1:7" ht="12">
      <c r="A21" s="35"/>
      <c r="C21" s="39" t="s">
        <v>85</v>
      </c>
      <c r="D21" s="39"/>
      <c r="E21" s="41">
        <f>615582/1000</f>
        <v>615.582</v>
      </c>
      <c r="F21" s="31"/>
      <c r="G21" s="41">
        <f>992563/1000</f>
        <v>992.563</v>
      </c>
    </row>
    <row r="22" spans="1:7" ht="12">
      <c r="A22" s="35"/>
      <c r="C22" s="39" t="s">
        <v>86</v>
      </c>
      <c r="D22" s="39"/>
      <c r="E22" s="41">
        <f>1274009/1000</f>
        <v>1274.009</v>
      </c>
      <c r="F22" s="31"/>
      <c r="G22" s="41">
        <f>307091/1000</f>
        <v>307.091</v>
      </c>
    </row>
    <row r="23" spans="1:7" ht="12">
      <c r="A23" s="35"/>
      <c r="E23" s="42">
        <f>SUM(E16:E22)+1</f>
        <v>106096.31875000002</v>
      </c>
      <c r="F23" s="31"/>
      <c r="G23" s="43">
        <f>SUM(G16:G22)+1</f>
        <v>96576.07400000001</v>
      </c>
    </row>
    <row r="24" spans="1:7" ht="8.25" customHeight="1">
      <c r="A24" s="35"/>
      <c r="C24" s="39"/>
      <c r="D24" s="39"/>
      <c r="E24" s="31"/>
      <c r="F24" s="31"/>
      <c r="G24" s="31"/>
    </row>
    <row r="25" spans="1:7" ht="12">
      <c r="A25" s="35">
        <v>6</v>
      </c>
      <c r="B25" s="2" t="s">
        <v>87</v>
      </c>
      <c r="E25" s="31"/>
      <c r="F25" s="31"/>
      <c r="G25" s="31"/>
    </row>
    <row r="26" spans="1:7" ht="12">
      <c r="A26" s="35"/>
      <c r="C26" s="39" t="s">
        <v>88</v>
      </c>
      <c r="D26" s="39"/>
      <c r="E26" s="40">
        <f>+'[2]CBS'!$AB$53/1000</f>
        <v>8586.65915</v>
      </c>
      <c r="F26" s="44"/>
      <c r="G26" s="40">
        <f>9997288/1000+1</f>
        <v>9998.288</v>
      </c>
    </row>
    <row r="27" spans="1:7" ht="12">
      <c r="A27" s="35"/>
      <c r="C27" s="39" t="s">
        <v>89</v>
      </c>
      <c r="D27" s="39"/>
      <c r="E27" s="41">
        <f>5707221/1000</f>
        <v>5707.221</v>
      </c>
      <c r="F27" s="31"/>
      <c r="G27" s="41">
        <f>6787282/1000+1</f>
        <v>6788.282</v>
      </c>
    </row>
    <row r="28" spans="1:7" ht="12">
      <c r="A28" s="35"/>
      <c r="C28" s="39" t="s">
        <v>90</v>
      </c>
      <c r="D28" s="39"/>
      <c r="E28" s="41">
        <f>576110/1000</f>
        <v>576.11</v>
      </c>
      <c r="F28" s="31"/>
      <c r="G28" s="41">
        <f>1317335/1000</f>
        <v>1317.335</v>
      </c>
    </row>
    <row r="29" spans="1:7" ht="12">
      <c r="A29" s="35"/>
      <c r="C29" s="39" t="s">
        <v>91</v>
      </c>
      <c r="D29" s="39"/>
      <c r="E29" s="41">
        <f>6968825/1000</f>
        <v>6968.825</v>
      </c>
      <c r="F29" s="31"/>
      <c r="G29" s="41">
        <f>10431219/1000</f>
        <v>10431.219</v>
      </c>
    </row>
    <row r="30" spans="1:7" ht="12">
      <c r="A30" s="35"/>
      <c r="C30" s="45" t="s">
        <v>92</v>
      </c>
      <c r="D30" s="45"/>
      <c r="E30" s="41">
        <f>+'[2]CBS'!$AB$71/1000</f>
        <v>32684.40657</v>
      </c>
      <c r="F30" s="31"/>
      <c r="G30" s="41">
        <f>26964650/1000</f>
        <v>26964.65</v>
      </c>
    </row>
    <row r="31" spans="1:7" ht="12">
      <c r="A31" s="35"/>
      <c r="C31" s="45" t="s">
        <v>93</v>
      </c>
      <c r="D31" s="45"/>
      <c r="E31" s="41">
        <f>+'[2]CBS'!$AB$72/1000</f>
        <v>3739.0374440000005</v>
      </c>
      <c r="F31" s="31"/>
      <c r="G31" s="41">
        <f>4658793/1000</f>
        <v>4658.793</v>
      </c>
    </row>
    <row r="32" spans="1:7" ht="12">
      <c r="A32" s="35"/>
      <c r="C32" s="45" t="s">
        <v>94</v>
      </c>
      <c r="D32" s="45"/>
      <c r="E32" s="41">
        <v>3.152</v>
      </c>
      <c r="F32" s="31"/>
      <c r="G32" s="41">
        <v>0</v>
      </c>
    </row>
    <row r="33" spans="1:7" ht="12">
      <c r="A33" s="35"/>
      <c r="C33" s="45" t="s">
        <v>95</v>
      </c>
      <c r="D33" s="45"/>
      <c r="E33" s="46" t="s">
        <v>16</v>
      </c>
      <c r="F33" s="31"/>
      <c r="G33" s="41">
        <f>863978/1000</f>
        <v>863.978</v>
      </c>
    </row>
    <row r="34" spans="1:7" ht="12">
      <c r="A34" s="35"/>
      <c r="C34" s="45"/>
      <c r="D34" s="45"/>
      <c r="E34" s="43">
        <f>SUM(E26:E33)</f>
        <v>58265.411164000005</v>
      </c>
      <c r="F34" s="31"/>
      <c r="G34" s="43">
        <f>SUM(G26:G33)+1-2</f>
        <v>61021.545</v>
      </c>
    </row>
    <row r="35" spans="1:7" ht="6" customHeight="1">
      <c r="A35" s="35"/>
      <c r="C35" s="45"/>
      <c r="D35" s="45"/>
      <c r="E35" s="31"/>
      <c r="F35" s="31"/>
      <c r="G35" s="44"/>
    </row>
    <row r="36" spans="1:7" ht="12">
      <c r="A36" s="35">
        <v>7</v>
      </c>
      <c r="B36" s="2" t="s">
        <v>96</v>
      </c>
      <c r="C36" s="47"/>
      <c r="D36" s="47"/>
      <c r="E36" s="48">
        <f>+E23-E34</f>
        <v>47830.907586000016</v>
      </c>
      <c r="F36" s="31"/>
      <c r="G36" s="31">
        <f>+G23-G34-1</f>
        <v>35553.52900000001</v>
      </c>
    </row>
    <row r="37" spans="1:7" ht="6" customHeight="1">
      <c r="A37" s="35"/>
      <c r="C37" s="47"/>
      <c r="D37" s="47"/>
      <c r="E37" s="48"/>
      <c r="F37" s="31"/>
      <c r="G37" s="31"/>
    </row>
    <row r="38" spans="1:7" ht="12">
      <c r="A38" s="35"/>
      <c r="C38" s="45" t="s">
        <v>97</v>
      </c>
      <c r="D38" s="45"/>
      <c r="E38" s="49">
        <f>52637/1000</f>
        <v>52.637</v>
      </c>
      <c r="F38" s="31"/>
      <c r="G38" s="49">
        <v>14.764</v>
      </c>
    </row>
    <row r="39" spans="1:8" ht="14.25" customHeight="1" thickBot="1">
      <c r="A39" s="35"/>
      <c r="C39" s="47"/>
      <c r="D39" s="47"/>
      <c r="E39" s="50">
        <f>+E36+E10+E11+E12+E13+E14+E38+1</f>
        <v>96301.36658600002</v>
      </c>
      <c r="F39" s="44"/>
      <c r="G39" s="51">
        <f>+G36+G10+G11+G13+G14+G38+G12+1</f>
        <v>89958.996</v>
      </c>
      <c r="H39" s="34"/>
    </row>
    <row r="40" spans="1:7" ht="12.75" thickTop="1">
      <c r="A40" s="35"/>
      <c r="C40" s="47"/>
      <c r="D40" s="47"/>
      <c r="E40" s="31"/>
      <c r="F40" s="31"/>
      <c r="G40" s="31"/>
    </row>
    <row r="41" spans="1:7" ht="12">
      <c r="A41" s="35">
        <v>8</v>
      </c>
      <c r="B41" s="2" t="s">
        <v>98</v>
      </c>
      <c r="C41" s="47"/>
      <c r="D41" s="47"/>
      <c r="E41" s="31"/>
      <c r="F41" s="31"/>
      <c r="G41" s="31"/>
    </row>
    <row r="42" spans="1:7" ht="12">
      <c r="A42" s="35"/>
      <c r="B42" s="2" t="s">
        <v>99</v>
      </c>
      <c r="C42" s="47"/>
      <c r="D42" s="47"/>
      <c r="E42" s="31">
        <f>40405000/1000</f>
        <v>40405</v>
      </c>
      <c r="F42" s="31"/>
      <c r="G42" s="31">
        <f>39999000/1000</f>
        <v>39999</v>
      </c>
    </row>
    <row r="43" spans="1:6" ht="12">
      <c r="A43" s="35"/>
      <c r="B43" s="2" t="s">
        <v>100</v>
      </c>
      <c r="C43" s="47"/>
      <c r="D43" s="47"/>
      <c r="E43" s="31"/>
      <c r="F43" s="31"/>
    </row>
    <row r="44" spans="1:7" ht="12">
      <c r="A44" s="35"/>
      <c r="C44" s="39" t="s">
        <v>101</v>
      </c>
      <c r="D44" s="39"/>
      <c r="E44" s="31">
        <f>2484352/1000</f>
        <v>2484.352</v>
      </c>
      <c r="F44" s="31"/>
      <c r="G44" s="48">
        <f>1874452/1000</f>
        <v>1874.452</v>
      </c>
    </row>
    <row r="45" spans="1:7" ht="12">
      <c r="A45" s="35"/>
      <c r="C45" s="39" t="s">
        <v>102</v>
      </c>
      <c r="D45" s="39"/>
      <c r="E45" s="44">
        <f>2595389/1000+1</f>
        <v>2596.389</v>
      </c>
      <c r="F45" s="44"/>
      <c r="G45" s="52">
        <f>2595389/1000</f>
        <v>2595.389</v>
      </c>
    </row>
    <row r="46" spans="1:7" ht="12">
      <c r="A46" s="35"/>
      <c r="C46" s="39" t="s">
        <v>103</v>
      </c>
      <c r="D46" s="39"/>
      <c r="E46" s="44">
        <f>+(38519779+5828214)/1000+1</f>
        <v>44348.993</v>
      </c>
      <c r="F46" s="44"/>
      <c r="G46" s="52">
        <f>38516307/1000</f>
        <v>38516.307</v>
      </c>
    </row>
    <row r="47" spans="1:8" ht="7.5" customHeight="1">
      <c r="A47" s="35"/>
      <c r="C47" s="39"/>
      <c r="D47" s="39"/>
      <c r="E47" s="53"/>
      <c r="F47" s="31"/>
      <c r="G47" s="53"/>
      <c r="H47" s="54"/>
    </row>
    <row r="48" spans="1:7" ht="12">
      <c r="A48" s="35"/>
      <c r="C48" s="39"/>
      <c r="D48" s="39"/>
      <c r="E48" s="55">
        <f>SUM(E42:E47)-1</f>
        <v>89833.734</v>
      </c>
      <c r="F48" s="31"/>
      <c r="G48" s="56">
        <f>SUM(G42:G47)-1</f>
        <v>82984.148</v>
      </c>
    </row>
    <row r="49" spans="1:7" ht="6.75" customHeight="1">
      <c r="A49" s="35"/>
      <c r="C49" s="39"/>
      <c r="D49" s="39"/>
      <c r="E49" s="57"/>
      <c r="F49" s="31"/>
      <c r="G49" s="57"/>
    </row>
    <row r="50" spans="1:7" ht="7.5" customHeight="1">
      <c r="A50" s="35"/>
      <c r="E50" s="44"/>
      <c r="F50" s="31"/>
      <c r="G50" s="44"/>
    </row>
    <row r="51" spans="1:7" ht="12">
      <c r="A51" s="35">
        <v>9</v>
      </c>
      <c r="B51" s="2" t="s">
        <v>104</v>
      </c>
      <c r="E51" s="31">
        <f>1473104/1000</f>
        <v>1473.104</v>
      </c>
      <c r="F51" s="31"/>
      <c r="G51" s="31">
        <f>1480531/1000+1</f>
        <v>1481.531</v>
      </c>
    </row>
    <row r="52" spans="1:7" ht="9" customHeight="1">
      <c r="A52" s="35"/>
      <c r="F52" s="31"/>
      <c r="G52" s="31"/>
    </row>
    <row r="53" spans="1:7" ht="12">
      <c r="A53" s="35">
        <v>10</v>
      </c>
      <c r="B53" s="2" t="s">
        <v>105</v>
      </c>
      <c r="E53" s="31">
        <f>+'[2]CBS'!$AB$141/1000</f>
        <v>1293.525</v>
      </c>
      <c r="F53" s="31"/>
      <c r="G53" s="31">
        <f>1689317/1000+1</f>
        <v>1690.317</v>
      </c>
    </row>
    <row r="54" spans="1:7" ht="7.5" customHeight="1">
      <c r="A54" s="35"/>
      <c r="E54" s="31"/>
      <c r="F54" s="31"/>
      <c r="G54" s="31"/>
    </row>
    <row r="55" spans="1:7" ht="12">
      <c r="A55" s="35">
        <v>11</v>
      </c>
      <c r="B55" s="2" t="s">
        <v>106</v>
      </c>
      <c r="E55" s="31">
        <v>3700</v>
      </c>
      <c r="F55" s="31"/>
      <c r="G55" s="31">
        <f>3803000/1000</f>
        <v>3803</v>
      </c>
    </row>
    <row r="56" spans="1:7" ht="12.75" thickBot="1">
      <c r="A56" s="35"/>
      <c r="E56" s="58">
        <f>SUM(E48:E55)+1</f>
        <v>96301.363</v>
      </c>
      <c r="F56" s="31"/>
      <c r="G56" s="58">
        <f>SUM(G48:G55)</f>
        <v>89958.996</v>
      </c>
    </row>
    <row r="57" spans="1:7" ht="12.75" thickTop="1">
      <c r="A57" s="35"/>
      <c r="E57" s="31"/>
      <c r="F57" s="31"/>
      <c r="G57" s="31"/>
    </row>
    <row r="58" spans="1:7" ht="12">
      <c r="A58" s="35">
        <v>12</v>
      </c>
      <c r="B58" s="2" t="s">
        <v>107</v>
      </c>
      <c r="E58" s="59">
        <f>+(E48-E38-E14)/E42</f>
        <v>2.2215933176587055</v>
      </c>
      <c r="F58" s="31"/>
      <c r="G58" s="59">
        <f>+(G48-G38-G14)/G42</f>
        <v>2.0739468486712167</v>
      </c>
    </row>
    <row r="59" spans="1:7" ht="12">
      <c r="A59" s="35"/>
      <c r="E59" s="31"/>
      <c r="F59" s="31"/>
      <c r="G59" s="31"/>
    </row>
    <row r="60" spans="1:7" ht="12">
      <c r="A60" s="35"/>
      <c r="E60" s="59"/>
      <c r="F60" s="31"/>
      <c r="G60" s="31"/>
    </row>
    <row r="61" spans="1:7" ht="12.75" customHeight="1">
      <c r="A61" s="35"/>
      <c r="B61" s="38"/>
      <c r="E61" s="31"/>
      <c r="F61" s="31"/>
      <c r="G61" s="31"/>
    </row>
    <row r="62" spans="1:7" ht="12">
      <c r="A62" s="35"/>
      <c r="E62" s="31"/>
      <c r="F62" s="31"/>
      <c r="G62" s="31"/>
    </row>
    <row r="63" spans="1:7" ht="12">
      <c r="A63" s="35"/>
      <c r="E63" s="31"/>
      <c r="F63" s="31"/>
      <c r="G63" s="31"/>
    </row>
    <row r="64" spans="1:7" ht="12">
      <c r="A64" s="35"/>
      <c r="E64" s="31"/>
      <c r="F64" s="31"/>
      <c r="G64" s="31"/>
    </row>
    <row r="65" spans="1:7" ht="12">
      <c r="A65" s="35"/>
      <c r="E65" s="31"/>
      <c r="F65" s="31"/>
      <c r="G65" s="31"/>
    </row>
    <row r="66" spans="1:7" ht="12">
      <c r="A66" s="35"/>
      <c r="E66" s="31"/>
      <c r="F66" s="31"/>
      <c r="G66" s="31"/>
    </row>
    <row r="67" spans="1:7" ht="12">
      <c r="A67" s="35"/>
      <c r="E67" s="31"/>
      <c r="F67" s="31"/>
      <c r="G67" s="31"/>
    </row>
    <row r="68" spans="1:7" ht="12">
      <c r="A68" s="35"/>
      <c r="E68" s="31"/>
      <c r="F68" s="31"/>
      <c r="G68" s="31"/>
    </row>
    <row r="69" spans="1:7" ht="12">
      <c r="A69" s="35"/>
      <c r="E69" s="31"/>
      <c r="F69" s="31"/>
      <c r="G69" s="31"/>
    </row>
    <row r="70" spans="1:7" ht="12">
      <c r="A70" s="35"/>
      <c r="E70" s="31"/>
      <c r="F70" s="31"/>
      <c r="G70" s="31"/>
    </row>
    <row r="71" spans="1:7" ht="12">
      <c r="A71" s="35"/>
      <c r="E71" s="31"/>
      <c r="F71" s="31"/>
      <c r="G71" s="31"/>
    </row>
    <row r="72" spans="1:7" ht="12">
      <c r="A72" s="35"/>
      <c r="E72" s="31"/>
      <c r="F72" s="31"/>
      <c r="G72" s="31"/>
    </row>
    <row r="73" spans="1:7" ht="12">
      <c r="A73" s="35"/>
      <c r="E73" s="31"/>
      <c r="F73" s="31"/>
      <c r="G73" s="31"/>
    </row>
    <row r="74" spans="1:7" ht="12">
      <c r="A74" s="35"/>
      <c r="E74" s="31"/>
      <c r="F74" s="31"/>
      <c r="G74" s="31"/>
    </row>
    <row r="75" spans="1:7" ht="12">
      <c r="A75" s="35"/>
      <c r="E75" s="31"/>
      <c r="F75" s="31"/>
      <c r="G75" s="31"/>
    </row>
    <row r="76" spans="1:7" ht="12">
      <c r="A76" s="35"/>
      <c r="E76" s="31"/>
      <c r="F76" s="31"/>
      <c r="G76" s="31"/>
    </row>
    <row r="77" spans="1:7" ht="12">
      <c r="A77" s="35"/>
      <c r="E77" s="31"/>
      <c r="F77" s="31"/>
      <c r="G77" s="31"/>
    </row>
    <row r="78" spans="1:7" ht="12">
      <c r="A78" s="35"/>
      <c r="E78" s="31"/>
      <c r="F78" s="31"/>
      <c r="G78" s="31"/>
    </row>
    <row r="79" spans="1:7" ht="12">
      <c r="A79" s="35"/>
      <c r="E79" s="31"/>
      <c r="F79" s="31"/>
      <c r="G79" s="31"/>
    </row>
    <row r="80" spans="1:7" ht="12">
      <c r="A80" s="35"/>
      <c r="E80" s="31"/>
      <c r="F80" s="31"/>
      <c r="G80" s="31"/>
    </row>
    <row r="81" spans="1:7" ht="12">
      <c r="A81" s="35"/>
      <c r="E81" s="31"/>
      <c r="F81" s="31"/>
      <c r="G81" s="31"/>
    </row>
    <row r="82" spans="1:7" ht="12">
      <c r="A82" s="35"/>
      <c r="E82" s="31"/>
      <c r="F82" s="31"/>
      <c r="G82" s="31"/>
    </row>
    <row r="83" spans="1:7" ht="12">
      <c r="A83" s="35"/>
      <c r="E83" s="31"/>
      <c r="F83" s="31"/>
      <c r="G83" s="31"/>
    </row>
    <row r="84" spans="1:7" ht="12">
      <c r="A84" s="35"/>
      <c r="E84" s="31"/>
      <c r="F84" s="31"/>
      <c r="G84" s="31"/>
    </row>
    <row r="85" spans="1:7" ht="12">
      <c r="A85" s="35"/>
      <c r="E85" s="31"/>
      <c r="F85" s="31"/>
      <c r="G85" s="31"/>
    </row>
    <row r="86" spans="1:7" ht="12">
      <c r="A86" s="35"/>
      <c r="E86" s="31"/>
      <c r="F86" s="31"/>
      <c r="G86" s="31"/>
    </row>
    <row r="87" spans="1:7" ht="12">
      <c r="A87" s="35"/>
      <c r="E87" s="31"/>
      <c r="F87" s="31"/>
      <c r="G87" s="31"/>
    </row>
    <row r="88" spans="1:7" ht="12">
      <c r="A88" s="35"/>
      <c r="E88" s="31"/>
      <c r="F88" s="31"/>
      <c r="G88" s="31"/>
    </row>
    <row r="89" spans="1:7" ht="12">
      <c r="A89" s="35"/>
      <c r="E89" s="31"/>
      <c r="F89" s="31"/>
      <c r="G89" s="31"/>
    </row>
    <row r="90" spans="1:7" ht="12">
      <c r="A90" s="35"/>
      <c r="E90" s="31"/>
      <c r="F90" s="31"/>
      <c r="G90" s="31"/>
    </row>
    <row r="91" spans="1:7" ht="12">
      <c r="A91" s="35"/>
      <c r="E91" s="31"/>
      <c r="F91" s="31"/>
      <c r="G91" s="31"/>
    </row>
    <row r="92" spans="1:7" ht="12">
      <c r="A92" s="35"/>
      <c r="E92" s="31"/>
      <c r="F92" s="31"/>
      <c r="G92" s="31"/>
    </row>
    <row r="93" spans="1:7" ht="12">
      <c r="A93" s="35"/>
      <c r="E93" s="31"/>
      <c r="F93" s="31"/>
      <c r="G93" s="31"/>
    </row>
    <row r="94" spans="1:7" ht="12">
      <c r="A94" s="35"/>
      <c r="E94" s="31"/>
      <c r="F94" s="31"/>
      <c r="G94" s="31"/>
    </row>
    <row r="95" spans="1:7" ht="12">
      <c r="A95" s="35"/>
      <c r="E95" s="31"/>
      <c r="F95" s="31"/>
      <c r="G95" s="31"/>
    </row>
    <row r="96" spans="1:7" ht="12">
      <c r="A96" s="35"/>
      <c r="E96" s="31"/>
      <c r="F96" s="31"/>
      <c r="G96" s="31"/>
    </row>
    <row r="97" spans="1:7" ht="12">
      <c r="A97" s="35"/>
      <c r="E97" s="31"/>
      <c r="F97" s="31"/>
      <c r="G97" s="31"/>
    </row>
    <row r="98" spans="1:7" ht="12">
      <c r="A98" s="35"/>
      <c r="E98" s="31"/>
      <c r="F98" s="31"/>
      <c r="G98" s="31"/>
    </row>
    <row r="99" spans="1:7" ht="12">
      <c r="A99" s="35"/>
      <c r="E99" s="31"/>
      <c r="F99" s="31"/>
      <c r="G99" s="31"/>
    </row>
    <row r="100" spans="1:7" ht="12">
      <c r="A100" s="35"/>
      <c r="E100" s="31"/>
      <c r="F100" s="31"/>
      <c r="G100" s="31"/>
    </row>
    <row r="101" spans="1:7" ht="12">
      <c r="A101" s="35"/>
      <c r="E101" s="31"/>
      <c r="F101" s="31"/>
      <c r="G101" s="31"/>
    </row>
    <row r="102" spans="1:7" ht="12">
      <c r="A102" s="35"/>
      <c r="E102" s="31"/>
      <c r="F102" s="31"/>
      <c r="G102" s="31"/>
    </row>
    <row r="103" spans="1:7" ht="12">
      <c r="A103" s="35"/>
      <c r="E103" s="31"/>
      <c r="F103" s="31"/>
      <c r="G103" s="31"/>
    </row>
    <row r="104" spans="1:7" ht="12">
      <c r="A104" s="35"/>
      <c r="E104" s="31"/>
      <c r="F104" s="31"/>
      <c r="G104" s="31"/>
    </row>
    <row r="105" spans="1:7" ht="12">
      <c r="A105" s="35"/>
      <c r="E105" s="31"/>
      <c r="F105" s="31"/>
      <c r="G105" s="31"/>
    </row>
    <row r="106" spans="1:7" ht="12">
      <c r="A106" s="35"/>
      <c r="E106" s="31"/>
      <c r="F106" s="31"/>
      <c r="G106" s="31"/>
    </row>
    <row r="107" spans="1:7" ht="12">
      <c r="A107" s="35"/>
      <c r="E107" s="31"/>
      <c r="F107" s="31"/>
      <c r="G107" s="31"/>
    </row>
    <row r="108" spans="1:7" ht="12">
      <c r="A108" s="35"/>
      <c r="E108" s="31"/>
      <c r="F108" s="31"/>
      <c r="G108" s="31"/>
    </row>
    <row r="109" spans="1:7" ht="12">
      <c r="A109" s="35"/>
      <c r="E109" s="31"/>
      <c r="F109" s="31"/>
      <c r="G109" s="31"/>
    </row>
    <row r="110" spans="1:7" ht="12">
      <c r="A110" s="35"/>
      <c r="E110" s="31"/>
      <c r="F110" s="31"/>
      <c r="G110" s="31"/>
    </row>
    <row r="111" spans="1:7" ht="12">
      <c r="A111" s="35"/>
      <c r="E111" s="31"/>
      <c r="F111" s="31"/>
      <c r="G111" s="31"/>
    </row>
    <row r="112" spans="1:7" ht="12">
      <c r="A112" s="35"/>
      <c r="E112" s="31"/>
      <c r="F112" s="31"/>
      <c r="G112" s="31"/>
    </row>
    <row r="113" spans="1:7" ht="12">
      <c r="A113" s="35"/>
      <c r="E113" s="31"/>
      <c r="F113" s="31"/>
      <c r="G113" s="31"/>
    </row>
    <row r="114" spans="1:7" ht="12">
      <c r="A114" s="35"/>
      <c r="E114" s="31"/>
      <c r="F114" s="31"/>
      <c r="G114" s="31"/>
    </row>
    <row r="115" ht="12">
      <c r="A115" s="35"/>
    </row>
    <row r="116" ht="12">
      <c r="A116" s="35"/>
    </row>
    <row r="117" ht="12">
      <c r="A117" s="35"/>
    </row>
    <row r="118" ht="12">
      <c r="A118" s="35"/>
    </row>
    <row r="119" ht="12">
      <c r="A119" s="35"/>
    </row>
    <row r="120" ht="12">
      <c r="A120" s="35"/>
    </row>
    <row r="121" ht="12">
      <c r="A121" s="35"/>
    </row>
    <row r="122" ht="12">
      <c r="A122" s="35"/>
    </row>
    <row r="123" ht="12">
      <c r="A123" s="35"/>
    </row>
    <row r="124" ht="12">
      <c r="A124" s="35"/>
    </row>
    <row r="125" ht="12">
      <c r="A125" s="35"/>
    </row>
    <row r="126" ht="12">
      <c r="A126" s="35"/>
    </row>
    <row r="127" ht="12">
      <c r="A127" s="35"/>
    </row>
  </sheetData>
  <printOptions/>
  <pageMargins left="0.67" right="0.62" top="0.57" bottom="1" header="0.31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3"/>
  <sheetViews>
    <sheetView workbookViewId="0" topLeftCell="A1">
      <selection activeCell="B40" sqref="B40"/>
    </sheetView>
  </sheetViews>
  <sheetFormatPr defaultColWidth="9.140625" defaultRowHeight="12.75"/>
  <cols>
    <col min="1" max="1" width="4.00390625" style="66" customWidth="1"/>
    <col min="2" max="2" width="12.7109375" style="61" customWidth="1"/>
    <col min="3" max="3" width="6.7109375" style="61" customWidth="1"/>
    <col min="4" max="4" width="12.421875" style="61" customWidth="1"/>
    <col min="5" max="5" width="12.7109375" style="61" customWidth="1"/>
    <col min="6" max="6" width="10.28125" style="61" customWidth="1"/>
    <col min="7" max="7" width="3.8515625" style="61" customWidth="1"/>
    <col min="8" max="8" width="11.8515625" style="61" customWidth="1"/>
    <col min="9" max="9" width="1.421875" style="61" customWidth="1"/>
    <col min="10" max="10" width="15.7109375" style="61" customWidth="1"/>
    <col min="11" max="11" width="6.421875" style="61" customWidth="1"/>
    <col min="12" max="16384" width="9.140625" style="61" customWidth="1"/>
  </cols>
  <sheetData>
    <row r="1" ht="12.75">
      <c r="A1" s="60" t="s">
        <v>108</v>
      </c>
    </row>
    <row r="2" spans="1:11" s="64" customFormat="1" ht="12.75">
      <c r="A2" s="62">
        <v>1</v>
      </c>
      <c r="B2" s="63" t="s">
        <v>109</v>
      </c>
      <c r="C2" s="63"/>
      <c r="D2" s="63"/>
      <c r="E2" s="63"/>
      <c r="F2" s="63"/>
      <c r="G2" s="63"/>
      <c r="H2" s="63"/>
      <c r="I2" s="63"/>
      <c r="J2" s="63"/>
      <c r="K2" s="63"/>
    </row>
    <row r="3" s="65" customFormat="1" ht="12.75">
      <c r="B3" s="65" t="s">
        <v>110</v>
      </c>
    </row>
    <row r="4" s="65" customFormat="1" ht="12.75">
      <c r="B4" s="65" t="s">
        <v>111</v>
      </c>
    </row>
    <row r="5" spans="1:11" s="64" customFormat="1" ht="12.75">
      <c r="A5" s="62">
        <v>2</v>
      </c>
      <c r="B5" s="63" t="s">
        <v>112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2.75">
      <c r="B6" s="65" t="s">
        <v>113</v>
      </c>
      <c r="C6" s="65"/>
      <c r="D6" s="65"/>
      <c r="E6" s="65"/>
      <c r="F6" s="65"/>
      <c r="G6" s="65"/>
      <c r="H6" s="65"/>
      <c r="I6" s="65"/>
      <c r="J6" s="65"/>
      <c r="K6" s="65"/>
    </row>
    <row r="7" spans="1:11" ht="12.75">
      <c r="A7" s="62">
        <v>3</v>
      </c>
      <c r="B7" s="63" t="s">
        <v>114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>
      <c r="B8" s="65" t="s">
        <v>115</v>
      </c>
      <c r="C8" s="65"/>
      <c r="D8" s="65"/>
      <c r="E8" s="65"/>
      <c r="F8" s="65"/>
      <c r="G8" s="65"/>
      <c r="H8" s="65"/>
      <c r="I8" s="65"/>
      <c r="J8" s="65"/>
      <c r="K8" s="65"/>
    </row>
    <row r="9" spans="1:11" s="64" customFormat="1" ht="12.75">
      <c r="A9" s="62">
        <v>4</v>
      </c>
      <c r="B9" s="63" t="s">
        <v>43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12.75">
      <c r="B10" s="65" t="s">
        <v>116</v>
      </c>
      <c r="C10" s="65"/>
      <c r="D10" s="65"/>
      <c r="E10" s="65"/>
      <c r="F10" s="65"/>
      <c r="G10" s="65"/>
      <c r="H10" s="65"/>
      <c r="I10" s="65"/>
      <c r="J10" s="65"/>
      <c r="K10" s="65"/>
    </row>
    <row r="11" spans="1:11" s="64" customFormat="1" ht="12.75">
      <c r="A11" s="62">
        <v>5</v>
      </c>
      <c r="B11" s="63" t="s">
        <v>117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2:11" ht="12.75">
      <c r="B12" s="65" t="s">
        <v>115</v>
      </c>
      <c r="C12" s="65"/>
      <c r="D12" s="65"/>
      <c r="E12" s="65"/>
      <c r="F12" s="65"/>
      <c r="G12" s="65"/>
      <c r="H12" s="65"/>
      <c r="I12" s="65"/>
      <c r="J12" s="65"/>
      <c r="K12" s="65"/>
    </row>
    <row r="13" spans="1:11" s="64" customFormat="1" ht="12.75">
      <c r="A13" s="62">
        <v>6</v>
      </c>
      <c r="B13" s="63" t="s">
        <v>118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2:11" ht="12.75">
      <c r="B14" s="65" t="s">
        <v>119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2:11" ht="12.75">
      <c r="B15" s="65" t="s">
        <v>120</v>
      </c>
      <c r="C15" s="65"/>
      <c r="D15" s="65"/>
      <c r="E15" s="65"/>
      <c r="F15" s="65"/>
      <c r="G15" s="65"/>
      <c r="H15" s="65"/>
      <c r="I15" s="65"/>
      <c r="J15" s="65"/>
      <c r="K15" s="65"/>
    </row>
    <row r="16" spans="1:11" s="64" customFormat="1" ht="12.75">
      <c r="A16" s="62">
        <v>7</v>
      </c>
      <c r="B16" s="63" t="s">
        <v>121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2:11" ht="12.75">
      <c r="B17" s="65" t="s">
        <v>115</v>
      </c>
      <c r="C17" s="65"/>
      <c r="D17" s="65"/>
      <c r="E17" s="65"/>
      <c r="F17" s="65"/>
      <c r="G17" s="65"/>
      <c r="H17" s="65" t="s">
        <v>59</v>
      </c>
      <c r="I17" s="65"/>
      <c r="J17" s="65"/>
      <c r="K17" s="65"/>
    </row>
    <row r="18" spans="1:11" s="64" customFormat="1" ht="12.75">
      <c r="A18" s="62">
        <v>8</v>
      </c>
      <c r="B18" s="63" t="s">
        <v>122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2:11" ht="12.75">
      <c r="B19" s="65" t="s">
        <v>123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2:11" ht="12.75">
      <c r="B20" s="65" t="s">
        <v>124</v>
      </c>
      <c r="C20" s="65"/>
      <c r="D20" s="65"/>
      <c r="E20" s="65"/>
      <c r="F20" s="65"/>
      <c r="G20" s="65"/>
      <c r="H20" s="65"/>
      <c r="I20" s="65"/>
      <c r="J20" s="65"/>
      <c r="K20" s="65"/>
    </row>
    <row r="21" spans="1:11" s="67" customFormat="1" ht="13.5">
      <c r="A21" s="62">
        <v>9</v>
      </c>
      <c r="B21" s="63" t="s">
        <v>125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s="69" customFormat="1" ht="12.75">
      <c r="A22" s="66"/>
      <c r="B22" s="65" t="s">
        <v>126</v>
      </c>
      <c r="C22" s="65"/>
      <c r="D22" s="65"/>
      <c r="E22" s="65"/>
      <c r="F22" s="65"/>
      <c r="G22" s="65"/>
      <c r="H22" s="65"/>
      <c r="I22" s="65"/>
      <c r="J22" s="65"/>
      <c r="K22" s="65"/>
    </row>
    <row r="23" spans="1:11" s="69" customFormat="1" ht="12.75">
      <c r="A23" s="66"/>
      <c r="B23" s="65" t="s">
        <v>127</v>
      </c>
      <c r="C23" s="65"/>
      <c r="D23" s="65"/>
      <c r="E23" s="65"/>
      <c r="F23" s="65"/>
      <c r="G23" s="65"/>
      <c r="H23" s="65"/>
      <c r="I23" s="65"/>
      <c r="J23" s="65"/>
      <c r="K23" s="65"/>
    </row>
    <row r="24" spans="1:11" s="69" customFormat="1" ht="12.75">
      <c r="A24" s="66"/>
      <c r="B24" s="65" t="s">
        <v>128</v>
      </c>
      <c r="C24" s="65"/>
      <c r="D24" s="65"/>
      <c r="E24" s="65"/>
      <c r="F24" s="65"/>
      <c r="G24" s="65"/>
      <c r="H24" s="65"/>
      <c r="I24" s="65"/>
      <c r="J24" s="65"/>
      <c r="K24" s="65"/>
    </row>
    <row r="25" spans="1:11" s="69" customFormat="1" ht="12.75">
      <c r="A25" s="66"/>
      <c r="B25" s="65" t="s">
        <v>129</v>
      </c>
      <c r="C25" s="65"/>
      <c r="D25" s="65"/>
      <c r="E25" s="65"/>
      <c r="F25" s="65"/>
      <c r="G25" s="65"/>
      <c r="H25" s="65"/>
      <c r="I25" s="65"/>
      <c r="J25" s="65"/>
      <c r="K25" s="65"/>
    </row>
    <row r="26" spans="1:11" s="69" customFormat="1" ht="12.75">
      <c r="A26" s="66"/>
      <c r="B26" s="65" t="s">
        <v>130</v>
      </c>
      <c r="C26" s="65"/>
      <c r="D26" s="65"/>
      <c r="E26" s="65"/>
      <c r="F26" s="65"/>
      <c r="G26" s="65"/>
      <c r="H26" s="65"/>
      <c r="I26" s="65"/>
      <c r="J26" s="65"/>
      <c r="K26" s="65"/>
    </row>
    <row r="27" spans="1:11" s="69" customFormat="1" ht="13.5" customHeight="1">
      <c r="A27" s="66"/>
      <c r="B27" s="65" t="s">
        <v>131</v>
      </c>
      <c r="C27" s="65"/>
      <c r="D27" s="65"/>
      <c r="E27" s="65"/>
      <c r="F27" s="65"/>
      <c r="G27" s="65"/>
      <c r="H27" s="65"/>
      <c r="I27" s="65"/>
      <c r="J27" s="65"/>
      <c r="K27" s="65"/>
    </row>
    <row r="28" spans="1:11" s="69" customFormat="1" ht="12" customHeight="1">
      <c r="A28" s="66"/>
      <c r="B28" s="65" t="s">
        <v>132</v>
      </c>
      <c r="C28" s="65"/>
      <c r="D28" s="65"/>
      <c r="E28" s="65"/>
      <c r="F28" s="65"/>
      <c r="G28" s="65"/>
      <c r="H28" s="65"/>
      <c r="I28" s="65"/>
      <c r="J28" s="65"/>
      <c r="K28" s="65"/>
    </row>
    <row r="29" spans="1:11" s="69" customFormat="1" ht="12.75">
      <c r="A29" s="66"/>
      <c r="B29" s="65" t="s">
        <v>133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s="69" customFormat="1" ht="12.75">
      <c r="A30" s="66"/>
      <c r="B30" s="65" t="s">
        <v>134</v>
      </c>
      <c r="C30" s="65"/>
      <c r="D30" s="65"/>
      <c r="E30" s="65"/>
      <c r="F30" s="65"/>
      <c r="G30" s="65"/>
      <c r="H30" s="65"/>
      <c r="I30" s="65"/>
      <c r="J30" s="65"/>
      <c r="K30" s="65"/>
    </row>
    <row r="31" spans="1:11" s="69" customFormat="1" ht="12.75">
      <c r="A31" s="66"/>
      <c r="B31" s="65" t="s">
        <v>135</v>
      </c>
      <c r="C31" s="65"/>
      <c r="D31" s="65"/>
      <c r="E31" s="65"/>
      <c r="F31" s="65"/>
      <c r="G31" s="65"/>
      <c r="H31" s="65"/>
      <c r="I31" s="65"/>
      <c r="J31" s="65"/>
      <c r="K31" s="65"/>
    </row>
    <row r="32" spans="1:11" s="69" customFormat="1" ht="6" customHeight="1">
      <c r="A32" s="66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s="69" customFormat="1" ht="12.75">
      <c r="A33" s="66"/>
      <c r="B33" s="65" t="s">
        <v>136</v>
      </c>
      <c r="C33" s="65"/>
      <c r="D33" s="65"/>
      <c r="E33" s="65"/>
      <c r="F33" s="65"/>
      <c r="G33" s="65"/>
      <c r="H33" s="65"/>
      <c r="I33" s="65"/>
      <c r="J33" s="65"/>
      <c r="K33" s="65"/>
    </row>
    <row r="34" spans="1:11" s="69" customFormat="1" ht="12.75">
      <c r="A34" s="66"/>
      <c r="B34" s="65" t="s">
        <v>137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s="69" customFormat="1" ht="12" customHeight="1">
      <c r="A35" s="66"/>
      <c r="B35" s="65" t="s">
        <v>138</v>
      </c>
      <c r="C35" s="65"/>
      <c r="D35" s="65"/>
      <c r="E35" s="65"/>
      <c r="F35" s="65"/>
      <c r="G35" s="65"/>
      <c r="H35" s="65"/>
      <c r="I35" s="65"/>
      <c r="J35" s="65"/>
      <c r="K35" s="65"/>
    </row>
    <row r="36" spans="1:11" s="69" customFormat="1" ht="12.75">
      <c r="A36" s="66"/>
      <c r="B36" s="65" t="s">
        <v>139</v>
      </c>
      <c r="C36" s="65"/>
      <c r="D36" s="65"/>
      <c r="E36" s="65"/>
      <c r="F36" s="65"/>
      <c r="G36" s="65"/>
      <c r="H36" s="65"/>
      <c r="I36" s="65"/>
      <c r="J36" s="65"/>
      <c r="K36" s="65"/>
    </row>
    <row r="37" spans="1:11" s="69" customFormat="1" ht="12.75">
      <c r="A37" s="66"/>
      <c r="B37" s="65" t="s">
        <v>140</v>
      </c>
      <c r="C37" s="65"/>
      <c r="D37" s="65"/>
      <c r="E37" s="65"/>
      <c r="F37" s="65"/>
      <c r="G37" s="65"/>
      <c r="H37" s="65"/>
      <c r="I37" s="65"/>
      <c r="J37" s="65"/>
      <c r="K37" s="65"/>
    </row>
    <row r="38" spans="2:11" ht="12.75">
      <c r="B38" s="66"/>
      <c r="C38" s="65"/>
      <c r="D38" s="65"/>
      <c r="E38" s="65"/>
      <c r="F38" s="65"/>
      <c r="G38" s="65"/>
      <c r="H38" s="65"/>
      <c r="I38" s="65"/>
      <c r="J38" s="65"/>
      <c r="K38" s="65"/>
    </row>
    <row r="39" spans="1:11" s="72" customFormat="1" ht="12.75">
      <c r="A39" s="70">
        <v>10</v>
      </c>
      <c r="B39" s="71" t="s">
        <v>141</v>
      </c>
      <c r="C39" s="71"/>
      <c r="D39" s="71"/>
      <c r="E39" s="71"/>
      <c r="F39" s="71"/>
      <c r="G39" s="71"/>
      <c r="H39" s="71"/>
      <c r="I39" s="71"/>
      <c r="J39" s="71"/>
      <c r="K39" s="71"/>
    </row>
    <row r="40" spans="1:11" s="72" customFormat="1" ht="12.75">
      <c r="A40" s="70"/>
      <c r="B40" s="73" t="s">
        <v>142</v>
      </c>
      <c r="C40" s="71"/>
      <c r="D40" s="71"/>
      <c r="E40" s="71"/>
      <c r="F40" s="71"/>
      <c r="G40" s="71"/>
      <c r="H40" s="71"/>
      <c r="I40" s="71"/>
      <c r="J40" s="71"/>
      <c r="K40" s="71"/>
    </row>
    <row r="41" spans="1:11" s="72" customFormat="1" ht="12.75">
      <c r="A41" s="70"/>
      <c r="B41" s="73" t="s">
        <v>143</v>
      </c>
      <c r="C41" s="73"/>
      <c r="D41" s="73"/>
      <c r="E41" s="73"/>
      <c r="F41" s="73"/>
      <c r="G41" s="73"/>
      <c r="H41" s="73"/>
      <c r="I41" s="73"/>
      <c r="J41" s="73"/>
      <c r="K41" s="73"/>
    </row>
    <row r="42" spans="1:11" s="72" customFormat="1" ht="12.75">
      <c r="A42" s="70"/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s="72" customFormat="1" ht="12.75">
      <c r="A43" s="70">
        <v>11</v>
      </c>
      <c r="B43" s="71" t="s">
        <v>144</v>
      </c>
      <c r="C43" s="71"/>
      <c r="D43" s="71"/>
      <c r="E43" s="71"/>
      <c r="F43" s="71"/>
      <c r="G43" s="71"/>
      <c r="H43" s="71"/>
      <c r="I43" s="71"/>
      <c r="J43" s="71"/>
      <c r="K43" s="71"/>
    </row>
    <row r="44" spans="1:11" s="75" customFormat="1" ht="12.75" customHeight="1">
      <c r="A44" s="74"/>
      <c r="B44" s="73" t="s">
        <v>145</v>
      </c>
      <c r="C44" s="73"/>
      <c r="D44" s="73"/>
      <c r="E44" s="73"/>
      <c r="F44" s="73"/>
      <c r="G44" s="73"/>
      <c r="H44" s="73"/>
      <c r="I44" s="73"/>
      <c r="J44" s="73"/>
      <c r="K44" s="73"/>
    </row>
    <row r="45" spans="1:11" s="75" customFormat="1" ht="12.75" customHeight="1">
      <c r="A45" s="74"/>
      <c r="B45" s="73" t="s">
        <v>146</v>
      </c>
      <c r="C45" s="73"/>
      <c r="D45" s="73"/>
      <c r="E45" s="73"/>
      <c r="F45" s="73"/>
      <c r="G45" s="73"/>
      <c r="H45" s="73"/>
      <c r="I45" s="73"/>
      <c r="J45" s="73"/>
      <c r="K45" s="73"/>
    </row>
    <row r="46" spans="1:11" s="75" customFormat="1" ht="7.5" customHeight="1">
      <c r="A46" s="74"/>
      <c r="C46" s="73"/>
      <c r="D46" s="73"/>
      <c r="E46" s="73"/>
      <c r="F46" s="73"/>
      <c r="H46" s="73"/>
      <c r="J46" s="74"/>
      <c r="K46" s="74"/>
    </row>
    <row r="47" spans="1:11" s="64" customFormat="1" ht="12.75">
      <c r="A47" s="62">
        <v>12</v>
      </c>
      <c r="B47" s="63" t="s">
        <v>147</v>
      </c>
      <c r="C47" s="63"/>
      <c r="D47" s="63"/>
      <c r="E47" s="63"/>
      <c r="F47" s="63"/>
      <c r="G47" s="63"/>
      <c r="H47" s="63"/>
      <c r="I47" s="63"/>
      <c r="J47" s="63"/>
      <c r="K47" s="63"/>
    </row>
    <row r="48" spans="2:11" ht="12.75">
      <c r="B48" s="76"/>
      <c r="C48" s="77"/>
      <c r="D48" s="78" t="s">
        <v>148</v>
      </c>
      <c r="E48" s="78" t="s">
        <v>149</v>
      </c>
      <c r="F48" s="130" t="s">
        <v>150</v>
      </c>
      <c r="G48" s="131"/>
      <c r="H48" s="78" t="s">
        <v>151</v>
      </c>
      <c r="I48" s="130" t="s">
        <v>152</v>
      </c>
      <c r="J48" s="131"/>
      <c r="K48" s="79"/>
    </row>
    <row r="49" spans="2:11" ht="12.75">
      <c r="B49" s="80" t="s">
        <v>153</v>
      </c>
      <c r="C49" s="81"/>
      <c r="D49" s="82">
        <v>36677</v>
      </c>
      <c r="E49" s="82">
        <v>36677</v>
      </c>
      <c r="F49" s="132">
        <v>36677</v>
      </c>
      <c r="G49" s="133"/>
      <c r="H49" s="82">
        <v>36677</v>
      </c>
      <c r="I49" s="132">
        <v>36677</v>
      </c>
      <c r="J49" s="133"/>
      <c r="K49" s="79"/>
    </row>
    <row r="50" spans="2:11" ht="12.75">
      <c r="B50" s="83"/>
      <c r="C50" s="84"/>
      <c r="D50" s="85" t="s">
        <v>13</v>
      </c>
      <c r="E50" s="85" t="s">
        <v>13</v>
      </c>
      <c r="F50" s="128" t="s">
        <v>13</v>
      </c>
      <c r="G50" s="129"/>
      <c r="H50" s="85" t="s">
        <v>13</v>
      </c>
      <c r="I50" s="128" t="s">
        <v>13</v>
      </c>
      <c r="J50" s="129"/>
      <c r="K50" s="79"/>
    </row>
    <row r="51" spans="2:11" ht="12.75">
      <c r="B51" s="86" t="s">
        <v>154</v>
      </c>
      <c r="C51" s="81"/>
      <c r="D51" s="87">
        <f>+'[1]Borrowings'!U7/1000</f>
        <v>6612</v>
      </c>
      <c r="E51" s="88">
        <v>0</v>
      </c>
      <c r="F51" s="124">
        <f>+D51</f>
        <v>6612</v>
      </c>
      <c r="G51" s="125"/>
      <c r="H51" s="87">
        <f>+'[1]Borrowings'!U16/1000</f>
        <v>6612</v>
      </c>
      <c r="I51" s="124">
        <v>0</v>
      </c>
      <c r="J51" s="125"/>
      <c r="K51" s="91"/>
    </row>
    <row r="52" spans="2:11" ht="12.75">
      <c r="B52" s="86" t="s">
        <v>155</v>
      </c>
      <c r="C52" s="81"/>
      <c r="D52" s="87">
        <f>+'[1]Borrowings'!U8/1000</f>
        <v>18826.38157</v>
      </c>
      <c r="E52" s="88">
        <f>+D52</f>
        <v>18826.38157</v>
      </c>
      <c r="F52" s="124">
        <v>0</v>
      </c>
      <c r="G52" s="125"/>
      <c r="H52" s="87">
        <f>+'[1]Borrowings'!U17/1000</f>
        <v>18826.38157</v>
      </c>
      <c r="I52" s="124">
        <v>0</v>
      </c>
      <c r="J52" s="125"/>
      <c r="K52" s="91"/>
    </row>
    <row r="53" spans="2:11" ht="12.75">
      <c r="B53" s="86" t="s">
        <v>156</v>
      </c>
      <c r="C53" s="81"/>
      <c r="D53" s="87">
        <f>+'[1]Borrowings'!U9/1000+1</f>
        <v>1890.2001599999999</v>
      </c>
      <c r="E53" s="88">
        <v>0</v>
      </c>
      <c r="F53" s="124">
        <f>+D53</f>
        <v>1890.2001599999999</v>
      </c>
      <c r="G53" s="125"/>
      <c r="H53" s="87">
        <f>+'[1]Borrowings'!U19/1000</f>
        <v>1250.97668</v>
      </c>
      <c r="I53" s="89"/>
      <c r="J53" s="90">
        <f>+'[1]Borrowings'!U25/1000+1</f>
        <v>639.22348</v>
      </c>
      <c r="K53" s="91"/>
    </row>
    <row r="54" spans="2:11" ht="12.75">
      <c r="B54" s="86" t="s">
        <v>157</v>
      </c>
      <c r="C54" s="92"/>
      <c r="D54" s="87">
        <f>+'[1]Borrowings'!U10/1000</f>
        <v>5696.299</v>
      </c>
      <c r="E54" s="88">
        <v>0</v>
      </c>
      <c r="F54" s="124">
        <f>+D54</f>
        <v>5696.299</v>
      </c>
      <c r="G54" s="125"/>
      <c r="H54" s="87">
        <f>+'[1]Borrowings'!U18/1000</f>
        <v>5696.299</v>
      </c>
      <c r="I54" s="124">
        <v>0</v>
      </c>
      <c r="J54" s="125"/>
      <c r="K54" s="91"/>
    </row>
    <row r="55" spans="2:11" ht="12.75">
      <c r="B55" s="86" t="s">
        <v>158</v>
      </c>
      <c r="C55" s="92"/>
      <c r="D55" s="87">
        <f>+'[1]Borrowings'!U11/1000</f>
        <v>954.052</v>
      </c>
      <c r="E55" s="88">
        <f>+D55</f>
        <v>954.052</v>
      </c>
      <c r="F55" s="122">
        <v>0</v>
      </c>
      <c r="G55" s="123"/>
      <c r="H55" s="87">
        <f>+'[1]Borrowings'!U20/1000</f>
        <v>298.75</v>
      </c>
      <c r="I55" s="124">
        <f>+'[1]Borrowings'!U26/1000</f>
        <v>655.302</v>
      </c>
      <c r="J55" s="125"/>
      <c r="K55" s="91"/>
    </row>
    <row r="56" spans="2:11" ht="12.75">
      <c r="B56" s="83"/>
      <c r="C56" s="93"/>
      <c r="D56" s="94">
        <f>SUM(D51:D55)-1</f>
        <v>33977.93273000001</v>
      </c>
      <c r="E56" s="95">
        <f>SUM(E51:E55)</f>
        <v>19780.43357</v>
      </c>
      <c r="F56" s="126">
        <f>SUM(F51:G55)</f>
        <v>14198.49916</v>
      </c>
      <c r="G56" s="127"/>
      <c r="H56" s="94">
        <f>SUM(H51:H55)</f>
        <v>32684.40725</v>
      </c>
      <c r="I56" s="126">
        <f>SUM(I51:J55)-1</f>
        <v>1293.52548</v>
      </c>
      <c r="J56" s="127"/>
      <c r="K56" s="91"/>
    </row>
    <row r="57" spans="2:11" ht="12.75">
      <c r="B57" s="65"/>
      <c r="C57" s="96"/>
      <c r="D57" s="96"/>
      <c r="E57" s="91"/>
      <c r="F57" s="91"/>
      <c r="G57" s="91"/>
      <c r="H57" s="91"/>
      <c r="I57" s="91"/>
      <c r="J57" s="91"/>
      <c r="K57" s="91"/>
    </row>
    <row r="58" spans="2:11" ht="12.75">
      <c r="B58" s="65"/>
      <c r="C58" s="96"/>
      <c r="D58" s="96"/>
      <c r="E58" s="91"/>
      <c r="F58" s="91"/>
      <c r="G58" s="91"/>
      <c r="H58" s="91"/>
      <c r="I58" s="91"/>
      <c r="J58" s="91"/>
      <c r="K58" s="91"/>
    </row>
    <row r="59" spans="2:11" ht="12.75">
      <c r="B59" s="65"/>
      <c r="C59" s="96"/>
      <c r="D59" s="96"/>
      <c r="E59" s="91"/>
      <c r="F59" s="91"/>
      <c r="G59" s="91"/>
      <c r="H59" s="91"/>
      <c r="I59" s="91"/>
      <c r="J59" s="91"/>
      <c r="K59" s="91"/>
    </row>
    <row r="60" spans="1:11" ht="12.75">
      <c r="A60" s="70">
        <v>13</v>
      </c>
      <c r="B60" s="71" t="s">
        <v>159</v>
      </c>
      <c r="C60" s="73"/>
      <c r="D60" s="73"/>
      <c r="E60" s="73"/>
      <c r="F60" s="97"/>
      <c r="G60" s="118" t="s">
        <v>13</v>
      </c>
      <c r="H60" s="118"/>
      <c r="I60" s="119"/>
      <c r="J60" s="118"/>
      <c r="K60" s="70"/>
    </row>
    <row r="61" spans="1:11" ht="12.75">
      <c r="A61" s="74"/>
      <c r="B61" s="73" t="s">
        <v>160</v>
      </c>
      <c r="C61" s="73"/>
      <c r="D61" s="73"/>
      <c r="E61" s="73"/>
      <c r="F61" s="73"/>
      <c r="G61" s="75"/>
      <c r="H61" s="75"/>
      <c r="I61" s="73"/>
      <c r="J61" s="75"/>
      <c r="K61" s="75"/>
    </row>
    <row r="62" spans="1:11" ht="12.75">
      <c r="A62" s="74"/>
      <c r="B62" s="73" t="s">
        <v>161</v>
      </c>
      <c r="C62" s="73"/>
      <c r="D62" s="73"/>
      <c r="E62" s="73"/>
      <c r="F62" s="73"/>
      <c r="G62" s="73"/>
      <c r="H62" s="73"/>
      <c r="I62" s="73"/>
      <c r="J62" s="75"/>
      <c r="K62" s="75"/>
    </row>
    <row r="63" spans="1:11" ht="12.75">
      <c r="A63" s="74"/>
      <c r="B63" s="73" t="s">
        <v>162</v>
      </c>
      <c r="C63" s="73"/>
      <c r="D63" s="73"/>
      <c r="E63" s="73"/>
      <c r="F63" s="73"/>
      <c r="G63" s="120">
        <f>(+'[1]CG'!G34+'[1]CG'!G13)/1000</f>
        <v>37983.71968</v>
      </c>
      <c r="H63" s="120"/>
      <c r="I63" s="73"/>
      <c r="J63" s="75"/>
      <c r="K63" s="75"/>
    </row>
    <row r="64" spans="1:11" ht="12.75">
      <c r="A64" s="74"/>
      <c r="B64" s="73" t="s">
        <v>163</v>
      </c>
      <c r="C64" s="73"/>
      <c r="D64" s="73"/>
      <c r="E64" s="73"/>
      <c r="F64" s="73"/>
      <c r="G64" s="75"/>
      <c r="H64" s="75"/>
      <c r="I64" s="73"/>
      <c r="J64" s="75"/>
      <c r="K64" s="75"/>
    </row>
    <row r="65" spans="1:11" ht="12.75">
      <c r="A65" s="74"/>
      <c r="B65" s="73" t="s">
        <v>164</v>
      </c>
      <c r="C65" s="73"/>
      <c r="D65" s="73"/>
      <c r="E65" s="73"/>
      <c r="F65" s="73"/>
      <c r="G65" s="75"/>
      <c r="H65" s="75"/>
      <c r="I65" s="73"/>
      <c r="J65" s="75"/>
      <c r="K65" s="75"/>
    </row>
    <row r="66" spans="1:11" ht="12.75">
      <c r="A66" s="74"/>
      <c r="B66" s="73" t="s">
        <v>162</v>
      </c>
      <c r="C66" s="73"/>
      <c r="D66" s="73"/>
      <c r="E66" s="73"/>
      <c r="F66" s="73"/>
      <c r="G66" s="121">
        <f>+'[1]CG'!G56/1000</f>
        <v>305.38399</v>
      </c>
      <c r="H66" s="121"/>
      <c r="I66" s="73"/>
      <c r="J66" s="75"/>
      <c r="K66" s="75"/>
    </row>
    <row r="67" spans="1:11" ht="13.5" thickBot="1">
      <c r="A67" s="74"/>
      <c r="B67" s="73"/>
      <c r="C67" s="73"/>
      <c r="D67" s="73"/>
      <c r="E67" s="73"/>
      <c r="F67" s="73"/>
      <c r="G67" s="115">
        <f>SUM(G62:H66)</f>
        <v>38289.103670000004</v>
      </c>
      <c r="H67" s="116"/>
      <c r="I67" s="73"/>
      <c r="J67" s="75"/>
      <c r="K67" s="75"/>
    </row>
    <row r="68" spans="2:9" ht="8.25" customHeight="1" thickTop="1">
      <c r="B68" s="65"/>
      <c r="C68" s="65"/>
      <c r="D68" s="65"/>
      <c r="E68" s="65"/>
      <c r="F68" s="65"/>
      <c r="G68" s="65"/>
      <c r="H68" s="65"/>
      <c r="I68" s="65"/>
    </row>
    <row r="69" spans="1:9" s="64" customFormat="1" ht="12.75">
      <c r="A69" s="62">
        <v>14</v>
      </c>
      <c r="B69" s="63" t="s">
        <v>165</v>
      </c>
      <c r="C69" s="63"/>
      <c r="D69" s="63"/>
      <c r="E69" s="63"/>
      <c r="F69" s="63"/>
      <c r="G69" s="65"/>
      <c r="H69" s="65"/>
      <c r="I69" s="63"/>
    </row>
    <row r="70" spans="2:11" ht="12.75">
      <c r="B70" s="65" t="s">
        <v>115</v>
      </c>
      <c r="C70" s="65"/>
      <c r="D70" s="65"/>
      <c r="E70" s="65"/>
      <c r="F70" s="65"/>
      <c r="G70" s="63"/>
      <c r="H70" s="63"/>
      <c r="I70" s="65"/>
      <c r="J70" s="65"/>
      <c r="K70" s="65"/>
    </row>
    <row r="71" spans="2:11" ht="6.75" customHeight="1">
      <c r="B71" s="65"/>
      <c r="C71" s="65"/>
      <c r="D71" s="65"/>
      <c r="E71" s="65"/>
      <c r="F71" s="65"/>
      <c r="G71" s="63"/>
      <c r="H71" s="63"/>
      <c r="I71" s="65"/>
      <c r="J71" s="65"/>
      <c r="K71" s="65"/>
    </row>
    <row r="72" spans="1:11" s="67" customFormat="1" ht="13.5">
      <c r="A72" s="62">
        <v>15</v>
      </c>
      <c r="B72" s="63" t="s">
        <v>166</v>
      </c>
      <c r="C72" s="63"/>
      <c r="D72" s="63"/>
      <c r="E72" s="63"/>
      <c r="F72" s="63"/>
      <c r="G72" s="65"/>
      <c r="H72" s="65"/>
      <c r="I72" s="63"/>
      <c r="J72" s="63"/>
      <c r="K72" s="63"/>
    </row>
    <row r="73" spans="1:11" s="68" customFormat="1" ht="12.75">
      <c r="A73" s="65"/>
      <c r="B73" s="65" t="s">
        <v>167</v>
      </c>
      <c r="C73" s="65"/>
      <c r="D73" s="65"/>
      <c r="E73" s="65"/>
      <c r="F73" s="65"/>
      <c r="G73" s="65"/>
      <c r="H73" s="65"/>
      <c r="I73" s="65"/>
      <c r="J73" s="65"/>
      <c r="K73" s="65"/>
    </row>
    <row r="74" spans="1:11" s="69" customFormat="1" ht="12.75">
      <c r="A74" s="66"/>
      <c r="B74" s="65" t="s">
        <v>168</v>
      </c>
      <c r="C74" s="65"/>
      <c r="D74" s="65"/>
      <c r="E74" s="65"/>
      <c r="F74" s="65"/>
      <c r="G74" s="65"/>
      <c r="H74" s="65"/>
      <c r="I74" s="65"/>
      <c r="J74" s="65"/>
      <c r="K74" s="65"/>
    </row>
    <row r="75" spans="1:11" s="69" customFormat="1" ht="12.75">
      <c r="A75" s="66"/>
      <c r="B75" s="65" t="s">
        <v>169</v>
      </c>
      <c r="C75" s="65"/>
      <c r="D75" s="65"/>
      <c r="E75" s="65"/>
      <c r="F75" s="65"/>
      <c r="G75" s="65"/>
      <c r="H75" s="65"/>
      <c r="I75" s="65"/>
      <c r="J75" s="65"/>
      <c r="K75" s="65"/>
    </row>
    <row r="76" spans="1:11" s="69" customFormat="1" ht="12.75">
      <c r="A76" s="66"/>
      <c r="B76" s="65" t="s">
        <v>170</v>
      </c>
      <c r="C76" s="65"/>
      <c r="D76" s="65"/>
      <c r="E76" s="65"/>
      <c r="F76" s="65"/>
      <c r="G76" s="65"/>
      <c r="H76" s="65"/>
      <c r="I76" s="65"/>
      <c r="J76" s="65"/>
      <c r="K76" s="65"/>
    </row>
    <row r="77" spans="1:11" s="69" customFormat="1" ht="12.75">
      <c r="A77" s="66"/>
      <c r="B77" s="65" t="s">
        <v>171</v>
      </c>
      <c r="C77" s="65"/>
      <c r="D77" s="65"/>
      <c r="E77" s="65"/>
      <c r="F77" s="65"/>
      <c r="G77" s="65"/>
      <c r="H77" s="65"/>
      <c r="I77" s="65"/>
      <c r="J77" s="65"/>
      <c r="K77" s="65"/>
    </row>
    <row r="78" spans="1:11" s="69" customFormat="1" ht="12.75">
      <c r="A78" s="66"/>
      <c r="B78" s="65" t="s">
        <v>253</v>
      </c>
      <c r="C78" s="65"/>
      <c r="D78" s="65"/>
      <c r="E78" s="65"/>
      <c r="F78" s="65"/>
      <c r="G78" s="65"/>
      <c r="H78" s="65"/>
      <c r="I78" s="65"/>
      <c r="J78" s="65"/>
      <c r="K78" s="65"/>
    </row>
    <row r="79" spans="1:11" s="69" customFormat="1" ht="12" customHeight="1">
      <c r="A79" s="66"/>
      <c r="B79" s="65" t="s">
        <v>254</v>
      </c>
      <c r="C79" s="65"/>
      <c r="D79" s="65"/>
      <c r="E79" s="65"/>
      <c r="F79" s="65"/>
      <c r="G79" s="65"/>
      <c r="H79" s="65"/>
      <c r="I79" s="65"/>
      <c r="J79" s="65"/>
      <c r="K79" s="65"/>
    </row>
    <row r="80" spans="1:11" s="69" customFormat="1" ht="12.75">
      <c r="A80" s="66"/>
      <c r="B80" s="65" t="s">
        <v>255</v>
      </c>
      <c r="C80" s="65"/>
      <c r="D80" s="65"/>
      <c r="E80" s="65"/>
      <c r="F80" s="65"/>
      <c r="G80" s="65"/>
      <c r="H80" s="65"/>
      <c r="I80" s="65"/>
      <c r="J80" s="65"/>
      <c r="K80" s="65"/>
    </row>
    <row r="81" spans="1:11" s="69" customFormat="1" ht="12.75">
      <c r="A81" s="66"/>
      <c r="B81" s="65" t="s">
        <v>256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1:11" s="69" customFormat="1" ht="5.25" customHeight="1">
      <c r="A82" s="66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1" s="69" customFormat="1" ht="12.75">
      <c r="A83" s="66"/>
      <c r="B83" s="65" t="s">
        <v>172</v>
      </c>
      <c r="C83" s="65"/>
      <c r="D83" s="65"/>
      <c r="E83" s="65"/>
      <c r="F83" s="65"/>
      <c r="G83" s="65"/>
      <c r="H83" s="65"/>
      <c r="I83" s="65"/>
      <c r="J83" s="65"/>
      <c r="K83" s="65"/>
    </row>
    <row r="84" spans="1:11" s="69" customFormat="1" ht="12.75">
      <c r="A84" s="66"/>
      <c r="B84" s="65" t="s">
        <v>173</v>
      </c>
      <c r="C84" s="65"/>
      <c r="D84" s="65"/>
      <c r="E84" s="65"/>
      <c r="F84" s="65"/>
      <c r="G84" s="65"/>
      <c r="H84" s="65"/>
      <c r="I84" s="65"/>
      <c r="J84" s="65"/>
      <c r="K84" s="65"/>
    </row>
    <row r="85" spans="1:11" s="69" customFormat="1" ht="12.75">
      <c r="A85" s="66"/>
      <c r="B85" s="65" t="s">
        <v>174</v>
      </c>
      <c r="C85" s="65"/>
      <c r="D85" s="65"/>
      <c r="E85" s="65"/>
      <c r="F85" s="65"/>
      <c r="G85" s="65"/>
      <c r="H85" s="65"/>
      <c r="I85" s="65"/>
      <c r="J85" s="65"/>
      <c r="K85" s="65"/>
    </row>
    <row r="86" spans="1:11" s="69" customFormat="1" ht="12.75">
      <c r="A86" s="66"/>
      <c r="B86" s="65" t="s">
        <v>175</v>
      </c>
      <c r="C86" s="65"/>
      <c r="D86" s="65"/>
      <c r="E86" s="65"/>
      <c r="F86" s="65"/>
      <c r="G86" s="65"/>
      <c r="H86" s="65"/>
      <c r="I86" s="65"/>
      <c r="J86" s="65"/>
      <c r="K86" s="65"/>
    </row>
    <row r="87" spans="1:11" s="69" customFormat="1" ht="12.75">
      <c r="A87" s="66"/>
      <c r="B87" s="65" t="s">
        <v>176</v>
      </c>
      <c r="C87" s="65"/>
      <c r="D87" s="65"/>
      <c r="E87" s="65"/>
      <c r="F87" s="65"/>
      <c r="G87" s="65"/>
      <c r="H87" s="65"/>
      <c r="I87" s="65"/>
      <c r="J87" s="65"/>
      <c r="K87" s="65"/>
    </row>
    <row r="88" spans="1:11" s="69" customFormat="1" ht="12" customHeight="1">
      <c r="A88" s="66"/>
      <c r="B88" s="65" t="s">
        <v>177</v>
      </c>
      <c r="C88" s="65"/>
      <c r="D88" s="65"/>
      <c r="E88" s="65"/>
      <c r="F88" s="65"/>
      <c r="G88" s="65"/>
      <c r="H88" s="65"/>
      <c r="I88" s="65"/>
      <c r="J88" s="65"/>
      <c r="K88" s="65"/>
    </row>
    <row r="89" spans="1:11" s="69" customFormat="1" ht="12.75">
      <c r="A89" s="66"/>
      <c r="B89" s="65" t="s">
        <v>178</v>
      </c>
      <c r="C89" s="65"/>
      <c r="D89" s="65"/>
      <c r="E89" s="65"/>
      <c r="F89" s="65"/>
      <c r="G89" s="65"/>
      <c r="H89" s="65"/>
      <c r="I89" s="65"/>
      <c r="J89" s="65"/>
      <c r="K89" s="65"/>
    </row>
    <row r="90" spans="1:11" s="69" customFormat="1" ht="12.75">
      <c r="A90" s="66"/>
      <c r="B90" s="65" t="s">
        <v>179</v>
      </c>
      <c r="C90" s="65"/>
      <c r="D90" s="65"/>
      <c r="E90" s="65"/>
      <c r="F90" s="65"/>
      <c r="G90" s="65"/>
      <c r="H90" s="65"/>
      <c r="I90" s="65"/>
      <c r="J90" s="65"/>
      <c r="K90" s="65"/>
    </row>
    <row r="91" spans="1:11" s="69" customFormat="1" ht="6.75" customHeight="1">
      <c r="A91" s="66"/>
      <c r="B91" s="65"/>
      <c r="C91" s="65"/>
      <c r="D91" s="65"/>
      <c r="E91" s="65"/>
      <c r="F91" s="65"/>
      <c r="G91" s="65"/>
      <c r="H91" s="65"/>
      <c r="I91" s="65"/>
      <c r="J91" s="65"/>
      <c r="K91" s="65"/>
    </row>
    <row r="92" spans="1:11" s="69" customFormat="1" ht="12.75">
      <c r="A92" s="66"/>
      <c r="B92" s="65" t="s">
        <v>180</v>
      </c>
      <c r="C92" s="65"/>
      <c r="D92" s="65"/>
      <c r="E92" s="65"/>
      <c r="F92" s="65"/>
      <c r="G92" s="65"/>
      <c r="H92" s="65"/>
      <c r="I92" s="65"/>
      <c r="J92" s="65"/>
      <c r="K92" s="65"/>
    </row>
    <row r="93" spans="1:11" s="69" customFormat="1" ht="13.5" customHeight="1">
      <c r="A93" s="66"/>
      <c r="B93" s="65" t="s">
        <v>181</v>
      </c>
      <c r="C93" s="65"/>
      <c r="D93" s="65"/>
      <c r="E93" s="65"/>
      <c r="F93" s="65"/>
      <c r="G93" s="65"/>
      <c r="H93" s="65"/>
      <c r="I93" s="65"/>
      <c r="J93" s="65"/>
      <c r="K93" s="65"/>
    </row>
    <row r="94" spans="1:11" s="69" customFormat="1" ht="12.75">
      <c r="A94" s="66"/>
      <c r="B94" s="65" t="s">
        <v>182</v>
      </c>
      <c r="C94" s="65"/>
      <c r="D94" s="65"/>
      <c r="E94" s="65"/>
      <c r="F94" s="65"/>
      <c r="G94" s="65"/>
      <c r="H94" s="65"/>
      <c r="I94" s="65"/>
      <c r="J94" s="65"/>
      <c r="K94" s="65"/>
    </row>
    <row r="95" spans="1:11" s="69" customFormat="1" ht="12.75">
      <c r="A95" s="66"/>
      <c r="B95" s="65" t="s">
        <v>183</v>
      </c>
      <c r="C95" s="65"/>
      <c r="D95" s="65"/>
      <c r="E95" s="65"/>
      <c r="F95" s="65"/>
      <c r="G95" s="65"/>
      <c r="H95" s="65"/>
      <c r="I95" s="65"/>
      <c r="J95" s="65"/>
      <c r="K95" s="65"/>
    </row>
    <row r="96" spans="1:11" s="69" customFormat="1" ht="6" customHeight="1">
      <c r="A96" s="66"/>
      <c r="B96" s="65"/>
      <c r="C96" s="65"/>
      <c r="D96" s="65"/>
      <c r="E96" s="65"/>
      <c r="F96" s="65"/>
      <c r="G96" s="65"/>
      <c r="H96" s="65"/>
      <c r="I96" s="65"/>
      <c r="J96" s="65"/>
      <c r="K96" s="65"/>
    </row>
    <row r="97" spans="1:11" s="69" customFormat="1" ht="13.5" customHeight="1">
      <c r="A97" s="66"/>
      <c r="B97" s="65" t="s">
        <v>184</v>
      </c>
      <c r="C97" s="65"/>
      <c r="D97" s="65"/>
      <c r="E97" s="65"/>
      <c r="F97" s="65"/>
      <c r="G97" s="65"/>
      <c r="H97" s="65"/>
      <c r="I97" s="65"/>
      <c r="J97" s="65"/>
      <c r="K97" s="65"/>
    </row>
    <row r="98" spans="1:11" s="69" customFormat="1" ht="12.75" customHeight="1">
      <c r="A98" s="66"/>
      <c r="B98" s="65" t="s">
        <v>185</v>
      </c>
      <c r="C98" s="65"/>
      <c r="D98" s="65"/>
      <c r="E98" s="65"/>
      <c r="F98" s="65"/>
      <c r="G98" s="65"/>
      <c r="H98" s="65"/>
      <c r="I98" s="65"/>
      <c r="J98" s="65"/>
      <c r="K98" s="65"/>
    </row>
    <row r="99" spans="1:11" s="69" customFormat="1" ht="12.75" customHeight="1">
      <c r="A99" s="66"/>
      <c r="B99" s="65" t="s">
        <v>186</v>
      </c>
      <c r="C99" s="65"/>
      <c r="D99" s="65"/>
      <c r="E99" s="65"/>
      <c r="F99" s="65"/>
      <c r="G99" s="65"/>
      <c r="H99" s="65"/>
      <c r="I99" s="65"/>
      <c r="J99" s="65"/>
      <c r="K99" s="65"/>
    </row>
    <row r="100" spans="1:11" s="69" customFormat="1" ht="12.75" customHeight="1">
      <c r="A100" s="66"/>
      <c r="B100" s="65" t="s">
        <v>187</v>
      </c>
      <c r="C100" s="65"/>
      <c r="D100" s="65"/>
      <c r="E100" s="65"/>
      <c r="F100" s="65"/>
      <c r="G100" s="65"/>
      <c r="H100" s="65"/>
      <c r="I100" s="65"/>
      <c r="J100" s="65"/>
      <c r="K100" s="65"/>
    </row>
    <row r="101" spans="1:11" s="69" customFormat="1" ht="12" customHeight="1">
      <c r="A101" s="66"/>
      <c r="B101" s="65" t="s">
        <v>188</v>
      </c>
      <c r="C101" s="65"/>
      <c r="D101" s="65"/>
      <c r="E101" s="65"/>
      <c r="F101" s="65"/>
      <c r="G101" s="65"/>
      <c r="H101" s="65"/>
      <c r="I101" s="65"/>
      <c r="J101" s="65"/>
      <c r="K101" s="65"/>
    </row>
    <row r="102" spans="1:11" s="69" customFormat="1" ht="12.75" customHeight="1">
      <c r="A102" s="66"/>
      <c r="B102" s="65" t="s">
        <v>189</v>
      </c>
      <c r="C102" s="65"/>
      <c r="D102" s="65"/>
      <c r="E102" s="65"/>
      <c r="F102" s="65"/>
      <c r="G102" s="65"/>
      <c r="H102" s="65"/>
      <c r="I102" s="65"/>
      <c r="J102" s="65"/>
      <c r="K102" s="65"/>
    </row>
    <row r="103" spans="1:11" s="69" customFormat="1" ht="12.75" customHeight="1">
      <c r="A103" s="66"/>
      <c r="B103" s="65" t="s">
        <v>257</v>
      </c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s="69" customFormat="1" ht="12.75" customHeight="1">
      <c r="A104" s="66"/>
      <c r="B104" s="65" t="s">
        <v>258</v>
      </c>
      <c r="C104" s="65"/>
      <c r="D104" s="65"/>
      <c r="E104" s="65"/>
      <c r="F104" s="65"/>
      <c r="G104" s="65"/>
      <c r="H104" s="65"/>
      <c r="I104" s="65"/>
      <c r="J104" s="65"/>
      <c r="K104" s="65"/>
    </row>
    <row r="105" spans="1:11" s="69" customFormat="1" ht="12.75" customHeight="1">
      <c r="A105" s="66"/>
      <c r="B105" s="65" t="s">
        <v>259</v>
      </c>
      <c r="C105" s="65"/>
      <c r="D105" s="65"/>
      <c r="E105" s="65"/>
      <c r="F105" s="65"/>
      <c r="G105" s="65"/>
      <c r="H105" s="65"/>
      <c r="I105" s="65"/>
      <c r="J105" s="65"/>
      <c r="K105" s="65"/>
    </row>
    <row r="106" spans="1:11" s="69" customFormat="1" ht="12.75" customHeight="1">
      <c r="A106" s="66"/>
      <c r="B106" s="65" t="s">
        <v>260</v>
      </c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s="69" customFormat="1" ht="6.75" customHeight="1">
      <c r="A107" s="66"/>
      <c r="B107" s="65"/>
      <c r="C107" s="65"/>
      <c r="D107" s="65"/>
      <c r="E107" s="65"/>
      <c r="F107" s="65"/>
      <c r="G107" s="65"/>
      <c r="H107" s="65"/>
      <c r="I107" s="65"/>
      <c r="J107" s="65"/>
      <c r="K107" s="65"/>
    </row>
    <row r="108" spans="1:11" s="69" customFormat="1" ht="11.25" customHeight="1">
      <c r="A108" s="66"/>
      <c r="B108" s="65" t="s">
        <v>190</v>
      </c>
      <c r="C108" s="65"/>
      <c r="D108" s="65"/>
      <c r="E108" s="65"/>
      <c r="F108" s="65"/>
      <c r="G108" s="65"/>
      <c r="H108" s="65"/>
      <c r="I108" s="65"/>
      <c r="J108" s="65"/>
      <c r="K108" s="65"/>
    </row>
    <row r="109" spans="1:11" s="69" customFormat="1" ht="12.75" customHeight="1">
      <c r="A109" s="66"/>
      <c r="B109" s="65" t="s">
        <v>191</v>
      </c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s="69" customFormat="1" ht="12.75" customHeight="1">
      <c r="A110" s="66"/>
      <c r="B110" s="65" t="s">
        <v>192</v>
      </c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s="69" customFormat="1" ht="12.75" customHeight="1">
      <c r="A111" s="66"/>
      <c r="B111" s="65" t="s">
        <v>193</v>
      </c>
      <c r="C111" s="65"/>
      <c r="D111" s="65"/>
      <c r="E111" s="65"/>
      <c r="F111" s="65"/>
      <c r="G111" s="65"/>
      <c r="H111" s="65"/>
      <c r="I111" s="65"/>
      <c r="J111" s="65"/>
      <c r="K111" s="65"/>
    </row>
    <row r="112" spans="1:11" s="69" customFormat="1" ht="12.75" customHeight="1">
      <c r="A112" s="66"/>
      <c r="B112" s="65" t="s">
        <v>261</v>
      </c>
      <c r="C112" s="65"/>
      <c r="D112" s="65"/>
      <c r="E112" s="65"/>
      <c r="F112" s="65"/>
      <c r="G112" s="65"/>
      <c r="H112" s="65"/>
      <c r="I112" s="65"/>
      <c r="J112" s="65"/>
      <c r="K112" s="65"/>
    </row>
    <row r="113" spans="1:11" s="69" customFormat="1" ht="12.75" customHeight="1">
      <c r="A113" s="66"/>
      <c r="B113" s="65" t="s">
        <v>262</v>
      </c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s="69" customFormat="1" ht="8.25" customHeight="1">
      <c r="A114" s="66"/>
      <c r="B114" s="65"/>
      <c r="C114" s="65"/>
      <c r="D114" s="65"/>
      <c r="E114" s="65"/>
      <c r="F114" s="65"/>
      <c r="G114" s="65"/>
      <c r="H114" s="65"/>
      <c r="I114" s="65"/>
      <c r="J114" s="65"/>
      <c r="K114" s="65"/>
    </row>
    <row r="115" spans="1:11" s="69" customFormat="1" ht="12.75" customHeight="1">
      <c r="A115" s="66"/>
      <c r="B115" s="65" t="s">
        <v>194</v>
      </c>
      <c r="C115" s="65"/>
      <c r="D115" s="65"/>
      <c r="E115" s="65"/>
      <c r="F115" s="65"/>
      <c r="G115" s="65"/>
      <c r="H115" s="65"/>
      <c r="I115" s="65"/>
      <c r="J115" s="65"/>
      <c r="K115" s="65"/>
    </row>
    <row r="116" spans="1:11" s="69" customFormat="1" ht="12.75" customHeight="1">
      <c r="A116" s="66"/>
      <c r="B116" s="65" t="s">
        <v>195</v>
      </c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s="69" customFormat="1" ht="12.75" customHeight="1">
      <c r="A117" s="66"/>
      <c r="B117" s="65" t="s">
        <v>196</v>
      </c>
      <c r="C117" s="65"/>
      <c r="D117" s="65"/>
      <c r="E117" s="65"/>
      <c r="F117" s="65"/>
      <c r="G117" s="65"/>
      <c r="H117" s="65"/>
      <c r="I117" s="65"/>
      <c r="J117" s="65"/>
      <c r="K117" s="65"/>
    </row>
    <row r="118" spans="1:11" s="69" customFormat="1" ht="12.75" customHeight="1">
      <c r="A118" s="66"/>
      <c r="B118" s="65" t="s">
        <v>263</v>
      </c>
      <c r="C118" s="65"/>
      <c r="D118" s="65"/>
      <c r="E118" s="65"/>
      <c r="F118" s="65"/>
      <c r="G118" s="65"/>
      <c r="H118" s="65"/>
      <c r="I118" s="65"/>
      <c r="J118" s="65"/>
      <c r="K118" s="65"/>
    </row>
    <row r="119" spans="1:11" s="69" customFormat="1" ht="12.75" customHeight="1">
      <c r="A119" s="66"/>
      <c r="B119" s="65" t="s">
        <v>264</v>
      </c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s="69" customFormat="1" ht="12.75" customHeight="1">
      <c r="A120" s="66"/>
      <c r="B120" s="65" t="s">
        <v>265</v>
      </c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1" s="69" customFormat="1" ht="5.25" customHeight="1">
      <c r="A121" s="66"/>
      <c r="B121" s="65"/>
      <c r="C121" s="65"/>
      <c r="D121" s="65"/>
      <c r="E121" s="65"/>
      <c r="F121" s="65"/>
      <c r="G121" s="65"/>
      <c r="H121" s="65"/>
      <c r="I121" s="65"/>
      <c r="J121" s="65"/>
      <c r="K121" s="65"/>
    </row>
    <row r="122" spans="1:11" s="69" customFormat="1" ht="13.5" customHeight="1">
      <c r="A122" s="66"/>
      <c r="B122" s="65"/>
      <c r="C122" s="65"/>
      <c r="D122" s="65"/>
      <c r="E122" s="65"/>
      <c r="F122" s="65"/>
      <c r="G122" s="65"/>
      <c r="H122" s="65"/>
      <c r="I122" s="65"/>
      <c r="J122" s="65"/>
      <c r="K122" s="65"/>
    </row>
    <row r="123" spans="1:11" s="69" customFormat="1" ht="13.5" customHeight="1">
      <c r="A123" s="62"/>
      <c r="B123" s="63"/>
      <c r="C123" s="65"/>
      <c r="D123" s="65"/>
      <c r="E123" s="65"/>
      <c r="F123" s="65"/>
      <c r="G123" s="65"/>
      <c r="H123" s="65"/>
      <c r="I123" s="65"/>
      <c r="J123" s="65"/>
      <c r="K123" s="65"/>
    </row>
    <row r="124" spans="1:11" s="69" customFormat="1" ht="12.75" customHeight="1">
      <c r="A124" s="66"/>
      <c r="B124" s="65" t="s">
        <v>197</v>
      </c>
      <c r="C124" s="65"/>
      <c r="D124" s="65"/>
      <c r="E124" s="65"/>
      <c r="F124" s="65"/>
      <c r="G124" s="65"/>
      <c r="H124" s="65"/>
      <c r="I124" s="65"/>
      <c r="J124" s="65"/>
      <c r="K124" s="65"/>
    </row>
    <row r="125" spans="1:11" s="69" customFormat="1" ht="12.75" customHeight="1">
      <c r="A125" s="66"/>
      <c r="B125" s="65" t="s">
        <v>198</v>
      </c>
      <c r="C125" s="65"/>
      <c r="D125" s="65"/>
      <c r="E125" s="65"/>
      <c r="F125" s="65"/>
      <c r="G125" s="65"/>
      <c r="H125" s="65"/>
      <c r="I125" s="65"/>
      <c r="J125" s="65"/>
      <c r="K125" s="65"/>
    </row>
    <row r="126" spans="1:11" s="69" customFormat="1" ht="12.75" customHeight="1">
      <c r="A126" s="66"/>
      <c r="B126" s="65" t="s">
        <v>199</v>
      </c>
      <c r="C126" s="65"/>
      <c r="D126" s="65"/>
      <c r="E126" s="65"/>
      <c r="F126" s="65"/>
      <c r="G126" s="65"/>
      <c r="H126" s="65"/>
      <c r="I126" s="65"/>
      <c r="J126" s="65"/>
      <c r="K126" s="65"/>
    </row>
    <row r="127" spans="1:11" s="69" customFormat="1" ht="12.75" customHeight="1">
      <c r="A127" s="66"/>
      <c r="B127" s="65" t="s">
        <v>200</v>
      </c>
      <c r="C127" s="65"/>
      <c r="D127" s="65"/>
      <c r="E127" s="65"/>
      <c r="F127" s="65"/>
      <c r="G127" s="65"/>
      <c r="H127" s="65"/>
      <c r="I127" s="65"/>
      <c r="J127" s="65"/>
      <c r="K127" s="65"/>
    </row>
    <row r="128" spans="1:11" s="69" customFormat="1" ht="12.75" customHeight="1">
      <c r="A128" s="66"/>
      <c r="B128" s="65" t="s">
        <v>201</v>
      </c>
      <c r="C128" s="65"/>
      <c r="D128" s="65"/>
      <c r="E128" s="65"/>
      <c r="F128" s="65"/>
      <c r="G128" s="65"/>
      <c r="H128" s="65"/>
      <c r="I128" s="65"/>
      <c r="J128" s="65"/>
      <c r="K128" s="65"/>
    </row>
    <row r="129" spans="1:11" s="69" customFormat="1" ht="12.75" customHeight="1">
      <c r="A129" s="66"/>
      <c r="B129" s="65" t="s">
        <v>202</v>
      </c>
      <c r="C129" s="65"/>
      <c r="D129" s="65"/>
      <c r="E129" s="65"/>
      <c r="F129" s="65"/>
      <c r="G129" s="65"/>
      <c r="H129" s="65"/>
      <c r="I129" s="65"/>
      <c r="J129" s="65"/>
      <c r="K129" s="65"/>
    </row>
    <row r="130" spans="1:11" s="69" customFormat="1" ht="12.75" customHeight="1">
      <c r="A130" s="66"/>
      <c r="B130" s="65" t="s">
        <v>203</v>
      </c>
      <c r="C130" s="65"/>
      <c r="D130" s="65"/>
      <c r="E130" s="65"/>
      <c r="F130" s="65"/>
      <c r="G130" s="65"/>
      <c r="H130" s="65"/>
      <c r="I130" s="65"/>
      <c r="J130" s="65"/>
      <c r="K130" s="65"/>
    </row>
    <row r="131" spans="1:11" s="69" customFormat="1" ht="3.75" customHeight="1">
      <c r="A131" s="66"/>
      <c r="B131" s="65"/>
      <c r="C131" s="65"/>
      <c r="D131" s="65"/>
      <c r="E131" s="65"/>
      <c r="F131" s="65"/>
      <c r="G131" s="65"/>
      <c r="H131" s="65"/>
      <c r="I131" s="65"/>
      <c r="J131" s="65"/>
      <c r="K131" s="65"/>
    </row>
    <row r="132" spans="1:11" s="69" customFormat="1" ht="12.75" customHeight="1">
      <c r="A132" s="66"/>
      <c r="B132" s="65" t="s">
        <v>204</v>
      </c>
      <c r="C132" s="65"/>
      <c r="D132" s="65"/>
      <c r="E132" s="65"/>
      <c r="F132" s="65"/>
      <c r="G132" s="65"/>
      <c r="H132" s="65"/>
      <c r="I132" s="65"/>
      <c r="J132" s="65"/>
      <c r="K132" s="65"/>
    </row>
    <row r="133" spans="1:11" s="69" customFormat="1" ht="12.75" customHeight="1">
      <c r="A133" s="66"/>
      <c r="B133" s="65" t="s">
        <v>205</v>
      </c>
      <c r="C133" s="65"/>
      <c r="D133" s="65"/>
      <c r="E133" s="65"/>
      <c r="F133" s="65"/>
      <c r="G133" s="65"/>
      <c r="H133" s="65"/>
      <c r="I133" s="65"/>
      <c r="J133" s="65"/>
      <c r="K133" s="65"/>
    </row>
    <row r="134" spans="1:11" s="69" customFormat="1" ht="12.75" customHeight="1">
      <c r="A134" s="66"/>
      <c r="B134" s="65" t="s">
        <v>206</v>
      </c>
      <c r="C134" s="65"/>
      <c r="D134" s="65"/>
      <c r="E134" s="65"/>
      <c r="F134" s="65"/>
      <c r="G134" s="65"/>
      <c r="H134" s="65"/>
      <c r="I134" s="65"/>
      <c r="J134" s="65"/>
      <c r="K134" s="65"/>
    </row>
    <row r="135" spans="1:11" s="69" customFormat="1" ht="12.75" customHeight="1">
      <c r="A135" s="66"/>
      <c r="B135" s="65"/>
      <c r="C135" s="65"/>
      <c r="D135" s="65"/>
      <c r="E135" s="65"/>
      <c r="F135" s="65"/>
      <c r="G135" s="65"/>
      <c r="H135" s="65"/>
      <c r="I135" s="65"/>
      <c r="J135" s="65"/>
      <c r="K135" s="65"/>
    </row>
    <row r="136" spans="1:11" s="64" customFormat="1" ht="12.75">
      <c r="A136" s="62">
        <v>16</v>
      </c>
      <c r="B136" s="64" t="s">
        <v>207</v>
      </c>
      <c r="C136" s="63"/>
      <c r="D136" s="63"/>
      <c r="E136" s="63"/>
      <c r="F136" s="63"/>
      <c r="G136" s="65"/>
      <c r="H136" s="65"/>
      <c r="I136" s="63"/>
      <c r="J136" s="63"/>
      <c r="K136" s="63"/>
    </row>
    <row r="137" spans="2:11" ht="12.75">
      <c r="B137" s="98" t="s">
        <v>208</v>
      </c>
      <c r="C137" s="65"/>
      <c r="D137" s="65"/>
      <c r="F137" s="62" t="s">
        <v>209</v>
      </c>
      <c r="G137" s="117" t="s">
        <v>210</v>
      </c>
      <c r="H137" s="117"/>
      <c r="I137" s="117" t="s">
        <v>211</v>
      </c>
      <c r="J137" s="117"/>
      <c r="K137" s="62"/>
    </row>
    <row r="138" spans="3:11" ht="12.75">
      <c r="C138" s="65"/>
      <c r="D138" s="65"/>
      <c r="F138" s="63"/>
      <c r="G138" s="117" t="s">
        <v>212</v>
      </c>
      <c r="H138" s="117"/>
      <c r="I138" s="117" t="s">
        <v>213</v>
      </c>
      <c r="J138" s="117"/>
      <c r="K138" s="62"/>
    </row>
    <row r="139" spans="3:11" ht="12.75">
      <c r="C139" s="65"/>
      <c r="D139" s="65"/>
      <c r="F139" s="63"/>
      <c r="G139" s="114" t="s">
        <v>214</v>
      </c>
      <c r="H139" s="114"/>
      <c r="I139" s="62"/>
      <c r="J139" s="62"/>
      <c r="K139" s="62"/>
    </row>
    <row r="140" spans="3:11" ht="12.75">
      <c r="C140" s="65"/>
      <c r="D140" s="65"/>
      <c r="F140" s="99" t="s">
        <v>13</v>
      </c>
      <c r="G140" s="100"/>
      <c r="H140" s="101" t="s">
        <v>215</v>
      </c>
      <c r="I140" s="102"/>
      <c r="J140" s="99" t="s">
        <v>13</v>
      </c>
      <c r="K140" s="79"/>
    </row>
    <row r="141" spans="2:11" ht="12.75">
      <c r="B141" s="61" t="s">
        <v>216</v>
      </c>
      <c r="C141" s="65"/>
      <c r="D141" s="65"/>
      <c r="E141" s="65"/>
      <c r="F141" s="103">
        <f>+'[1]SEGMENTAL'!W11/1000</f>
        <v>0</v>
      </c>
      <c r="G141" s="109">
        <f>+'[1]SEGMENTAL'!W28/1000</f>
        <v>-1218.098</v>
      </c>
      <c r="H141" s="109"/>
      <c r="I141" s="110">
        <f>+'[1]SEGMENTAL'!W53/1000+1</f>
        <v>3341.136</v>
      </c>
      <c r="J141" s="110"/>
      <c r="K141" s="105"/>
    </row>
    <row r="142" spans="2:11" ht="12.75">
      <c r="B142" s="61" t="s">
        <v>217</v>
      </c>
      <c r="C142" s="65"/>
      <c r="D142" s="65"/>
      <c r="E142" s="65"/>
      <c r="F142" s="103">
        <f>+'[1]SEGMENTAL'!W12/1000</f>
        <v>672.784</v>
      </c>
      <c r="G142" s="109">
        <f>+'[1]SEGMENTAL'!W29/1000</f>
        <v>24.81357753054582</v>
      </c>
      <c r="H142" s="109"/>
      <c r="I142" s="110">
        <f>+'[1]SEGMENTAL'!W54/1000+1</f>
        <v>16627.42989481655</v>
      </c>
      <c r="J142" s="110"/>
      <c r="K142" s="105"/>
    </row>
    <row r="143" spans="2:11" ht="12.75">
      <c r="B143" s="61" t="s">
        <v>218</v>
      </c>
      <c r="C143" s="65"/>
      <c r="D143" s="65"/>
      <c r="E143" s="65"/>
      <c r="F143" s="103">
        <f>+'[1]SEGMENTAL'!W13/1000</f>
        <v>46541.21228</v>
      </c>
      <c r="G143" s="109">
        <f>+'[1]SEGMENTAL'!W30/1000</f>
        <v>9888.737422469454</v>
      </c>
      <c r="H143" s="109"/>
      <c r="I143" s="110">
        <f>+'[1]SEGMENTAL'!W55/1000+1</f>
        <v>114328.22310518345</v>
      </c>
      <c r="J143" s="110"/>
      <c r="K143" s="105"/>
    </row>
    <row r="144" spans="2:11" ht="12.75">
      <c r="B144" s="61" t="s">
        <v>219</v>
      </c>
      <c r="C144" s="65"/>
      <c r="D144" s="65"/>
      <c r="E144" s="65"/>
      <c r="F144" s="103">
        <f>+'[1]SEGMENTAL'!W14</f>
        <v>0</v>
      </c>
      <c r="G144" s="109">
        <f>+'[1]SEGMENTAL'!W31/1000-1</f>
        <v>-980.421</v>
      </c>
      <c r="H144" s="109"/>
      <c r="I144" s="110">
        <f>+'[1]SEGMENTAL'!W56/1000</f>
        <v>6389.499</v>
      </c>
      <c r="J144" s="110"/>
      <c r="K144" s="105"/>
    </row>
    <row r="145" spans="2:11" ht="12.75">
      <c r="B145" s="61" t="s">
        <v>220</v>
      </c>
      <c r="C145" s="65"/>
      <c r="D145" s="65"/>
      <c r="E145" s="65"/>
      <c r="F145" s="103">
        <f>+'[1]SEGMENTAL'!W15</f>
        <v>0</v>
      </c>
      <c r="G145" s="109">
        <f>+'[1]SEGMENTAL'!W32/1000</f>
        <v>-152.91</v>
      </c>
      <c r="H145" s="109"/>
      <c r="I145" s="110">
        <f>+'[1]SEGMENTAL'!W57/1000</f>
        <v>13508.885</v>
      </c>
      <c r="J145" s="110"/>
      <c r="K145" s="105"/>
    </row>
    <row r="146" spans="2:11" ht="12.75">
      <c r="B146" s="61" t="s">
        <v>221</v>
      </c>
      <c r="C146" s="65"/>
      <c r="D146" s="65"/>
      <c r="E146" s="65"/>
      <c r="F146" s="103">
        <f>+'[1]SEGMENTAL'!W17</f>
        <v>0</v>
      </c>
      <c r="G146" s="113">
        <f>+'[1]SEGMENTAL'!W34/1000</f>
        <v>0</v>
      </c>
      <c r="H146" s="113"/>
      <c r="I146" s="110">
        <f>+'[1]SEGMENTAL'!W59/1000</f>
        <v>219.284</v>
      </c>
      <c r="J146" s="110"/>
      <c r="K146" s="105"/>
    </row>
    <row r="147" spans="2:11" ht="12.75">
      <c r="B147" s="61" t="s">
        <v>222</v>
      </c>
      <c r="C147" s="65"/>
      <c r="D147" s="65"/>
      <c r="E147" s="65"/>
      <c r="F147" s="103">
        <f>+'[1]SEGMENTAL'!W16</f>
        <v>0</v>
      </c>
      <c r="G147" s="109">
        <f>+'[1]SEGMENTAL'!W33/1000</f>
        <v>370.928</v>
      </c>
      <c r="H147" s="109"/>
      <c r="I147" s="110">
        <f>+'[1]SEGMENTAL'!W58/1000</f>
        <v>153.318</v>
      </c>
      <c r="J147" s="110"/>
      <c r="K147" s="105"/>
    </row>
    <row r="148" spans="3:11" ht="13.5" thickBot="1">
      <c r="C148" s="65"/>
      <c r="D148" s="65"/>
      <c r="E148" s="65"/>
      <c r="F148" s="106">
        <f>SUM(F141:F147)</f>
        <v>47213.99628</v>
      </c>
      <c r="G148" s="111">
        <f>SUM(G141:H147)+1</f>
        <v>7934.049999999999</v>
      </c>
      <c r="H148" s="111"/>
      <c r="I148" s="112">
        <f>SUM(I141:J147)-2</f>
        <v>154565.77500000002</v>
      </c>
      <c r="J148" s="112"/>
      <c r="K148" s="104"/>
    </row>
    <row r="149" spans="2:11" ht="13.5" thickTop="1">
      <c r="B149" s="107" t="s">
        <v>223</v>
      </c>
      <c r="C149" s="65"/>
      <c r="D149" s="65"/>
      <c r="E149" s="65"/>
      <c r="F149" s="65"/>
      <c r="G149" s="65"/>
      <c r="H149" s="65"/>
      <c r="I149" s="65"/>
      <c r="J149" s="65"/>
      <c r="K149" s="65"/>
    </row>
    <row r="150" spans="2:11" ht="12.75">
      <c r="B150" s="61" t="s">
        <v>224</v>
      </c>
      <c r="C150" s="65"/>
      <c r="D150" s="65"/>
      <c r="E150" s="65"/>
      <c r="F150" s="65"/>
      <c r="G150" s="65"/>
      <c r="H150" s="65"/>
      <c r="I150" s="65"/>
      <c r="J150" s="65"/>
      <c r="K150" s="65"/>
    </row>
    <row r="151" spans="2:11" ht="12.75">
      <c r="B151" s="61" t="s">
        <v>225</v>
      </c>
      <c r="C151" s="65"/>
      <c r="D151" s="65"/>
      <c r="E151" s="65"/>
      <c r="F151" s="65"/>
      <c r="G151" s="65"/>
      <c r="H151" s="65"/>
      <c r="I151" s="65"/>
      <c r="J151" s="65"/>
      <c r="K151" s="65"/>
    </row>
    <row r="152" spans="2:11" ht="12.75">
      <c r="B152" s="61" t="s">
        <v>226</v>
      </c>
      <c r="C152" s="65"/>
      <c r="D152" s="65"/>
      <c r="E152" s="65"/>
      <c r="F152" s="65"/>
      <c r="G152" s="65"/>
      <c r="H152" s="65"/>
      <c r="I152" s="65"/>
      <c r="J152" s="65"/>
      <c r="K152" s="65"/>
    </row>
    <row r="153" spans="3:11" ht="13.5" customHeight="1">
      <c r="C153" s="65"/>
      <c r="D153" s="65"/>
      <c r="E153" s="65"/>
      <c r="F153" s="65"/>
      <c r="G153" s="65"/>
      <c r="H153" s="65"/>
      <c r="I153" s="65"/>
      <c r="J153" s="65"/>
      <c r="K153" s="65"/>
    </row>
    <row r="154" spans="1:11" s="64" customFormat="1" ht="12.75">
      <c r="A154" s="62">
        <v>17</v>
      </c>
      <c r="B154" s="64" t="s">
        <v>227</v>
      </c>
      <c r="C154" s="63"/>
      <c r="D154" s="63"/>
      <c r="E154" s="63"/>
      <c r="F154" s="63"/>
      <c r="G154" s="65"/>
      <c r="H154" s="65"/>
      <c r="I154" s="63"/>
      <c r="J154" s="63"/>
      <c r="K154" s="63"/>
    </row>
    <row r="155" spans="1:11" s="64" customFormat="1" ht="12.75">
      <c r="A155" s="62"/>
      <c r="B155" s="61" t="s">
        <v>228</v>
      </c>
      <c r="C155" s="65"/>
      <c r="D155" s="65"/>
      <c r="E155" s="65"/>
      <c r="F155" s="65"/>
      <c r="G155" s="65"/>
      <c r="H155" s="65"/>
      <c r="I155" s="65"/>
      <c r="J155" s="65"/>
      <c r="K155" s="65"/>
    </row>
    <row r="156" spans="1:11" s="64" customFormat="1" ht="12.75">
      <c r="A156" s="62"/>
      <c r="B156" s="61" t="s">
        <v>266</v>
      </c>
      <c r="C156" s="65"/>
      <c r="D156" s="65"/>
      <c r="E156" s="65"/>
      <c r="F156" s="65"/>
      <c r="G156" s="65"/>
      <c r="H156" s="65"/>
      <c r="I156" s="65"/>
      <c r="J156" s="65"/>
      <c r="K156" s="65"/>
    </row>
    <row r="157" spans="1:11" s="64" customFormat="1" ht="12.75">
      <c r="A157" s="62"/>
      <c r="B157" s="61" t="s">
        <v>229</v>
      </c>
      <c r="C157" s="65"/>
      <c r="D157" s="65"/>
      <c r="E157" s="65"/>
      <c r="F157" s="65"/>
      <c r="G157" s="65"/>
      <c r="H157" s="65"/>
      <c r="I157" s="65"/>
      <c r="J157" s="65"/>
      <c r="K157" s="65"/>
    </row>
    <row r="158" spans="1:11" s="64" customFormat="1" ht="12.75">
      <c r="A158" s="62"/>
      <c r="B158" s="61" t="s">
        <v>267</v>
      </c>
      <c r="C158" s="65"/>
      <c r="D158" s="65"/>
      <c r="E158" s="65"/>
      <c r="F158" s="65"/>
      <c r="G158" s="65"/>
      <c r="H158" s="65"/>
      <c r="I158" s="65"/>
      <c r="J158" s="65"/>
      <c r="K158" s="65"/>
    </row>
    <row r="159" spans="1:11" s="64" customFormat="1" ht="12.75">
      <c r="A159" s="62"/>
      <c r="B159" s="61" t="s">
        <v>268</v>
      </c>
      <c r="C159" s="65"/>
      <c r="D159" s="65"/>
      <c r="E159" s="65"/>
      <c r="F159" s="65"/>
      <c r="G159" s="65"/>
      <c r="H159" s="65"/>
      <c r="I159" s="65"/>
      <c r="J159" s="65"/>
      <c r="K159" s="65"/>
    </row>
    <row r="160" spans="1:11" s="64" customFormat="1" ht="11.25" customHeight="1">
      <c r="A160" s="62"/>
      <c r="C160" s="63"/>
      <c r="D160" s="63"/>
      <c r="E160" s="63"/>
      <c r="F160" s="63"/>
      <c r="G160" s="65"/>
      <c r="H160" s="65"/>
      <c r="I160" s="63"/>
      <c r="J160" s="63"/>
      <c r="K160" s="63"/>
    </row>
    <row r="161" spans="1:11" ht="15" customHeight="1">
      <c r="A161" s="62">
        <v>18</v>
      </c>
      <c r="B161" s="64" t="s">
        <v>230</v>
      </c>
      <c r="C161" s="63"/>
      <c r="D161" s="65"/>
      <c r="E161" s="65"/>
      <c r="F161" s="65"/>
      <c r="G161" s="65"/>
      <c r="H161" s="65"/>
      <c r="I161" s="65"/>
      <c r="J161" s="65"/>
      <c r="K161" s="65"/>
    </row>
    <row r="162" s="65" customFormat="1" ht="13.5" customHeight="1">
      <c r="B162" s="65" t="s">
        <v>231</v>
      </c>
    </row>
    <row r="163" s="65" customFormat="1" ht="13.5" customHeight="1">
      <c r="B163" s="65" t="s">
        <v>232</v>
      </c>
    </row>
    <row r="164" s="65" customFormat="1" ht="13.5" customHeight="1">
      <c r="B164" s="65" t="s">
        <v>233</v>
      </c>
    </row>
    <row r="165" s="65" customFormat="1" ht="13.5" customHeight="1">
      <c r="B165" s="65" t="s">
        <v>234</v>
      </c>
    </row>
    <row r="166" s="65" customFormat="1" ht="13.5" customHeight="1">
      <c r="B166" s="65" t="s">
        <v>235</v>
      </c>
    </row>
    <row r="167" s="65" customFormat="1" ht="13.5" customHeight="1"/>
    <row r="168" spans="1:2" ht="12.75">
      <c r="A168" s="62">
        <v>19</v>
      </c>
      <c r="B168" s="63" t="s">
        <v>236</v>
      </c>
    </row>
    <row r="169" s="65" customFormat="1" ht="12.75">
      <c r="B169" s="65" t="s">
        <v>237</v>
      </c>
    </row>
    <row r="170" s="65" customFormat="1" ht="12.75">
      <c r="B170" s="65" t="s">
        <v>269</v>
      </c>
    </row>
    <row r="171" s="65" customFormat="1" ht="12.75">
      <c r="B171" s="65" t="s">
        <v>270</v>
      </c>
    </row>
    <row r="172" s="65" customFormat="1" ht="6" customHeight="1"/>
    <row r="173" s="65" customFormat="1" ht="11.25" customHeight="1">
      <c r="B173" s="65" t="s">
        <v>271</v>
      </c>
    </row>
    <row r="174" s="65" customFormat="1" ht="12.75">
      <c r="B174" s="65" t="s">
        <v>272</v>
      </c>
    </row>
    <row r="175" s="65" customFormat="1" ht="12.75">
      <c r="B175" s="65" t="s">
        <v>278</v>
      </c>
    </row>
    <row r="176" s="65" customFormat="1" ht="12.75">
      <c r="B176" s="65" t="s">
        <v>273</v>
      </c>
    </row>
    <row r="177" s="65" customFormat="1" ht="6.75" customHeight="1"/>
    <row r="178" s="65" customFormat="1" ht="12" customHeight="1">
      <c r="B178" s="65" t="s">
        <v>274</v>
      </c>
    </row>
    <row r="179" s="65" customFormat="1" ht="12.75" customHeight="1">
      <c r="B179" s="65" t="s">
        <v>275</v>
      </c>
    </row>
    <row r="180" s="65" customFormat="1" ht="12.75" customHeight="1">
      <c r="B180" s="65" t="s">
        <v>276</v>
      </c>
    </row>
    <row r="181" s="65" customFormat="1" ht="12.75" customHeight="1">
      <c r="B181" s="65" t="s">
        <v>277</v>
      </c>
    </row>
    <row r="182" s="65" customFormat="1" ht="12.75" customHeight="1"/>
    <row r="183" s="65" customFormat="1" ht="12.75" customHeight="1"/>
    <row r="184" spans="1:11" ht="12.75">
      <c r="A184" s="63">
        <v>20</v>
      </c>
      <c r="B184" s="63" t="s">
        <v>238</v>
      </c>
      <c r="C184" s="65"/>
      <c r="D184" s="65"/>
      <c r="E184" s="65"/>
      <c r="F184" s="65"/>
      <c r="G184" s="65"/>
      <c r="H184" s="65"/>
      <c r="I184" s="65"/>
      <c r="J184" s="65"/>
      <c r="K184" s="65"/>
    </row>
    <row r="185" spans="1:11" ht="12" customHeight="1">
      <c r="A185" s="65"/>
      <c r="B185" s="65" t="s">
        <v>115</v>
      </c>
      <c r="C185" s="65"/>
      <c r="D185" s="65"/>
      <c r="E185" s="65"/>
      <c r="F185" s="65"/>
      <c r="G185" s="65"/>
      <c r="H185" s="65"/>
      <c r="I185" s="65"/>
      <c r="J185" s="65"/>
      <c r="K185" s="65"/>
    </row>
    <row r="186" spans="1:11" ht="1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</row>
    <row r="187" spans="1:11" ht="13.5" customHeight="1">
      <c r="A187" s="63">
        <v>20</v>
      </c>
      <c r="B187" s="63" t="s">
        <v>239</v>
      </c>
      <c r="C187" s="65"/>
      <c r="D187" s="65"/>
      <c r="E187" s="65"/>
      <c r="F187" s="65"/>
      <c r="G187" s="65"/>
      <c r="H187" s="65"/>
      <c r="I187" s="65"/>
      <c r="J187" s="65"/>
      <c r="K187" s="65"/>
    </row>
    <row r="188" spans="2:11" ht="13.5" customHeight="1">
      <c r="B188" s="65" t="s">
        <v>115</v>
      </c>
      <c r="C188" s="65"/>
      <c r="D188" s="65"/>
      <c r="E188" s="65"/>
      <c r="F188" s="65"/>
      <c r="G188" s="65"/>
      <c r="H188" s="65"/>
      <c r="I188" s="65"/>
      <c r="J188" s="65"/>
      <c r="K188" s="65"/>
    </row>
    <row r="189" spans="2:11" ht="13.5" customHeight="1">
      <c r="B189" s="65"/>
      <c r="C189" s="65"/>
      <c r="D189" s="65"/>
      <c r="E189" s="65"/>
      <c r="F189" s="65"/>
      <c r="G189" s="65"/>
      <c r="H189" s="65"/>
      <c r="I189" s="65"/>
      <c r="J189" s="65"/>
      <c r="K189" s="65"/>
    </row>
    <row r="190" spans="1:11" ht="12.75">
      <c r="A190" s="62">
        <v>21</v>
      </c>
      <c r="B190" s="63" t="s">
        <v>240</v>
      </c>
      <c r="C190" s="65"/>
      <c r="D190" s="65"/>
      <c r="E190" s="65"/>
      <c r="F190" s="65"/>
      <c r="G190" s="65"/>
      <c r="H190" s="65"/>
      <c r="I190" s="65"/>
      <c r="J190" s="65"/>
      <c r="K190" s="65"/>
    </row>
    <row r="191" ht="12.75">
      <c r="B191" s="61" t="s">
        <v>241</v>
      </c>
    </row>
    <row r="192" ht="12.75">
      <c r="B192" s="108" t="s">
        <v>242</v>
      </c>
    </row>
    <row r="193" ht="12.75">
      <c r="B193" s="108"/>
    </row>
    <row r="194" spans="1:2" ht="12.75">
      <c r="A194" s="62">
        <v>22</v>
      </c>
      <c r="B194" s="64" t="s">
        <v>243</v>
      </c>
    </row>
    <row r="195" ht="12.75">
      <c r="B195" s="61" t="s">
        <v>244</v>
      </c>
    </row>
    <row r="196" ht="12.75">
      <c r="B196" s="61" t="s">
        <v>245</v>
      </c>
    </row>
    <row r="197" ht="12.75">
      <c r="B197" s="61" t="s">
        <v>246</v>
      </c>
    </row>
    <row r="198" ht="12.75">
      <c r="B198" s="61" t="s">
        <v>247</v>
      </c>
    </row>
    <row r="199" ht="12.75">
      <c r="B199" s="61" t="s">
        <v>248</v>
      </c>
    </row>
    <row r="200" ht="12.75">
      <c r="B200" s="61" t="s">
        <v>249</v>
      </c>
    </row>
    <row r="201" ht="12.75">
      <c r="B201" s="61" t="s">
        <v>250</v>
      </c>
    </row>
    <row r="202" ht="12.75">
      <c r="B202" s="61" t="s">
        <v>251</v>
      </c>
    </row>
    <row r="203" ht="12.75">
      <c r="B203" s="61" t="s">
        <v>252</v>
      </c>
    </row>
  </sheetData>
  <mergeCells count="43">
    <mergeCell ref="F48:G48"/>
    <mergeCell ref="I48:J48"/>
    <mergeCell ref="F49:G49"/>
    <mergeCell ref="I49:J49"/>
    <mergeCell ref="F50:G50"/>
    <mergeCell ref="I50:J50"/>
    <mergeCell ref="F51:G51"/>
    <mergeCell ref="I51:J51"/>
    <mergeCell ref="F52:G52"/>
    <mergeCell ref="I52:J52"/>
    <mergeCell ref="F53:G53"/>
    <mergeCell ref="F54:G54"/>
    <mergeCell ref="I54:J54"/>
    <mergeCell ref="F55:G55"/>
    <mergeCell ref="I55:J55"/>
    <mergeCell ref="F56:G56"/>
    <mergeCell ref="I56:J56"/>
    <mergeCell ref="G60:H60"/>
    <mergeCell ref="I60:J60"/>
    <mergeCell ref="G63:H63"/>
    <mergeCell ref="G66:H66"/>
    <mergeCell ref="G67:H67"/>
    <mergeCell ref="G137:H137"/>
    <mergeCell ref="I137:J137"/>
    <mergeCell ref="G138:H138"/>
    <mergeCell ref="I138:J138"/>
    <mergeCell ref="G139:H139"/>
    <mergeCell ref="G141:H141"/>
    <mergeCell ref="I141:J141"/>
    <mergeCell ref="G142:H142"/>
    <mergeCell ref="I142:J142"/>
    <mergeCell ref="G143:H143"/>
    <mergeCell ref="I143:J143"/>
    <mergeCell ref="G144:H144"/>
    <mergeCell ref="I144:J144"/>
    <mergeCell ref="G145:H145"/>
    <mergeCell ref="I145:J145"/>
    <mergeCell ref="G146:H146"/>
    <mergeCell ref="I146:J146"/>
    <mergeCell ref="G147:H147"/>
    <mergeCell ref="I147:J147"/>
    <mergeCell ref="G148:H148"/>
    <mergeCell ref="I148:J148"/>
  </mergeCells>
  <printOptions/>
  <pageMargins left="0.48" right="0.24" top="0.53" bottom="0.46" header="0.29" footer="0.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PLB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PLB Engineering Berhad</cp:lastModifiedBy>
  <cp:lastPrinted>2000-07-28T05:42:47Z</cp:lastPrinted>
  <dcterms:created xsi:type="dcterms:W3CDTF">2000-07-28T01:08:54Z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