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3525" tabRatio="877" firstSheet="8" activeTab="8"/>
  </bookViews>
  <sheets>
    <sheet name="00000" sheetId="1" state="veryHidden" r:id="rId1"/>
    <sheet name="00001" sheetId="2" state="veryHidden" r:id="rId2"/>
    <sheet name="00002" sheetId="3" state="veryHidden" r:id="rId3"/>
    <sheet name="SPFB-P&amp;L" sheetId="4" r:id="rId4"/>
    <sheet name="BAL SHEET" sheetId="5" r:id="rId5"/>
    <sheet name="Sheet1" sheetId="6" state="hidden" r:id="rId6"/>
    <sheet name="P &amp; L" sheetId="7" state="hidden" r:id="rId7"/>
    <sheet name="Cashflow- to KLSE" sheetId="8" state="hidden" r:id="rId8"/>
    <sheet name="notes to KLSE-revised" sheetId="9" r:id="rId9"/>
  </sheets>
  <definedNames>
    <definedName name="_xlnm.Print_Area" localSheetId="4">'BAL SHEET'!$A$1:$O$160</definedName>
    <definedName name="_xlnm.Print_Area" localSheetId="6">'P &amp; L'!$A$1:$T$58</definedName>
    <definedName name="_xlnm.Print_Titles" localSheetId="4">'BAL SHEET'!$A:$A,'BAL SHEET'!$1:$3</definedName>
    <definedName name="_xlnm.Print_Titles" localSheetId="8">'notes to KLSE-revised'!$1:$2</definedName>
    <definedName name="_xlnm.Print_Titles" localSheetId="6">'P &amp; L'!$1:$5</definedName>
  </definedNames>
  <calcPr fullCalcOnLoad="1"/>
</workbook>
</file>

<file path=xl/comments5.xml><?xml version="1.0" encoding="utf-8"?>
<comments xmlns="http://schemas.openxmlformats.org/spreadsheetml/2006/main">
  <authors>
    <author>FAJAR BARU</author>
    <author>Syarikat Pembinaan Fajar Baru</author>
  </authors>
  <commentList>
    <comment ref="F70" authorId="0">
      <text>
        <r>
          <rPr>
            <b/>
            <sz val="8"/>
            <rFont val="Tahoma"/>
            <family val="0"/>
          </rPr>
          <t>CITA JATI &amp; CASHREP</t>
        </r>
      </text>
    </comment>
    <comment ref="F13" authorId="1">
      <text>
        <r>
          <rPr>
            <b/>
            <sz val="8"/>
            <rFont val="Tahoma"/>
            <family val="0"/>
          </rPr>
          <t>Syarikat Pembinaan Fajar Baru:</t>
        </r>
        <r>
          <rPr>
            <sz val="8"/>
            <rFont val="Tahoma"/>
            <family val="0"/>
          </rPr>
          <t xml:space="preserve">
Provision - Chase Perdana
RM 2 Millions
</t>
        </r>
      </text>
    </comment>
    <comment ref="E33" authorId="1">
      <text>
        <r>
          <rPr>
            <b/>
            <sz val="8"/>
            <rFont val="Times New Roman"/>
            <family val="1"/>
          </rPr>
          <t>include Share Premium -RM5,547,984.36</t>
        </r>
        <r>
          <rPr>
            <sz val="8"/>
            <rFont val="Times New Roman"/>
            <family val="1"/>
          </rPr>
          <t xml:space="preserve">
</t>
        </r>
      </text>
    </comment>
    <comment ref="F83" authorId="1">
      <text>
        <r>
          <rPr>
            <b/>
            <sz val="10"/>
            <color indexed="10"/>
            <rFont val="Tahoma"/>
            <family val="2"/>
          </rPr>
          <t>refer to above</t>
        </r>
      </text>
    </comment>
    <comment ref="K13" authorId="1">
      <text>
        <r>
          <rPr>
            <b/>
            <sz val="8"/>
            <rFont val="Tahoma"/>
            <family val="0"/>
          </rPr>
          <t>Syarikat Pembinaan Fajar Baru:</t>
        </r>
        <r>
          <rPr>
            <sz val="8"/>
            <rFont val="Tahoma"/>
            <family val="0"/>
          </rPr>
          <t xml:space="preserve">
Provision - Chase Perdana
RM 2 Millions
</t>
        </r>
      </text>
    </comment>
  </commentList>
</comments>
</file>

<file path=xl/comments7.xml><?xml version="1.0" encoding="utf-8"?>
<comments xmlns="http://schemas.openxmlformats.org/spreadsheetml/2006/main">
  <authors>
    <author>Sykt Pembenaan Fajar Baru S/B</author>
  </authors>
  <commentList>
    <comment ref="O24" authorId="0">
      <text>
        <r>
          <rPr>
            <b/>
            <sz val="9"/>
            <rFont val="Times New Roman"/>
            <family val="1"/>
          </rPr>
          <t>Take out Retained profit b/f Pre-</t>
        </r>
      </text>
    </comment>
  </commentList>
</comments>
</file>

<file path=xl/sharedStrings.xml><?xml version="1.0" encoding="utf-8"?>
<sst xmlns="http://schemas.openxmlformats.org/spreadsheetml/2006/main" count="688" uniqueCount="574">
  <si>
    <t>There were no changes in estimates of amounts reported in prior quarters of the current financial year or changes in estimates of amounts reported in prior financial years that have a material effect in the current quarter.</t>
  </si>
  <si>
    <t>There were no issuance and repayment of debt nor any movement in share capital for the current financial period under review.</t>
  </si>
  <si>
    <t>No segmental information is provided on a geographical basis as the Group's activities are conducted wholly in Malaysia.</t>
  </si>
  <si>
    <t>There are no changes in the contingent liabilities or assets of the Group since the last annual balance sheet to the date of this announcement.</t>
  </si>
  <si>
    <t xml:space="preserve">The Group has secured contracts worth RM9.053 million during the quarter.  </t>
  </si>
  <si>
    <t>The directors are confident that the Group would be able to secure some other contracts which are under negotiation.</t>
  </si>
  <si>
    <t>The basic earnings per share for the financial period has been calculated based on the Group's profit after taxation and divided by 39,999,000 ordinary shares during the financial period.</t>
  </si>
  <si>
    <t>CURRENT ASSETS</t>
  </si>
  <si>
    <t>Stocks</t>
  </si>
  <si>
    <t>CURRENT LIABILITIES</t>
  </si>
  <si>
    <t>Taxation</t>
  </si>
  <si>
    <t>Share capital</t>
  </si>
  <si>
    <t>Turnover</t>
  </si>
  <si>
    <t>PAT</t>
  </si>
  <si>
    <t>MI</t>
  </si>
  <si>
    <t>TOTAL</t>
  </si>
  <si>
    <t>Depreciation</t>
  </si>
  <si>
    <t xml:space="preserve">Check </t>
  </si>
  <si>
    <t>NET CURRENT ASSETS</t>
  </si>
  <si>
    <t>Total</t>
  </si>
  <si>
    <t>Adjustments</t>
  </si>
  <si>
    <t>Investment in subsidiaries</t>
  </si>
  <si>
    <t>NTA</t>
  </si>
  <si>
    <t>Total Assets</t>
  </si>
  <si>
    <t>Company</t>
  </si>
  <si>
    <t>SPFB</t>
  </si>
  <si>
    <t>WAJA</t>
  </si>
  <si>
    <t>FBT</t>
  </si>
  <si>
    <t>CEN</t>
  </si>
  <si>
    <t>Wajatex</t>
  </si>
  <si>
    <t>Centrepac</t>
  </si>
  <si>
    <t>Econpile</t>
  </si>
  <si>
    <t>Duta Restu</t>
  </si>
  <si>
    <t>Due to directors</t>
  </si>
  <si>
    <t>FBC</t>
  </si>
  <si>
    <t>Other income</t>
  </si>
  <si>
    <t>Note</t>
  </si>
  <si>
    <t>RECAP: RE B/F</t>
  </si>
  <si>
    <t>Per CF-3 above</t>
  </si>
  <si>
    <t>Cash and bank balances</t>
  </si>
  <si>
    <t>Trade Creditors</t>
  </si>
  <si>
    <t>Other Creditors</t>
  </si>
  <si>
    <t>Due from related companies</t>
  </si>
  <si>
    <t>Due to related companies</t>
  </si>
  <si>
    <t>Due to holding company</t>
  </si>
  <si>
    <t>HP Creditors</t>
  </si>
  <si>
    <t>Short term borrowings</t>
  </si>
  <si>
    <t>Work-in-progress</t>
  </si>
  <si>
    <t>Proposed dividend</t>
  </si>
  <si>
    <t>Dividend</t>
  </si>
  <si>
    <t>Operating profit</t>
  </si>
  <si>
    <t>Operating profit for B/Cover</t>
  </si>
  <si>
    <t xml:space="preserve"> Pre-acqusition</t>
  </si>
  <si>
    <t>RE for the year</t>
  </si>
  <si>
    <t>PL</t>
  </si>
  <si>
    <t>WIP</t>
  </si>
  <si>
    <t>Profit before taxation</t>
  </si>
  <si>
    <t>f</t>
  </si>
  <si>
    <t>CF-10</t>
  </si>
  <si>
    <t>&lt;Disclosure&gt;</t>
  </si>
  <si>
    <t>CF-6</t>
  </si>
  <si>
    <t>Agreed to audited accounts for y/e 30.6.1998</t>
  </si>
  <si>
    <t>(c)</t>
  </si>
  <si>
    <t>UD2508 YEE</t>
  </si>
  <si>
    <t>UD2608 yee</t>
  </si>
  <si>
    <t>ok</t>
  </si>
  <si>
    <t>UD1009</t>
  </si>
  <si>
    <t>ud1109</t>
  </si>
  <si>
    <t>Provision for doubtful debts</t>
  </si>
  <si>
    <t xml:space="preserve">PROFIT AND LOSS ACCOUNT </t>
  </si>
  <si>
    <t>GROUP</t>
  </si>
  <si>
    <t>FAJAR BARU CAPITAL BHD</t>
  </si>
  <si>
    <t>RM '  '000</t>
  </si>
  <si>
    <t>RM  ' 000</t>
  </si>
  <si>
    <t>RM ' 000</t>
  </si>
  <si>
    <t>RM '000</t>
  </si>
  <si>
    <t>OTHER INCOME</t>
  </si>
  <si>
    <t>Disposal of F/A</t>
  </si>
  <si>
    <t>Interest Income</t>
  </si>
  <si>
    <t>Bank Interest</t>
  </si>
  <si>
    <t>HP Interest</t>
  </si>
  <si>
    <t>Rental of Machineries</t>
  </si>
  <si>
    <t>The Pacific Bank Bhd</t>
  </si>
  <si>
    <t>Bank Bumiputra Malaysia Bhd</t>
  </si>
  <si>
    <t xml:space="preserve">Petty Cash </t>
  </si>
  <si>
    <t>Fixed Deposit</t>
  </si>
  <si>
    <t>Other Debtors</t>
  </si>
  <si>
    <t>Other Debtors Control A/C</t>
  </si>
  <si>
    <t>Sundry Deposits</t>
  </si>
  <si>
    <t>Tender Deposits</t>
  </si>
  <si>
    <t>Prepayment</t>
  </si>
  <si>
    <t xml:space="preserve">Trade Debtors </t>
  </si>
  <si>
    <t>Trade Debtors Control A/C</t>
  </si>
  <si>
    <t>Retention A/C</t>
  </si>
  <si>
    <t>Sub-contractors control</t>
  </si>
  <si>
    <t>H.P Creditors &amp; Lessor Control A/C</t>
  </si>
  <si>
    <t xml:space="preserve">     Less : Long Term &gt; 12 Mths</t>
  </si>
  <si>
    <t>Multi-Purpose Bank</t>
  </si>
  <si>
    <t>Multi-Purpose Bank - Dividend a/c 1</t>
  </si>
  <si>
    <t>SCB - Kuantan</t>
  </si>
  <si>
    <t>SCB - PJ</t>
  </si>
  <si>
    <t>Multi-Purpose Bank - Escrow</t>
  </si>
  <si>
    <t>Cash Colleteral</t>
  </si>
  <si>
    <t>Hp Interest in Suspense</t>
  </si>
  <si>
    <t>20/045/006</t>
  </si>
  <si>
    <t>SPFB Accounts  Deteils</t>
  </si>
  <si>
    <t>20/045/003</t>
  </si>
  <si>
    <t>20/055/001- 010</t>
  </si>
  <si>
    <t>20/030/101</t>
  </si>
  <si>
    <t>20/045/002</t>
  </si>
  <si>
    <t>20/030/401</t>
  </si>
  <si>
    <t>20/030/001</t>
  </si>
  <si>
    <t>20/030/201</t>
  </si>
  <si>
    <t xml:space="preserve">20/015/001 </t>
  </si>
  <si>
    <t>20/015/002</t>
  </si>
  <si>
    <t>Sundry Debtors</t>
  </si>
  <si>
    <t>20/040/004 -005</t>
  </si>
  <si>
    <t>20/045/001</t>
  </si>
  <si>
    <t>20/045/004</t>
  </si>
  <si>
    <t>20/045/011</t>
  </si>
  <si>
    <t>20/045/012</t>
  </si>
  <si>
    <t>30/005/001</t>
  </si>
  <si>
    <t>30/030/001</t>
  </si>
  <si>
    <t>30/020/001</t>
  </si>
  <si>
    <t>Sundry Creditor control</t>
  </si>
  <si>
    <t>30/052/001</t>
  </si>
  <si>
    <t>30/012/003</t>
  </si>
  <si>
    <t>30/012/004</t>
  </si>
  <si>
    <t>40/005/001</t>
  </si>
  <si>
    <t>P/L</t>
  </si>
  <si>
    <t>20/005/001-4+20/005/999+20/010/001</t>
  </si>
  <si>
    <t>Wajatex Sdn Bhd</t>
  </si>
  <si>
    <t>Centrepac Sdn Bhd</t>
  </si>
  <si>
    <t>20/040/002</t>
  </si>
  <si>
    <t>Fajar Baru Capital Bhd  ( Holding Co.)</t>
  </si>
  <si>
    <t>30/035/001</t>
  </si>
  <si>
    <t>30/040/001</t>
  </si>
  <si>
    <t>Provision of taxation</t>
  </si>
  <si>
    <t xml:space="preserve">Loan </t>
  </si>
  <si>
    <t>TFBTS000</t>
  </si>
  <si>
    <t>T/B</t>
  </si>
  <si>
    <t>Fajar Baru Trading TFBTS000 ( Recls)</t>
  </si>
  <si>
    <t>Corporation Tax (P/L)</t>
  </si>
  <si>
    <t>TAXATION</t>
  </si>
  <si>
    <t>Multi-Purpose Bank - Dividend a/c 2</t>
  </si>
  <si>
    <t>Taxation Paid</t>
  </si>
  <si>
    <t>Syarikat Pembenaan Fajar Baru</t>
  </si>
  <si>
    <t>AA</t>
  </si>
  <si>
    <t>BB</t>
  </si>
  <si>
    <t>CC</t>
  </si>
  <si>
    <t>DD</t>
  </si>
  <si>
    <t>EE</t>
  </si>
  <si>
    <t>FF</t>
  </si>
  <si>
    <t>Accrual  - Trade Creditors</t>
  </si>
  <si>
    <t>GG</t>
  </si>
  <si>
    <t>HH</t>
  </si>
  <si>
    <t>II</t>
  </si>
  <si>
    <t>Syarikat Pembenaan Fajar Baru (R) Sdn Bhd</t>
  </si>
  <si>
    <t xml:space="preserve">BCBB </t>
  </si>
  <si>
    <t>BCBB -Project</t>
  </si>
  <si>
    <t>Maybank - Seapark</t>
  </si>
  <si>
    <t>Accruals - Travelling Claims</t>
  </si>
  <si>
    <t>30/012/008</t>
  </si>
  <si>
    <t>30/012/006</t>
  </si>
  <si>
    <t>20/045/013</t>
  </si>
  <si>
    <t>30/012/007</t>
  </si>
  <si>
    <t>30/015/001</t>
  </si>
  <si>
    <t>Due to Holding company</t>
  </si>
  <si>
    <t>30/055/001</t>
  </si>
  <si>
    <t>20/035/001</t>
  </si>
  <si>
    <t>JV0600-01</t>
  </si>
  <si>
    <t>SPFB CLIENT'S JOURNAL</t>
  </si>
  <si>
    <t>JJ</t>
  </si>
  <si>
    <t>Notes</t>
  </si>
  <si>
    <t>Tranfer (from)/to deferred taxation</t>
  </si>
  <si>
    <t>Profit Guarantee</t>
  </si>
  <si>
    <t xml:space="preserve">Accruals - </t>
  </si>
  <si>
    <t>Insurance claims</t>
  </si>
  <si>
    <t>Other Income</t>
  </si>
  <si>
    <t>Income Tax - Current year</t>
  </si>
  <si>
    <t xml:space="preserve">                   - (Over) Underprovison in previous yr</t>
  </si>
  <si>
    <t>Profit for the year</t>
  </si>
  <si>
    <t>Maybank -Seapark</t>
  </si>
  <si>
    <t>Fajar BaruTrading S/B -TFBTS000 (Recls)</t>
  </si>
  <si>
    <t>Koh Kim Seong Holdings Sdn Bhd</t>
  </si>
  <si>
    <t>Accrual - Staff Income Tax</t>
  </si>
  <si>
    <t>30/012/002</t>
  </si>
  <si>
    <t>Accrual -Socso Payable</t>
  </si>
  <si>
    <t>UD141100</t>
  </si>
  <si>
    <t>spfb T/B</t>
  </si>
  <si>
    <t>Console Adjustments</t>
  </si>
  <si>
    <t>SCB - Petaling Jaya</t>
  </si>
  <si>
    <t xml:space="preserve">Multi-Purpose Bank </t>
  </si>
  <si>
    <t>Accrual - EPF</t>
  </si>
  <si>
    <t>Advance Payment R'cd - Project</t>
  </si>
  <si>
    <t>Fajar Baru Trading Sdn Bhd</t>
  </si>
  <si>
    <t>30/040/002</t>
  </si>
  <si>
    <t>LC Control Account</t>
  </si>
  <si>
    <t>Provision for taxation</t>
  </si>
  <si>
    <t>1 (a)</t>
  </si>
  <si>
    <t>1 ( c)</t>
  </si>
  <si>
    <t xml:space="preserve">Operating profit/(loss)  before interest,depreciation </t>
  </si>
  <si>
    <t>2 (a)</t>
  </si>
  <si>
    <t>(b)</t>
  </si>
  <si>
    <t>(d)</t>
  </si>
  <si>
    <t>Exceptional items</t>
  </si>
  <si>
    <t>(e)</t>
  </si>
  <si>
    <t xml:space="preserve">Operating profit/(loss)  after interest,depreciation </t>
  </si>
  <si>
    <t>(g)</t>
  </si>
  <si>
    <t>(h)</t>
  </si>
  <si>
    <t>(I)</t>
  </si>
  <si>
    <t>Profit/(loss) after taxation</t>
  </si>
  <si>
    <t>(ii)</t>
  </si>
  <si>
    <t>Less minority interests</t>
  </si>
  <si>
    <t>(j)</t>
  </si>
  <si>
    <t>Profit after taxation</t>
  </si>
  <si>
    <t>Retained Earning b/f</t>
  </si>
  <si>
    <t>Retained Earning c/f</t>
  </si>
  <si>
    <t>Fajar Baru Capital Bhd's Group of Companies</t>
  </si>
  <si>
    <t>FINANCE COST</t>
  </si>
  <si>
    <t>Other interest Recived</t>
  </si>
  <si>
    <t>Trade Creditor - Fajar Baru Trading</t>
  </si>
  <si>
    <t>Amount due to related company</t>
  </si>
  <si>
    <t>Fajar Baru Trading  TFBTS000 (Recls)</t>
  </si>
  <si>
    <t>Maybank -Seapark project Pontian</t>
  </si>
  <si>
    <t>Project Advance -</t>
  </si>
  <si>
    <t>Trade Debtor - Retention &gt; 12 Mths ( Long-term)</t>
  </si>
  <si>
    <t>Retention &gt; 12 mths</t>
  </si>
  <si>
    <t>F/D Interest Received/receivable</t>
  </si>
  <si>
    <t>20/045/014</t>
  </si>
  <si>
    <t>Accrual - Salary</t>
  </si>
  <si>
    <t>30/012/005</t>
  </si>
  <si>
    <t xml:space="preserve">Contra </t>
  </si>
  <si>
    <t>30/070/001</t>
  </si>
  <si>
    <t>20/025/001- 021/024-030</t>
  </si>
  <si>
    <t>20/025/023</t>
  </si>
  <si>
    <t>30/020/002</t>
  </si>
  <si>
    <t>Taxation  - 01 - 03/2002</t>
  </si>
  <si>
    <t>Being additional provision for Jant - Mar 2002</t>
  </si>
  <si>
    <t>CJV 0302-02</t>
  </si>
  <si>
    <t>CJV 0302-03</t>
  </si>
  <si>
    <t>CJV 0302 - 04</t>
  </si>
  <si>
    <t>TFBTS000/30/040/002</t>
  </si>
  <si>
    <t>CJV0302-05</t>
  </si>
  <si>
    <t>Trade creditors / Sub-contractors  control</t>
  </si>
  <si>
    <t>UD120702</t>
  </si>
  <si>
    <t>Recls - JV012002</t>
  </si>
  <si>
    <t>Draft dd. 12.07.02</t>
  </si>
  <si>
    <t>CJV 2002-01</t>
  </si>
  <si>
    <t>Being recalssification of stock value as at 300602</t>
  </si>
  <si>
    <t>Fajar Baru Trading cheque not given</t>
  </si>
  <si>
    <t>Fajar Baru Trading S/B - cheque not given</t>
  </si>
  <si>
    <t>Multi-Purpose Bank - fajar baru trading cheque</t>
  </si>
  <si>
    <t xml:space="preserve">     Amount due from related Co.</t>
  </si>
  <si>
    <t>Bank charges</t>
  </si>
  <si>
    <t>Interest Income Accrual</t>
  </si>
  <si>
    <t>Commitment Fee</t>
  </si>
  <si>
    <t>Accruals- Audit Fee Audit Journal</t>
  </si>
  <si>
    <t>Audit Journal</t>
  </si>
  <si>
    <t>Cash &amp; Bank Balance ( FD)</t>
  </si>
  <si>
    <t>Interest Income ( Finance Cost,net)</t>
  </si>
  <si>
    <t>PAJE&lt;2&gt;</t>
  </si>
  <si>
    <t>Doubtful debts</t>
  </si>
  <si>
    <t>PAJE&lt;3&gt;</t>
  </si>
  <si>
    <t>Project Expenses</t>
  </si>
  <si>
    <t>PAJE&lt;101&gt;</t>
  </si>
  <si>
    <t>Dr Other receivable</t>
  </si>
  <si>
    <t>Dr. Cash and bank balances</t>
  </si>
  <si>
    <t xml:space="preserve">    Cr. Other payables</t>
  </si>
  <si>
    <t>PAJE&lt;102&gt;</t>
  </si>
  <si>
    <t>Dr Short Term borrowing</t>
  </si>
  <si>
    <t>Dr Cash and bank balances</t>
  </si>
  <si>
    <t>Cr  Other payables</t>
  </si>
  <si>
    <t>PAJE&lt;103&gt;</t>
  </si>
  <si>
    <t>Bank Overdraft</t>
  </si>
  <si>
    <t>Other payables</t>
  </si>
  <si>
    <t>PAJE&lt;104&gt;</t>
  </si>
  <si>
    <t>Cr  Short Term borrowings</t>
  </si>
  <si>
    <t>Fixed Deposit - Accrual interest</t>
  </si>
  <si>
    <t>Provision for Doubtful debts</t>
  </si>
  <si>
    <t>Reclass Chong P.N.</t>
  </si>
  <si>
    <t>Reclass : Petty Cash Chong P.N.</t>
  </si>
  <si>
    <t>Other Payable - Reclassification of Stale Cheques SCBPJ</t>
  </si>
  <si>
    <t>Recls of Stale cheques SCB PJ</t>
  </si>
  <si>
    <t xml:space="preserve">Recls of Stale cheques SCB PJ </t>
  </si>
  <si>
    <t>Recls of Stale cheques BCBB MPB MBB</t>
  </si>
  <si>
    <t>Recls of HP Creditors Short Term</t>
  </si>
  <si>
    <t>Client &lt;105&gt;</t>
  </si>
  <si>
    <t>July-Mar 2002 as no tax provision is needed.</t>
  </si>
  <si>
    <t>Being reverse of accumulated provision for quarters</t>
  </si>
  <si>
    <t xml:space="preserve">Client &lt;106&gt; </t>
  </si>
  <si>
    <t>Other debtors - taxation paid</t>
  </si>
  <si>
    <t>Being reclass of accounts</t>
  </si>
  <si>
    <t>PAJE &lt;1+6&gt;</t>
  </si>
  <si>
    <t>Interest Receivable</t>
  </si>
  <si>
    <t>UD241002</t>
  </si>
  <si>
    <t xml:space="preserve">Client </t>
  </si>
  <si>
    <t>Finance Cost -     Other Income</t>
  </si>
  <si>
    <t>Being taken up Leadwise Interest</t>
  </si>
  <si>
    <t>Development Cost written off</t>
  </si>
  <si>
    <t>Fixed Assets - Development</t>
  </si>
  <si>
    <t>Being Written off development cost</t>
  </si>
  <si>
    <t>Other Debtors - Chua Tiong Moon &amp; Others</t>
  </si>
  <si>
    <t>Other Income - Interest</t>
  </si>
  <si>
    <t>Reclass by Auditor</t>
  </si>
  <si>
    <t>Other Creditors - Project Advance</t>
  </si>
  <si>
    <t xml:space="preserve">Recls Project Advance to Trade Debtor </t>
  </si>
  <si>
    <t xml:space="preserve">  </t>
  </si>
  <si>
    <t>FOR THE QTRLY PERIOD JULY 2002 TO SEPT 2002</t>
  </si>
  <si>
    <t>Less: Finance Cost</t>
  </si>
  <si>
    <t>Less Depreciation</t>
  </si>
  <si>
    <t>BALANCE SHEET AS AT 30 SEPT 2002</t>
  </si>
  <si>
    <t>NON-CURRENT ASSETS</t>
  </si>
  <si>
    <t>Property, plant and equipment</t>
  </si>
  <si>
    <t>Other investment</t>
  </si>
  <si>
    <t>Retention sums</t>
  </si>
  <si>
    <t>Inventories</t>
  </si>
  <si>
    <t>Trade Receivables</t>
  </si>
  <si>
    <t>Other Receivables</t>
  </si>
  <si>
    <t>Due from customers on contracts</t>
  </si>
  <si>
    <t>Trade Payables</t>
  </si>
  <si>
    <t>Other Payables</t>
  </si>
  <si>
    <t>SHAREHOLDERS' EQUITY</t>
  </si>
  <si>
    <t>Reserves</t>
  </si>
  <si>
    <t>Hire Purchase payables</t>
  </si>
  <si>
    <t>Deferred Taxation</t>
  </si>
  <si>
    <t>Non-current liabilities</t>
  </si>
  <si>
    <t>FAJAR  BARU CAPITAL BHD (281645-U)</t>
  </si>
  <si>
    <t>Revenue</t>
  </si>
  <si>
    <t>Finance Cost</t>
  </si>
  <si>
    <t>END OF</t>
  </si>
  <si>
    <t xml:space="preserve">CURRENT </t>
  </si>
  <si>
    <t>QUARTER</t>
  </si>
  <si>
    <t>RM'000</t>
  </si>
  <si>
    <t>Taxation includes:</t>
  </si>
  <si>
    <t xml:space="preserve">Current </t>
  </si>
  <si>
    <t>Preceding</t>
  </si>
  <si>
    <t>Current</t>
  </si>
  <si>
    <t>Preceding Year</t>
  </si>
  <si>
    <t>Year</t>
  </si>
  <si>
    <t xml:space="preserve">Year To </t>
  </si>
  <si>
    <t>Corresponding</t>
  </si>
  <si>
    <t>Quarter</t>
  </si>
  <si>
    <t>Date</t>
  </si>
  <si>
    <t>Period</t>
  </si>
  <si>
    <t>RM' 000</t>
  </si>
  <si>
    <t>Current period's provision</t>
  </si>
  <si>
    <t>Over provision in prior year</t>
  </si>
  <si>
    <t>Deferred taxation</t>
  </si>
  <si>
    <t>There were no transactions on sale of investment and /or properties.</t>
  </si>
  <si>
    <t>Quoted securities</t>
  </si>
  <si>
    <t>There were no transactions on quoted securities for the financial period under review.</t>
  </si>
  <si>
    <t>There were no changes in the composition of the Company.</t>
  </si>
  <si>
    <t>The analysis of results and assets employed by activity is shown below:</t>
  </si>
  <si>
    <t>Profit/(Loss)</t>
  </si>
  <si>
    <t>Before Taxation</t>
  </si>
  <si>
    <t>Construction</t>
  </si>
  <si>
    <t>Investment holding</t>
  </si>
  <si>
    <t>Review of performance</t>
  </si>
  <si>
    <t>The operations of the Group are not subject to seasonality/cyclicality of operations.</t>
  </si>
  <si>
    <t>Current year prospects</t>
  </si>
  <si>
    <t>Profit Variance</t>
  </si>
  <si>
    <t>Individual Quarter</t>
  </si>
  <si>
    <t>Cumulative Quarter</t>
  </si>
  <si>
    <t>30.09.2002</t>
  </si>
  <si>
    <t>Trading and project management</t>
  </si>
  <si>
    <t>Only applicable to the forth quarter.</t>
  </si>
  <si>
    <t>For the quarter ended 30 Sept 2002</t>
  </si>
  <si>
    <t>Adjustment for non-cash flow:-</t>
  </si>
  <si>
    <t>Change in working capital</t>
  </si>
  <si>
    <t>(RM'000)</t>
  </si>
  <si>
    <t>Profit/(Loss) before tax</t>
  </si>
  <si>
    <t>Interest expenses</t>
  </si>
  <si>
    <t>Interest income</t>
  </si>
  <si>
    <t>Operating profit/(loss) before changes in working capital</t>
  </si>
  <si>
    <t>(Increase)/Decrease in inventories</t>
  </si>
  <si>
    <t>(Increase)/Decrease in receivables</t>
  </si>
  <si>
    <t>(Increase)/Decrease in due from customers on contracts</t>
  </si>
  <si>
    <t>(Increase)/Decrease in payables</t>
  </si>
  <si>
    <t>Cash generated from/(used in) operations</t>
  </si>
  <si>
    <t>Interest paid</t>
  </si>
  <si>
    <t>Taxed paid</t>
  </si>
  <si>
    <t>Net cash flow generated from/(used in) operating activities</t>
  </si>
  <si>
    <t>CASH FLOW FROM OPERATING ACTIVITIES</t>
  </si>
  <si>
    <t>CASH FLOW FROM INVESTING ACTIVITIES</t>
  </si>
  <si>
    <t>Interest received</t>
  </si>
  <si>
    <t>Purchase of plant and machinery</t>
  </si>
  <si>
    <t>Net cash generated from investing activities</t>
  </si>
  <si>
    <t>CASH FLOW FROM FINANCING ACTIVITIES</t>
  </si>
  <si>
    <t>Repayment of hire purchase</t>
  </si>
  <si>
    <t>Net cash generated from financing activities</t>
  </si>
  <si>
    <t>NET INCREASE/(DECREASE) IN CASH AND CASH EQUIVALENTS</t>
  </si>
  <si>
    <t>CASH AND CASH EQUIVALENTS AT BEGINNING OF YEAR</t>
  </si>
  <si>
    <t>CASH AND CASH EQUIVALENTS AT END OF YEAR</t>
  </si>
  <si>
    <t>CASH AND CASH EQUIVALENTS COMPRISE:</t>
  </si>
  <si>
    <t>Fixed Deposits</t>
  </si>
  <si>
    <t>Bank Overdrafts</t>
  </si>
  <si>
    <t>Syarikat Pembenaan Fajar Baru (Rembau) S/B</t>
  </si>
  <si>
    <t xml:space="preserve">Profit and Loss Account for the period </t>
  </si>
  <si>
    <t>Cost of Sales</t>
  </si>
  <si>
    <t>Gross Profit</t>
  </si>
  <si>
    <t>Gross Profit After Other Income</t>
  </si>
  <si>
    <t>Operating Expenses</t>
  </si>
  <si>
    <t>Total Expenses</t>
  </si>
  <si>
    <t>Net profit before tax</t>
  </si>
  <si>
    <t>Less : Taxation</t>
  </si>
  <si>
    <t>Net profit after tax</t>
  </si>
  <si>
    <t>Profit B/F</t>
  </si>
  <si>
    <t>Profit C/F</t>
  </si>
  <si>
    <t>EXPENSES</t>
  </si>
  <si>
    <t>Advertisement</t>
  </si>
  <si>
    <t>Annual Dinner</t>
  </si>
  <si>
    <t>Ang Pau</t>
  </si>
  <si>
    <t>Audit Fee</t>
  </si>
  <si>
    <t>Bank Charges</t>
  </si>
  <si>
    <t>Bank Overdraft Interest</t>
  </si>
  <si>
    <t>F/D Interest Received</t>
  </si>
  <si>
    <t>Other Interest Received</t>
  </si>
  <si>
    <t>Bad Debt</t>
  </si>
  <si>
    <t>Bonus</t>
  </si>
  <si>
    <t>Books &amp; Periodicals</t>
  </si>
  <si>
    <t>Can Vassing</t>
  </si>
  <si>
    <t>Director Remuneration</t>
  </si>
  <si>
    <t>Disbursement Fee</t>
  </si>
  <si>
    <t>Director Fee</t>
  </si>
  <si>
    <t>Electricity</t>
  </si>
  <si>
    <t>Entertaiment</t>
  </si>
  <si>
    <t>EPF</t>
  </si>
  <si>
    <t>Fixed Loan Interest</t>
  </si>
  <si>
    <t>General Expenses</t>
  </si>
  <si>
    <t>Greeting &amp; Gift</t>
  </si>
  <si>
    <t>Insurance</t>
  </si>
  <si>
    <t>Leasing</t>
  </si>
  <si>
    <t>Legal Fee</t>
  </si>
  <si>
    <t>Levy</t>
  </si>
  <si>
    <t>License Fee</t>
  </si>
  <si>
    <t>Medical</t>
  </si>
  <si>
    <t>Messing</t>
  </si>
  <si>
    <t>Office Maintenance</t>
  </si>
  <si>
    <t>Office Refreshment</t>
  </si>
  <si>
    <t>Others Provision</t>
  </si>
  <si>
    <t>Postage &amp; Courier</t>
  </si>
  <si>
    <t>Processing Fee</t>
  </si>
  <si>
    <t>Professional Fee</t>
  </si>
  <si>
    <t>Provision for Doubtful Debts</t>
  </si>
  <si>
    <t>Quit Rent</t>
  </si>
  <si>
    <t>Rental</t>
  </si>
  <si>
    <t>Road Tax</t>
  </si>
  <si>
    <t>Salary &amp; Wages</t>
  </si>
  <si>
    <t>Secretarial Fee</t>
  </si>
  <si>
    <t>Security</t>
  </si>
  <si>
    <t>Sewerage &amp; Water</t>
  </si>
  <si>
    <t>Socso</t>
  </si>
  <si>
    <t>Staff Recreation &amp; Sports</t>
  </si>
  <si>
    <t>Stamping &amp; Registration Fee</t>
  </si>
  <si>
    <t>Staff Welfare</t>
  </si>
  <si>
    <t>Stationery &amp; Printing</t>
  </si>
  <si>
    <t>Subcription Fee</t>
  </si>
  <si>
    <t>Telephone Charges</t>
  </si>
  <si>
    <t>Tender Document Fee</t>
  </si>
  <si>
    <t>Travelling</t>
  </si>
  <si>
    <t>Training Expenses</t>
  </si>
  <si>
    <t>Up Keep Of Air-Con</t>
  </si>
  <si>
    <t>Up Keep Of Computer</t>
  </si>
  <si>
    <t>Up Keep Of Motor Vehicles</t>
  </si>
  <si>
    <t>Up Keep Of Office Equipment</t>
  </si>
  <si>
    <t>Up Keep Of Premises</t>
  </si>
  <si>
    <t>Water</t>
  </si>
  <si>
    <t>1st Qtr</t>
  </si>
  <si>
    <t>July 02 to Sept 02</t>
  </si>
  <si>
    <t>Repayment of  trust receipts</t>
  </si>
  <si>
    <t>As at 30/6/02</t>
  </si>
  <si>
    <t>Audited A/C</t>
  </si>
  <si>
    <t>Hire Purchase</t>
  </si>
  <si>
    <t>Bank Overdaft</t>
  </si>
  <si>
    <t>Trust Receipts</t>
  </si>
  <si>
    <t>Hire purchase payables</t>
  </si>
  <si>
    <t>Dividends</t>
  </si>
  <si>
    <t>Unaudited Condensed Consolidated Cash Flow Statements</t>
  </si>
  <si>
    <t>(The unaudited Condensed Consolidated Cash Flow Statement should be read in</t>
  </si>
  <si>
    <t xml:space="preserve">  conjunction with the Annual Financial Report for the year ended 30th June 2002)</t>
  </si>
  <si>
    <t>Notes to the Interim Financial Report</t>
  </si>
  <si>
    <t>Basis of preparation</t>
  </si>
  <si>
    <t>Annual Report of the Group's Preceding Annual Financial Statements</t>
  </si>
  <si>
    <t>Seasonal or cyclical factors</t>
  </si>
  <si>
    <t>Unusual Items</t>
  </si>
  <si>
    <t>Changes in estimates</t>
  </si>
  <si>
    <t>Debt and equity securities</t>
  </si>
  <si>
    <t>Events subsequent to the balance sheet date</t>
  </si>
  <si>
    <t>Changes in Composition of the Group</t>
  </si>
  <si>
    <t>Additional information required by the KLSE's Listing Requirements</t>
  </si>
  <si>
    <t>Current Year</t>
  </si>
  <si>
    <t>Consolidated Profit before taxation</t>
  </si>
  <si>
    <t>Consolidated Profit after  taxation</t>
  </si>
  <si>
    <t>Corresp. Quarter</t>
  </si>
  <si>
    <t>Variation of result against preceding quarter</t>
  </si>
  <si>
    <t>Unquoted investments and properties</t>
  </si>
  <si>
    <t>Basic earnings per share</t>
  </si>
  <si>
    <t>Changes in material litigation</t>
  </si>
  <si>
    <t>Status of corporate proposals announced</t>
  </si>
  <si>
    <t>All borrowings are denominated in Ringgit Malaysia.</t>
  </si>
  <si>
    <t>Off balance sheet financial instruments</t>
  </si>
  <si>
    <t>Borrowings</t>
  </si>
  <si>
    <t xml:space="preserve">Secured: </t>
  </si>
  <si>
    <t>Long term borrowings</t>
  </si>
  <si>
    <t>A1</t>
  </si>
  <si>
    <t>A2</t>
  </si>
  <si>
    <t>The Company had on 1st November 2002 announced to the Kuala Lumpur Stock Exchange on the Proposed Renewal of Shareholders' Mandate for Recurrent Related Party Transactions of a Revenue or Trading Nature.  The said Proposal is subject to approval from the Company's shareholders at the forthcoming annual general meeting.</t>
  </si>
  <si>
    <t>The Company, via Aseambankers Malaysia Berhad, had announced to the Kuala Lumpur Stock Exchange on the following proposals:</t>
  </si>
  <si>
    <t>(a) Proposed Bonus Issue of 999,975 new ordinary shares of RM1.00 each to the existing shareholders of the Company to be credited as fully paid-up on the basis of one (1) new ordinary share for every forty (40) existing ordinary shares held on a date to be determined later ("Proposed Bonus Issue"); and</t>
  </si>
  <si>
    <t>(b) Proposed Settlement of outstanding liabilities owing by Dato' Chua Tiong Moon, Datuk Chai Kin Kong, Chai kim Ong, Lee Meow Soon, Chai Kim Chong, Chai Kin Loong and Chua Ah Nye to FBCB amounting to RM15,466,025 as at 31st October 2002 by way of transfer of 351,745 ordinary shares of RM1.00 each in Potential Region Sdn. Bhd. ("PRSB") representing approximately 50.25% equity interest in PRSB to the Company ("Proposed Settlement").</t>
  </si>
  <si>
    <t>A3</t>
  </si>
  <si>
    <t>A4</t>
  </si>
  <si>
    <t>A5</t>
  </si>
  <si>
    <t>A6</t>
  </si>
  <si>
    <t>A7</t>
  </si>
  <si>
    <t>A8</t>
  </si>
  <si>
    <t>A9</t>
  </si>
  <si>
    <t>A10</t>
  </si>
  <si>
    <t>A11</t>
  </si>
  <si>
    <t>B1</t>
  </si>
  <si>
    <t>B2</t>
  </si>
  <si>
    <t>B3</t>
  </si>
  <si>
    <t>B4</t>
  </si>
  <si>
    <t>B5</t>
  </si>
  <si>
    <t>B6</t>
  </si>
  <si>
    <t>B7</t>
  </si>
  <si>
    <t>B8</t>
  </si>
  <si>
    <t>B9</t>
  </si>
  <si>
    <t>B10</t>
  </si>
  <si>
    <t>B11</t>
  </si>
  <si>
    <t>B12</t>
  </si>
  <si>
    <t>B13</t>
  </si>
  <si>
    <r>
      <t>SPFB(R)</t>
    </r>
    <r>
      <rPr>
        <sz val="11"/>
        <color indexed="8"/>
        <rFont val="Times New Roman"/>
        <family val="1"/>
      </rPr>
      <t xml:space="preserve"> is claiming RM231,950.35 for payment over works completed but not paid for by Antaramasa Sdn Bhd relating to the </t>
    </r>
    <r>
      <rPr>
        <sz val="11"/>
        <rFont val="Times New Roman"/>
        <family val="1"/>
      </rPr>
      <t>SPFB(R)</t>
    </r>
    <r>
      <rPr>
        <sz val="11"/>
        <color indexed="8"/>
        <rFont val="Times New Roman"/>
        <family val="1"/>
      </rPr>
      <t>’s construction and completion of apartments.</t>
    </r>
  </si>
  <si>
    <t xml:space="preserve">SPFB(R) v Carrier (Malaysia) Sdn Bhd </t>
  </si>
  <si>
    <t>a.</t>
  </si>
  <si>
    <t>SPFB(R) v Antaramasa Sdn Bhd (Suit No: 3-52-21932-98) commenced on May 1998</t>
  </si>
  <si>
    <t>b.</t>
  </si>
  <si>
    <t>c.</t>
  </si>
  <si>
    <t>d.</t>
  </si>
  <si>
    <t>e.</t>
  </si>
  <si>
    <t>No dividend has been declared or paid for the financial period under review.</t>
  </si>
  <si>
    <t>Segmental Reporting</t>
  </si>
  <si>
    <t>Changes in contingent liabilities or contingent assets</t>
  </si>
  <si>
    <t>In the opinion of the Directors, the results for the financial period under review have not been affected by any transaction or event of a material or unusual nature.</t>
  </si>
  <si>
    <t>30.09.2001</t>
  </si>
  <si>
    <t>The Group does not have any financial instrument with off balance sheet risk as at 30th September 2002.</t>
  </si>
  <si>
    <t>No interim dividend is recommended for the quarter under review.</t>
  </si>
  <si>
    <t>The interim financial statement is unaudited and has been prepared in compliance with MASB 26, Interim Financial Reporting.</t>
  </si>
  <si>
    <t>There were no unusual items affecting assets, liabilities, equity, net income, or cash flows during the financial period under review because of their nature, size, or incidence.</t>
  </si>
  <si>
    <t>The Group registered a pre-tax profit of RM1.016 million for the current quarter compared to preceding quarter per-tax loss of RM10.906 million.  The increase profit recorded in the current quarter was mainly due to higher revenue and no provision for foreseeable lossess for the current quarter.</t>
  </si>
  <si>
    <t>The Proposed Bonus Issue is subject to approval from the Company's shareholders and the Proposed Settlement is subject to approval from the Foreign Investment Committee, the Company's shareholders and any other relevant authorities.</t>
  </si>
  <si>
    <t>The solicitors are of the opinion that SPFB(R) has a reasonable basis for the claim.</t>
  </si>
  <si>
    <t>The solicitors are of the opinion that SPFB(R) has a defensible case.</t>
  </si>
  <si>
    <t>SPFB(R) - Syarikat Pembenaan Fajar Baru (Rembau) Sdn. Bhd., a wholly owned subsidiary of the Company.</t>
  </si>
  <si>
    <t>Save as disclosed below, there are no material events subsequent to the end of the period under review that have not been reflected in the quarterly financial statements:</t>
  </si>
  <si>
    <t>(Shah Alam High Court Suit No. MT2-22-92-2001) commenced on 20th February 2001</t>
  </si>
  <si>
    <r>
      <t>SPFB(R)</t>
    </r>
    <r>
      <rPr>
        <sz val="11"/>
        <color indexed="8"/>
        <rFont val="Times New Roman"/>
        <family val="1"/>
      </rPr>
      <t xml:space="preserve"> is claiming for reimbursement of import duty and other storage and customs clearance fees paid by </t>
    </r>
    <r>
      <rPr>
        <sz val="11"/>
        <rFont val="Times New Roman"/>
        <family val="1"/>
      </rPr>
      <t>SPFB(R)</t>
    </r>
    <r>
      <rPr>
        <sz val="11"/>
        <color indexed="8"/>
        <rFont val="Times New Roman"/>
        <family val="1"/>
      </rPr>
      <t xml:space="preserve"> amounting to RM1,002,359.40 on air conditioners supplied by Carrier (Malaysia) Sdn Bhd to </t>
    </r>
    <r>
      <rPr>
        <sz val="11"/>
        <rFont val="Times New Roman"/>
        <family val="1"/>
      </rPr>
      <t>SPFB(R)</t>
    </r>
    <r>
      <rPr>
        <sz val="11"/>
        <color indexed="8"/>
        <rFont val="Times New Roman"/>
        <family val="1"/>
      </rPr>
      <t xml:space="preserve">. </t>
    </r>
    <r>
      <rPr>
        <sz val="11"/>
        <rFont val="Times New Roman"/>
        <family val="1"/>
      </rPr>
      <t>SPFB(R)</t>
    </r>
    <r>
      <rPr>
        <sz val="11"/>
        <color indexed="8"/>
        <rFont val="Times New Roman"/>
        <family val="1"/>
      </rPr>
      <t xml:space="preserve"> has applied  for summary judgment against Carrier (Malaysia) Berhad and it was dismissed by the Court on 16th September 2002. Subsequently </t>
    </r>
    <r>
      <rPr>
        <sz val="11"/>
        <rFont val="Times New Roman"/>
        <family val="1"/>
      </rPr>
      <t>SPFB(R)</t>
    </r>
    <r>
      <rPr>
        <sz val="11"/>
        <color indexed="8"/>
        <rFont val="Times New Roman"/>
        <family val="1"/>
      </rPr>
      <t xml:space="preserve"> has filed an appeal against the decision of the Court. </t>
    </r>
  </si>
  <si>
    <r>
      <t xml:space="preserve">Judgment in default against Antaramas Sdn Bhd  has been obtained on 17th April 2002. for SPFB(R).  </t>
    </r>
    <r>
      <rPr>
        <sz val="11"/>
        <rFont val="Times New Roman"/>
        <family val="1"/>
      </rPr>
      <t>SPFB(R)</t>
    </r>
    <r>
      <rPr>
        <sz val="11"/>
        <color indexed="8"/>
        <rFont val="Times New Roman"/>
        <family val="1"/>
      </rPr>
      <t xml:space="preserve"> is taking steps towards enforcing the judgment.</t>
    </r>
  </si>
  <si>
    <t>Arbitration between SPFB(R) and Petronas Penapisan (Melaka) Sdn Bhd commenced on 11th September 2000</t>
  </si>
  <si>
    <t xml:space="preserve">The arbitration is in respect of dispute on contracting work done by SPFB(R) for Petronas Penapisan (Melaka) Sdn Bhd.  The amount in dispute is RM563,724.85. Written Submission has been submitted by both parties to the Arbitrator. Decision for the arbitration has been fixed on 18th December 2002. </t>
  </si>
  <si>
    <t>Arbitration between SPFB(R) and Panflex Sdn Bhd (“Panflex”) commenced on 9th July 2001</t>
  </si>
  <si>
    <t>Panflex found its claim on a sub-contract terminated by SPFB(R) as a result of the main contract between SPFB(R) and the developer, Bangsar View Condominium Sdn Bhd being terminated on account of the developer’s non-payment. The amount claimed by Panflex is RM6,460,006.53. The next hearing date has been fixed on 17th, 18th, 20th and 21st February 2003 and 2nd, 3rd, 4th, 21st, 22nd, 24th and 25th April 2003.</t>
  </si>
  <si>
    <t>Yap Thiam Choy v SPFB(R) (Suit No:52-648-98) instituted in Temerloh on 24th August 1998 and subsequently case transferred to Shah Alam Court on 16 July 2001 under Suit No:2-52-1851-2001.</t>
  </si>
  <si>
    <t>The suit is by Yap Thiam Choy against SPFB(R) for the amount of RM228,454.77 in respect of floor concreting works done by him. The case is currently ongoing and the next mention date is on the 13th March 2003.  SPFB(R) is counterclaiming for the amount of RM24,337.00.</t>
  </si>
  <si>
    <t>On 29th October 2002, the Company entered into a Deed of Settlement ("DOS") with Dato' Chua Tiong Moon, Datuk Chai Kin Kong, Chai Kim Ong, Lee Meow Soon, Chai Kim Chong, Chai Kin Loong and Chua Ah Nye (collectively referred as "the Vendors") whereby the Company agreed to accept 50.25% equity interest comprising of 351,745 ordinary shares of RM1.00 each in Potential Region Sdn. Bhd. ("PRSB"), a company incorporated in Malaysia, which is principally engaged in property development as full and final settlement of the deposits and interest accrued thereon due from the Vendors amounting to approximately RM12,797,981 and RM2,316,556 respectively.  PRSB owns development properties which have been valued by Messrs Rahim &amp; Co. at RM45,846,000 on 9th October 2002 using the "as is" basis. (refer B8 for conditional on approvals)</t>
  </si>
  <si>
    <t>The solicitors are of the opinion that  SPFB(R) has a reasonable basis for the claim.</t>
  </si>
  <si>
    <t>The taxation charged on the Group's profit is disproportionate with the statutory tax rate mainly due to depreciation and interest not allowable for taxation purposes.</t>
  </si>
  <si>
    <t>Save as disclosed below, neither the Company nor any of its subsidiary companies is engaged in any material litigation, claims or arbitration either as plaintiff or defendant as at the date of this announcement and the Directors do not have any knowledge of any proceedings pending or threatened against the Company or its subsidiary companies or of any facts likely to give rise to any proceedings which might materially affect the position or business of the Group:</t>
  </si>
  <si>
    <t>Changes in material litigation (cont'd)</t>
  </si>
  <si>
    <t>The interim financial statement should be read in conjunction with the audited financial statements of the Group for the year ended 30th June 2002.</t>
  </si>
  <si>
    <t>The accounting policies and methods of computation adopted by the Group in this interim financial statement are consistent with those adopted in the financial statements for the year ended 30th June 2002.</t>
  </si>
  <si>
    <t>The audit report of the Group's most recent annual audited financial statements for the year ended 30th June 2002 was not qualified.</t>
  </si>
  <si>
    <t>The higher earnings for the current quarter were mainly due to the progress of contracts secured earlier and during the quarter.</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</si>
</sst>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quot;#,##0;&quot;RM&quot;\-#,##0"/>
    <numFmt numFmtId="171" formatCode="&quot;RM&quot;#,##0;[Red]&quot;RM&quot;\-#,##0"/>
    <numFmt numFmtId="172" formatCode="&quot;RM&quot;#,##0.00;&quot;RM&quot;\-#,##0.00"/>
    <numFmt numFmtId="173" formatCode="&quot;RM&quot;#,##0.00;[Red]&quot;RM&quot;\-#,##0.00"/>
    <numFmt numFmtId="174" formatCode="_ &quot;RM&quot;* #,##0_ ;_ &quot;RM&quot;* \-#,##0_ ;_ &quot;RM&quot;* &quot;-&quot;_ ;_ @_ "/>
    <numFmt numFmtId="175" formatCode="_ * #,##0_ ;_ * \-#,##0_ ;_ * &quot;-&quot;_ ;_ @_ "/>
    <numFmt numFmtId="176" formatCode="_ &quot;RM&quot;* #,##0.00_ ;_ &quot;RM&quot;* \-#,##0.00_ ;_ &quot;RM&quot;* &quot;-&quot;??_ ;_ @_ "/>
    <numFmt numFmtId="177" formatCode="_ * #,##0.00_ ;_ * \-#,##0.00_ ;_ * &quot;-&quot;??_ ;_ @_ "/>
    <numFmt numFmtId="178" formatCode="_(* #,##0_);_(* \(#,##0\);_(* &quot;-&quot;??_);_(@_)"/>
    <numFmt numFmtId="179" formatCode="#,##0;[Red]\(#,##0\)"/>
    <numFmt numFmtId="180" formatCode="0_);[Red]\(0\)"/>
    <numFmt numFmtId="181" formatCode="#,##0.0_);[Red]\(#,##0.0\)"/>
    <numFmt numFmtId="182" formatCode="#,##0.000_);[Red]\(#,##0.000\)"/>
    <numFmt numFmtId="183" formatCode="0.000%"/>
    <numFmt numFmtId="184" formatCode="0.00_)"/>
    <numFmt numFmtId="185" formatCode="0.00%;\(0.00\)%"/>
    <numFmt numFmtId="186" formatCode="_(* #,##0.0_);_(* \(#,##0.0\);_(* &quot;-&quot;??_);_(@_)"/>
    <numFmt numFmtId="187" formatCode="_(* #,##0.000_);_(* \(#,##0.000\);_(* &quot;-&quot;??_);_(@_)"/>
    <numFmt numFmtId="188" formatCode="#,##0;\(#,##0\)"/>
    <numFmt numFmtId="189" formatCode="#,##0.0000_);[Red]\(#,##0.0000\)"/>
    <numFmt numFmtId="190" formatCode="#,##0.00000_);[Red]\(#,##0.00000\)"/>
    <numFmt numFmtId="191" formatCode="#,##0.000000_);[Red]\(#,##0.000000\)"/>
    <numFmt numFmtId="192" formatCode="#,##0.0000000_);[Red]\(#,##0.0000000\)"/>
    <numFmt numFmtId="193" formatCode="0.0"/>
    <numFmt numFmtId="194" formatCode="_-* #,##0.00_$_-;\-* #,##0.00_$_-;_-* &quot;-&quot;??_$_-;_-@_-"/>
    <numFmt numFmtId="195" formatCode="#,##0.0_);\(#,##0.0\)"/>
    <numFmt numFmtId="196" formatCode="#,##0.0000_);\(#,##0.0000\)"/>
    <numFmt numFmtId="197" formatCode="_(* #,##0.0_);_(* \(#,##0.0\);_(* &quot;-&quot;_);_(@_)"/>
    <numFmt numFmtId="198" formatCode="_(* #,##0.00_);_(* \(#,##0.00\);_(* &quot;-&quot;_);_(@_)"/>
    <numFmt numFmtId="199" formatCode="_-* #,##0_$_-;\-* #,##0_$_-;_-* &quot;-&quot;??_$_-;_-@_-"/>
    <numFmt numFmtId="200" formatCode="_-* #,##0.0_$_-;\-* #,##0.0_$_-;_-* &quot;-&quot;??_$_-;_-@_-"/>
    <numFmt numFmtId="201" formatCode="#,##0.000_);\(#,##0.000\)"/>
    <numFmt numFmtId="202" formatCode="&quot;Yes&quot;;&quot;Yes&quot;;&quot;No&quot;"/>
    <numFmt numFmtId="203" formatCode="&quot;True&quot;;&quot;True&quot;;&quot;False&quot;"/>
    <numFmt numFmtId="204" formatCode="&quot;On&quot;;&quot;On&quot;;&quot;Off&quot;"/>
  </numFmts>
  <fonts count="51">
    <font>
      <sz val="11"/>
      <name val="Book Antiqua"/>
      <family val="0"/>
    </font>
    <font>
      <u val="single"/>
      <sz val="11"/>
      <name val="Book Antiqua"/>
      <family val="1"/>
    </font>
    <font>
      <i/>
      <sz val="11"/>
      <name val="Book Antiqua"/>
      <family val="1"/>
    </font>
    <font>
      <b/>
      <sz val="11"/>
      <name val="Book Antiqua"/>
      <family val="0"/>
    </font>
    <font>
      <sz val="10"/>
      <name val="Arial"/>
      <family val="0"/>
    </font>
    <font>
      <sz val="10"/>
      <name val="Courier"/>
      <family val="0"/>
    </font>
    <font>
      <u val="single"/>
      <sz val="8.4"/>
      <color indexed="12"/>
      <name val="Arial"/>
      <family val="0"/>
    </font>
    <font>
      <b/>
      <i/>
      <sz val="16"/>
      <name val="Helv"/>
      <family val="0"/>
    </font>
    <font>
      <b/>
      <sz val="11"/>
      <color indexed="10"/>
      <name val="Book Antiqua"/>
      <family val="1"/>
    </font>
    <font>
      <b/>
      <u val="single"/>
      <sz val="11"/>
      <name val="Book Antiqua"/>
      <family val="1"/>
    </font>
    <font>
      <sz val="11"/>
      <color indexed="10"/>
      <name val="Book Antiqua"/>
      <family val="1"/>
    </font>
    <font>
      <b/>
      <sz val="11"/>
      <name val="Symbol"/>
      <family val="1"/>
    </font>
    <font>
      <sz val="11"/>
      <color indexed="60"/>
      <name val="Book Antiqua"/>
      <family val="1"/>
    </font>
    <font>
      <sz val="11"/>
      <color indexed="8"/>
      <name val="Book Antiqua"/>
      <family val="1"/>
    </font>
    <font>
      <u val="single"/>
      <sz val="11"/>
      <color indexed="58"/>
      <name val="Book Antiqua"/>
      <family val="1"/>
    </font>
    <font>
      <b/>
      <u val="single"/>
      <sz val="12"/>
      <name val="Book Antiqua"/>
      <family val="1"/>
    </font>
    <font>
      <u val="single"/>
      <sz val="12"/>
      <name val="Book Antiqua"/>
      <family val="0"/>
    </font>
    <font>
      <sz val="8"/>
      <name val="Tahoma"/>
      <family val="0"/>
    </font>
    <font>
      <u val="single"/>
      <sz val="8.25"/>
      <color indexed="36"/>
      <name val="Book Antiqua"/>
      <family val="0"/>
    </font>
    <font>
      <b/>
      <sz val="8"/>
      <name val="Tahoma"/>
      <family val="0"/>
    </font>
    <font>
      <b/>
      <sz val="12"/>
      <name val="Book Antiqua"/>
      <family val="0"/>
    </font>
    <font>
      <i/>
      <u val="single"/>
      <sz val="11"/>
      <name val="Book Antiqua"/>
      <family val="0"/>
    </font>
    <font>
      <b/>
      <sz val="10"/>
      <color indexed="10"/>
      <name val="Book Antiqua"/>
      <family val="1"/>
    </font>
    <font>
      <sz val="11"/>
      <color indexed="48"/>
      <name val="Book Antiqua"/>
      <family val="1"/>
    </font>
    <font>
      <b/>
      <sz val="8"/>
      <color indexed="10"/>
      <name val="Book Antiqua"/>
      <family val="1"/>
    </font>
    <font>
      <b/>
      <sz val="9"/>
      <name val="Times New Roman"/>
      <family val="1"/>
    </font>
    <font>
      <b/>
      <sz val="8"/>
      <name val="Times New Roman"/>
      <family val="1"/>
    </font>
    <font>
      <sz val="8"/>
      <name val="Times New Roman"/>
      <family val="1"/>
    </font>
    <font>
      <b/>
      <sz val="10"/>
      <color indexed="10"/>
      <name val="Tahoma"/>
      <family val="2"/>
    </font>
    <font>
      <sz val="11"/>
      <color indexed="12"/>
      <name val="Book Antiqua"/>
      <family val="1"/>
    </font>
    <font>
      <b/>
      <sz val="10"/>
      <name val="Times New Roman"/>
      <family val="1"/>
    </font>
    <font>
      <b/>
      <u val="single"/>
      <sz val="12"/>
      <name val="Times New Roman"/>
      <family val="1"/>
    </font>
    <font>
      <b/>
      <sz val="12"/>
      <name val="Times New Roman"/>
      <family val="1"/>
    </font>
    <font>
      <sz val="10"/>
      <name val="Times New Roman"/>
      <family val="1"/>
    </font>
    <font>
      <u val="single"/>
      <sz val="10"/>
      <name val="Times New Roman"/>
      <family val="1"/>
    </font>
    <font>
      <b/>
      <sz val="14"/>
      <name val="Arial"/>
      <family val="2"/>
    </font>
    <font>
      <b/>
      <sz val="12"/>
      <name val="Arial"/>
      <family val="2"/>
    </font>
    <font>
      <b/>
      <sz val="10"/>
      <name val="Arial"/>
      <family val="2"/>
    </font>
    <font>
      <b/>
      <sz val="11"/>
      <color indexed="12"/>
      <name val="Book Antiqua"/>
      <family val="1"/>
    </font>
    <font>
      <b/>
      <sz val="11"/>
      <color indexed="18"/>
      <name val="Book Antiqua"/>
      <family val="1"/>
    </font>
    <font>
      <b/>
      <i/>
      <sz val="11"/>
      <color indexed="18"/>
      <name val="Book Antiqua"/>
      <family val="1"/>
    </font>
    <font>
      <b/>
      <u val="single"/>
      <sz val="11"/>
      <color indexed="18"/>
      <name val="Book Antiqua"/>
      <family val="1"/>
    </font>
    <font>
      <b/>
      <sz val="8"/>
      <color indexed="18"/>
      <name val="Book Antiqua"/>
      <family val="1"/>
    </font>
    <font>
      <sz val="12"/>
      <name val="Times New Roman"/>
      <family val="1"/>
    </font>
    <font>
      <b/>
      <sz val="14"/>
      <name val="Times New Roman"/>
      <family val="1"/>
    </font>
    <font>
      <b/>
      <u val="single"/>
      <sz val="10"/>
      <name val="Times New Roman"/>
      <family val="1"/>
    </font>
    <font>
      <sz val="10"/>
      <name val="Book Antiqua"/>
      <family val="1"/>
    </font>
    <font>
      <sz val="11"/>
      <name val="Times New Roman"/>
      <family val="1"/>
    </font>
    <font>
      <sz val="11"/>
      <color indexed="8"/>
      <name val="Times New Roman"/>
      <family val="1"/>
    </font>
    <font>
      <i/>
      <sz val="11"/>
      <color indexed="8"/>
      <name val="Times New Roman"/>
      <family val="1"/>
    </font>
    <font>
      <b/>
      <sz val="8"/>
      <name val="Book Antiqua"/>
      <family val="2"/>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style="thin"/>
      <bottom style="double"/>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thin"/>
      <top style="thin"/>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5" fillId="0" borderId="0">
      <alignment/>
      <protection locked="0"/>
    </xf>
    <xf numFmtId="182" fontId="4" fillId="0" borderId="0">
      <alignment/>
      <protection locked="0"/>
    </xf>
    <xf numFmtId="0" fontId="18" fillId="0" borderId="0" applyNumberFormat="0" applyFill="0" applyBorder="0" applyAlignment="0" applyProtection="0"/>
    <xf numFmtId="183" fontId="4" fillId="0" borderId="0">
      <alignment/>
      <protection locked="0"/>
    </xf>
    <xf numFmtId="183" fontId="4" fillId="0" borderId="0">
      <alignment/>
      <protection locked="0"/>
    </xf>
    <xf numFmtId="0" fontId="6" fillId="0" borderId="0" applyNumberFormat="0" applyFill="0" applyBorder="0" applyAlignment="0" applyProtection="0"/>
    <xf numFmtId="184" fontId="7" fillId="0" borderId="0">
      <alignment/>
      <protection/>
    </xf>
    <xf numFmtId="9" fontId="0" fillId="0" borderId="0" applyFont="0" applyFill="0" applyBorder="0" applyAlignment="0" applyProtection="0"/>
    <xf numFmtId="183" fontId="4" fillId="0" borderId="1">
      <alignment/>
      <protection locked="0"/>
    </xf>
  </cellStyleXfs>
  <cellXfs count="275">
    <xf numFmtId="0" fontId="0" fillId="0" borderId="0" xfId="0" applyAlignment="1">
      <alignment/>
    </xf>
    <xf numFmtId="0" fontId="2" fillId="0" borderId="0" xfId="0" applyFont="1" applyAlignment="1">
      <alignment/>
    </xf>
    <xf numFmtId="38" fontId="0" fillId="0" borderId="0" xfId="0" applyNumberFormat="1" applyAlignment="1">
      <alignment horizontal="right"/>
    </xf>
    <xf numFmtId="38" fontId="0" fillId="0" borderId="0" xfId="0" applyNumberFormat="1" applyAlignment="1">
      <alignment horizontal="left"/>
    </xf>
    <xf numFmtId="38" fontId="0" fillId="0" borderId="2" xfId="0" applyNumberFormat="1" applyBorder="1" applyAlignment="1">
      <alignment horizontal="right"/>
    </xf>
    <xf numFmtId="38" fontId="0" fillId="0" borderId="0" xfId="0" applyNumberFormat="1" applyAlignment="1">
      <alignment/>
    </xf>
    <xf numFmtId="38" fontId="0" fillId="0" borderId="3" xfId="0" applyNumberFormat="1" applyBorder="1" applyAlignment="1">
      <alignment/>
    </xf>
    <xf numFmtId="38" fontId="0" fillId="0" borderId="1" xfId="0" applyNumberFormat="1" applyBorder="1" applyAlignment="1">
      <alignment/>
    </xf>
    <xf numFmtId="38" fontId="0" fillId="0" borderId="2" xfId="0" applyNumberFormat="1" applyBorder="1" applyAlignment="1">
      <alignment/>
    </xf>
    <xf numFmtId="38" fontId="1" fillId="0" borderId="0" xfId="0" applyNumberFormat="1" applyFont="1" applyAlignment="1">
      <alignment/>
    </xf>
    <xf numFmtId="38" fontId="0" fillId="0" borderId="4" xfId="0" applyNumberFormat="1" applyBorder="1" applyAlignment="1">
      <alignment/>
    </xf>
    <xf numFmtId="38" fontId="0" fillId="0" borderId="0" xfId="0" applyNumberFormat="1" applyFill="1" applyAlignment="1">
      <alignment/>
    </xf>
    <xf numFmtId="38" fontId="0" fillId="0" borderId="0" xfId="0" applyNumberFormat="1" applyBorder="1" applyAlignment="1">
      <alignment/>
    </xf>
    <xf numFmtId="38" fontId="0" fillId="0" borderId="0" xfId="0" applyNumberFormat="1" applyBorder="1" applyAlignment="1">
      <alignment horizontal="right"/>
    </xf>
    <xf numFmtId="38" fontId="0" fillId="0" borderId="0" xfId="0" applyNumberFormat="1" applyAlignment="1" quotePrefix="1">
      <alignment/>
    </xf>
    <xf numFmtId="0" fontId="0" fillId="0" borderId="0" xfId="0" applyAlignment="1" quotePrefix="1">
      <alignment/>
    </xf>
    <xf numFmtId="0" fontId="3" fillId="0" borderId="0" xfId="0" applyFont="1" applyAlignment="1">
      <alignment/>
    </xf>
    <xf numFmtId="38" fontId="0" fillId="0" borderId="3" xfId="0" applyNumberFormat="1" applyBorder="1" applyAlignment="1">
      <alignment horizontal="right"/>
    </xf>
    <xf numFmtId="38" fontId="9" fillId="0" borderId="0" xfId="0" applyNumberFormat="1" applyFont="1" applyAlignment="1">
      <alignment/>
    </xf>
    <xf numFmtId="3" fontId="1" fillId="0" borderId="0" xfId="0" applyNumberFormat="1" applyFont="1" applyFill="1" applyAlignment="1">
      <alignment horizontal="right"/>
    </xf>
    <xf numFmtId="38" fontId="3" fillId="0" borderId="0" xfId="0" applyNumberFormat="1" applyFont="1" applyAlignment="1">
      <alignment/>
    </xf>
    <xf numFmtId="38" fontId="3" fillId="0" borderId="0" xfId="0" applyNumberFormat="1" applyFont="1" applyAlignment="1">
      <alignment horizontal="right"/>
    </xf>
    <xf numFmtId="38" fontId="9" fillId="0" borderId="0" xfId="0" applyNumberFormat="1" applyFont="1" applyFill="1" applyAlignment="1">
      <alignment horizontal="right"/>
    </xf>
    <xf numFmtId="3" fontId="9" fillId="0" borderId="0" xfId="0" applyNumberFormat="1" applyFont="1" applyFill="1" applyAlignment="1">
      <alignment horizontal="right"/>
    </xf>
    <xf numFmtId="0" fontId="3" fillId="0" borderId="0" xfId="0" applyFont="1" applyAlignment="1">
      <alignment/>
    </xf>
    <xf numFmtId="178" fontId="0" fillId="0" borderId="0" xfId="15" applyNumberFormat="1" applyAlignment="1">
      <alignment/>
    </xf>
    <xf numFmtId="38" fontId="0" fillId="0" borderId="0" xfId="0" applyNumberFormat="1" applyFill="1" applyBorder="1" applyAlignment="1">
      <alignment/>
    </xf>
    <xf numFmtId="0" fontId="0" fillId="0" borderId="0" xfId="0" applyFont="1" applyAlignment="1">
      <alignment/>
    </xf>
    <xf numFmtId="0" fontId="0" fillId="0" borderId="0" xfId="0" applyFill="1" applyAlignment="1">
      <alignment/>
    </xf>
    <xf numFmtId="38" fontId="0" fillId="0" borderId="0" xfId="0" applyNumberFormat="1" applyAlignment="1">
      <alignment horizontal="center"/>
    </xf>
    <xf numFmtId="38" fontId="0" fillId="2" borderId="1" xfId="0" applyNumberFormat="1" applyFill="1" applyBorder="1" applyAlignment="1">
      <alignment/>
    </xf>
    <xf numFmtId="38" fontId="3" fillId="0" borderId="0" xfId="0" applyNumberFormat="1" applyFont="1" applyBorder="1" applyAlignment="1">
      <alignment/>
    </xf>
    <xf numFmtId="38" fontId="3" fillId="0" borderId="0" xfId="0" applyNumberFormat="1" applyFont="1" applyFill="1" applyBorder="1" applyAlignment="1">
      <alignment horizontal="right"/>
    </xf>
    <xf numFmtId="38" fontId="11" fillId="0" borderId="0" xfId="0" applyNumberFormat="1" applyFont="1" applyAlignment="1">
      <alignment horizontal="right"/>
    </xf>
    <xf numFmtId="0" fontId="2" fillId="0" borderId="0" xfId="0" applyFont="1" applyBorder="1" applyAlignment="1">
      <alignment/>
    </xf>
    <xf numFmtId="3" fontId="9" fillId="0" borderId="0" xfId="0" applyNumberFormat="1" applyFont="1" applyFill="1" applyBorder="1" applyAlignment="1">
      <alignment horizontal="right"/>
    </xf>
    <xf numFmtId="0" fontId="0" fillId="0" borderId="0" xfId="0" applyBorder="1" applyAlignment="1">
      <alignment/>
    </xf>
    <xf numFmtId="3" fontId="3" fillId="0" borderId="0" xfId="0" applyNumberFormat="1" applyFont="1" applyFill="1" applyAlignment="1">
      <alignment horizontal="right"/>
    </xf>
    <xf numFmtId="38" fontId="3" fillId="0" borderId="0" xfId="0" applyNumberFormat="1" applyFont="1" applyAlignment="1">
      <alignment horizontal="left"/>
    </xf>
    <xf numFmtId="38" fontId="0" fillId="3" borderId="0" xfId="0" applyNumberFormat="1" applyFill="1" applyAlignment="1">
      <alignment/>
    </xf>
    <xf numFmtId="38" fontId="8" fillId="0" borderId="0" xfId="0" applyNumberFormat="1" applyFont="1" applyAlignment="1">
      <alignment/>
    </xf>
    <xf numFmtId="38" fontId="0" fillId="4" borderId="0" xfId="0" applyNumberFormat="1" applyFill="1" applyAlignment="1">
      <alignment/>
    </xf>
    <xf numFmtId="38" fontId="12" fillId="4" borderId="0" xfId="0" applyNumberFormat="1" applyFont="1" applyFill="1" applyAlignment="1">
      <alignment/>
    </xf>
    <xf numFmtId="43" fontId="0" fillId="0" borderId="0" xfId="15" applyAlignment="1">
      <alignment/>
    </xf>
    <xf numFmtId="43" fontId="0" fillId="0" borderId="3" xfId="15" applyBorder="1" applyAlignment="1">
      <alignment/>
    </xf>
    <xf numFmtId="43" fontId="0" fillId="0" borderId="1" xfId="15" applyBorder="1" applyAlignment="1">
      <alignment/>
    </xf>
    <xf numFmtId="43" fontId="0" fillId="0" borderId="0" xfId="15" applyBorder="1" applyAlignment="1">
      <alignment/>
    </xf>
    <xf numFmtId="178" fontId="0" fillId="0" borderId="1" xfId="15" applyNumberFormat="1" applyBorder="1" applyAlignment="1">
      <alignment/>
    </xf>
    <xf numFmtId="43" fontId="0" fillId="0" borderId="3" xfId="15" applyBorder="1" applyAlignment="1">
      <alignment horizontal="right"/>
    </xf>
    <xf numFmtId="43" fontId="0" fillId="0" borderId="2" xfId="15" applyBorder="1" applyAlignment="1">
      <alignment horizontal="right"/>
    </xf>
    <xf numFmtId="3" fontId="9" fillId="0" borderId="0" xfId="0" applyNumberFormat="1" applyFont="1" applyFill="1" applyAlignment="1">
      <alignment horizontal="center"/>
    </xf>
    <xf numFmtId="0" fontId="9" fillId="0" borderId="0" xfId="0" applyFont="1" applyAlignment="1">
      <alignment horizontal="center"/>
    </xf>
    <xf numFmtId="38" fontId="9" fillId="0" borderId="0" xfId="0" applyNumberFormat="1" applyFont="1" applyFill="1" applyAlignment="1">
      <alignment horizontal="center"/>
    </xf>
    <xf numFmtId="43" fontId="0" fillId="0" borderId="0" xfId="15" applyBorder="1" applyAlignment="1">
      <alignment horizontal="right"/>
    </xf>
    <xf numFmtId="43" fontId="0" fillId="0" borderId="0" xfId="0" applyNumberFormat="1" applyAlignment="1">
      <alignment/>
    </xf>
    <xf numFmtId="43" fontId="0" fillId="0" borderId="1" xfId="0" applyNumberFormat="1" applyBorder="1" applyAlignment="1">
      <alignment/>
    </xf>
    <xf numFmtId="0" fontId="15" fillId="0" borderId="0" xfId="0" applyFont="1" applyAlignment="1">
      <alignment/>
    </xf>
    <xf numFmtId="38" fontId="15" fillId="0" borderId="0" xfId="0" applyNumberFormat="1" applyFont="1" applyAlignment="1">
      <alignment/>
    </xf>
    <xf numFmtId="0" fontId="0" fillId="0" borderId="3" xfId="0" applyBorder="1" applyAlignment="1">
      <alignment/>
    </xf>
    <xf numFmtId="0" fontId="0" fillId="0" borderId="5" xfId="0" applyBorder="1" applyAlignment="1">
      <alignment/>
    </xf>
    <xf numFmtId="43" fontId="0" fillId="0" borderId="0" xfId="15" applyFont="1" applyAlignment="1">
      <alignment/>
    </xf>
    <xf numFmtId="43" fontId="0" fillId="0" borderId="3" xfId="15" applyFont="1" applyBorder="1" applyAlignment="1">
      <alignment/>
    </xf>
    <xf numFmtId="43" fontId="0" fillId="0" borderId="0" xfId="0" applyNumberFormat="1" applyBorder="1" applyAlignment="1">
      <alignment/>
    </xf>
    <xf numFmtId="0" fontId="3" fillId="0" borderId="0" xfId="0" applyFont="1" applyBorder="1" applyAlignment="1">
      <alignment/>
    </xf>
    <xf numFmtId="0" fontId="3" fillId="0" borderId="0" xfId="0" applyFont="1" applyAlignment="1">
      <alignment horizontal="center"/>
    </xf>
    <xf numFmtId="43" fontId="0" fillId="0" borderId="0" xfId="15" applyAlignment="1">
      <alignment horizontal="right"/>
    </xf>
    <xf numFmtId="38" fontId="16" fillId="0" borderId="0" xfId="0" applyNumberFormat="1" applyFont="1" applyAlignment="1">
      <alignment/>
    </xf>
    <xf numFmtId="43" fontId="8" fillId="0" borderId="0" xfId="15" applyFont="1" applyAlignment="1">
      <alignment horizontal="center"/>
    </xf>
    <xf numFmtId="43" fontId="2" fillId="0" borderId="0" xfId="15" applyFont="1" applyAlignment="1">
      <alignment/>
    </xf>
    <xf numFmtId="43" fontId="9" fillId="0" borderId="0" xfId="15" applyFont="1" applyFill="1" applyAlignment="1">
      <alignment horizontal="right"/>
    </xf>
    <xf numFmtId="43" fontId="9" fillId="0" borderId="0" xfId="15" applyFont="1" applyFill="1" applyBorder="1" applyAlignment="1">
      <alignment horizontal="center"/>
    </xf>
    <xf numFmtId="43" fontId="0" fillId="0" borderId="2" xfId="15" applyBorder="1" applyAlignment="1">
      <alignment/>
    </xf>
    <xf numFmtId="41" fontId="0" fillId="0" borderId="0" xfId="15" applyNumberFormat="1" applyAlignment="1">
      <alignment/>
    </xf>
    <xf numFmtId="38" fontId="3" fillId="0" borderId="0" xfId="0" applyNumberFormat="1" applyFont="1" applyBorder="1" applyAlignment="1">
      <alignment horizontal="left"/>
    </xf>
    <xf numFmtId="43" fontId="0" fillId="0" borderId="3" xfId="15" applyFont="1" applyBorder="1" applyAlignment="1">
      <alignment horizontal="right"/>
    </xf>
    <xf numFmtId="38" fontId="0" fillId="0" borderId="0" xfId="0" applyNumberFormat="1" applyAlignment="1" quotePrefix="1">
      <alignment horizontal="right"/>
    </xf>
    <xf numFmtId="43" fontId="0" fillId="0" borderId="1" xfId="15" applyBorder="1" applyAlignment="1">
      <alignment horizontal="right"/>
    </xf>
    <xf numFmtId="178" fontId="0" fillId="0" borderId="0" xfId="15" applyNumberFormat="1" applyBorder="1" applyAlignment="1">
      <alignment horizontal="right"/>
    </xf>
    <xf numFmtId="178" fontId="0" fillId="0" borderId="0" xfId="15" applyNumberFormat="1" applyAlignment="1">
      <alignment horizontal="right"/>
    </xf>
    <xf numFmtId="178" fontId="0" fillId="0" borderId="3" xfId="15" applyNumberFormat="1" applyBorder="1" applyAlignment="1">
      <alignment horizontal="right"/>
    </xf>
    <xf numFmtId="178" fontId="0" fillId="0" borderId="1" xfId="15" applyNumberFormat="1" applyBorder="1" applyAlignment="1">
      <alignment horizontal="right"/>
    </xf>
    <xf numFmtId="0" fontId="0" fillId="0" borderId="0" xfId="0" applyFill="1" applyBorder="1" applyAlignment="1">
      <alignment/>
    </xf>
    <xf numFmtId="0" fontId="0" fillId="0" borderId="5" xfId="0" applyFill="1" applyBorder="1" applyAlignment="1">
      <alignment/>
    </xf>
    <xf numFmtId="0" fontId="3" fillId="0" borderId="0" xfId="0" applyFont="1" applyFill="1" applyBorder="1" applyAlignment="1">
      <alignment/>
    </xf>
    <xf numFmtId="43" fontId="0" fillId="0" borderId="0" xfId="0" applyNumberFormat="1" applyFill="1" applyBorder="1" applyAlignment="1">
      <alignment/>
    </xf>
    <xf numFmtId="188" fontId="0" fillId="0" borderId="0" xfId="0" applyNumberFormat="1" applyAlignment="1">
      <alignment/>
    </xf>
    <xf numFmtId="188" fontId="0" fillId="0" borderId="0" xfId="0" applyNumberFormat="1" applyBorder="1" applyAlignment="1">
      <alignment/>
    </xf>
    <xf numFmtId="0" fontId="20" fillId="0" borderId="0" xfId="0" applyFont="1" applyAlignment="1">
      <alignment/>
    </xf>
    <xf numFmtId="0" fontId="21" fillId="0" borderId="0" xfId="0" applyFont="1" applyAlignment="1">
      <alignment/>
    </xf>
    <xf numFmtId="38" fontId="0" fillId="0" borderId="6" xfId="0" applyNumberFormat="1" applyBorder="1" applyAlignment="1">
      <alignment/>
    </xf>
    <xf numFmtId="43" fontId="0" fillId="0" borderId="6" xfId="15" applyFill="1" applyBorder="1" applyAlignment="1">
      <alignment/>
    </xf>
    <xf numFmtId="43" fontId="13" fillId="0" borderId="6" xfId="15" applyFont="1" applyFill="1" applyBorder="1" applyAlignment="1">
      <alignment horizontal="center"/>
    </xf>
    <xf numFmtId="38" fontId="1" fillId="0" borderId="0" xfId="0" applyNumberFormat="1" applyFont="1" applyAlignment="1">
      <alignment horizontal="center"/>
    </xf>
    <xf numFmtId="3" fontId="1" fillId="0" borderId="7" xfId="0" applyNumberFormat="1" applyFont="1" applyFill="1" applyBorder="1" applyAlignment="1">
      <alignment horizontal="center"/>
    </xf>
    <xf numFmtId="3" fontId="14" fillId="5" borderId="7" xfId="0" applyNumberFormat="1" applyFont="1" applyFill="1" applyBorder="1" applyAlignment="1">
      <alignment horizontal="center"/>
    </xf>
    <xf numFmtId="38" fontId="0" fillId="0" borderId="6" xfId="0" applyNumberFormat="1" applyFont="1" applyBorder="1" applyAlignment="1">
      <alignment horizontal="center"/>
    </xf>
    <xf numFmtId="38" fontId="1" fillId="0" borderId="6" xfId="0" applyNumberFormat="1" applyFont="1" applyBorder="1" applyAlignment="1">
      <alignment horizontal="center"/>
    </xf>
    <xf numFmtId="43" fontId="0" fillId="0" borderId="6" xfId="15" applyBorder="1" applyAlignment="1">
      <alignment/>
    </xf>
    <xf numFmtId="43" fontId="0" fillId="0" borderId="8" xfId="15" applyBorder="1" applyAlignment="1">
      <alignment/>
    </xf>
    <xf numFmtId="43" fontId="1" fillId="0" borderId="6" xfId="15" applyFont="1" applyBorder="1" applyAlignment="1">
      <alignment/>
    </xf>
    <xf numFmtId="43" fontId="0" fillId="0" borderId="6" xfId="15" applyFont="1" applyBorder="1" applyAlignment="1">
      <alignment/>
    </xf>
    <xf numFmtId="43" fontId="0" fillId="0" borderId="9" xfId="15" applyBorder="1" applyAlignment="1">
      <alignment/>
    </xf>
    <xf numFmtId="43" fontId="0" fillId="0" borderId="8" xfId="15" applyFont="1" applyBorder="1" applyAlignment="1">
      <alignment/>
    </xf>
    <xf numFmtId="43" fontId="0" fillId="0" borderId="9" xfId="15" applyFont="1" applyBorder="1" applyAlignment="1">
      <alignment/>
    </xf>
    <xf numFmtId="3" fontId="9" fillId="0" borderId="10" xfId="0" applyNumberFormat="1" applyFont="1" applyFill="1" applyBorder="1" applyAlignment="1">
      <alignment horizontal="center"/>
    </xf>
    <xf numFmtId="38" fontId="3" fillId="0" borderId="10" xfId="0" applyNumberFormat="1" applyFont="1" applyBorder="1" applyAlignment="1">
      <alignment/>
    </xf>
    <xf numFmtId="43" fontId="3" fillId="0" borderId="10" xfId="15" applyFont="1" applyBorder="1" applyAlignment="1">
      <alignment/>
    </xf>
    <xf numFmtId="43" fontId="3" fillId="0" borderId="11" xfId="15" applyFont="1" applyBorder="1" applyAlignment="1">
      <alignment/>
    </xf>
    <xf numFmtId="178" fontId="3" fillId="0" borderId="10" xfId="15" applyNumberFormat="1" applyFont="1" applyBorder="1" applyAlignment="1">
      <alignment/>
    </xf>
    <xf numFmtId="43" fontId="0" fillId="0" borderId="0" xfId="15" applyFont="1" applyAlignment="1">
      <alignment/>
    </xf>
    <xf numFmtId="38" fontId="22" fillId="0" borderId="0" xfId="0" applyNumberFormat="1" applyFont="1" applyAlignment="1">
      <alignment/>
    </xf>
    <xf numFmtId="43" fontId="10" fillId="0" borderId="0" xfId="15" applyFont="1" applyAlignment="1">
      <alignment/>
    </xf>
    <xf numFmtId="43" fontId="0" fillId="0" borderId="0" xfId="15" applyFont="1" applyAlignment="1">
      <alignment/>
    </xf>
    <xf numFmtId="43" fontId="23" fillId="0" borderId="0" xfId="15" applyFont="1" applyAlignment="1">
      <alignment/>
    </xf>
    <xf numFmtId="38" fontId="24" fillId="0" borderId="0" xfId="0" applyNumberFormat="1" applyFont="1" applyAlignment="1">
      <alignment/>
    </xf>
    <xf numFmtId="38" fontId="24" fillId="0" borderId="0" xfId="0" applyNumberFormat="1" applyFont="1" applyBorder="1" applyAlignment="1">
      <alignment/>
    </xf>
    <xf numFmtId="38" fontId="24" fillId="0" borderId="0" xfId="0" applyNumberFormat="1" applyFont="1" applyFill="1" applyAlignment="1">
      <alignment/>
    </xf>
    <xf numFmtId="38" fontId="11" fillId="0" borderId="6" xfId="0" applyNumberFormat="1" applyFont="1" applyBorder="1" applyAlignment="1">
      <alignment horizontal="center"/>
    </xf>
    <xf numFmtId="43" fontId="9" fillId="0" borderId="12" xfId="15" applyFont="1" applyFill="1" applyBorder="1" applyAlignment="1">
      <alignment horizontal="center"/>
    </xf>
    <xf numFmtId="43" fontId="9" fillId="0" borderId="10" xfId="15" applyFont="1" applyFill="1" applyBorder="1" applyAlignment="1">
      <alignment horizontal="center"/>
    </xf>
    <xf numFmtId="43" fontId="0" fillId="0" borderId="12" xfId="15" applyBorder="1" applyAlignment="1">
      <alignment horizontal="right"/>
    </xf>
    <xf numFmtId="43" fontId="0" fillId="0" borderId="10" xfId="15" applyBorder="1" applyAlignment="1">
      <alignment horizontal="right"/>
    </xf>
    <xf numFmtId="43" fontId="8" fillId="0" borderId="12" xfId="15" applyFont="1" applyBorder="1" applyAlignment="1">
      <alignment horizontal="center"/>
    </xf>
    <xf numFmtId="43" fontId="8" fillId="0" borderId="13" xfId="15" applyFont="1" applyBorder="1" applyAlignment="1">
      <alignment horizontal="center"/>
    </xf>
    <xf numFmtId="43" fontId="0" fillId="0" borderId="14" xfId="15" applyBorder="1" applyAlignment="1">
      <alignment horizontal="right"/>
    </xf>
    <xf numFmtId="43" fontId="0" fillId="0" borderId="15" xfId="15" applyBorder="1" applyAlignment="1">
      <alignment horizontal="right"/>
    </xf>
    <xf numFmtId="43" fontId="0" fillId="0" borderId="16" xfId="15" applyBorder="1" applyAlignment="1">
      <alignment horizontal="right"/>
    </xf>
    <xf numFmtId="43" fontId="3" fillId="0" borderId="8" xfId="15" applyFont="1" applyBorder="1" applyAlignment="1">
      <alignment/>
    </xf>
    <xf numFmtId="43" fontId="3" fillId="0" borderId="9" xfId="15" applyFont="1" applyBorder="1" applyAlignment="1">
      <alignment/>
    </xf>
    <xf numFmtId="43" fontId="3" fillId="0" borderId="9" xfId="15" applyFont="1" applyBorder="1" applyAlignment="1">
      <alignment/>
    </xf>
    <xf numFmtId="2" fontId="0" fillId="0" borderId="0" xfId="0" applyNumberFormat="1" applyAlignment="1">
      <alignment/>
    </xf>
    <xf numFmtId="43" fontId="29" fillId="0" borderId="0" xfId="15" applyFont="1" applyAlignment="1">
      <alignment/>
    </xf>
    <xf numFmtId="14" fontId="0" fillId="0" borderId="0" xfId="0" applyNumberFormat="1" applyFill="1" applyAlignment="1">
      <alignment/>
    </xf>
    <xf numFmtId="0" fontId="31" fillId="0" borderId="0" xfId="0" applyFont="1" applyAlignment="1">
      <alignment/>
    </xf>
    <xf numFmtId="0" fontId="30" fillId="0" borderId="0" xfId="0" applyFont="1" applyAlignment="1">
      <alignment/>
    </xf>
    <xf numFmtId="0" fontId="33" fillId="0" borderId="0" xfId="0" applyFont="1" applyAlignment="1">
      <alignment/>
    </xf>
    <xf numFmtId="0" fontId="34" fillId="0" borderId="0" xfId="0" applyFont="1" applyAlignment="1">
      <alignment/>
    </xf>
    <xf numFmtId="0" fontId="34" fillId="0" borderId="0" xfId="0" applyFont="1" applyAlignment="1">
      <alignment horizontal="left"/>
    </xf>
    <xf numFmtId="0" fontId="34" fillId="0" borderId="0" xfId="0" applyFont="1" applyAlignment="1">
      <alignment horizontal="center"/>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4" fillId="0" borderId="0" xfId="0" applyFont="1" applyAlignment="1">
      <alignment/>
    </xf>
    <xf numFmtId="43" fontId="0" fillId="0" borderId="0" xfId="15" applyFont="1" applyAlignment="1">
      <alignment horizontal="center"/>
    </xf>
    <xf numFmtId="43" fontId="37" fillId="0" borderId="0" xfId="15" applyFont="1" applyAlignment="1">
      <alignment/>
    </xf>
    <xf numFmtId="43" fontId="37" fillId="0" borderId="1" xfId="15" applyFont="1" applyBorder="1" applyAlignment="1">
      <alignment/>
    </xf>
    <xf numFmtId="43" fontId="38" fillId="0" borderId="0" xfId="0" applyNumberFormat="1" applyFont="1" applyAlignment="1">
      <alignment/>
    </xf>
    <xf numFmtId="3" fontId="1" fillId="0" borderId="17" xfId="0" applyNumberFormat="1" applyFont="1" applyFill="1" applyBorder="1" applyAlignment="1">
      <alignment horizontal="center"/>
    </xf>
    <xf numFmtId="38" fontId="0" fillId="0" borderId="10" xfId="0" applyNumberFormat="1" applyFont="1" applyBorder="1" applyAlignment="1">
      <alignment/>
    </xf>
    <xf numFmtId="43" fontId="0" fillId="0" borderId="10" xfId="15" applyFont="1" applyBorder="1" applyAlignment="1">
      <alignment/>
    </xf>
    <xf numFmtId="43" fontId="0" fillId="0" borderId="11" xfId="15" applyFont="1" applyBorder="1" applyAlignment="1">
      <alignment/>
    </xf>
    <xf numFmtId="38" fontId="1" fillId="0" borderId="10" xfId="0" applyNumberFormat="1" applyFont="1" applyBorder="1" applyAlignment="1">
      <alignment horizontal="center"/>
    </xf>
    <xf numFmtId="43" fontId="0" fillId="0" borderId="11" xfId="15" applyBorder="1" applyAlignment="1">
      <alignment/>
    </xf>
    <xf numFmtId="43" fontId="0" fillId="0" borderId="16" xfId="15" applyFont="1" applyBorder="1" applyAlignment="1">
      <alignment/>
    </xf>
    <xf numFmtId="43" fontId="0" fillId="0" borderId="16" xfId="15" applyBorder="1" applyAlignment="1">
      <alignment/>
    </xf>
    <xf numFmtId="0" fontId="39" fillId="3" borderId="0" xfId="0" applyFont="1" applyFill="1" applyAlignment="1">
      <alignment/>
    </xf>
    <xf numFmtId="0" fontId="40" fillId="3" borderId="7" xfId="0" applyFont="1" applyFill="1" applyBorder="1" applyAlignment="1">
      <alignment horizontal="center"/>
    </xf>
    <xf numFmtId="3" fontId="41" fillId="3" borderId="6" xfId="0" applyNumberFormat="1" applyFont="1" applyFill="1" applyBorder="1" applyAlignment="1">
      <alignment horizontal="center"/>
    </xf>
    <xf numFmtId="38" fontId="39" fillId="3" borderId="6" xfId="0" applyNumberFormat="1" applyFont="1" applyFill="1" applyBorder="1" applyAlignment="1">
      <alignment/>
    </xf>
    <xf numFmtId="43" fontId="39" fillId="3" borderId="6" xfId="15" applyFont="1" applyFill="1" applyBorder="1" applyAlignment="1">
      <alignment/>
    </xf>
    <xf numFmtId="43" fontId="39" fillId="3" borderId="8" xfId="15" applyFont="1" applyFill="1" applyBorder="1" applyAlignment="1">
      <alignment/>
    </xf>
    <xf numFmtId="43" fontId="39" fillId="3" borderId="9" xfId="15" applyFont="1" applyFill="1" applyBorder="1" applyAlignment="1">
      <alignment/>
    </xf>
    <xf numFmtId="43" fontId="39" fillId="3" borderId="0" xfId="15" applyFont="1" applyFill="1" applyBorder="1" applyAlignment="1">
      <alignment/>
    </xf>
    <xf numFmtId="38" fontId="39" fillId="3" borderId="0" xfId="0" applyNumberFormat="1" applyFont="1" applyFill="1" applyBorder="1" applyAlignment="1">
      <alignment/>
    </xf>
    <xf numFmtId="38" fontId="39" fillId="3" borderId="0" xfId="0" applyNumberFormat="1" applyFont="1" applyFill="1" applyAlignment="1">
      <alignment/>
    </xf>
    <xf numFmtId="43" fontId="39" fillId="3" borderId="0" xfId="15" applyFont="1" applyFill="1" applyAlignment="1">
      <alignment/>
    </xf>
    <xf numFmtId="43" fontId="39" fillId="3" borderId="1" xfId="15" applyFont="1" applyFill="1" applyBorder="1" applyAlignment="1">
      <alignment/>
    </xf>
    <xf numFmtId="43" fontId="39" fillId="3" borderId="18" xfId="15" applyFont="1" applyFill="1" applyBorder="1" applyAlignment="1">
      <alignment/>
    </xf>
    <xf numFmtId="43" fontId="39" fillId="3" borderId="1" xfId="0" applyNumberFormat="1" applyFont="1" applyFill="1" applyBorder="1" applyAlignment="1">
      <alignment/>
    </xf>
    <xf numFmtId="43" fontId="39" fillId="3" borderId="3" xfId="15" applyFont="1" applyFill="1" applyBorder="1" applyAlignment="1">
      <alignment/>
    </xf>
    <xf numFmtId="43" fontId="39" fillId="3" borderId="0" xfId="0" applyNumberFormat="1" applyFont="1" applyFill="1" applyAlignment="1">
      <alignment/>
    </xf>
    <xf numFmtId="38" fontId="42" fillId="3" borderId="0" xfId="0" applyNumberFormat="1" applyFont="1" applyFill="1" applyAlignment="1">
      <alignment/>
    </xf>
    <xf numFmtId="0" fontId="43" fillId="0" borderId="0" xfId="0" applyFont="1" applyAlignment="1">
      <alignment vertical="center"/>
    </xf>
    <xf numFmtId="0" fontId="43" fillId="0" borderId="0" xfId="0" applyFont="1" applyAlignment="1">
      <alignment/>
    </xf>
    <xf numFmtId="178" fontId="43" fillId="0" borderId="0" xfId="15" applyNumberFormat="1" applyFont="1" applyAlignment="1">
      <alignment/>
    </xf>
    <xf numFmtId="0" fontId="32" fillId="0" borderId="0" xfId="0" applyFont="1" applyAlignment="1">
      <alignment vertical="center"/>
    </xf>
    <xf numFmtId="0" fontId="31" fillId="0" borderId="0" xfId="0" applyFont="1" applyAlignment="1">
      <alignment vertical="center"/>
    </xf>
    <xf numFmtId="0" fontId="43" fillId="0" borderId="0" xfId="0" applyFont="1" applyAlignment="1" quotePrefix="1">
      <alignment vertical="center"/>
    </xf>
    <xf numFmtId="0" fontId="33" fillId="0" borderId="0" xfId="0" applyFont="1" applyAlignment="1">
      <alignment horizontal="center"/>
    </xf>
    <xf numFmtId="199" fontId="33" fillId="0" borderId="1" xfId="0" applyNumberFormat="1" applyFont="1" applyBorder="1" applyAlignment="1">
      <alignment/>
    </xf>
    <xf numFmtId="37" fontId="33" fillId="0" borderId="0" xfId="15" applyNumberFormat="1" applyFont="1" applyAlignment="1">
      <alignment horizontal="center"/>
    </xf>
    <xf numFmtId="37" fontId="33" fillId="0" borderId="1" xfId="15" applyNumberFormat="1" applyFont="1" applyBorder="1" applyAlignment="1">
      <alignment horizontal="center"/>
    </xf>
    <xf numFmtId="0" fontId="44" fillId="0" borderId="0" xfId="0" applyFont="1" applyAlignment="1">
      <alignment horizontal="left"/>
    </xf>
    <xf numFmtId="0" fontId="0" fillId="3" borderId="0" xfId="0" applyFill="1" applyAlignment="1">
      <alignment/>
    </xf>
    <xf numFmtId="0" fontId="9" fillId="3" borderId="0" xfId="0" applyFont="1" applyFill="1" applyAlignment="1">
      <alignment horizontal="center"/>
    </xf>
    <xf numFmtId="3" fontId="1" fillId="3" borderId="0" xfId="0" applyNumberFormat="1" applyFont="1" applyFill="1" applyAlignment="1">
      <alignment horizontal="right"/>
    </xf>
    <xf numFmtId="43" fontId="0" fillId="3" borderId="0" xfId="15" applyFill="1" applyAlignment="1">
      <alignment/>
    </xf>
    <xf numFmtId="38" fontId="0" fillId="3" borderId="4" xfId="0" applyNumberFormat="1" applyFill="1" applyBorder="1" applyAlignment="1">
      <alignment/>
    </xf>
    <xf numFmtId="178" fontId="0" fillId="3" borderId="0" xfId="15" applyNumberFormat="1" applyFill="1" applyAlignment="1">
      <alignment/>
    </xf>
    <xf numFmtId="38" fontId="0" fillId="3" borderId="1" xfId="0" applyNumberFormat="1" applyFill="1" applyBorder="1" applyAlignment="1">
      <alignment/>
    </xf>
    <xf numFmtId="178" fontId="0" fillId="3" borderId="1" xfId="15" applyNumberFormat="1" applyFill="1" applyBorder="1" applyAlignment="1">
      <alignment/>
    </xf>
    <xf numFmtId="38" fontId="24" fillId="3" borderId="0" xfId="0" applyNumberFormat="1" applyFont="1" applyFill="1" applyAlignment="1">
      <alignment/>
    </xf>
    <xf numFmtId="0" fontId="32" fillId="0" borderId="0" xfId="0" applyFont="1" applyAlignment="1">
      <alignment/>
    </xf>
    <xf numFmtId="178" fontId="43" fillId="0" borderId="1" xfId="15" applyNumberFormat="1" applyFont="1" applyBorder="1" applyAlignment="1">
      <alignment horizontal="center" vertical="center"/>
    </xf>
    <xf numFmtId="178" fontId="43" fillId="0" borderId="0" xfId="15" applyNumberFormat="1" applyFont="1" applyAlignment="1">
      <alignment horizontal="center" vertical="center"/>
    </xf>
    <xf numFmtId="178" fontId="43" fillId="0" borderId="0" xfId="15" applyNumberFormat="1" applyFont="1" applyAlignment="1">
      <alignment vertical="center"/>
    </xf>
    <xf numFmtId="178" fontId="32" fillId="0" borderId="0" xfId="15" applyNumberFormat="1" applyFont="1" applyAlignment="1">
      <alignment horizontal="center"/>
    </xf>
    <xf numFmtId="178" fontId="43" fillId="0" borderId="19" xfId="15" applyNumberFormat="1" applyFont="1" applyBorder="1" applyAlignment="1">
      <alignment horizontal="center" vertical="center"/>
    </xf>
    <xf numFmtId="178" fontId="43" fillId="0" borderId="4" xfId="15" applyNumberFormat="1" applyFont="1" applyBorder="1" applyAlignment="1">
      <alignment horizontal="center" vertical="center"/>
    </xf>
    <xf numFmtId="178" fontId="43" fillId="0" borderId="1" xfId="15" applyNumberFormat="1" applyFont="1" applyBorder="1" applyAlignment="1">
      <alignment/>
    </xf>
    <xf numFmtId="178" fontId="0" fillId="0" borderId="0" xfId="15" applyNumberFormat="1" applyFill="1" applyAlignment="1">
      <alignment/>
    </xf>
    <xf numFmtId="178" fontId="0" fillId="0" borderId="3" xfId="15" applyNumberFormat="1" applyFill="1" applyBorder="1" applyAlignment="1">
      <alignment/>
    </xf>
    <xf numFmtId="0" fontId="32" fillId="0" borderId="0" xfId="15" applyNumberFormat="1" applyFont="1" applyAlignment="1">
      <alignment horizontal="center"/>
    </xf>
    <xf numFmtId="14" fontId="32" fillId="0" borderId="0" xfId="15" applyNumberFormat="1" applyFont="1" applyAlignment="1">
      <alignment horizontal="center"/>
    </xf>
    <xf numFmtId="178" fontId="43" fillId="6" borderId="0" xfId="15" applyNumberFormat="1" applyFont="1" applyFill="1" applyAlignment="1">
      <alignment/>
    </xf>
    <xf numFmtId="0" fontId="32" fillId="6" borderId="0" xfId="15" applyNumberFormat="1" applyFont="1" applyFill="1" applyAlignment="1">
      <alignment horizontal="center"/>
    </xf>
    <xf numFmtId="178" fontId="32" fillId="6" borderId="0" xfId="15" applyNumberFormat="1" applyFont="1" applyFill="1" applyAlignment="1">
      <alignment horizontal="center"/>
    </xf>
    <xf numFmtId="14" fontId="32" fillId="6" borderId="0" xfId="15" applyNumberFormat="1" applyFont="1" applyFill="1" applyAlignment="1">
      <alignment horizontal="center"/>
    </xf>
    <xf numFmtId="178" fontId="43" fillId="6" borderId="0" xfId="15" applyNumberFormat="1" applyFont="1" applyFill="1" applyAlignment="1">
      <alignment horizontal="center"/>
    </xf>
    <xf numFmtId="178" fontId="43" fillId="6" borderId="0" xfId="15" applyNumberFormat="1" applyFont="1" applyFill="1" applyAlignment="1">
      <alignment horizontal="center" vertical="center"/>
    </xf>
    <xf numFmtId="178" fontId="43" fillId="6" borderId="3" xfId="15" applyNumberFormat="1" applyFont="1" applyFill="1" applyBorder="1" applyAlignment="1">
      <alignment horizontal="center" vertical="center"/>
    </xf>
    <xf numFmtId="178" fontId="43" fillId="6" borderId="19" xfId="15" applyNumberFormat="1" applyFont="1" applyFill="1" applyBorder="1" applyAlignment="1">
      <alignment horizontal="center" vertical="center"/>
    </xf>
    <xf numFmtId="178" fontId="43" fillId="6" borderId="0" xfId="15" applyNumberFormat="1" applyFont="1" applyFill="1" applyBorder="1" applyAlignment="1">
      <alignment horizontal="center" vertical="center"/>
    </xf>
    <xf numFmtId="178" fontId="43" fillId="6" borderId="4" xfId="15" applyNumberFormat="1" applyFont="1" applyFill="1" applyBorder="1" applyAlignment="1">
      <alignment horizontal="center" vertical="center"/>
    </xf>
    <xf numFmtId="178" fontId="43" fillId="6" borderId="1" xfId="15" applyNumberFormat="1" applyFont="1" applyFill="1" applyBorder="1" applyAlignment="1">
      <alignment horizontal="center" vertical="center"/>
    </xf>
    <xf numFmtId="178" fontId="43" fillId="6" borderId="1" xfId="15" applyNumberFormat="1" applyFont="1" applyFill="1" applyBorder="1" applyAlignment="1">
      <alignment/>
    </xf>
    <xf numFmtId="0" fontId="45" fillId="0" borderId="0" xfId="0" applyFont="1" applyAlignment="1">
      <alignment/>
    </xf>
    <xf numFmtId="0" fontId="33" fillId="0" borderId="7" xfId="0" applyFont="1" applyBorder="1" applyAlignment="1">
      <alignment horizontal="center"/>
    </xf>
    <xf numFmtId="0" fontId="33" fillId="0" borderId="6" xfId="0" applyFont="1" applyBorder="1" applyAlignment="1">
      <alignment horizontal="center"/>
    </xf>
    <xf numFmtId="0" fontId="33" fillId="0" borderId="20" xfId="0" applyFont="1" applyBorder="1" applyAlignment="1">
      <alignment horizontal="center"/>
    </xf>
    <xf numFmtId="0" fontId="33" fillId="0" borderId="7" xfId="0" applyFont="1" applyBorder="1" applyAlignment="1">
      <alignment/>
    </xf>
    <xf numFmtId="0" fontId="33" fillId="0" borderId="6" xfId="0" applyFont="1" applyBorder="1" applyAlignment="1">
      <alignment/>
    </xf>
    <xf numFmtId="0" fontId="30" fillId="0" borderId="20" xfId="0" applyFont="1" applyBorder="1" applyAlignment="1">
      <alignment/>
    </xf>
    <xf numFmtId="0" fontId="33" fillId="0" borderId="17" xfId="0" applyFont="1" applyBorder="1" applyAlignment="1">
      <alignment horizontal="center"/>
    </xf>
    <xf numFmtId="0" fontId="33" fillId="0" borderId="10" xfId="0" applyFont="1" applyBorder="1" applyAlignment="1">
      <alignment horizontal="center"/>
    </xf>
    <xf numFmtId="0" fontId="33" fillId="0" borderId="14" xfId="0" applyFont="1" applyBorder="1" applyAlignment="1">
      <alignment horizontal="center"/>
    </xf>
    <xf numFmtId="0" fontId="30" fillId="0" borderId="6" xfId="0" applyFont="1" applyBorder="1" applyAlignment="1">
      <alignment/>
    </xf>
    <xf numFmtId="0" fontId="33" fillId="0" borderId="20" xfId="0" applyFont="1" applyBorder="1" applyAlignment="1">
      <alignment/>
    </xf>
    <xf numFmtId="0" fontId="33" fillId="0" borderId="10" xfId="0" applyFont="1" applyBorder="1" applyAlignment="1">
      <alignment/>
    </xf>
    <xf numFmtId="199" fontId="33" fillId="0" borderId="10" xfId="15" applyNumberFormat="1" applyFont="1" applyBorder="1" applyAlignment="1">
      <alignment/>
    </xf>
    <xf numFmtId="199" fontId="33" fillId="0" borderId="14" xfId="15" applyNumberFormat="1" applyFont="1" applyBorder="1" applyAlignment="1" quotePrefix="1">
      <alignment horizontal="right"/>
    </xf>
    <xf numFmtId="200" fontId="33" fillId="0" borderId="14" xfId="15" applyNumberFormat="1" applyFont="1" applyBorder="1" applyAlignment="1" quotePrefix="1">
      <alignment horizontal="right"/>
    </xf>
    <xf numFmtId="199" fontId="33" fillId="0" borderId="10" xfId="15" applyNumberFormat="1" applyFont="1" applyBorder="1" applyAlignment="1" quotePrefix="1">
      <alignment horizontal="right"/>
    </xf>
    <xf numFmtId="0" fontId="33" fillId="0" borderId="17" xfId="0" applyFont="1" applyBorder="1" applyAlignment="1">
      <alignment/>
    </xf>
    <xf numFmtId="199" fontId="33" fillId="0" borderId="14" xfId="15" applyNumberFormat="1" applyFont="1" applyBorder="1" applyAlignment="1">
      <alignment/>
    </xf>
    <xf numFmtId="199" fontId="33" fillId="0" borderId="6" xfId="15" applyNumberFormat="1" applyFont="1" applyBorder="1" applyAlignment="1">
      <alignment/>
    </xf>
    <xf numFmtId="43" fontId="33" fillId="0" borderId="20" xfId="15" applyFont="1" applyBorder="1" applyAlignment="1" quotePrefix="1">
      <alignment horizontal="right"/>
    </xf>
    <xf numFmtId="199" fontId="33" fillId="0" borderId="6" xfId="15" applyNumberFormat="1" applyFont="1" applyBorder="1" applyAlignment="1">
      <alignment horizontal="center"/>
    </xf>
    <xf numFmtId="199" fontId="33" fillId="0" borderId="20" xfId="15" applyNumberFormat="1" applyFont="1" applyBorder="1" applyAlignment="1" quotePrefix="1">
      <alignment horizontal="right"/>
    </xf>
    <xf numFmtId="199" fontId="33" fillId="0" borderId="9" xfId="0" applyNumberFormat="1" applyFont="1" applyBorder="1" applyAlignment="1">
      <alignment/>
    </xf>
    <xf numFmtId="199" fontId="33" fillId="0" borderId="20" xfId="15" applyNumberFormat="1" applyFont="1" applyBorder="1" applyAlignment="1">
      <alignment/>
    </xf>
    <xf numFmtId="43" fontId="33" fillId="0" borderId="20" xfId="15" applyFont="1" applyBorder="1" applyAlignment="1">
      <alignment/>
    </xf>
    <xf numFmtId="0" fontId="45" fillId="0" borderId="21" xfId="0" applyFont="1" applyBorder="1" applyAlignment="1">
      <alignment/>
    </xf>
    <xf numFmtId="0" fontId="45" fillId="0" borderId="12" xfId="0" applyFont="1" applyBorder="1" applyAlignment="1">
      <alignment/>
    </xf>
    <xf numFmtId="14" fontId="33" fillId="0" borderId="10" xfId="0" applyNumberFormat="1" applyFont="1" applyBorder="1" applyAlignment="1">
      <alignment horizontal="center"/>
    </xf>
    <xf numFmtId="0" fontId="45" fillId="0" borderId="13" xfId="0" applyFont="1" applyBorder="1" applyAlignment="1">
      <alignment/>
    </xf>
    <xf numFmtId="0" fontId="33" fillId="0" borderId="13" xfId="0" applyFont="1" applyBorder="1" applyAlignment="1">
      <alignment/>
    </xf>
    <xf numFmtId="0" fontId="33" fillId="0" borderId="11" xfId="0" applyFont="1" applyBorder="1" applyAlignment="1">
      <alignment/>
    </xf>
    <xf numFmtId="37" fontId="33" fillId="0" borderId="14" xfId="0" applyNumberFormat="1" applyFont="1" applyBorder="1" applyAlignment="1">
      <alignment horizontal="center"/>
    </xf>
    <xf numFmtId="0" fontId="33" fillId="0" borderId="14" xfId="0" applyFont="1" applyBorder="1" applyAlignment="1">
      <alignment/>
    </xf>
    <xf numFmtId="0" fontId="0" fillId="0" borderId="0" xfId="0" applyAlignment="1">
      <alignment horizontal="justify" vertical="top"/>
    </xf>
    <xf numFmtId="0" fontId="46" fillId="0" borderId="0" xfId="0" applyFont="1" applyAlignment="1">
      <alignment horizontal="justify" vertical="top"/>
    </xf>
    <xf numFmtId="0" fontId="47" fillId="0" borderId="0" xfId="0" applyFont="1" applyAlignment="1">
      <alignment/>
    </xf>
    <xf numFmtId="0" fontId="47" fillId="0" borderId="0" xfId="0" applyFont="1" applyAlignment="1">
      <alignment horizontal="justify" vertical="top"/>
    </xf>
    <xf numFmtId="0" fontId="48" fillId="0" borderId="0" xfId="0" applyFont="1" applyAlignment="1">
      <alignment/>
    </xf>
    <xf numFmtId="0" fontId="33" fillId="0" borderId="0" xfId="0" applyFont="1" applyAlignment="1">
      <alignment horizontal="justify" vertical="top"/>
    </xf>
    <xf numFmtId="37" fontId="33" fillId="0" borderId="0" xfId="15" applyNumberFormat="1" applyFont="1" applyBorder="1" applyAlignment="1">
      <alignment horizontal="center"/>
    </xf>
    <xf numFmtId="37" fontId="33" fillId="0" borderId="0" xfId="15" applyNumberFormat="1" applyFont="1" applyAlignment="1">
      <alignment horizontal="right"/>
    </xf>
    <xf numFmtId="37" fontId="33" fillId="0" borderId="1" xfId="15" applyNumberFormat="1" applyFont="1" applyBorder="1" applyAlignment="1">
      <alignment horizontal="right"/>
    </xf>
    <xf numFmtId="0" fontId="33" fillId="0" borderId="0" xfId="0" applyFont="1" applyAlignment="1">
      <alignment horizontal="right"/>
    </xf>
    <xf numFmtId="3" fontId="33" fillId="0" borderId="2" xfId="15" applyNumberFormat="1" applyFont="1" applyBorder="1" applyAlignment="1">
      <alignment horizontal="right"/>
    </xf>
    <xf numFmtId="3" fontId="1" fillId="0" borderId="8" xfId="0" applyNumberFormat="1" applyFont="1" applyFill="1" applyBorder="1" applyAlignment="1">
      <alignment horizontal="center"/>
    </xf>
    <xf numFmtId="38" fontId="11" fillId="0" borderId="6" xfId="0" applyNumberFormat="1" applyFont="1" applyBorder="1" applyAlignment="1">
      <alignment horizontal="center"/>
    </xf>
    <xf numFmtId="43" fontId="9" fillId="0" borderId="22" xfId="15" applyFont="1" applyFill="1" applyBorder="1" applyAlignment="1">
      <alignment horizontal="center"/>
    </xf>
    <xf numFmtId="43" fontId="9" fillId="0" borderId="4" xfId="15" applyFont="1" applyFill="1" applyBorder="1" applyAlignment="1">
      <alignment horizontal="center"/>
    </xf>
    <xf numFmtId="43" fontId="9" fillId="0" borderId="11" xfId="15" applyFont="1" applyFill="1" applyBorder="1" applyAlignment="1">
      <alignment horizontal="center"/>
    </xf>
    <xf numFmtId="3" fontId="11" fillId="0" borderId="0" xfId="0" applyNumberFormat="1" applyFont="1" applyFill="1" applyAlignment="1">
      <alignment horizontal="center"/>
    </xf>
    <xf numFmtId="0" fontId="33" fillId="0" borderId="0" xfId="0" applyFont="1" applyAlignment="1">
      <alignment horizontal="justify" vertical="top"/>
    </xf>
    <xf numFmtId="0" fontId="47" fillId="0" borderId="0" xfId="0" applyFont="1" applyAlignment="1">
      <alignment horizontal="justify" vertical="top"/>
    </xf>
    <xf numFmtId="0" fontId="48" fillId="0" borderId="0" xfId="0" applyFont="1" applyAlignment="1">
      <alignment horizontal="justify" vertical="top"/>
    </xf>
    <xf numFmtId="0" fontId="0" fillId="0" borderId="0" xfId="0" applyAlignment="1">
      <alignment horizontal="justify" vertical="top"/>
    </xf>
    <xf numFmtId="0" fontId="33" fillId="0" borderId="4" xfId="0" applyFont="1" applyBorder="1" applyAlignment="1">
      <alignment horizontal="center"/>
    </xf>
    <xf numFmtId="0" fontId="33" fillId="0" borderId="11" xfId="0" applyFont="1" applyBorder="1" applyAlignment="1">
      <alignment horizontal="center"/>
    </xf>
    <xf numFmtId="0" fontId="30" fillId="0" borderId="0" xfId="0" applyFont="1" applyAlignment="1">
      <alignment horizontal="justify" vertical="top"/>
    </xf>
    <xf numFmtId="0" fontId="49" fillId="0" borderId="0" xfId="0" applyFont="1" applyAlignment="1">
      <alignment horizontal="justify" vertical="top"/>
    </xf>
  </cellXfs>
  <cellStyles count="14">
    <cellStyle name="Normal" xfId="0"/>
    <cellStyle name="Comma" xfId="15"/>
    <cellStyle name="Comma [0]" xfId="16"/>
    <cellStyle name="Currency" xfId="17"/>
    <cellStyle name="Currency [0]" xfId="18"/>
    <cellStyle name="Date" xfId="19"/>
    <cellStyle name="Fixed" xfId="20"/>
    <cellStyle name="Followed Hyperlink" xfId="21"/>
    <cellStyle name="Heading1" xfId="22"/>
    <cellStyle name="Heading2" xfId="23"/>
    <cellStyle name="Hyperlink" xfId="24"/>
    <cellStyle name="Normal - Style1" xfId="25"/>
    <cellStyle name="Percent" xfId="26"/>
    <cellStyle name="Total"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123825</xdr:rowOff>
    </xdr:from>
    <xdr:to>
      <xdr:col>8</xdr:col>
      <xdr:colOff>952500</xdr:colOff>
      <xdr:row>3</xdr:row>
      <xdr:rowOff>123825</xdr:rowOff>
    </xdr:to>
    <xdr:sp>
      <xdr:nvSpPr>
        <xdr:cNvPr id="1" name="Line 16"/>
        <xdr:cNvSpPr>
          <a:spLocks/>
        </xdr:cNvSpPr>
      </xdr:nvSpPr>
      <xdr:spPr>
        <a:xfrm>
          <a:off x="3524250" y="733425"/>
          <a:ext cx="5619750" cy="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85725</xdr:rowOff>
    </xdr:from>
    <xdr:to>
      <xdr:col>6</xdr:col>
      <xdr:colOff>9525</xdr:colOff>
      <xdr:row>5</xdr:row>
      <xdr:rowOff>85725</xdr:rowOff>
    </xdr:to>
    <xdr:sp>
      <xdr:nvSpPr>
        <xdr:cNvPr id="1" name="Line 1"/>
        <xdr:cNvSpPr>
          <a:spLocks/>
        </xdr:cNvSpPr>
      </xdr:nvSpPr>
      <xdr:spPr>
        <a:xfrm flipH="1">
          <a:off x="4657725" y="1009650"/>
          <a:ext cx="3705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619125</xdr:colOff>
      <xdr:row>5</xdr:row>
      <xdr:rowOff>85725</xdr:rowOff>
    </xdr:from>
    <xdr:to>
      <xdr:col>10</xdr:col>
      <xdr:colOff>238125</xdr:colOff>
      <xdr:row>5</xdr:row>
      <xdr:rowOff>85725</xdr:rowOff>
    </xdr:to>
    <xdr:sp>
      <xdr:nvSpPr>
        <xdr:cNvPr id="2" name="Line 2"/>
        <xdr:cNvSpPr>
          <a:spLocks/>
        </xdr:cNvSpPr>
      </xdr:nvSpPr>
      <xdr:spPr>
        <a:xfrm>
          <a:off x="9172575" y="1009650"/>
          <a:ext cx="2924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8303">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8258">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8308">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6"/>
  <sheetViews>
    <sheetView workbookViewId="0" topLeftCell="A85">
      <selection activeCell="F90" sqref="F90"/>
    </sheetView>
  </sheetViews>
  <sheetFormatPr defaultColWidth="9.00390625" defaultRowHeight="16.5"/>
  <cols>
    <col min="6" max="6" width="15.25390625" style="43" bestFit="1" customWidth="1"/>
    <col min="7" max="7" width="12.625" style="0" bestFit="1" customWidth="1"/>
  </cols>
  <sheetData>
    <row r="1" ht="18">
      <c r="A1" s="139" t="s">
        <v>397</v>
      </c>
    </row>
    <row r="2" ht="15.75">
      <c r="A2" s="140" t="s">
        <v>398</v>
      </c>
    </row>
    <row r="5" ht="15">
      <c r="F5" s="143" t="s">
        <v>468</v>
      </c>
    </row>
    <row r="6" ht="15">
      <c r="F6" s="143" t="s">
        <v>469</v>
      </c>
    </row>
    <row r="8" spans="1:6" ht="15">
      <c r="A8" t="s">
        <v>12</v>
      </c>
      <c r="F8" s="43">
        <v>18380276.45</v>
      </c>
    </row>
    <row r="10" spans="1:6" ht="15">
      <c r="A10" t="s">
        <v>399</v>
      </c>
      <c r="F10" s="43">
        <f>16495752.99+200000</f>
        <v>16695752.99</v>
      </c>
    </row>
    <row r="11" ht="15">
      <c r="F11" s="44"/>
    </row>
    <row r="12" spans="1:6" ht="15">
      <c r="A12" s="141" t="s">
        <v>400</v>
      </c>
      <c r="F12" s="43">
        <f>+F8-F10</f>
        <v>1684523.459999999</v>
      </c>
    </row>
    <row r="15" spans="1:6" ht="15">
      <c r="A15" t="s">
        <v>178</v>
      </c>
      <c r="F15" s="43">
        <v>137283.62</v>
      </c>
    </row>
    <row r="17" spans="1:6" ht="15">
      <c r="A17" s="141" t="s">
        <v>401</v>
      </c>
      <c r="F17" s="98">
        <f>+F12+F15</f>
        <v>1821807.0799999991</v>
      </c>
    </row>
    <row r="19" spans="1:7" ht="15">
      <c r="A19" t="s">
        <v>402</v>
      </c>
      <c r="F19" s="43">
        <f>+F96-F20-F21-F41-F42</f>
        <v>703944.71</v>
      </c>
      <c r="G19" s="54"/>
    </row>
    <row r="20" spans="1:6" ht="15">
      <c r="A20" t="s">
        <v>16</v>
      </c>
      <c r="F20" s="43">
        <v>106591.26</v>
      </c>
    </row>
    <row r="21" spans="1:6" ht="15">
      <c r="A21" t="s">
        <v>329</v>
      </c>
      <c r="F21" s="43">
        <f>+F39+F40+F46+F58</f>
        <v>209896.01</v>
      </c>
    </row>
    <row r="23" spans="1:6" ht="15">
      <c r="A23" t="s">
        <v>403</v>
      </c>
      <c r="F23" s="98">
        <f>SUM(F19:F22)</f>
        <v>1020431.98</v>
      </c>
    </row>
    <row r="25" spans="1:6" ht="15">
      <c r="A25" s="141" t="s">
        <v>404</v>
      </c>
      <c r="F25" s="144">
        <f>+F17-F23</f>
        <v>801375.0999999992</v>
      </c>
    </row>
    <row r="27" spans="1:6" ht="15">
      <c r="A27" t="s">
        <v>405</v>
      </c>
      <c r="F27" s="44"/>
    </row>
    <row r="28" spans="1:6" ht="15">
      <c r="A28" s="141" t="s">
        <v>406</v>
      </c>
      <c r="F28" s="43">
        <f>+F25-F27</f>
        <v>801375.0999999992</v>
      </c>
    </row>
    <row r="29" ht="15">
      <c r="A29" t="s">
        <v>407</v>
      </c>
    </row>
    <row r="30" spans="1:6" ht="15.75" thickBot="1">
      <c r="A30" s="141" t="s">
        <v>408</v>
      </c>
      <c r="F30" s="145">
        <f>+F28+F29</f>
        <v>801375.0999999992</v>
      </c>
    </row>
    <row r="31" ht="15.75" thickTop="1"/>
    <row r="33" ht="15">
      <c r="A33" s="141" t="s">
        <v>409</v>
      </c>
    </row>
    <row r="34" ht="15">
      <c r="A34" s="141"/>
    </row>
    <row r="35" spans="1:6" ht="15">
      <c r="A35" t="s">
        <v>410</v>
      </c>
      <c r="F35" s="43">
        <v>2887.5</v>
      </c>
    </row>
    <row r="36" spans="1:6" ht="15">
      <c r="A36" t="s">
        <v>411</v>
      </c>
      <c r="F36" s="43">
        <v>0</v>
      </c>
    </row>
    <row r="37" spans="1:6" ht="15">
      <c r="A37" t="s">
        <v>412</v>
      </c>
      <c r="F37" s="43">
        <v>0</v>
      </c>
    </row>
    <row r="38" spans="1:6" ht="15">
      <c r="A38" s="142" t="s">
        <v>413</v>
      </c>
      <c r="F38" s="43">
        <v>0</v>
      </c>
    </row>
    <row r="39" spans="1:6" ht="15">
      <c r="A39" s="142" t="s">
        <v>414</v>
      </c>
      <c r="F39" s="43">
        <v>5675.75</v>
      </c>
    </row>
    <row r="40" spans="1:6" ht="15">
      <c r="A40" t="s">
        <v>415</v>
      </c>
      <c r="F40" s="43">
        <v>164840.83</v>
      </c>
    </row>
    <row r="41" spans="1:6" ht="15">
      <c r="A41" t="s">
        <v>416</v>
      </c>
      <c r="F41" s="43">
        <v>-35429.8</v>
      </c>
    </row>
    <row r="42" spans="1:6" ht="15">
      <c r="A42" t="s">
        <v>417</v>
      </c>
      <c r="F42" s="43">
        <v>-101853.82</v>
      </c>
    </row>
    <row r="43" spans="1:6" ht="15">
      <c r="A43" t="s">
        <v>418</v>
      </c>
      <c r="F43" s="43">
        <v>0</v>
      </c>
    </row>
    <row r="44" spans="1:6" ht="15">
      <c r="A44" t="s">
        <v>419</v>
      </c>
      <c r="F44" s="43">
        <v>0</v>
      </c>
    </row>
    <row r="45" spans="1:6" ht="15">
      <c r="A45" t="s">
        <v>420</v>
      </c>
      <c r="F45" s="43">
        <v>796.2</v>
      </c>
    </row>
    <row r="46" spans="1:6" ht="15">
      <c r="A46" t="s">
        <v>256</v>
      </c>
      <c r="F46" s="43">
        <v>14348.79</v>
      </c>
    </row>
    <row r="47" spans="1:6" ht="15">
      <c r="A47" t="s">
        <v>421</v>
      </c>
      <c r="F47" s="43">
        <v>46004.71</v>
      </c>
    </row>
    <row r="48" spans="1:6" ht="15">
      <c r="A48" t="s">
        <v>16</v>
      </c>
      <c r="F48" s="43">
        <v>106591.26</v>
      </c>
    </row>
    <row r="49" spans="1:6" ht="15">
      <c r="A49" t="s">
        <v>422</v>
      </c>
      <c r="F49" s="43">
        <v>69000</v>
      </c>
    </row>
    <row r="50" spans="1:6" ht="15">
      <c r="A50" t="s">
        <v>423</v>
      </c>
      <c r="F50" s="43">
        <v>1657.5</v>
      </c>
    </row>
    <row r="51" spans="1:6" ht="15">
      <c r="A51" t="s">
        <v>424</v>
      </c>
      <c r="F51" s="43">
        <v>0</v>
      </c>
    </row>
    <row r="52" spans="1:6" ht="15">
      <c r="A52" t="s">
        <v>425</v>
      </c>
      <c r="F52" s="43">
        <v>3538.12</v>
      </c>
    </row>
    <row r="53" spans="1:6" ht="15">
      <c r="A53" t="s">
        <v>426</v>
      </c>
      <c r="F53" s="43">
        <v>0</v>
      </c>
    </row>
    <row r="54" spans="1:6" ht="15">
      <c r="A54" t="s">
        <v>427</v>
      </c>
      <c r="F54" s="43">
        <v>42142</v>
      </c>
    </row>
    <row r="55" ht="15">
      <c r="A55" t="s">
        <v>428</v>
      </c>
    </row>
    <row r="56" spans="1:6" ht="15">
      <c r="A56" t="s">
        <v>429</v>
      </c>
      <c r="F56" s="43">
        <v>0</v>
      </c>
    </row>
    <row r="57" spans="1:6" ht="15">
      <c r="A57" t="s">
        <v>430</v>
      </c>
      <c r="F57" s="43">
        <v>17088</v>
      </c>
    </row>
    <row r="58" spans="1:6" ht="15">
      <c r="A58" t="s">
        <v>80</v>
      </c>
      <c r="F58" s="43">
        <v>25030.64</v>
      </c>
    </row>
    <row r="59" spans="1:6" ht="15">
      <c r="A59" t="s">
        <v>431</v>
      </c>
      <c r="F59" s="43">
        <v>16472.31</v>
      </c>
    </row>
    <row r="60" spans="1:6" ht="15">
      <c r="A60" t="s">
        <v>432</v>
      </c>
      <c r="F60" s="43">
        <v>0</v>
      </c>
    </row>
    <row r="61" spans="1:6" ht="15">
      <c r="A61" t="s">
        <v>433</v>
      </c>
      <c r="F61" s="43">
        <v>37243.87</v>
      </c>
    </row>
    <row r="62" spans="1:6" ht="15">
      <c r="A62" t="s">
        <v>434</v>
      </c>
      <c r="F62" s="43">
        <v>0</v>
      </c>
    </row>
    <row r="63" spans="1:6" ht="15">
      <c r="A63" t="s">
        <v>435</v>
      </c>
      <c r="F63" s="43">
        <v>2500</v>
      </c>
    </row>
    <row r="64" spans="1:6" ht="15">
      <c r="A64" t="s">
        <v>436</v>
      </c>
      <c r="F64" s="43">
        <v>1173</v>
      </c>
    </row>
    <row r="65" spans="1:6" ht="15">
      <c r="A65" t="s">
        <v>437</v>
      </c>
      <c r="F65" s="43">
        <v>0</v>
      </c>
    </row>
    <row r="66" spans="1:6" ht="15">
      <c r="A66" t="s">
        <v>438</v>
      </c>
      <c r="F66" s="43">
        <v>160.28</v>
      </c>
    </row>
    <row r="67" spans="1:6" ht="15">
      <c r="A67" t="s">
        <v>439</v>
      </c>
      <c r="F67" s="43">
        <v>3842.91</v>
      </c>
    </row>
    <row r="68" spans="1:6" ht="15">
      <c r="A68" t="s">
        <v>440</v>
      </c>
      <c r="F68" s="43">
        <v>0</v>
      </c>
    </row>
    <row r="69" spans="1:6" ht="15">
      <c r="A69" t="s">
        <v>441</v>
      </c>
      <c r="F69" s="43">
        <v>643.02</v>
      </c>
    </row>
    <row r="70" spans="1:6" ht="15">
      <c r="A70" t="s">
        <v>442</v>
      </c>
      <c r="F70" s="43">
        <v>0</v>
      </c>
    </row>
    <row r="71" spans="1:6" ht="15">
      <c r="A71" t="s">
        <v>443</v>
      </c>
      <c r="F71" s="43">
        <v>12258.75</v>
      </c>
    </row>
    <row r="72" spans="1:6" ht="15">
      <c r="A72" t="s">
        <v>444</v>
      </c>
      <c r="F72" s="43">
        <v>0</v>
      </c>
    </row>
    <row r="73" spans="1:6" ht="15">
      <c r="A73" t="s">
        <v>445</v>
      </c>
      <c r="F73" s="43">
        <v>267.2</v>
      </c>
    </row>
    <row r="74" spans="1:6" ht="15">
      <c r="A74" t="s">
        <v>446</v>
      </c>
      <c r="F74" s="43">
        <v>65197.54</v>
      </c>
    </row>
    <row r="75" spans="1:6" ht="15">
      <c r="A75" t="s">
        <v>447</v>
      </c>
      <c r="F75" s="43">
        <v>5158.9</v>
      </c>
    </row>
    <row r="76" spans="1:6" ht="15">
      <c r="A76" t="s">
        <v>448</v>
      </c>
      <c r="F76" s="43">
        <v>311038.21</v>
      </c>
    </row>
    <row r="77" spans="1:6" ht="15">
      <c r="A77" t="s">
        <v>449</v>
      </c>
      <c r="F77" s="43">
        <v>900</v>
      </c>
    </row>
    <row r="78" spans="1:6" ht="15">
      <c r="A78" t="s">
        <v>450</v>
      </c>
      <c r="F78" s="43">
        <v>0</v>
      </c>
    </row>
    <row r="79" spans="1:6" ht="15">
      <c r="A79" t="s">
        <v>451</v>
      </c>
      <c r="F79" s="43">
        <v>0</v>
      </c>
    </row>
    <row r="80" spans="1:6" ht="15">
      <c r="A80" t="s">
        <v>452</v>
      </c>
      <c r="F80" s="43">
        <v>2938.2</v>
      </c>
    </row>
    <row r="81" spans="1:6" ht="15">
      <c r="A81" t="s">
        <v>453</v>
      </c>
      <c r="F81" s="43">
        <v>0</v>
      </c>
    </row>
    <row r="82" spans="1:6" ht="15">
      <c r="A82" t="s">
        <v>454</v>
      </c>
      <c r="F82" s="43">
        <v>0</v>
      </c>
    </row>
    <row r="83" spans="1:6" ht="15">
      <c r="A83" t="s">
        <v>455</v>
      </c>
      <c r="F83" s="43">
        <v>0</v>
      </c>
    </row>
    <row r="84" spans="1:6" ht="15">
      <c r="A84" t="s">
        <v>456</v>
      </c>
      <c r="F84" s="43">
        <v>10127.47</v>
      </c>
    </row>
    <row r="85" spans="1:6" ht="15">
      <c r="A85" t="s">
        <v>457</v>
      </c>
      <c r="F85" s="43">
        <v>1433.2</v>
      </c>
    </row>
    <row r="86" spans="1:6" ht="15">
      <c r="A86" t="s">
        <v>458</v>
      </c>
      <c r="F86" s="43">
        <v>13123.64</v>
      </c>
    </row>
    <row r="87" spans="1:6" ht="15">
      <c r="A87" t="s">
        <v>459</v>
      </c>
      <c r="F87" s="43">
        <v>8300</v>
      </c>
    </row>
    <row r="88" spans="1:6" ht="15">
      <c r="A88" t="s">
        <v>460</v>
      </c>
      <c r="F88" s="43">
        <v>13557.43</v>
      </c>
    </row>
    <row r="89" spans="1:6" ht="15">
      <c r="A89" t="s">
        <v>461</v>
      </c>
      <c r="F89" s="43">
        <v>700</v>
      </c>
    </row>
    <row r="90" spans="1:6" ht="15">
      <c r="A90" t="s">
        <v>462</v>
      </c>
      <c r="F90" s="43">
        <v>0</v>
      </c>
    </row>
    <row r="91" spans="1:6" ht="15">
      <c r="A91" t="s">
        <v>463</v>
      </c>
      <c r="F91" s="43">
        <v>135</v>
      </c>
    </row>
    <row r="92" spans="1:6" ht="15">
      <c r="A92" t="s">
        <v>464</v>
      </c>
      <c r="F92" s="43">
        <v>12878.75</v>
      </c>
    </row>
    <row r="93" spans="1:6" ht="15">
      <c r="A93" t="s">
        <v>465</v>
      </c>
      <c r="F93" s="43">
        <v>781</v>
      </c>
    </row>
    <row r="94" spans="1:6" ht="15">
      <c r="A94" t="s">
        <v>466</v>
      </c>
      <c r="F94" s="43">
        <v>0</v>
      </c>
    </row>
    <row r="95" spans="1:6" ht="15">
      <c r="A95" t="s">
        <v>467</v>
      </c>
      <c r="F95" s="43">
        <v>0</v>
      </c>
    </row>
    <row r="96" ht="15.75" thickBot="1">
      <c r="F96" s="45">
        <f>SUM(F35:F95)</f>
        <v>883148.3599999999</v>
      </c>
    </row>
    <row r="97" ht="15.75" thickTop="1"/>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U242"/>
  <sheetViews>
    <sheetView zoomScale="75" zoomScaleNormal="75" workbookViewId="0" topLeftCell="A1">
      <pane xSplit="1" ySplit="3" topLeftCell="E102" activePane="bottomRight" state="frozen"/>
      <selection pane="topLeft" activeCell="H13" sqref="H13"/>
      <selection pane="topRight" activeCell="H13" sqref="H13"/>
      <selection pane="bottomLeft" activeCell="H13" sqref="H13"/>
      <selection pane="bottomRight" activeCell="F115" sqref="F115"/>
    </sheetView>
  </sheetViews>
  <sheetFormatPr defaultColWidth="9.00390625" defaultRowHeight="16.5"/>
  <cols>
    <col min="1" max="1" width="45.00390625" style="0" customWidth="1"/>
    <col min="2" max="2" width="12.25390625" style="0" hidden="1" customWidth="1"/>
    <col min="3" max="3" width="5.00390625" style="0" hidden="1" customWidth="1"/>
    <col min="4" max="4" width="24.625" style="0" hidden="1" customWidth="1"/>
    <col min="5" max="5" width="16.625" style="0" customWidth="1"/>
    <col min="6" max="6" width="17.125" style="0" customWidth="1"/>
    <col min="7" max="7" width="13.625" style="0" customWidth="1"/>
    <col min="8" max="8" width="15.125" style="0" customWidth="1"/>
    <col min="9" max="9" width="13.875" style="0" customWidth="1"/>
    <col min="10" max="10" width="3.25390625" style="0" customWidth="1"/>
    <col min="11" max="11" width="16.375" style="155" hidden="1" customWidth="1"/>
    <col min="12" max="12" width="17.00390625" style="0" customWidth="1"/>
    <col min="13" max="13" width="16.00390625" style="0" customWidth="1"/>
    <col min="14" max="14" width="16.75390625" style="0" customWidth="1"/>
    <col min="15" max="15" width="17.125" style="0" customWidth="1"/>
    <col min="16" max="16" width="10.75390625" style="0" bestFit="1" customWidth="1"/>
    <col min="18" max="18" width="13.125" style="0" customWidth="1"/>
    <col min="19" max="19" width="12.875" style="0" customWidth="1"/>
    <col min="20" max="20" width="5.875" style="0" customWidth="1"/>
    <col min="21" max="21" width="12.875" style="183" customWidth="1"/>
  </cols>
  <sheetData>
    <row r="1" spans="1:9" ht="16.5">
      <c r="A1" s="87" t="s">
        <v>218</v>
      </c>
      <c r="G1" s="28"/>
      <c r="H1" s="28"/>
      <c r="I1" s="132"/>
    </row>
    <row r="2" spans="1:21" s="1" customFormat="1" ht="15">
      <c r="A2" s="88" t="s">
        <v>311</v>
      </c>
      <c r="G2" s="1">
        <v>100</v>
      </c>
      <c r="H2" s="1">
        <v>100</v>
      </c>
      <c r="I2" s="1">
        <v>100</v>
      </c>
      <c r="K2" s="156" t="s">
        <v>472</v>
      </c>
      <c r="R2" s="50" t="s">
        <v>34</v>
      </c>
      <c r="S2" s="51" t="s">
        <v>70</v>
      </c>
      <c r="U2" s="184" t="s">
        <v>70</v>
      </c>
    </row>
    <row r="3" spans="2:21" s="19" customFormat="1" ht="16.5">
      <c r="B3" s="19" t="s">
        <v>36</v>
      </c>
      <c r="E3" s="93" t="s">
        <v>34</v>
      </c>
      <c r="F3" s="93" t="s">
        <v>25</v>
      </c>
      <c r="G3" s="93" t="s">
        <v>26</v>
      </c>
      <c r="H3" s="94" t="s">
        <v>27</v>
      </c>
      <c r="I3" s="93" t="s">
        <v>28</v>
      </c>
      <c r="K3" s="157" t="s">
        <v>471</v>
      </c>
      <c r="L3" s="147" t="s">
        <v>15</v>
      </c>
      <c r="M3" s="261" t="s">
        <v>190</v>
      </c>
      <c r="N3" s="261"/>
      <c r="O3" s="104" t="s">
        <v>70</v>
      </c>
      <c r="R3" s="19" t="s">
        <v>72</v>
      </c>
      <c r="S3" s="19" t="s">
        <v>73</v>
      </c>
      <c r="U3" s="185" t="s">
        <v>73</v>
      </c>
    </row>
    <row r="4" spans="5:21" s="5" customFormat="1" ht="16.5">
      <c r="E4" s="262"/>
      <c r="F4" s="262"/>
      <c r="G4" s="262"/>
      <c r="H4" s="262"/>
      <c r="I4" s="262"/>
      <c r="K4" s="158"/>
      <c r="L4" s="148"/>
      <c r="M4" s="89"/>
      <c r="N4" s="89"/>
      <c r="O4" s="105"/>
      <c r="U4" s="39"/>
    </row>
    <row r="5" spans="1:21" s="5" customFormat="1" ht="16.5">
      <c r="A5" s="9" t="s">
        <v>312</v>
      </c>
      <c r="E5" s="117"/>
      <c r="F5" s="117"/>
      <c r="G5" s="117"/>
      <c r="H5" s="117"/>
      <c r="I5" s="117"/>
      <c r="K5" s="158"/>
      <c r="L5" s="148"/>
      <c r="M5" s="89"/>
      <c r="N5" s="89"/>
      <c r="O5" s="105"/>
      <c r="U5" s="39"/>
    </row>
    <row r="6" spans="1:21" s="5" customFormat="1" ht="16.5">
      <c r="A6" s="5" t="s">
        <v>313</v>
      </c>
      <c r="E6" s="97">
        <f>675-675</f>
        <v>0</v>
      </c>
      <c r="F6" s="97">
        <f>40640+487891+40042+136181.95+2824108.51+802685.85+2047988.11+661024.52+1576535-32546.65-483051.88-40041-110826.26-2299143.16-653689.89-1430009.34-482116.43</f>
        <v>3085672.3299999996</v>
      </c>
      <c r="G6" s="97">
        <v>57504</v>
      </c>
      <c r="H6" s="97">
        <v>1601.9</v>
      </c>
      <c r="I6" s="97">
        <v>0</v>
      </c>
      <c r="J6" s="43"/>
      <c r="K6" s="159">
        <f>4556292.91</f>
        <v>4556292.91</v>
      </c>
      <c r="L6" s="149">
        <f>SUM(E6:I6)</f>
        <v>3144778.2299999995</v>
      </c>
      <c r="M6" s="90"/>
      <c r="N6" s="90"/>
      <c r="O6" s="106">
        <f>SUM(L6:N6)</f>
        <v>3144778.2299999995</v>
      </c>
      <c r="R6" s="43">
        <f>ROUND((+E6/1000),0)</f>
        <v>0</v>
      </c>
      <c r="S6" s="5">
        <f>ROUND((O6/1000),0)</f>
        <v>3145</v>
      </c>
      <c r="U6" s="39">
        <f>ROUND((K6/1000),0)</f>
        <v>4556</v>
      </c>
    </row>
    <row r="7" spans="1:21" s="5" customFormat="1" ht="16.5">
      <c r="A7" s="5" t="s">
        <v>21</v>
      </c>
      <c r="E7" s="97">
        <v>16323047</v>
      </c>
      <c r="F7" s="97">
        <v>500000</v>
      </c>
      <c r="G7" s="97">
        <v>0</v>
      </c>
      <c r="H7" s="97">
        <v>0</v>
      </c>
      <c r="I7" s="97">
        <v>0</v>
      </c>
      <c r="J7" s="43"/>
      <c r="K7" s="159">
        <v>0</v>
      </c>
      <c r="L7" s="149">
        <f>SUM(E7:I7)</f>
        <v>16823047</v>
      </c>
      <c r="M7" s="90"/>
      <c r="N7" s="90" t="e">
        <f>+#REF!+#REF!+#REF!+#REF!+#REF!+#REF!</f>
        <v>#REF!</v>
      </c>
      <c r="O7" s="106" t="e">
        <f>SUM(L7:N7)</f>
        <v>#REF!</v>
      </c>
      <c r="R7" s="5">
        <f>ROUND((+E7/1000),0)</f>
        <v>16323</v>
      </c>
      <c r="S7" s="43" t="e">
        <f>ROUND((O7/1000),0)</f>
        <v>#REF!</v>
      </c>
      <c r="U7" s="39">
        <f>ROUND((K7/1000),0)</f>
        <v>0</v>
      </c>
    </row>
    <row r="8" spans="1:21" s="5" customFormat="1" ht="16.5">
      <c r="A8" s="5" t="s">
        <v>314</v>
      </c>
      <c r="E8" s="97">
        <v>0</v>
      </c>
      <c r="F8" s="97">
        <v>208202</v>
      </c>
      <c r="G8" s="97">
        <v>0</v>
      </c>
      <c r="H8" s="97">
        <v>0</v>
      </c>
      <c r="I8" s="97">
        <v>0</v>
      </c>
      <c r="J8" s="43"/>
      <c r="K8" s="159">
        <v>208202</v>
      </c>
      <c r="L8" s="149">
        <f>SUM(E8:I8)</f>
        <v>208202</v>
      </c>
      <c r="M8" s="90"/>
      <c r="N8" s="90"/>
      <c r="O8" s="106">
        <f>SUM(L8:N8)</f>
        <v>208202</v>
      </c>
      <c r="R8" s="43">
        <f>ROUND((+E8/1000),0)</f>
        <v>0</v>
      </c>
      <c r="S8" s="5">
        <f>ROUND((O8/1000),0)</f>
        <v>208</v>
      </c>
      <c r="U8" s="39">
        <f>ROUND((K8/1000),0)</f>
        <v>208</v>
      </c>
    </row>
    <row r="9" spans="1:21" s="5" customFormat="1" ht="16.5">
      <c r="A9" s="5" t="s">
        <v>315</v>
      </c>
      <c r="E9" s="97"/>
      <c r="F9" s="43">
        <v>3342082.24</v>
      </c>
      <c r="G9" s="97"/>
      <c r="H9" s="97"/>
      <c r="I9" s="97"/>
      <c r="J9" s="43"/>
      <c r="K9" s="159">
        <v>2696589</v>
      </c>
      <c r="L9" s="149">
        <f>SUM(E9:I9)</f>
        <v>3342082.24</v>
      </c>
      <c r="M9" s="90"/>
      <c r="N9" s="90"/>
      <c r="O9" s="106">
        <f>SUM(L9:N9)</f>
        <v>3342082.24</v>
      </c>
      <c r="R9" s="43">
        <f>ROUND((+E9/1000),0)</f>
        <v>0</v>
      </c>
      <c r="S9" s="5">
        <f>ROUND((O9/1000),0)</f>
        <v>3342</v>
      </c>
      <c r="U9" s="39">
        <f>ROUND((K9/1000),0)</f>
        <v>2697</v>
      </c>
    </row>
    <row r="10" spans="5:21" s="5" customFormat="1" ht="16.5">
      <c r="E10" s="102">
        <f>SUM(E6:E9)</f>
        <v>16323047</v>
      </c>
      <c r="F10" s="102">
        <f>SUM(F6:F9)</f>
        <v>7135956.57</v>
      </c>
      <c r="G10" s="102">
        <f>SUM(G6:G9)</f>
        <v>57504</v>
      </c>
      <c r="H10" s="102">
        <f>SUM(H6:H9)</f>
        <v>1601.9</v>
      </c>
      <c r="I10" s="102">
        <f>SUM(I6:I9)</f>
        <v>0</v>
      </c>
      <c r="J10" s="43"/>
      <c r="K10" s="160">
        <f>SUM(K6:K9)</f>
        <v>7461083.91</v>
      </c>
      <c r="L10" s="150">
        <f>SUM(L6:L9)</f>
        <v>23518109.47</v>
      </c>
      <c r="M10" s="97"/>
      <c r="N10" s="97"/>
      <c r="O10" s="127" t="e">
        <f>SUM(O6:O9)</f>
        <v>#REF!</v>
      </c>
      <c r="R10" s="10">
        <f>SUM(R6:R9)</f>
        <v>16323</v>
      </c>
      <c r="S10" s="10" t="e">
        <f>SUM(S6:S9)</f>
        <v>#REF!</v>
      </c>
      <c r="U10" s="187">
        <f>SUM(U6:U9)</f>
        <v>7461</v>
      </c>
    </row>
    <row r="11" spans="1:21" s="5" customFormat="1" ht="16.5">
      <c r="A11" s="9" t="s">
        <v>7</v>
      </c>
      <c r="B11" s="9"/>
      <c r="C11" s="9"/>
      <c r="D11" s="9" t="s">
        <v>189</v>
      </c>
      <c r="E11" s="95"/>
      <c r="F11" s="96"/>
      <c r="G11" s="96"/>
      <c r="H11" s="96"/>
      <c r="I11" s="96"/>
      <c r="J11" s="92"/>
      <c r="K11" s="158"/>
      <c r="L11" s="151"/>
      <c r="M11" s="89"/>
      <c r="N11" s="89"/>
      <c r="O11" s="105"/>
      <c r="U11" s="39"/>
    </row>
    <row r="12" spans="1:21" s="5" customFormat="1" ht="16.5">
      <c r="A12" s="5" t="s">
        <v>316</v>
      </c>
      <c r="C12" s="20" t="str">
        <f>C14</f>
        <v>CF-6</v>
      </c>
      <c r="D12" s="20"/>
      <c r="E12" s="97">
        <v>0</v>
      </c>
      <c r="F12" s="97">
        <v>748366.38</v>
      </c>
      <c r="G12" s="97">
        <v>0</v>
      </c>
      <c r="H12" s="97">
        <v>172745.01</v>
      </c>
      <c r="I12" s="97">
        <v>0</v>
      </c>
      <c r="J12" s="43"/>
      <c r="K12" s="159">
        <v>964257.38</v>
      </c>
      <c r="L12" s="149">
        <f aca="true" t="shared" si="0" ref="L12:L17">SUM(E12:I12)</f>
        <v>921111.39</v>
      </c>
      <c r="M12" s="90"/>
      <c r="N12" s="90"/>
      <c r="O12" s="106">
        <f aca="true" t="shared" si="1" ref="O12:O17">SUM(L12:N12)</f>
        <v>921111.39</v>
      </c>
      <c r="R12" s="43">
        <f aca="true" t="shared" si="2" ref="R12:R17">ROUND((+E12/1000),0)</f>
        <v>0</v>
      </c>
      <c r="S12" s="5">
        <f aca="true" t="shared" si="3" ref="S12:S17">ROUND((O12/1000),0)</f>
        <v>921</v>
      </c>
      <c r="T12" s="14"/>
      <c r="U12" s="39">
        <f aca="true" t="shared" si="4" ref="U12:U17">ROUND((K12/1000),0)</f>
        <v>964</v>
      </c>
    </row>
    <row r="13" spans="1:21" s="5" customFormat="1" ht="16.5">
      <c r="A13" s="5" t="s">
        <v>317</v>
      </c>
      <c r="B13" s="5" t="s">
        <v>149</v>
      </c>
      <c r="C13" s="20" t="str">
        <f>C16</f>
        <v>CF-6</v>
      </c>
      <c r="D13" s="20"/>
      <c r="E13" s="97">
        <f>+E86</f>
        <v>0</v>
      </c>
      <c r="F13" s="97">
        <f>+F86</f>
        <v>25235857.99</v>
      </c>
      <c r="G13" s="97">
        <f>+G86</f>
        <v>0</v>
      </c>
      <c r="H13" s="97">
        <f>+H86</f>
        <v>43576.65</v>
      </c>
      <c r="I13" s="97">
        <f>+I86</f>
        <v>0</v>
      </c>
      <c r="J13" s="43"/>
      <c r="K13" s="159">
        <f>+K86</f>
        <v>21508184.46</v>
      </c>
      <c r="L13" s="149">
        <f t="shared" si="0"/>
        <v>25279434.639999997</v>
      </c>
      <c r="M13" s="90"/>
      <c r="N13" s="90"/>
      <c r="O13" s="106">
        <f t="shared" si="1"/>
        <v>25279434.639999997</v>
      </c>
      <c r="R13" s="43">
        <f t="shared" si="2"/>
        <v>0</v>
      </c>
      <c r="S13" s="5">
        <f t="shared" si="3"/>
        <v>25279</v>
      </c>
      <c r="T13" s="14"/>
      <c r="U13" s="39">
        <f t="shared" si="4"/>
        <v>21508</v>
      </c>
    </row>
    <row r="14" spans="1:21" s="5" customFormat="1" ht="16.5">
      <c r="A14" s="5" t="s">
        <v>318</v>
      </c>
      <c r="B14" s="5" t="s">
        <v>148</v>
      </c>
      <c r="C14" s="20" t="str">
        <f>C13</f>
        <v>CF-6</v>
      </c>
      <c r="D14" s="20"/>
      <c r="E14" s="97">
        <f>+E77</f>
        <v>15378438.32</v>
      </c>
      <c r="F14" s="97">
        <f>+F77</f>
        <v>7731515.66</v>
      </c>
      <c r="G14" s="97">
        <f>+G77</f>
        <v>3950</v>
      </c>
      <c r="H14" s="97">
        <f>+H77</f>
        <v>26690.8</v>
      </c>
      <c r="I14" s="97">
        <f>+I77</f>
        <v>0</v>
      </c>
      <c r="J14" s="43"/>
      <c r="K14" s="159">
        <f>+K77</f>
        <v>23154482.05</v>
      </c>
      <c r="L14" s="149">
        <f t="shared" si="0"/>
        <v>23140594.78</v>
      </c>
      <c r="M14" s="90"/>
      <c r="N14" s="90"/>
      <c r="O14" s="106">
        <f t="shared" si="1"/>
        <v>23140594.78</v>
      </c>
      <c r="R14" s="5">
        <f t="shared" si="2"/>
        <v>15378</v>
      </c>
      <c r="S14" s="5">
        <f t="shared" si="3"/>
        <v>23141</v>
      </c>
      <c r="T14" s="14"/>
      <c r="U14" s="39">
        <f t="shared" si="4"/>
        <v>23154</v>
      </c>
    </row>
    <row r="15" spans="1:21" s="5" customFormat="1" ht="16.5">
      <c r="A15" s="5" t="s">
        <v>319</v>
      </c>
      <c r="C15" s="20" t="str">
        <f>C12</f>
        <v>CF-6</v>
      </c>
      <c r="D15" s="20" t="s">
        <v>130</v>
      </c>
      <c r="E15" s="97">
        <v>0</v>
      </c>
      <c r="F15" s="97">
        <f>15875767.98+4059140.62+285164727.97-356048999.26+82825042.88-F12-200000-5817609.56</f>
        <v>25109704.25000006</v>
      </c>
      <c r="G15" s="97">
        <v>0</v>
      </c>
      <c r="H15" s="97">
        <v>0</v>
      </c>
      <c r="I15" s="97">
        <v>0</v>
      </c>
      <c r="J15" s="43"/>
      <c r="K15" s="159">
        <f>28110056.9-5817609.56</f>
        <v>22292447.34</v>
      </c>
      <c r="L15" s="149">
        <f t="shared" si="0"/>
        <v>25109704.25000006</v>
      </c>
      <c r="M15" s="90"/>
      <c r="N15" s="90"/>
      <c r="O15" s="106">
        <f t="shared" si="1"/>
        <v>25109704.25000006</v>
      </c>
      <c r="R15" s="43">
        <f t="shared" si="2"/>
        <v>0</v>
      </c>
      <c r="S15" s="5">
        <f t="shared" si="3"/>
        <v>25110</v>
      </c>
      <c r="U15" s="39">
        <f>ROUND((K15/1000),0)+1</f>
        <v>22293</v>
      </c>
    </row>
    <row r="16" spans="1:21" s="5" customFormat="1" ht="16.5">
      <c r="A16" s="5" t="s">
        <v>39</v>
      </c>
      <c r="B16" s="5" t="s">
        <v>147</v>
      </c>
      <c r="C16" s="20" t="s">
        <v>60</v>
      </c>
      <c r="D16" s="20"/>
      <c r="E16" s="97">
        <f>+E66</f>
        <v>7531.05</v>
      </c>
      <c r="F16" s="97">
        <f>+F66</f>
        <v>3602668.1599999997</v>
      </c>
      <c r="G16" s="97">
        <f>+G66</f>
        <v>959</v>
      </c>
      <c r="H16" s="97">
        <f>+H66</f>
        <v>7213.83</v>
      </c>
      <c r="I16" s="97">
        <f>+I66</f>
        <v>674.52</v>
      </c>
      <c r="J16" s="43"/>
      <c r="K16" s="159">
        <f>+K66</f>
        <v>3613938.3</v>
      </c>
      <c r="L16" s="149">
        <f t="shared" si="0"/>
        <v>3619046.5599999996</v>
      </c>
      <c r="M16" s="90"/>
      <c r="N16" s="90"/>
      <c r="O16" s="106">
        <f t="shared" si="1"/>
        <v>3619046.5599999996</v>
      </c>
      <c r="R16" s="5">
        <f t="shared" si="2"/>
        <v>8</v>
      </c>
      <c r="S16" s="5">
        <f t="shared" si="3"/>
        <v>3619</v>
      </c>
      <c r="U16" s="39">
        <f t="shared" si="4"/>
        <v>3614</v>
      </c>
    </row>
    <row r="17" spans="1:21" s="5" customFormat="1" ht="16.5">
      <c r="A17" s="11" t="s">
        <v>42</v>
      </c>
      <c r="B17" s="5" t="s">
        <v>154</v>
      </c>
      <c r="C17" s="20" t="str">
        <f>C15</f>
        <v>CF-6</v>
      </c>
      <c r="D17" s="20" t="s">
        <v>133</v>
      </c>
      <c r="E17" s="97">
        <f>+E142</f>
        <v>21772097.46</v>
      </c>
      <c r="F17" s="97">
        <f>+F142</f>
        <v>399892.68</v>
      </c>
      <c r="G17" s="97">
        <f>+G142</f>
        <v>656814.61</v>
      </c>
      <c r="H17" s="97">
        <f>+H142</f>
        <v>66006.96</v>
      </c>
      <c r="I17" s="97">
        <f>+I142</f>
        <v>40949.96</v>
      </c>
      <c r="J17" s="43"/>
      <c r="K17" s="159">
        <f>+K142</f>
        <v>22911481.810000002</v>
      </c>
      <c r="L17" s="149">
        <f t="shared" si="0"/>
        <v>22935761.67</v>
      </c>
      <c r="M17" s="90"/>
      <c r="N17" s="90">
        <f>-L17</f>
        <v>-22935761.67</v>
      </c>
      <c r="O17" s="106">
        <f t="shared" si="1"/>
        <v>0</v>
      </c>
      <c r="R17" s="5">
        <f t="shared" si="2"/>
        <v>21772</v>
      </c>
      <c r="S17" s="25">
        <f t="shared" si="3"/>
        <v>0</v>
      </c>
      <c r="U17" s="39">
        <f t="shared" si="4"/>
        <v>22911</v>
      </c>
    </row>
    <row r="18" spans="5:21" s="5" customFormat="1" ht="16.5">
      <c r="E18" s="98">
        <f>SUM(E12:E17)</f>
        <v>37158066.83</v>
      </c>
      <c r="F18" s="98">
        <f aca="true" t="shared" si="5" ref="F18:L18">SUM(F12:F17)</f>
        <v>62828005.12000006</v>
      </c>
      <c r="G18" s="98">
        <f t="shared" si="5"/>
        <v>661723.61</v>
      </c>
      <c r="H18" s="98">
        <f t="shared" si="5"/>
        <v>316233.25</v>
      </c>
      <c r="I18" s="98">
        <f t="shared" si="5"/>
        <v>41624.479999999996</v>
      </c>
      <c r="J18" s="43"/>
      <c r="K18" s="160">
        <f>SUM(K12:K17)</f>
        <v>94444791.34</v>
      </c>
      <c r="L18" s="152">
        <f t="shared" si="5"/>
        <v>101005653.29000007</v>
      </c>
      <c r="M18" s="90"/>
      <c r="N18" s="90"/>
      <c r="O18" s="107">
        <f>SUM(O12:O17)</f>
        <v>78069891.62000006</v>
      </c>
      <c r="R18" s="10">
        <f>SUM(R12:R17)</f>
        <v>37158</v>
      </c>
      <c r="S18" s="10">
        <f>SUM(S12:S17)</f>
        <v>78070</v>
      </c>
      <c r="U18" s="187">
        <f>SUM(U12:U17)</f>
        <v>94444</v>
      </c>
    </row>
    <row r="19" spans="1:21" s="5" customFormat="1" ht="16.5">
      <c r="A19" s="9" t="s">
        <v>9</v>
      </c>
      <c r="B19" s="9"/>
      <c r="C19" s="9"/>
      <c r="D19" s="9"/>
      <c r="E19" s="99"/>
      <c r="F19" s="97"/>
      <c r="G19" s="97"/>
      <c r="H19" s="97"/>
      <c r="I19" s="97"/>
      <c r="J19" s="43"/>
      <c r="K19" s="159"/>
      <c r="L19" s="149"/>
      <c r="M19" s="90"/>
      <c r="N19" s="90"/>
      <c r="O19" s="106"/>
      <c r="U19" s="39"/>
    </row>
    <row r="20" spans="1:21" s="5" customFormat="1" ht="16.5">
      <c r="A20" s="5" t="s">
        <v>46</v>
      </c>
      <c r="B20" s="5" t="s">
        <v>150</v>
      </c>
      <c r="C20" s="20" t="s">
        <v>60</v>
      </c>
      <c r="D20" s="20"/>
      <c r="E20" s="97">
        <f>+E103</f>
        <v>0</v>
      </c>
      <c r="F20" s="97">
        <f>+F103</f>
        <v>11675386.02</v>
      </c>
      <c r="G20" s="97">
        <f>+G103</f>
        <v>0</v>
      </c>
      <c r="H20" s="97">
        <f>+H103</f>
        <v>0</v>
      </c>
      <c r="I20" s="97">
        <f>+I103</f>
        <v>0</v>
      </c>
      <c r="J20" s="43"/>
      <c r="K20" s="159">
        <f>+K103</f>
        <v>8533268.209999999</v>
      </c>
      <c r="L20" s="149">
        <f aca="true" t="shared" si="6" ref="L20:L27">SUM(E20:I20)</f>
        <v>11675386.02</v>
      </c>
      <c r="M20" s="90"/>
      <c r="N20" s="90"/>
      <c r="O20" s="106">
        <f aca="true" t="shared" si="7" ref="O20:O27">L20-M20-N20</f>
        <v>11675386.02</v>
      </c>
      <c r="R20" s="43">
        <f aca="true" t="shared" si="8" ref="R20:R27">ROUND((+E20/1000),0)</f>
        <v>0</v>
      </c>
      <c r="S20" s="5">
        <f>ROUND((O20/1000),0)</f>
        <v>11675</v>
      </c>
      <c r="T20" s="14"/>
      <c r="U20" s="39">
        <f aca="true" t="shared" si="9" ref="U20:U25">ROUND((K20/1000),0)</f>
        <v>8533</v>
      </c>
    </row>
    <row r="21" spans="1:21" s="5" customFormat="1" ht="16.5">
      <c r="A21" s="11" t="s">
        <v>320</v>
      </c>
      <c r="B21" s="5" t="s">
        <v>151</v>
      </c>
      <c r="E21" s="97">
        <f>+E110</f>
        <v>0</v>
      </c>
      <c r="F21" s="97">
        <f>+F110</f>
        <v>6756759.43</v>
      </c>
      <c r="G21" s="97">
        <f>+G110</f>
        <v>0</v>
      </c>
      <c r="H21" s="97">
        <f>+H110</f>
        <v>38942.78</v>
      </c>
      <c r="I21" s="97">
        <f>+I110</f>
        <v>0</v>
      </c>
      <c r="J21" s="43"/>
      <c r="K21" s="159">
        <f>+K110</f>
        <v>5447066.01</v>
      </c>
      <c r="L21" s="149">
        <f t="shared" si="6"/>
        <v>6795702.21</v>
      </c>
      <c r="M21" s="90">
        <v>51281.16</v>
      </c>
      <c r="N21" s="90"/>
      <c r="O21" s="106">
        <f>L21-M21-N21</f>
        <v>6744421.05</v>
      </c>
      <c r="P21" s="14"/>
      <c r="R21" s="43">
        <f t="shared" si="8"/>
        <v>0</v>
      </c>
      <c r="S21" s="5">
        <f>ROUND((O21/1000),0)</f>
        <v>6744</v>
      </c>
      <c r="T21" s="14"/>
      <c r="U21" s="39">
        <f t="shared" si="9"/>
        <v>5447</v>
      </c>
    </row>
    <row r="22" spans="1:21" s="5" customFormat="1" ht="16.5">
      <c r="A22" s="11" t="s">
        <v>321</v>
      </c>
      <c r="B22" s="5" t="s">
        <v>152</v>
      </c>
      <c r="C22" s="20" t="s">
        <v>60</v>
      </c>
      <c r="D22" s="20"/>
      <c r="E22" s="100">
        <f>+E132</f>
        <v>31335.67</v>
      </c>
      <c r="F22" s="100">
        <f>+F132</f>
        <v>44951.830000000075</v>
      </c>
      <c r="G22" s="100">
        <f>+G132</f>
        <v>7245</v>
      </c>
      <c r="H22" s="100">
        <f>+H132</f>
        <v>17827.89</v>
      </c>
      <c r="I22" s="100">
        <f>+I132</f>
        <v>6950</v>
      </c>
      <c r="J22" s="43"/>
      <c r="K22" s="159">
        <f>+K132</f>
        <v>324676.56999999937</v>
      </c>
      <c r="L22" s="149">
        <f t="shared" si="6"/>
        <v>108310.39000000007</v>
      </c>
      <c r="M22" s="90"/>
      <c r="N22" s="90"/>
      <c r="O22" s="106">
        <f>L22-M22-N22</f>
        <v>108310.39000000007</v>
      </c>
      <c r="P22" s="14"/>
      <c r="Q22" s="14"/>
      <c r="R22" s="5">
        <f t="shared" si="8"/>
        <v>31</v>
      </c>
      <c r="S22" s="5">
        <f>ROUND((O22/1000),0)+1</f>
        <v>109</v>
      </c>
      <c r="T22" s="14"/>
      <c r="U22" s="39">
        <f t="shared" si="9"/>
        <v>325</v>
      </c>
    </row>
    <row r="23" spans="1:21" s="5" customFormat="1" ht="16.5">
      <c r="A23" s="5" t="s">
        <v>10</v>
      </c>
      <c r="B23" s="5" t="s">
        <v>172</v>
      </c>
      <c r="E23" s="97">
        <f>+E159</f>
        <v>428350</v>
      </c>
      <c r="F23" s="97">
        <f>+F159</f>
        <v>268350</v>
      </c>
      <c r="G23" s="97">
        <v>0</v>
      </c>
      <c r="H23" s="97">
        <v>0</v>
      </c>
      <c r="I23" s="97">
        <v>0</v>
      </c>
      <c r="J23" s="43"/>
      <c r="K23" s="159">
        <v>647000</v>
      </c>
      <c r="L23" s="149">
        <f>SUM(E23:I23)</f>
        <v>696700</v>
      </c>
      <c r="M23" s="90"/>
      <c r="N23" s="90"/>
      <c r="O23" s="106">
        <f>L23-M23-N23</f>
        <v>696700</v>
      </c>
      <c r="R23" s="43">
        <f>ROUND((+E23/1000),0)</f>
        <v>428</v>
      </c>
      <c r="S23" s="5">
        <f>ROUND((O23/1000),0)</f>
        <v>697</v>
      </c>
      <c r="U23" s="39">
        <f t="shared" si="9"/>
        <v>647</v>
      </c>
    </row>
    <row r="24" spans="1:21" s="5" customFormat="1" ht="16.5">
      <c r="A24" s="11" t="s">
        <v>167</v>
      </c>
      <c r="B24" s="5" t="s">
        <v>155</v>
      </c>
      <c r="C24" s="20"/>
      <c r="D24" s="20"/>
      <c r="E24" s="100">
        <f>+E147</f>
        <v>0</v>
      </c>
      <c r="F24" s="100">
        <f>+F147</f>
        <v>21772097.46</v>
      </c>
      <c r="G24" s="100">
        <f>+G147</f>
        <v>0</v>
      </c>
      <c r="H24" s="100">
        <f>+H147</f>
        <v>0</v>
      </c>
      <c r="I24" s="100">
        <f>+I147</f>
        <v>0</v>
      </c>
      <c r="J24" s="43"/>
      <c r="K24" s="159">
        <f>+K147</f>
        <v>21882097.46</v>
      </c>
      <c r="L24" s="149">
        <f t="shared" si="6"/>
        <v>21772097.46</v>
      </c>
      <c r="M24" s="90">
        <f>+L24</f>
        <v>21772097.46</v>
      </c>
      <c r="N24" s="90"/>
      <c r="O24" s="106">
        <f t="shared" si="7"/>
        <v>0</v>
      </c>
      <c r="P24" s="14"/>
      <c r="Q24" s="14"/>
      <c r="R24" s="43">
        <f>ROUND((+E24/1000),0)</f>
        <v>0</v>
      </c>
      <c r="S24" s="109">
        <f>ROUND((O24/1000),0)</f>
        <v>0</v>
      </c>
      <c r="U24" s="39">
        <f t="shared" si="9"/>
        <v>21882</v>
      </c>
    </row>
    <row r="25" spans="1:21" s="5" customFormat="1" ht="16.5">
      <c r="A25" s="5" t="s">
        <v>43</v>
      </c>
      <c r="B25" s="5" t="s">
        <v>156</v>
      </c>
      <c r="E25" s="97">
        <f>+E154</f>
        <v>0</v>
      </c>
      <c r="F25" s="97">
        <f>+F154</f>
        <v>656814.61</v>
      </c>
      <c r="G25" s="97">
        <f>+G154</f>
        <v>40949.96</v>
      </c>
      <c r="H25" s="97">
        <f>+H154</f>
        <v>42500</v>
      </c>
      <c r="I25" s="97">
        <f>+I154</f>
        <v>372118.48</v>
      </c>
      <c r="J25" s="43"/>
      <c r="K25" s="159">
        <f>+K154</f>
        <v>1029384.35</v>
      </c>
      <c r="L25" s="149">
        <f t="shared" si="6"/>
        <v>1112383.0499999998</v>
      </c>
      <c r="M25" s="90">
        <f>+L25</f>
        <v>1112383.0499999998</v>
      </c>
      <c r="N25" s="90"/>
      <c r="O25" s="108">
        <f t="shared" si="7"/>
        <v>0</v>
      </c>
      <c r="R25" s="43">
        <f t="shared" si="8"/>
        <v>0</v>
      </c>
      <c r="S25" s="25">
        <f>ROUND((O25/1000),0)</f>
        <v>0</v>
      </c>
      <c r="U25" s="39">
        <f t="shared" si="9"/>
        <v>1029</v>
      </c>
    </row>
    <row r="26" spans="1:21" s="5" customFormat="1" ht="15" hidden="1">
      <c r="A26" s="5" t="s">
        <v>33</v>
      </c>
      <c r="E26" s="97"/>
      <c r="F26" s="97">
        <v>0</v>
      </c>
      <c r="G26" s="97">
        <v>0</v>
      </c>
      <c r="H26" s="97">
        <v>0</v>
      </c>
      <c r="I26" s="97">
        <v>0</v>
      </c>
      <c r="J26" s="43"/>
      <c r="K26" s="159"/>
      <c r="L26" s="149">
        <f t="shared" si="6"/>
        <v>0</v>
      </c>
      <c r="M26" s="90"/>
      <c r="N26" s="90"/>
      <c r="O26" s="106">
        <f t="shared" si="7"/>
        <v>0</v>
      </c>
      <c r="R26" s="43">
        <f t="shared" si="8"/>
        <v>0</v>
      </c>
      <c r="S26" s="25">
        <f>ROUND((O26/1000),0)</f>
        <v>0</v>
      </c>
      <c r="U26" s="188">
        <f>ROUND((R26/1000),0)</f>
        <v>0</v>
      </c>
    </row>
    <row r="27" spans="1:21" s="5" customFormat="1" ht="15" hidden="1">
      <c r="A27" s="5" t="s">
        <v>48</v>
      </c>
      <c r="E27" s="97">
        <v>0</v>
      </c>
      <c r="F27" s="97">
        <v>0</v>
      </c>
      <c r="G27" s="97">
        <v>0</v>
      </c>
      <c r="H27" s="97">
        <v>0</v>
      </c>
      <c r="I27" s="97">
        <v>0</v>
      </c>
      <c r="J27" s="43"/>
      <c r="K27" s="159"/>
      <c r="L27" s="149">
        <f t="shared" si="6"/>
        <v>0</v>
      </c>
      <c r="M27" s="90"/>
      <c r="N27" s="90"/>
      <c r="O27" s="106">
        <f t="shared" si="7"/>
        <v>0</v>
      </c>
      <c r="R27" s="43">
        <f t="shared" si="8"/>
        <v>0</v>
      </c>
      <c r="S27" s="43">
        <f>ROUND((O27/1000),0)</f>
        <v>0</v>
      </c>
      <c r="U27" s="186">
        <f>ROUND((R27/1000),0)</f>
        <v>0</v>
      </c>
    </row>
    <row r="28" spans="5:21" s="5" customFormat="1" ht="16.5">
      <c r="E28" s="98">
        <f>SUM(E20:E27)</f>
        <v>459685.67</v>
      </c>
      <c r="F28" s="98">
        <f>SUM(F20:F27)</f>
        <v>41174359.35</v>
      </c>
      <c r="G28" s="98">
        <f>SUM(G20:G27)</f>
        <v>48194.96</v>
      </c>
      <c r="H28" s="98">
        <f>SUM(H20:H27)</f>
        <v>99270.67</v>
      </c>
      <c r="I28" s="98">
        <f>SUM(I20:I27)</f>
        <v>379068.48</v>
      </c>
      <c r="J28" s="43"/>
      <c r="K28" s="160">
        <f>SUM(K20:K27)</f>
        <v>37863492.6</v>
      </c>
      <c r="L28" s="150">
        <f>SUM(L20:L27)</f>
        <v>42160579.129999995</v>
      </c>
      <c r="M28" s="90"/>
      <c r="N28" s="90"/>
      <c r="O28" s="107">
        <f>SUM(O20:O27)</f>
        <v>19224817.46</v>
      </c>
      <c r="R28" s="10">
        <f>SUM(R20:R27)</f>
        <v>459</v>
      </c>
      <c r="S28" s="10">
        <f>ROUND((SUM(S20:S27)),0)</f>
        <v>19225</v>
      </c>
      <c r="U28" s="187">
        <f>ROUND((SUM(U20:U27)),0)</f>
        <v>37863</v>
      </c>
    </row>
    <row r="29" spans="1:21" s="5" customFormat="1" ht="17.25" thickBot="1">
      <c r="A29" s="20" t="s">
        <v>18</v>
      </c>
      <c r="E29" s="101">
        <f>+E10+E18-E28</f>
        <v>53021428.16</v>
      </c>
      <c r="F29" s="101">
        <f>+F10+F18-F28</f>
        <v>28789602.340000056</v>
      </c>
      <c r="G29" s="101">
        <f>+G10+G18-G28</f>
        <v>671032.65</v>
      </c>
      <c r="H29" s="101">
        <f>+H10+H18-H28</f>
        <v>218564.48000000004</v>
      </c>
      <c r="I29" s="101">
        <f>+I10+I18-I28</f>
        <v>-337444</v>
      </c>
      <c r="J29" s="43"/>
      <c r="K29" s="161">
        <f>+K10+K18-K28</f>
        <v>64042382.65</v>
      </c>
      <c r="L29" s="153">
        <f>L18-L28+L10</f>
        <v>82363183.63000007</v>
      </c>
      <c r="M29" s="90"/>
      <c r="N29" s="90"/>
      <c r="O29" s="129" t="e">
        <f>O18-O28+O10</f>
        <v>#REF!</v>
      </c>
      <c r="R29" s="7">
        <f>+R18+R10-R28</f>
        <v>53022</v>
      </c>
      <c r="S29" s="7" t="e">
        <f>+S18+S10-S28</f>
        <v>#REF!</v>
      </c>
      <c r="U29" s="189">
        <f>+U18+U10-U28</f>
        <v>64042</v>
      </c>
    </row>
    <row r="30" spans="5:21" s="5" customFormat="1" ht="17.25" thickTop="1">
      <c r="E30" s="97"/>
      <c r="F30" s="97"/>
      <c r="G30" s="97"/>
      <c r="H30" s="97"/>
      <c r="I30" s="97"/>
      <c r="J30" s="43"/>
      <c r="K30" s="159"/>
      <c r="L30" s="149"/>
      <c r="M30" s="90"/>
      <c r="N30" s="90"/>
      <c r="O30" s="106"/>
      <c r="U30" s="39"/>
    </row>
    <row r="31" spans="5:21" s="5" customFormat="1" ht="16.5">
      <c r="E31" s="97"/>
      <c r="F31" s="97"/>
      <c r="G31" s="97"/>
      <c r="H31" s="97"/>
      <c r="I31" s="97"/>
      <c r="J31" s="43"/>
      <c r="K31" s="159"/>
      <c r="L31" s="149"/>
      <c r="M31" s="90"/>
      <c r="N31" s="90"/>
      <c r="O31" s="106"/>
      <c r="U31" s="39"/>
    </row>
    <row r="32" spans="1:21" s="5" customFormat="1" ht="16.5">
      <c r="A32" s="5" t="s">
        <v>11</v>
      </c>
      <c r="B32" s="5" t="s">
        <v>128</v>
      </c>
      <c r="D32" s="5" t="s">
        <v>128</v>
      </c>
      <c r="E32" s="97">
        <v>39999000</v>
      </c>
      <c r="F32" s="97">
        <v>1200000</v>
      </c>
      <c r="G32" s="97">
        <v>500000</v>
      </c>
      <c r="H32" s="97">
        <v>100002</v>
      </c>
      <c r="I32" s="97">
        <v>2</v>
      </c>
      <c r="J32" s="43"/>
      <c r="K32" s="159">
        <v>39999000</v>
      </c>
      <c r="L32" s="149">
        <f>SUM(E32:I32)</f>
        <v>41799004</v>
      </c>
      <c r="M32" s="91" t="e">
        <f>#REF!+#REF!+#REF!+#REF!+#REF!</f>
        <v>#REF!</v>
      </c>
      <c r="N32" s="90"/>
      <c r="O32" s="106" t="e">
        <f>L32-M32-N32</f>
        <v>#REF!</v>
      </c>
      <c r="R32" s="25">
        <f>ROUND((+E32/1000),0)</f>
        <v>39999</v>
      </c>
      <c r="S32" s="5" t="e">
        <f>ROUND((O32/1000),0)</f>
        <v>#REF!</v>
      </c>
      <c r="U32" s="39">
        <f>ROUND((K32/1000),0)</f>
        <v>39999</v>
      </c>
    </row>
    <row r="33" spans="1:21" s="5" customFormat="1" ht="16.5">
      <c r="A33" s="5" t="s">
        <v>323</v>
      </c>
      <c r="D33" s="5" t="s">
        <v>129</v>
      </c>
      <c r="E33" s="97">
        <f>+'P &amp; L'!D26+5547984.36</f>
        <v>13022428.16</v>
      </c>
      <c r="F33" s="97">
        <f>+'P &amp; L'!E26</f>
        <v>25374760.62</v>
      </c>
      <c r="G33" s="97">
        <f>+'P &amp; L'!F26</f>
        <v>171032.65</v>
      </c>
      <c r="H33" s="97">
        <f>+'P &amp; L'!H26</f>
        <v>118562.48000000001</v>
      </c>
      <c r="I33" s="97">
        <f>+'P &amp; L'!I26</f>
        <v>-337446</v>
      </c>
      <c r="J33" s="43"/>
      <c r="K33" s="159">
        <f>17102069.86+5547984.36</f>
        <v>22650054.22</v>
      </c>
      <c r="L33" s="149">
        <f>SUM(E33:I33)</f>
        <v>38349337.91</v>
      </c>
      <c r="M33" s="90" t="e">
        <f>#REF!+#REF!+#REF!+#REF!</f>
        <v>#REF!</v>
      </c>
      <c r="N33" s="90"/>
      <c r="O33" s="106" t="e">
        <f>L33-M33-N33</f>
        <v>#REF!</v>
      </c>
      <c r="P33" s="40" t="e">
        <f>+O33-'P &amp; L'!Q26-5547984.36</f>
        <v>#REF!</v>
      </c>
      <c r="R33" s="25">
        <f>ROUND((+E33/1000),0)</f>
        <v>13022</v>
      </c>
      <c r="S33" s="5" t="e">
        <f>ROUND((O33/1000),0)</f>
        <v>#REF!</v>
      </c>
      <c r="T33" s="14"/>
      <c r="U33" s="39">
        <f>ROUND((K33/1000),0)</f>
        <v>22650</v>
      </c>
    </row>
    <row r="34" spans="1:21" s="5" customFormat="1" ht="17.25" thickBot="1">
      <c r="A34" s="5" t="s">
        <v>322</v>
      </c>
      <c r="E34" s="98">
        <f>SUM(E32:E33)</f>
        <v>53021428.16</v>
      </c>
      <c r="F34" s="98">
        <f>SUM(F32:F33)</f>
        <v>26574760.62</v>
      </c>
      <c r="G34" s="98">
        <f>SUM(G32:G33)</f>
        <v>671032.65</v>
      </c>
      <c r="H34" s="98">
        <f>SUM(H32:H33)</f>
        <v>218564.48</v>
      </c>
      <c r="I34" s="98">
        <f>SUM(I32:I33)</f>
        <v>-337444</v>
      </c>
      <c r="J34" s="46"/>
      <c r="K34" s="161">
        <f>SUM(K32:K33)</f>
        <v>62649054.22</v>
      </c>
      <c r="L34" s="150">
        <f>SUM(L32:L33)</f>
        <v>80148341.91</v>
      </c>
      <c r="M34" s="90"/>
      <c r="N34" s="90"/>
      <c r="O34" s="107" t="e">
        <f>SUM(O32:O33)</f>
        <v>#REF!</v>
      </c>
      <c r="R34" s="10">
        <f>SUM(R32:R33)</f>
        <v>53021</v>
      </c>
      <c r="S34" s="10" t="e">
        <f>SUM(S32:S33)</f>
        <v>#REF!</v>
      </c>
      <c r="U34" s="187">
        <f>SUM(U32:U33)</f>
        <v>62649</v>
      </c>
    </row>
    <row r="35" spans="5:21" s="5" customFormat="1" ht="17.25" thickTop="1">
      <c r="E35" s="97"/>
      <c r="F35" s="97"/>
      <c r="G35" s="97"/>
      <c r="H35" s="97"/>
      <c r="I35" s="97"/>
      <c r="J35" s="46"/>
      <c r="K35" s="159"/>
      <c r="L35" s="149"/>
      <c r="M35" s="90"/>
      <c r="N35" s="90"/>
      <c r="O35" s="106"/>
      <c r="R35" s="43"/>
      <c r="U35" s="39"/>
    </row>
    <row r="36" spans="1:21" s="5" customFormat="1" ht="16.5">
      <c r="A36" s="5" t="s">
        <v>324</v>
      </c>
      <c r="E36" s="97">
        <v>0</v>
      </c>
      <c r="F36" s="97">
        <f>-F115</f>
        <v>2053788.72</v>
      </c>
      <c r="G36" s="97">
        <v>0</v>
      </c>
      <c r="H36" s="97">
        <v>0</v>
      </c>
      <c r="I36" s="97">
        <v>0</v>
      </c>
      <c r="J36" s="43"/>
      <c r="K36" s="159">
        <f>-K115</f>
        <v>1232275.76</v>
      </c>
      <c r="L36" s="149">
        <f>SUM(E36:I36)</f>
        <v>2053788.72</v>
      </c>
      <c r="M36" s="90"/>
      <c r="N36" s="90"/>
      <c r="O36" s="106">
        <f>SUM(L36:N36)</f>
        <v>2053788.72</v>
      </c>
      <c r="R36" s="43">
        <f>ROUND((+E36/1000),0)</f>
        <v>0</v>
      </c>
      <c r="S36" s="85">
        <f>ROUND((O36/1000),0)</f>
        <v>2054</v>
      </c>
      <c r="U36" s="39">
        <f>ROUND((K36/1000),0)</f>
        <v>1232</v>
      </c>
    </row>
    <row r="37" spans="1:21" s="5" customFormat="1" ht="16.5">
      <c r="A37" s="5" t="s">
        <v>325</v>
      </c>
      <c r="E37" s="97">
        <v>0</v>
      </c>
      <c r="F37" s="97">
        <v>161053</v>
      </c>
      <c r="G37" s="97">
        <f>-1000+1000</f>
        <v>0</v>
      </c>
      <c r="H37" s="97">
        <v>0</v>
      </c>
      <c r="I37" s="97">
        <v>0</v>
      </c>
      <c r="J37" s="43"/>
      <c r="K37" s="159">
        <v>161053</v>
      </c>
      <c r="L37" s="149">
        <f>SUM(E37:I37)</f>
        <v>161053</v>
      </c>
      <c r="M37" s="90"/>
      <c r="N37" s="90"/>
      <c r="O37" s="106">
        <f>SUM(L37:N37)</f>
        <v>161053</v>
      </c>
      <c r="R37" s="43">
        <f>ROUND((+E37/1000),0)</f>
        <v>0</v>
      </c>
      <c r="S37" s="85">
        <f>ROUND((O37/1000),0)</f>
        <v>161</v>
      </c>
      <c r="T37" s="14"/>
      <c r="U37" s="39">
        <f>ROUND((K37/1000),0)</f>
        <v>161</v>
      </c>
    </row>
    <row r="38" spans="1:21" s="5" customFormat="1" ht="16.5">
      <c r="A38" s="5" t="s">
        <v>326</v>
      </c>
      <c r="E38" s="98">
        <f>SUM(E36:E37)</f>
        <v>0</v>
      </c>
      <c r="F38" s="98">
        <f>SUM(F36:F37)</f>
        <v>2214841.7199999997</v>
      </c>
      <c r="G38" s="98">
        <f>SUM(G36:G37)</f>
        <v>0</v>
      </c>
      <c r="H38" s="98">
        <f>SUM(H36:H37)</f>
        <v>0</v>
      </c>
      <c r="I38" s="98">
        <f>SUM(I36:I37)</f>
        <v>0</v>
      </c>
      <c r="J38" s="46"/>
      <c r="K38" s="160">
        <f>SUM(K36:K37)</f>
        <v>1393328.76</v>
      </c>
      <c r="L38" s="150">
        <f>SUM(L36:L37)</f>
        <v>2214841.7199999997</v>
      </c>
      <c r="M38" s="90"/>
      <c r="N38" s="90"/>
      <c r="O38" s="127">
        <f>SUM(O36:O37)</f>
        <v>2214841.7199999997</v>
      </c>
      <c r="R38" s="10">
        <f>SUM(R36:R37)</f>
        <v>0</v>
      </c>
      <c r="S38" s="10">
        <f>SUM(S36:S37)</f>
        <v>2215</v>
      </c>
      <c r="U38" s="187">
        <f>SUM(U36:U37)</f>
        <v>1393</v>
      </c>
    </row>
    <row r="39" spans="5:21" s="5" customFormat="1" ht="17.25" thickBot="1">
      <c r="E39" s="101">
        <f>+E34+E38</f>
        <v>53021428.16</v>
      </c>
      <c r="F39" s="101">
        <f aca="true" t="shared" si="10" ref="F39:L39">+F34+F38</f>
        <v>28789602.34</v>
      </c>
      <c r="G39" s="101">
        <f t="shared" si="10"/>
        <v>671032.65</v>
      </c>
      <c r="H39" s="101">
        <f t="shared" si="10"/>
        <v>218564.48</v>
      </c>
      <c r="I39" s="101">
        <f t="shared" si="10"/>
        <v>-337444</v>
      </c>
      <c r="J39" s="46"/>
      <c r="K39" s="160">
        <f t="shared" si="10"/>
        <v>64042382.98</v>
      </c>
      <c r="L39" s="154">
        <f t="shared" si="10"/>
        <v>82363183.63</v>
      </c>
      <c r="M39" s="103" t="e">
        <f>SUM(M4:M38)</f>
        <v>#REF!</v>
      </c>
      <c r="N39" s="103" t="e">
        <f>SUM(N4:N38)</f>
        <v>#REF!</v>
      </c>
      <c r="O39" s="128" t="e">
        <f>+O34+O38</f>
        <v>#REF!</v>
      </c>
      <c r="R39" s="47">
        <f>+R34+R38</f>
        <v>53021</v>
      </c>
      <c r="S39" s="47" t="e">
        <f>+S34+S38</f>
        <v>#REF!</v>
      </c>
      <c r="U39" s="190">
        <f>+U34+U38</f>
        <v>64042</v>
      </c>
    </row>
    <row r="40" spans="6:21" s="5" customFormat="1" ht="17.25" thickTop="1">
      <c r="F40" s="12"/>
      <c r="G40" s="12"/>
      <c r="H40" s="12"/>
      <c r="I40" s="12"/>
      <c r="J40" s="12"/>
      <c r="K40" s="162"/>
      <c r="L40" s="12"/>
      <c r="M40" s="26"/>
      <c r="N40" s="11"/>
      <c r="O40" s="46"/>
      <c r="U40" s="39"/>
    </row>
    <row r="41" spans="1:21" s="12" customFormat="1" ht="16.5">
      <c r="A41" s="12" t="s">
        <v>22</v>
      </c>
      <c r="E41" s="12">
        <f>E39</f>
        <v>53021428.16</v>
      </c>
      <c r="F41" s="12">
        <f>F39</f>
        <v>28789602.34</v>
      </c>
      <c r="G41" s="12">
        <f aca="true" t="shared" si="11" ref="G41:R41">G39</f>
        <v>671032.65</v>
      </c>
      <c r="H41" s="12">
        <f t="shared" si="11"/>
        <v>218564.48</v>
      </c>
      <c r="I41" s="86">
        <f t="shared" si="11"/>
        <v>-337444</v>
      </c>
      <c r="J41" s="12">
        <f t="shared" si="11"/>
        <v>0</v>
      </c>
      <c r="K41" s="162"/>
      <c r="L41" s="12">
        <f t="shared" si="11"/>
        <v>82363183.63</v>
      </c>
      <c r="M41" s="26"/>
      <c r="N41" s="26"/>
      <c r="O41" s="46" t="e">
        <f>+O34</f>
        <v>#REF!</v>
      </c>
      <c r="R41" s="12">
        <f t="shared" si="11"/>
        <v>53021</v>
      </c>
      <c r="S41" s="5" t="e">
        <f>ROUND((O41/1000),0)</f>
        <v>#REF!</v>
      </c>
      <c r="U41" s="39">
        <f>ROUND((R41/1000),0)</f>
        <v>53</v>
      </c>
    </row>
    <row r="42" spans="1:21" s="12" customFormat="1" ht="16.5">
      <c r="A42" s="12" t="s">
        <v>23</v>
      </c>
      <c r="E42" s="12">
        <f>+E10+E18</f>
        <v>53481113.83</v>
      </c>
      <c r="F42" s="12">
        <f>+F10+F18</f>
        <v>69963961.69000006</v>
      </c>
      <c r="G42" s="12">
        <f>+G10+G18</f>
        <v>719227.61</v>
      </c>
      <c r="H42" s="12">
        <f>+H10+H18</f>
        <v>317835.15</v>
      </c>
      <c r="I42" s="12">
        <f>+I10+I18</f>
        <v>41624.479999999996</v>
      </c>
      <c r="J42" s="12">
        <f>J18+SUM(J7:J30)</f>
        <v>0</v>
      </c>
      <c r="K42" s="163"/>
      <c r="L42" s="12">
        <f>+L10+L18</f>
        <v>124523762.76000006</v>
      </c>
      <c r="M42" s="31" t="s">
        <v>58</v>
      </c>
      <c r="N42" s="32" t="s">
        <v>58</v>
      </c>
      <c r="O42" s="12" t="e">
        <f>+O10+O18</f>
        <v>#REF!</v>
      </c>
      <c r="R42" s="12">
        <f>SUM(R7:R30,R18)</f>
        <v>198060</v>
      </c>
      <c r="S42" s="5" t="e">
        <f>ROUND((O42/1000),0)</f>
        <v>#REF!</v>
      </c>
      <c r="U42" s="39">
        <f>ROUND((R42/1000),0)</f>
        <v>198</v>
      </c>
    </row>
    <row r="43" spans="1:21" s="114" customFormat="1" ht="13.5">
      <c r="A43" s="114" t="s">
        <v>17</v>
      </c>
      <c r="E43" s="114">
        <f>+E29-E39</f>
        <v>0</v>
      </c>
      <c r="F43" s="114">
        <f>+F29-F39</f>
        <v>5.587935447692871E-08</v>
      </c>
      <c r="G43" s="114">
        <f>+G29-G39</f>
        <v>0</v>
      </c>
      <c r="H43" s="114">
        <f>+H29-H39</f>
        <v>0</v>
      </c>
      <c r="I43" s="114">
        <f>+I29-I39</f>
        <v>0</v>
      </c>
      <c r="J43" s="115"/>
      <c r="K43" s="171">
        <f>+K29-K39</f>
        <v>-0.32999999821186066</v>
      </c>
      <c r="L43" s="114">
        <f>+L29-L39</f>
        <v>0</v>
      </c>
      <c r="M43" s="116"/>
      <c r="N43" s="116"/>
      <c r="O43" s="114" t="e">
        <f>+O29-O39</f>
        <v>#REF!</v>
      </c>
      <c r="U43" s="191"/>
    </row>
    <row r="44" spans="11:21" s="5" customFormat="1" ht="16.5">
      <c r="K44" s="164"/>
      <c r="M44" s="11"/>
      <c r="N44" s="11"/>
      <c r="U44" s="39"/>
    </row>
    <row r="45" spans="1:21" s="5" customFormat="1" ht="16.5">
      <c r="A45" s="33"/>
      <c r="K45" s="164"/>
      <c r="M45" s="11"/>
      <c r="N45" s="11"/>
      <c r="U45" s="39"/>
    </row>
    <row r="46" spans="5:21" s="5" customFormat="1" ht="16.5">
      <c r="E46" s="11"/>
      <c r="F46" s="11"/>
      <c r="G46" s="11"/>
      <c r="H46" s="11"/>
      <c r="I46" s="11"/>
      <c r="K46" s="164"/>
      <c r="U46" s="39"/>
    </row>
    <row r="47" spans="11:21" s="5" customFormat="1" ht="16.5">
      <c r="K47" s="164"/>
      <c r="U47" s="39"/>
    </row>
    <row r="48" spans="11:21" s="5" customFormat="1" ht="16.5">
      <c r="K48" s="164"/>
      <c r="U48" s="39"/>
    </row>
    <row r="49" spans="2:3" ht="16.5">
      <c r="B49" s="64"/>
      <c r="C49" t="s">
        <v>173</v>
      </c>
    </row>
    <row r="50" spans="1:4" ht="16.5">
      <c r="A50" s="57" t="str">
        <f>+A16</f>
        <v>Cash and bank balances</v>
      </c>
      <c r="D50" s="24" t="s">
        <v>105</v>
      </c>
    </row>
    <row r="51" spans="3:4" ht="16.5">
      <c r="C51" t="s">
        <v>147</v>
      </c>
      <c r="D51" s="24" t="s">
        <v>247</v>
      </c>
    </row>
    <row r="52" spans="1:12" ht="16.5">
      <c r="A52" s="66" t="s">
        <v>191</v>
      </c>
      <c r="D52" s="24" t="s">
        <v>117</v>
      </c>
      <c r="E52" s="43">
        <v>1547.5</v>
      </c>
      <c r="F52" s="43"/>
      <c r="K52" s="165">
        <v>1547.5</v>
      </c>
      <c r="L52" s="43">
        <f aca="true" t="shared" si="12" ref="L52:L65">SUM(E52:I52)</f>
        <v>1547.5</v>
      </c>
    </row>
    <row r="53" spans="1:12" ht="16.5">
      <c r="A53" t="s">
        <v>82</v>
      </c>
      <c r="D53" t="s">
        <v>104</v>
      </c>
      <c r="E53" s="43"/>
      <c r="F53" s="43">
        <v>63.6</v>
      </c>
      <c r="K53" s="165">
        <v>63.6</v>
      </c>
      <c r="L53" s="43">
        <f t="shared" si="12"/>
        <v>63.6</v>
      </c>
    </row>
    <row r="54" spans="1:12" ht="16.5">
      <c r="A54" t="s">
        <v>83</v>
      </c>
      <c r="D54" t="s">
        <v>106</v>
      </c>
      <c r="E54" s="43">
        <v>1361.27</v>
      </c>
      <c r="F54" s="43">
        <v>0</v>
      </c>
      <c r="G54" s="43">
        <v>959</v>
      </c>
      <c r="H54" s="43">
        <v>7259.1</v>
      </c>
      <c r="I54" s="43">
        <v>672.52</v>
      </c>
      <c r="K54" s="165">
        <v>14452.88</v>
      </c>
      <c r="L54" s="43">
        <f t="shared" si="12"/>
        <v>10251.890000000001</v>
      </c>
    </row>
    <row r="55" spans="1:12" ht="16.5">
      <c r="A55" t="s">
        <v>84</v>
      </c>
      <c r="D55" t="s">
        <v>107</v>
      </c>
      <c r="E55" s="43">
        <v>3</v>
      </c>
      <c r="F55" s="43">
        <f>-1987.32+20698.23-4924.62+2757.5-2115.88+240.14+300.41</f>
        <v>14968.46</v>
      </c>
      <c r="G55" s="43"/>
      <c r="H55" s="43">
        <v>-45.27</v>
      </c>
      <c r="I55" s="43">
        <v>2</v>
      </c>
      <c r="K55" s="165">
        <v>37337.23</v>
      </c>
      <c r="L55" s="43">
        <f t="shared" si="12"/>
        <v>14928.189999999999</v>
      </c>
    </row>
    <row r="56" spans="1:12" ht="16.5">
      <c r="A56" t="s">
        <v>85</v>
      </c>
      <c r="D56" t="s">
        <v>108</v>
      </c>
      <c r="E56" s="43"/>
      <c r="F56" s="43">
        <v>3608305.07</v>
      </c>
      <c r="K56" s="165">
        <v>3439207.21</v>
      </c>
      <c r="L56" s="43">
        <f t="shared" si="12"/>
        <v>3608305.07</v>
      </c>
    </row>
    <row r="57" spans="1:12" ht="16.5">
      <c r="A57" t="s">
        <v>278</v>
      </c>
      <c r="E57" s="43"/>
      <c r="F57" s="43"/>
      <c r="K57" s="165">
        <v>133668.06</v>
      </c>
      <c r="L57" s="43">
        <f t="shared" si="12"/>
        <v>0</v>
      </c>
    </row>
    <row r="58" spans="1:12" ht="16.5">
      <c r="A58" t="s">
        <v>97</v>
      </c>
      <c r="E58" s="43">
        <v>4468.38</v>
      </c>
      <c r="K58" s="165">
        <v>3820.66</v>
      </c>
      <c r="L58" s="43">
        <f t="shared" si="12"/>
        <v>4468.38</v>
      </c>
    </row>
    <row r="59" spans="1:12" ht="16.5">
      <c r="A59" t="s">
        <v>98</v>
      </c>
      <c r="E59" s="43">
        <v>60.8</v>
      </c>
      <c r="K59" s="165">
        <v>60.8</v>
      </c>
      <c r="L59" s="43">
        <f t="shared" si="12"/>
        <v>60.8</v>
      </c>
    </row>
    <row r="60" spans="1:12" ht="16.5">
      <c r="A60" t="s">
        <v>144</v>
      </c>
      <c r="E60" s="43">
        <v>90.1</v>
      </c>
      <c r="K60" s="165">
        <v>90.1</v>
      </c>
      <c r="L60" s="43">
        <f t="shared" si="12"/>
        <v>90.1</v>
      </c>
    </row>
    <row r="61" spans="1:12" ht="16.5">
      <c r="A61" t="s">
        <v>99</v>
      </c>
      <c r="D61" t="s">
        <v>109</v>
      </c>
      <c r="E61" s="43"/>
      <c r="F61">
        <f>39.26-10</f>
        <v>29.259999999999998</v>
      </c>
      <c r="K61" s="165">
        <v>29.26</v>
      </c>
      <c r="L61" s="43">
        <f t="shared" si="12"/>
        <v>29.259999999999998</v>
      </c>
    </row>
    <row r="62" spans="1:12" ht="16.5">
      <c r="A62" t="s">
        <v>160</v>
      </c>
      <c r="D62" t="s">
        <v>164</v>
      </c>
      <c r="E62" s="43"/>
      <c r="F62" s="43"/>
      <c r="K62" s="165"/>
      <c r="L62" s="43">
        <f t="shared" si="12"/>
        <v>0</v>
      </c>
    </row>
    <row r="63" spans="1:12" ht="16.5">
      <c r="A63" t="s">
        <v>102</v>
      </c>
      <c r="D63" t="s">
        <v>110</v>
      </c>
      <c r="E63" s="43"/>
      <c r="F63" s="43">
        <v>0</v>
      </c>
      <c r="K63" s="165"/>
      <c r="L63" s="43">
        <f t="shared" si="12"/>
        <v>0</v>
      </c>
    </row>
    <row r="64" spans="1:12" ht="16.5">
      <c r="A64" t="s">
        <v>281</v>
      </c>
      <c r="B64" t="s">
        <v>265</v>
      </c>
      <c r="E64" s="43"/>
      <c r="F64" s="43">
        <v>-20698.23</v>
      </c>
      <c r="K64" s="165">
        <v>-20698</v>
      </c>
      <c r="L64" s="43">
        <f t="shared" si="12"/>
        <v>-20698.23</v>
      </c>
    </row>
    <row r="65" spans="1:13" ht="16.5">
      <c r="A65" t="s">
        <v>282</v>
      </c>
      <c r="B65" t="s">
        <v>269</v>
      </c>
      <c r="E65" s="43"/>
      <c r="F65" s="111"/>
      <c r="K65" s="165">
        <v>4359</v>
      </c>
      <c r="L65" s="43">
        <f t="shared" si="12"/>
        <v>0</v>
      </c>
      <c r="M65" s="54"/>
    </row>
    <row r="66" spans="5:13" ht="17.25" thickBot="1">
      <c r="E66" s="45">
        <f>SUM(E52:E65)</f>
        <v>7531.05</v>
      </c>
      <c r="F66" s="45">
        <f>SUM(F52:F65)</f>
        <v>3602668.1599999997</v>
      </c>
      <c r="G66" s="45">
        <f>SUM(G53:G65)</f>
        <v>959</v>
      </c>
      <c r="H66" s="45">
        <f>SUM(H53:H65)</f>
        <v>7213.83</v>
      </c>
      <c r="I66" s="45">
        <f>SUM(I53:I65)</f>
        <v>674.52</v>
      </c>
      <c r="K66" s="166">
        <f>SUM(K52:K65)</f>
        <v>3613938.3</v>
      </c>
      <c r="L66" s="45">
        <f>SUM(L52:L65)</f>
        <v>3619046.5599999996</v>
      </c>
      <c r="M66" s="146">
        <f>+L66</f>
        <v>3619046.5599999996</v>
      </c>
    </row>
    <row r="67" spans="5:12" ht="17.25" thickTop="1">
      <c r="E67" s="54">
        <f>+E66-E16</f>
        <v>0</v>
      </c>
      <c r="F67" s="54">
        <f>+F66-F16</f>
        <v>0</v>
      </c>
      <c r="G67" s="54">
        <f>+G66-G16</f>
        <v>0</v>
      </c>
      <c r="H67" s="54">
        <f>+H66-H16</f>
        <v>0</v>
      </c>
      <c r="I67" s="54">
        <f>+I66-I16</f>
        <v>0</v>
      </c>
      <c r="J67" s="54"/>
      <c r="K67" s="167"/>
      <c r="L67" s="54">
        <f>+L66-L16</f>
        <v>0</v>
      </c>
    </row>
    <row r="68" spans="1:3" ht="16.5">
      <c r="A68" s="56" t="s">
        <v>86</v>
      </c>
      <c r="C68" t="s">
        <v>148</v>
      </c>
    </row>
    <row r="69" spans="1:12" ht="16.5">
      <c r="A69" t="s">
        <v>87</v>
      </c>
      <c r="D69" t="s">
        <v>234</v>
      </c>
      <c r="E69" s="43"/>
      <c r="F69" s="43">
        <f>-1594.75+20700+2100+984232.13+1023539.4+588818.66+700000+290000+611.79-90+185133+2800+1215714.32-588818.66</f>
        <v>4423145.89</v>
      </c>
      <c r="G69" s="43"/>
      <c r="H69" s="43">
        <v>0</v>
      </c>
      <c r="K69" s="155">
        <v>3203450.25</v>
      </c>
      <c r="L69" s="43">
        <f aca="true" t="shared" si="13" ref="L69:L76">SUM(E69:I69)</f>
        <v>4423145.89</v>
      </c>
    </row>
    <row r="70" spans="1:12" ht="16.5">
      <c r="A70" t="s">
        <v>115</v>
      </c>
      <c r="D70" t="s">
        <v>116</v>
      </c>
      <c r="E70" s="43">
        <v>2579458.12</v>
      </c>
      <c r="F70" s="60">
        <f>17236.8+16363.2</f>
        <v>33600</v>
      </c>
      <c r="H70" s="43"/>
      <c r="K70" s="155">
        <v>3464016.54</v>
      </c>
      <c r="L70" s="43">
        <f t="shared" si="13"/>
        <v>2613058.12</v>
      </c>
    </row>
    <row r="71" spans="1:12" ht="16.5">
      <c r="A71" t="s">
        <v>88</v>
      </c>
      <c r="D71" t="s">
        <v>111</v>
      </c>
      <c r="E71" s="43">
        <v>12798980.2</v>
      </c>
      <c r="F71" s="43">
        <v>2652052.88</v>
      </c>
      <c r="H71" s="43">
        <v>300</v>
      </c>
      <c r="K71" s="155">
        <v>15492290.4</v>
      </c>
      <c r="L71" s="43">
        <f t="shared" si="13"/>
        <v>15451333.079999998</v>
      </c>
    </row>
    <row r="72" spans="1:12" ht="16.5">
      <c r="A72" t="s">
        <v>89</v>
      </c>
      <c r="D72" t="s">
        <v>112</v>
      </c>
      <c r="F72" s="43">
        <v>2200</v>
      </c>
      <c r="K72" s="155">
        <v>6000</v>
      </c>
      <c r="L72" s="43">
        <f t="shared" si="13"/>
        <v>2200</v>
      </c>
    </row>
    <row r="73" spans="1:12" ht="15" hidden="1">
      <c r="A73" t="s">
        <v>138</v>
      </c>
      <c r="L73" s="43">
        <f t="shared" si="13"/>
        <v>0</v>
      </c>
    </row>
    <row r="74" spans="1:12" ht="16.5">
      <c r="A74" t="s">
        <v>90</v>
      </c>
      <c r="D74" t="s">
        <v>169</v>
      </c>
      <c r="F74" s="43">
        <v>11000</v>
      </c>
      <c r="H74" s="43"/>
      <c r="K74" s="155">
        <v>10816</v>
      </c>
      <c r="L74" s="43">
        <f t="shared" si="13"/>
        <v>11000</v>
      </c>
    </row>
    <row r="75" spans="1:12" ht="16.5">
      <c r="A75" t="s">
        <v>145</v>
      </c>
      <c r="D75" s="15" t="s">
        <v>235</v>
      </c>
      <c r="E75" s="43"/>
      <c r="F75" s="131">
        <v>588818.66</v>
      </c>
      <c r="G75" s="43">
        <v>3950</v>
      </c>
      <c r="H75" s="43">
        <v>26390.8</v>
      </c>
      <c r="K75" s="155">
        <v>957210.86</v>
      </c>
      <c r="L75" s="43">
        <f t="shared" si="13"/>
        <v>619159.4600000001</v>
      </c>
    </row>
    <row r="76" spans="1:12" ht="16.5">
      <c r="A76" t="s">
        <v>280</v>
      </c>
      <c r="B76" t="s">
        <v>265</v>
      </c>
      <c r="D76" s="15"/>
      <c r="E76" s="43"/>
      <c r="F76" s="60">
        <v>20698.23</v>
      </c>
      <c r="G76" s="43"/>
      <c r="H76" s="43"/>
      <c r="K76" s="155">
        <v>20698</v>
      </c>
      <c r="L76" s="43">
        <f t="shared" si="13"/>
        <v>20698.23</v>
      </c>
    </row>
    <row r="77" spans="5:14" ht="17.25" thickBot="1">
      <c r="E77" s="55">
        <f>SUM(E69:E76)</f>
        <v>15378438.32</v>
      </c>
      <c r="F77" s="55">
        <f>SUM(F69:F76)</f>
        <v>7731515.66</v>
      </c>
      <c r="G77" s="55">
        <f>SUM(G69:G76)</f>
        <v>3950</v>
      </c>
      <c r="H77" s="55">
        <f>SUM(H69:H76)</f>
        <v>26690.8</v>
      </c>
      <c r="I77" s="55">
        <f>SUM(I69:I76)</f>
        <v>0</v>
      </c>
      <c r="J77" s="55"/>
      <c r="K77" s="168">
        <f>SUM(K69:K76)</f>
        <v>23154482.05</v>
      </c>
      <c r="L77" s="55">
        <f>SUM(L69:L76)</f>
        <v>23140594.779999997</v>
      </c>
      <c r="M77" s="54"/>
      <c r="N77" s="54"/>
    </row>
    <row r="78" spans="5:12" ht="17.25" thickTop="1">
      <c r="E78" s="54">
        <f>+E77-E14</f>
        <v>0</v>
      </c>
      <c r="F78" s="54">
        <f>+F77-F14</f>
        <v>0</v>
      </c>
      <c r="G78" s="54">
        <f>+G77-G14</f>
        <v>0</v>
      </c>
      <c r="H78" s="54">
        <f>+H77-H14</f>
        <v>0</v>
      </c>
      <c r="I78" s="54">
        <f>+I77-I14</f>
        <v>0</v>
      </c>
      <c r="L78" s="54">
        <f>+L77-L14</f>
        <v>0</v>
      </c>
    </row>
    <row r="79" ht="16.5"/>
    <row r="80" spans="1:3" ht="16.5">
      <c r="A80" s="56" t="s">
        <v>91</v>
      </c>
      <c r="C80" t="s">
        <v>149</v>
      </c>
    </row>
    <row r="81" spans="1:12" ht="16.5">
      <c r="A81" t="s">
        <v>92</v>
      </c>
      <c r="D81" t="s">
        <v>113</v>
      </c>
      <c r="F81" s="43">
        <v>25235857.99</v>
      </c>
      <c r="G81" s="43">
        <f>15930.52-15930.52</f>
        <v>0</v>
      </c>
      <c r="H81" s="43">
        <v>43576.65</v>
      </c>
      <c r="I81">
        <v>0</v>
      </c>
      <c r="K81" s="165">
        <v>23708184.46</v>
      </c>
      <c r="L81" s="43">
        <f>SUM(E81:I81)</f>
        <v>25279434.639999997</v>
      </c>
    </row>
    <row r="82" spans="1:12" ht="16.5">
      <c r="A82" t="s">
        <v>93</v>
      </c>
      <c r="D82" t="s">
        <v>114</v>
      </c>
      <c r="I82">
        <v>0</v>
      </c>
      <c r="K82" s="165">
        <v>2696589.33</v>
      </c>
      <c r="L82" s="43">
        <f>SUM(E82:I82)</f>
        <v>0</v>
      </c>
    </row>
    <row r="83" spans="1:12" ht="16.5">
      <c r="A83" t="s">
        <v>227</v>
      </c>
      <c r="D83" t="s">
        <v>246</v>
      </c>
      <c r="F83" s="111"/>
      <c r="K83" s="165">
        <v>-2696589.33</v>
      </c>
      <c r="L83" s="43">
        <f>SUM(E83:I83)</f>
        <v>0</v>
      </c>
    </row>
    <row r="84" spans="1:12" ht="15">
      <c r="A84" t="s">
        <v>194</v>
      </c>
      <c r="D84" t="s">
        <v>166</v>
      </c>
      <c r="F84" s="112"/>
      <c r="K84" s="165"/>
      <c r="L84" s="43">
        <f>SUM(E84:I84)</f>
        <v>0</v>
      </c>
    </row>
    <row r="85" spans="1:12" ht="15">
      <c r="A85" t="s">
        <v>279</v>
      </c>
      <c r="B85" t="s">
        <v>261</v>
      </c>
      <c r="F85" s="111"/>
      <c r="K85" s="165">
        <v>-2200000</v>
      </c>
      <c r="L85" s="43">
        <f>SUM(E85:I85)</f>
        <v>0</v>
      </c>
    </row>
    <row r="86" spans="5:12" ht="15.75" thickBot="1">
      <c r="E86" s="45">
        <f>SUM(E81:E84)</f>
        <v>0</v>
      </c>
      <c r="F86" s="45">
        <f>SUM(F81:F85)</f>
        <v>25235857.99</v>
      </c>
      <c r="G86" s="45">
        <f>SUM(G81:G82)</f>
        <v>0</v>
      </c>
      <c r="H86" s="45">
        <f>SUM(H81:H82)</f>
        <v>43576.65</v>
      </c>
      <c r="I86" s="45">
        <f>SUM(I81:I82)</f>
        <v>0</v>
      </c>
      <c r="K86" s="166">
        <f>SUM(K81:K85)</f>
        <v>21508184.46</v>
      </c>
      <c r="L86" s="45">
        <f>SUM(L81:L85)</f>
        <v>25279434.639999997</v>
      </c>
    </row>
    <row r="87" spans="5:12" ht="15.75" thickTop="1">
      <c r="E87" s="54">
        <f>+E86-E13</f>
        <v>0</v>
      </c>
      <c r="F87" s="54">
        <f>+F86-F13</f>
        <v>0</v>
      </c>
      <c r="G87" s="54">
        <f>+G86-G13</f>
        <v>0</v>
      </c>
      <c r="H87" s="54">
        <f>+H86-H13</f>
        <v>0</v>
      </c>
      <c r="I87" s="54">
        <f>+I86-I13</f>
        <v>0</v>
      </c>
      <c r="L87" s="54">
        <f>+L86-L13</f>
        <v>0</v>
      </c>
    </row>
    <row r="88" spans="1:3" ht="15.75">
      <c r="A88" s="57" t="str">
        <f>+A20</f>
        <v>Short term borrowings</v>
      </c>
      <c r="C88" t="s">
        <v>150</v>
      </c>
    </row>
    <row r="89" spans="6:12" ht="15">
      <c r="F89" s="43"/>
      <c r="L89" s="43">
        <f>SUM(E89:I89)</f>
        <v>0</v>
      </c>
    </row>
    <row r="90" spans="1:12" ht="15">
      <c r="A90" t="s">
        <v>100</v>
      </c>
      <c r="D90" s="15" t="s">
        <v>117</v>
      </c>
      <c r="F90" s="43">
        <f>184203.66-170000</f>
        <v>14203.660000000003</v>
      </c>
      <c r="K90" s="165">
        <v>28943.66</v>
      </c>
      <c r="L90" s="43">
        <f>SUM(E90:I90)</f>
        <v>14203.660000000003</v>
      </c>
    </row>
    <row r="91" spans="1:12" ht="15">
      <c r="A91" t="s">
        <v>99</v>
      </c>
      <c r="D91" t="s">
        <v>109</v>
      </c>
      <c r="F91" s="60">
        <v>0</v>
      </c>
      <c r="H91" s="43"/>
      <c r="I91" s="43"/>
      <c r="K91" s="165">
        <v>0</v>
      </c>
      <c r="L91" s="43">
        <f aca="true" t="shared" si="14" ref="L91:L102">SUM(E91:I91)</f>
        <v>0</v>
      </c>
    </row>
    <row r="92" spans="1:12" ht="15">
      <c r="A92" t="s">
        <v>158</v>
      </c>
      <c r="D92" t="s">
        <v>106</v>
      </c>
      <c r="F92" s="43">
        <v>424172.33</v>
      </c>
      <c r="H92" s="43">
        <v>0</v>
      </c>
      <c r="I92" s="43"/>
      <c r="K92" s="165">
        <v>429248.58</v>
      </c>
      <c r="L92" s="43">
        <f t="shared" si="14"/>
        <v>424172.33</v>
      </c>
    </row>
    <row r="93" spans="1:12" ht="15">
      <c r="A93" t="s">
        <v>159</v>
      </c>
      <c r="D93" t="s">
        <v>118</v>
      </c>
      <c r="F93" s="43">
        <v>3838097.8</v>
      </c>
      <c r="H93" s="43"/>
      <c r="I93" s="43"/>
      <c r="K93" s="165">
        <v>947252.09</v>
      </c>
      <c r="L93" s="43">
        <f t="shared" si="14"/>
        <v>3838097.8</v>
      </c>
    </row>
    <row r="94" spans="1:12" ht="15">
      <c r="A94" t="s">
        <v>192</v>
      </c>
      <c r="D94" t="s">
        <v>119</v>
      </c>
      <c r="F94" s="60">
        <v>1548223.08</v>
      </c>
      <c r="H94" s="43"/>
      <c r="I94" s="43"/>
      <c r="K94" s="165">
        <v>1949004</v>
      </c>
      <c r="L94" s="43">
        <f t="shared" si="14"/>
        <v>1548223.08</v>
      </c>
    </row>
    <row r="95" spans="1:12" ht="15">
      <c r="A95" t="s">
        <v>101</v>
      </c>
      <c r="D95" t="s">
        <v>120</v>
      </c>
      <c r="E95" s="43">
        <v>0</v>
      </c>
      <c r="F95" s="43">
        <v>415245.36</v>
      </c>
      <c r="H95" s="43"/>
      <c r="I95" s="43"/>
      <c r="K95" s="165">
        <v>406122.86</v>
      </c>
      <c r="L95" s="43">
        <f t="shared" si="14"/>
        <v>415245.36</v>
      </c>
    </row>
    <row r="96" spans="1:12" ht="15">
      <c r="A96" t="s">
        <v>182</v>
      </c>
      <c r="D96" s="15" t="s">
        <v>164</v>
      </c>
      <c r="E96" s="43"/>
      <c r="F96" s="43">
        <v>3899061.94</v>
      </c>
      <c r="H96" s="43"/>
      <c r="I96" s="43"/>
      <c r="K96" s="165">
        <v>2998563.09</v>
      </c>
      <c r="L96" s="43">
        <f t="shared" si="14"/>
        <v>3899061.94</v>
      </c>
    </row>
    <row r="97" spans="1:12" ht="15">
      <c r="A97" t="s">
        <v>224</v>
      </c>
      <c r="D97" t="s">
        <v>229</v>
      </c>
      <c r="E97" s="43"/>
      <c r="F97" s="43">
        <v>438814.86</v>
      </c>
      <c r="H97" s="43"/>
      <c r="I97" s="43"/>
      <c r="K97" s="165">
        <v>482637.42</v>
      </c>
      <c r="L97" s="43">
        <f t="shared" si="14"/>
        <v>438814.86</v>
      </c>
    </row>
    <row r="98" spans="1:12" ht="15">
      <c r="A98" t="s">
        <v>197</v>
      </c>
      <c r="D98" t="s">
        <v>125</v>
      </c>
      <c r="E98" s="43"/>
      <c r="F98" s="43">
        <v>494604</v>
      </c>
      <c r="H98" s="43"/>
      <c r="I98" s="43"/>
      <c r="K98" s="165">
        <v>1034702.2</v>
      </c>
      <c r="L98" s="43">
        <f t="shared" si="14"/>
        <v>494604</v>
      </c>
    </row>
    <row r="99" spans="1:12" ht="15">
      <c r="A99" t="s">
        <v>250</v>
      </c>
      <c r="E99" s="43"/>
      <c r="F99" s="111">
        <v>-14725.8</v>
      </c>
      <c r="H99" s="43"/>
      <c r="I99" s="43"/>
      <c r="K99" s="165">
        <v>-14725.8</v>
      </c>
      <c r="L99" s="43">
        <f t="shared" si="14"/>
        <v>-14725.8</v>
      </c>
    </row>
    <row r="100" spans="1:12" ht="15">
      <c r="A100" t="s">
        <v>283</v>
      </c>
      <c r="B100" t="s">
        <v>269</v>
      </c>
      <c r="E100" s="43"/>
      <c r="F100" s="111"/>
      <c r="H100" s="43"/>
      <c r="I100" s="43"/>
      <c r="K100" s="165">
        <v>-28944</v>
      </c>
      <c r="L100" s="43">
        <f t="shared" si="14"/>
        <v>0</v>
      </c>
    </row>
    <row r="101" spans="1:12" ht="15">
      <c r="A101" t="s">
        <v>285</v>
      </c>
      <c r="B101" t="s">
        <v>273</v>
      </c>
      <c r="E101" s="43"/>
      <c r="F101" s="111"/>
      <c r="H101" s="43"/>
      <c r="I101" s="43"/>
      <c r="K101" s="165">
        <v>-111360</v>
      </c>
      <c r="L101" s="43">
        <f t="shared" si="14"/>
        <v>0</v>
      </c>
    </row>
    <row r="102" spans="1:12" ht="15">
      <c r="A102" t="s">
        <v>45</v>
      </c>
      <c r="B102" t="s">
        <v>276</v>
      </c>
      <c r="E102" s="43"/>
      <c r="F102" s="43">
        <f>+F116</f>
        <v>617688.7900000003</v>
      </c>
      <c r="H102" s="43"/>
      <c r="I102" s="43"/>
      <c r="K102" s="165">
        <v>411824.11</v>
      </c>
      <c r="L102" s="43">
        <f t="shared" si="14"/>
        <v>617688.7900000003</v>
      </c>
    </row>
    <row r="103" spans="5:14" ht="15.75" thickBot="1">
      <c r="E103" s="55">
        <f>SUM(E89:E99)</f>
        <v>0</v>
      </c>
      <c r="F103" s="55">
        <f>SUM(F89:F102)</f>
        <v>11675386.02</v>
      </c>
      <c r="G103" s="55">
        <f>SUM(G89:G99)</f>
        <v>0</v>
      </c>
      <c r="H103" s="55">
        <f>SUM(H89:H99)</f>
        <v>0</v>
      </c>
      <c r="I103" s="55">
        <f>SUM(I89:I99)</f>
        <v>0</v>
      </c>
      <c r="K103" s="166">
        <f>SUM(K90:K102)</f>
        <v>8533268.209999999</v>
      </c>
      <c r="L103" s="55">
        <f>SUM(L89:L102)</f>
        <v>11675386.02</v>
      </c>
      <c r="M103" s="146">
        <f>+L103-L102-L98</f>
        <v>10563093.229999999</v>
      </c>
      <c r="N103" s="54"/>
    </row>
    <row r="104" spans="5:14" ht="15.75" thickTop="1">
      <c r="E104" s="54">
        <f>+E103-E20</f>
        <v>0</v>
      </c>
      <c r="F104" s="54">
        <f>+F103-F20</f>
        <v>0</v>
      </c>
      <c r="G104" s="54">
        <f>+G103-G20</f>
        <v>0</v>
      </c>
      <c r="H104" s="54">
        <f>+H103-H20</f>
        <v>0</v>
      </c>
      <c r="I104" s="54">
        <f>+I103-I20</f>
        <v>0</v>
      </c>
      <c r="L104" s="54">
        <f>+L103-L20</f>
        <v>0</v>
      </c>
      <c r="N104" s="54"/>
    </row>
    <row r="105" ht="15.75">
      <c r="A105" s="56" t="s">
        <v>40</v>
      </c>
    </row>
    <row r="106" spans="1:12" ht="15">
      <c r="A106" t="s">
        <v>244</v>
      </c>
      <c r="C106" t="s">
        <v>151</v>
      </c>
      <c r="D106" t="s">
        <v>121</v>
      </c>
      <c r="E106" s="43">
        <v>0</v>
      </c>
      <c r="F106" s="43">
        <v>6756759.43</v>
      </c>
      <c r="G106" s="43">
        <v>0</v>
      </c>
      <c r="H106" s="43">
        <v>38942.78</v>
      </c>
      <c r="I106" s="60">
        <v>0</v>
      </c>
      <c r="K106" s="165">
        <v>5457338.91</v>
      </c>
      <c r="L106" s="43">
        <f>SUM(E106:I106)</f>
        <v>6795702.21</v>
      </c>
    </row>
    <row r="107" spans="1:12" ht="15" hidden="1">
      <c r="A107" t="s">
        <v>94</v>
      </c>
      <c r="E107" s="43">
        <v>0</v>
      </c>
      <c r="F107" s="43">
        <v>0</v>
      </c>
      <c r="G107" s="43">
        <v>0</v>
      </c>
      <c r="K107" s="165"/>
      <c r="L107" s="43">
        <f>SUM(E107:I107)</f>
        <v>0</v>
      </c>
    </row>
    <row r="108" spans="1:12" ht="15" hidden="1">
      <c r="A108" t="s">
        <v>153</v>
      </c>
      <c r="C108" t="s">
        <v>140</v>
      </c>
      <c r="D108" t="s">
        <v>163</v>
      </c>
      <c r="E108" s="43">
        <v>0</v>
      </c>
      <c r="F108" s="60">
        <v>0</v>
      </c>
      <c r="G108" s="43">
        <v>0</v>
      </c>
      <c r="K108" s="165"/>
      <c r="L108" s="43">
        <f>SUM(E108:I108)</f>
        <v>0</v>
      </c>
    </row>
    <row r="109" spans="1:12" ht="15">
      <c r="A109" t="s">
        <v>183</v>
      </c>
      <c r="B109" t="s">
        <v>170</v>
      </c>
      <c r="C109" t="s">
        <v>54</v>
      </c>
      <c r="D109" t="s">
        <v>139</v>
      </c>
      <c r="E109" s="43">
        <v>0</v>
      </c>
      <c r="F109" s="113"/>
      <c r="G109" s="43">
        <v>0</v>
      </c>
      <c r="K109" s="165">
        <v>-10272.9</v>
      </c>
      <c r="L109" s="43">
        <f>SUM(E109:I109)</f>
        <v>0</v>
      </c>
    </row>
    <row r="110" spans="5:12" ht="15.75" thickBot="1">
      <c r="E110" s="45">
        <f>SUM(E106:E109)</f>
        <v>0</v>
      </c>
      <c r="F110" s="45">
        <f>SUM(F106:F109)</f>
        <v>6756759.43</v>
      </c>
      <c r="G110" s="45">
        <f>SUM(G106:G109)</f>
        <v>0</v>
      </c>
      <c r="H110" s="45">
        <f>SUM(H106:H109)</f>
        <v>38942.78</v>
      </c>
      <c r="I110" s="45">
        <f>SUM(I106:I109)</f>
        <v>0</v>
      </c>
      <c r="J110" s="45"/>
      <c r="K110" s="168">
        <f>SUM(K106:K109)</f>
        <v>5447066.01</v>
      </c>
      <c r="L110" s="45">
        <f>SUM(L106:L109)</f>
        <v>6795702.21</v>
      </c>
    </row>
    <row r="111" spans="5:12" ht="15.75" thickTop="1">
      <c r="E111" s="54">
        <f>+E110-E21</f>
        <v>0</v>
      </c>
      <c r="F111" s="54">
        <f>+F110-F21</f>
        <v>0</v>
      </c>
      <c r="G111" s="54">
        <f>+G110-G21</f>
        <v>0</v>
      </c>
      <c r="H111" s="54">
        <f>+H110-H21</f>
        <v>0</v>
      </c>
      <c r="I111" s="54">
        <f>+I110-I21</f>
        <v>0</v>
      </c>
      <c r="L111" s="54">
        <f>+L110-L21</f>
        <v>0</v>
      </c>
    </row>
    <row r="112" ht="15.75">
      <c r="A112" s="56" t="s">
        <v>41</v>
      </c>
    </row>
    <row r="113" spans="1:12" ht="15">
      <c r="A113" t="s">
        <v>95</v>
      </c>
      <c r="C113" t="s">
        <v>152</v>
      </c>
      <c r="D113" t="s">
        <v>123</v>
      </c>
      <c r="F113" s="43">
        <v>3249487.2</v>
      </c>
      <c r="K113" s="165">
        <v>1968278.7</v>
      </c>
      <c r="L113" s="43">
        <f>SUM(E113:I113)</f>
        <v>3249487.2</v>
      </c>
    </row>
    <row r="114" spans="1:12" ht="15">
      <c r="A114" t="s">
        <v>103</v>
      </c>
      <c r="D114" t="s">
        <v>122</v>
      </c>
      <c r="F114" s="43">
        <v>-578009.69</v>
      </c>
      <c r="K114" s="165">
        <v>-324178.83</v>
      </c>
      <c r="L114" s="43">
        <f>SUM(E114:I114)</f>
        <v>-578009.69</v>
      </c>
    </row>
    <row r="115" spans="1:12" ht="15">
      <c r="A115" t="s">
        <v>96</v>
      </c>
      <c r="E115" s="58"/>
      <c r="F115" s="61">
        <v>-2053788.72</v>
      </c>
      <c r="G115" s="58"/>
      <c r="H115" s="58"/>
      <c r="I115" s="58"/>
      <c r="K115" s="169">
        <v>-1232275.76</v>
      </c>
      <c r="L115" s="44">
        <f>SUM(E115:I115)</f>
        <v>-2053788.72</v>
      </c>
    </row>
    <row r="116" spans="5:12" ht="15">
      <c r="E116" s="54">
        <f aca="true" t="shared" si="15" ref="E116:L116">+E113+E114+E115</f>
        <v>0</v>
      </c>
      <c r="F116" s="54">
        <f>+F113+F114+F115</f>
        <v>617688.7900000003</v>
      </c>
      <c r="G116" s="54">
        <f t="shared" si="15"/>
        <v>0</v>
      </c>
      <c r="H116" s="54">
        <f t="shared" si="15"/>
        <v>0</v>
      </c>
      <c r="I116" s="54">
        <f t="shared" si="15"/>
        <v>0</v>
      </c>
      <c r="J116" s="54"/>
      <c r="K116" s="170">
        <f>SUM(K113:K115)</f>
        <v>411824.10999999987</v>
      </c>
      <c r="L116" s="54">
        <f t="shared" si="15"/>
        <v>617688.7900000003</v>
      </c>
    </row>
    <row r="117" spans="1:12" ht="15">
      <c r="A117" t="s">
        <v>124</v>
      </c>
      <c r="D117" t="s">
        <v>125</v>
      </c>
      <c r="E117" s="43">
        <f>31335.67-E125</f>
        <v>27210.67</v>
      </c>
      <c r="F117" s="43">
        <v>0</v>
      </c>
      <c r="G117" s="43">
        <v>6370</v>
      </c>
      <c r="H117" s="43">
        <v>12237.89</v>
      </c>
      <c r="I117" s="43">
        <v>5520</v>
      </c>
      <c r="K117" s="170">
        <v>87519.91</v>
      </c>
      <c r="L117" s="43">
        <f aca="true" t="shared" si="16" ref="L117:L131">SUM(E117:I117)</f>
        <v>51338.56</v>
      </c>
    </row>
    <row r="118" spans="1:12" ht="15">
      <c r="A118" t="s">
        <v>184</v>
      </c>
      <c r="D118" s="15" t="s">
        <v>236</v>
      </c>
      <c r="E118" s="43"/>
      <c r="F118" s="43">
        <v>162.06</v>
      </c>
      <c r="H118" s="43"/>
      <c r="K118" s="170">
        <v>162.06</v>
      </c>
      <c r="L118" s="43">
        <f t="shared" si="16"/>
        <v>162.06</v>
      </c>
    </row>
    <row r="119" spans="1:12" ht="15">
      <c r="A119" t="s">
        <v>176</v>
      </c>
      <c r="D119" t="s">
        <v>163</v>
      </c>
      <c r="E119" s="43"/>
      <c r="F119" s="43"/>
      <c r="G119" s="43"/>
      <c r="H119" s="130">
        <v>2290</v>
      </c>
      <c r="I119" s="60">
        <v>680</v>
      </c>
      <c r="K119" s="170">
        <v>37280</v>
      </c>
      <c r="L119" s="43">
        <f t="shared" si="16"/>
        <v>2970</v>
      </c>
    </row>
    <row r="120" spans="1:12" ht="15">
      <c r="A120" t="s">
        <v>185</v>
      </c>
      <c r="D120" t="s">
        <v>186</v>
      </c>
      <c r="E120" s="43">
        <v>0</v>
      </c>
      <c r="F120" s="43">
        <v>7699</v>
      </c>
      <c r="K120" s="170">
        <v>7967</v>
      </c>
      <c r="L120" s="43">
        <f t="shared" si="16"/>
        <v>7699</v>
      </c>
    </row>
    <row r="121" spans="1:12" ht="15">
      <c r="A121" t="s">
        <v>187</v>
      </c>
      <c r="D121" t="s">
        <v>126</v>
      </c>
      <c r="E121" s="43">
        <v>0</v>
      </c>
      <c r="F121" s="43">
        <v>1205.6</v>
      </c>
      <c r="K121" s="170">
        <v>1235.6</v>
      </c>
      <c r="L121" s="43">
        <f t="shared" si="16"/>
        <v>1205.6</v>
      </c>
    </row>
    <row r="122" spans="1:12" ht="15">
      <c r="A122" t="s">
        <v>193</v>
      </c>
      <c r="D122" s="15" t="s">
        <v>127</v>
      </c>
      <c r="E122" s="43">
        <v>0</v>
      </c>
      <c r="F122" s="43">
        <v>26511</v>
      </c>
      <c r="G122" s="54"/>
      <c r="I122" s="43"/>
      <c r="K122" s="170">
        <v>26501</v>
      </c>
      <c r="L122" s="43">
        <f t="shared" si="16"/>
        <v>26511</v>
      </c>
    </row>
    <row r="123" spans="1:12" ht="15">
      <c r="A123" t="s">
        <v>230</v>
      </c>
      <c r="D123" t="s">
        <v>231</v>
      </c>
      <c r="E123" s="43"/>
      <c r="F123" s="43">
        <v>2776.17</v>
      </c>
      <c r="I123" s="43"/>
      <c r="K123" s="170">
        <v>0</v>
      </c>
      <c r="L123" s="43">
        <f t="shared" si="16"/>
        <v>2776.17</v>
      </c>
    </row>
    <row r="124" spans="1:12" ht="15">
      <c r="A124" t="s">
        <v>161</v>
      </c>
      <c r="D124" t="s">
        <v>162</v>
      </c>
      <c r="F124" s="43">
        <v>0</v>
      </c>
      <c r="I124" s="43"/>
      <c r="K124" s="170">
        <v>0</v>
      </c>
      <c r="L124" s="43">
        <f t="shared" si="16"/>
        <v>0</v>
      </c>
    </row>
    <row r="125" spans="1:12" ht="15">
      <c r="A125" t="s">
        <v>257</v>
      </c>
      <c r="D125" t="s">
        <v>165</v>
      </c>
      <c r="E125" s="43">
        <v>4125</v>
      </c>
      <c r="F125" s="43">
        <v>4950</v>
      </c>
      <c r="G125" s="43">
        <v>875</v>
      </c>
      <c r="H125" s="60">
        <v>3300</v>
      </c>
      <c r="I125" s="43">
        <v>750</v>
      </c>
      <c r="K125" s="170">
        <v>17700</v>
      </c>
      <c r="L125" s="43">
        <f t="shared" si="16"/>
        <v>14000</v>
      </c>
    </row>
    <row r="126" spans="1:12" ht="15">
      <c r="A126" t="s">
        <v>232</v>
      </c>
      <c r="D126" t="s">
        <v>233</v>
      </c>
      <c r="F126" s="43">
        <v>1648</v>
      </c>
      <c r="G126" s="43"/>
      <c r="I126" s="43"/>
      <c r="K126" s="170">
        <v>1648</v>
      </c>
      <c r="L126" s="43">
        <f t="shared" si="16"/>
        <v>1648</v>
      </c>
    </row>
    <row r="127" spans="1:12" ht="15">
      <c r="A127" t="s">
        <v>225</v>
      </c>
      <c r="D127" t="s">
        <v>166</v>
      </c>
      <c r="F127" s="43">
        <v>5817609.56</v>
      </c>
      <c r="I127" s="43"/>
      <c r="K127" s="170">
        <v>5817609.56</v>
      </c>
      <c r="L127" s="43">
        <f t="shared" si="16"/>
        <v>5817609.56</v>
      </c>
    </row>
    <row r="128" spans="1:12" ht="15">
      <c r="A128" t="s">
        <v>284</v>
      </c>
      <c r="B128" t="s">
        <v>269</v>
      </c>
      <c r="F128" s="111"/>
      <c r="I128" s="43"/>
      <c r="K128" s="170">
        <v>33303</v>
      </c>
      <c r="L128" s="43">
        <f t="shared" si="16"/>
        <v>0</v>
      </c>
    </row>
    <row r="129" spans="1:12" ht="15">
      <c r="A129" t="s">
        <v>285</v>
      </c>
      <c r="B129" t="s">
        <v>273</v>
      </c>
      <c r="F129" s="111"/>
      <c r="I129" s="43"/>
      <c r="K129" s="170">
        <v>111360</v>
      </c>
      <c r="L129" s="43">
        <f t="shared" si="16"/>
        <v>0</v>
      </c>
    </row>
    <row r="130" spans="1:12" ht="15">
      <c r="A130" t="s">
        <v>286</v>
      </c>
      <c r="B130" t="s">
        <v>276</v>
      </c>
      <c r="F130" s="112">
        <f>-F116</f>
        <v>-617688.7900000003</v>
      </c>
      <c r="I130" s="43"/>
      <c r="K130" s="170">
        <v>-411824.11</v>
      </c>
      <c r="L130" s="43">
        <f t="shared" si="16"/>
        <v>-617688.7900000003</v>
      </c>
    </row>
    <row r="131" spans="1:12" ht="15">
      <c r="A131" t="s">
        <v>306</v>
      </c>
      <c r="F131" s="112">
        <f>-F127</f>
        <v>-5817609.56</v>
      </c>
      <c r="I131" s="43"/>
      <c r="K131" s="170">
        <v>-5817609.56</v>
      </c>
      <c r="L131" s="43">
        <f t="shared" si="16"/>
        <v>-5817609.56</v>
      </c>
    </row>
    <row r="132" spans="5:12" ht="15.75" thickBot="1">
      <c r="E132" s="55">
        <f>SUM(E116:E131)</f>
        <v>31335.67</v>
      </c>
      <c r="F132" s="55">
        <f>SUM(F116:F131)</f>
        <v>44951.830000000075</v>
      </c>
      <c r="G132" s="55">
        <f>SUM(G116:G131)</f>
        <v>7245</v>
      </c>
      <c r="H132" s="55">
        <f>SUM(H116:H131)</f>
        <v>17827.89</v>
      </c>
      <c r="I132" s="55">
        <f>SUM(I116:I131)</f>
        <v>6950</v>
      </c>
      <c r="J132" s="55"/>
      <c r="K132" s="168">
        <f>SUM(K116:K131)</f>
        <v>324676.56999999937</v>
      </c>
      <c r="L132" s="55">
        <f>SUM(L116:L131)</f>
        <v>108310.3900000006</v>
      </c>
    </row>
    <row r="133" spans="5:12" ht="15.75" thickTop="1">
      <c r="E133" s="54">
        <f>+E132-E22</f>
        <v>0</v>
      </c>
      <c r="F133" s="54">
        <f>+F132-F22</f>
        <v>0</v>
      </c>
      <c r="G133" s="54">
        <f>+G132-G22</f>
        <v>0</v>
      </c>
      <c r="H133" s="54">
        <f>+H132-H22</f>
        <v>0</v>
      </c>
      <c r="I133" s="54">
        <f>+I132-I22</f>
        <v>0</v>
      </c>
      <c r="L133" s="72">
        <f>+L132-L22</f>
        <v>5.238689482212067E-10</v>
      </c>
    </row>
    <row r="135" ht="15">
      <c r="A135" s="24" t="s">
        <v>42</v>
      </c>
    </row>
    <row r="136" spans="1:12" ht="15">
      <c r="A136" t="s">
        <v>132</v>
      </c>
      <c r="C136" s="24" t="s">
        <v>154</v>
      </c>
      <c r="D136" t="s">
        <v>133</v>
      </c>
      <c r="F136" s="46">
        <v>372118.48</v>
      </c>
      <c r="K136" s="165">
        <v>372118.48</v>
      </c>
      <c r="L136" s="46">
        <f aca="true" t="shared" si="17" ref="L136:L141">SUM(E136:I136)</f>
        <v>372118.48</v>
      </c>
    </row>
    <row r="137" spans="1:12" ht="15">
      <c r="A137" t="s">
        <v>146</v>
      </c>
      <c r="E137" s="43">
        <v>21772097.46</v>
      </c>
      <c r="F137" s="43"/>
      <c r="G137" s="43">
        <v>656814.61</v>
      </c>
      <c r="H137" s="131">
        <v>66006.96</v>
      </c>
      <c r="K137" s="165">
        <v>22480912.07</v>
      </c>
      <c r="L137" s="46">
        <f t="shared" si="17"/>
        <v>22494919.03</v>
      </c>
    </row>
    <row r="138" spans="1:12" ht="15">
      <c r="A138" t="s">
        <v>131</v>
      </c>
      <c r="F138" s="43"/>
      <c r="G138" s="43"/>
      <c r="H138" s="43"/>
      <c r="I138" s="43">
        <v>40949.96</v>
      </c>
      <c r="K138" s="165">
        <v>40949.96</v>
      </c>
      <c r="L138" s="46">
        <f t="shared" si="17"/>
        <v>40949.96</v>
      </c>
    </row>
    <row r="139" spans="1:12" ht="15">
      <c r="A139" t="s">
        <v>223</v>
      </c>
      <c r="F139" s="112">
        <v>42500</v>
      </c>
      <c r="G139" s="43"/>
      <c r="H139" s="43"/>
      <c r="K139" s="165">
        <v>-10272.9</v>
      </c>
      <c r="L139" s="46">
        <f t="shared" si="17"/>
        <v>42500</v>
      </c>
    </row>
    <row r="140" spans="1:12" ht="15">
      <c r="A140" t="s">
        <v>195</v>
      </c>
      <c r="D140" t="s">
        <v>196</v>
      </c>
      <c r="F140" s="113"/>
      <c r="G140" s="43"/>
      <c r="H140" s="43"/>
      <c r="K140" s="165">
        <v>42500</v>
      </c>
      <c r="L140" s="46">
        <f t="shared" si="17"/>
        <v>0</v>
      </c>
    </row>
    <row r="141" spans="1:12" ht="15">
      <c r="A141" t="s">
        <v>251</v>
      </c>
      <c r="F141" s="111">
        <v>-14725.8</v>
      </c>
      <c r="G141" s="43"/>
      <c r="H141" s="43"/>
      <c r="K141" s="165">
        <v>-14725.8</v>
      </c>
      <c r="L141" s="46">
        <f t="shared" si="17"/>
        <v>-14725.8</v>
      </c>
    </row>
    <row r="142" spans="5:12" ht="15.75" thickBot="1">
      <c r="E142" s="55">
        <f>SUM(E136:E140)</f>
        <v>21772097.46</v>
      </c>
      <c r="F142" s="55">
        <f>SUM(F136:F141)</f>
        <v>399892.68</v>
      </c>
      <c r="G142" s="55">
        <f>SUM(G136:G140)</f>
        <v>656814.61</v>
      </c>
      <c r="H142" s="55">
        <f>SUM(H136:H140)</f>
        <v>66006.96</v>
      </c>
      <c r="I142" s="55">
        <f>SUM(I136:I140)</f>
        <v>40949.96</v>
      </c>
      <c r="K142" s="166">
        <f>SUM(K136:K141)</f>
        <v>22911481.810000002</v>
      </c>
      <c r="L142" s="55">
        <f>SUM(L136:L141)</f>
        <v>22935761.67</v>
      </c>
    </row>
    <row r="143" spans="5:12" ht="15.75" thickTop="1">
      <c r="E143" s="54">
        <f>+E142-E17</f>
        <v>0</v>
      </c>
      <c r="F143" s="54">
        <f>+F142-F17</f>
        <v>0</v>
      </c>
      <c r="G143" s="54">
        <f>+G142-G17</f>
        <v>0</v>
      </c>
      <c r="H143" s="54">
        <f>+H142-H17</f>
        <v>0</v>
      </c>
      <c r="I143" s="54">
        <f>+I142-I17</f>
        <v>0</v>
      </c>
      <c r="L143" s="54">
        <f>+L17-L142</f>
        <v>0</v>
      </c>
    </row>
    <row r="144" spans="1:12" ht="15">
      <c r="A144" s="16" t="s">
        <v>44</v>
      </c>
      <c r="C144" t="s">
        <v>155</v>
      </c>
      <c r="E144" s="54"/>
      <c r="F144" s="54"/>
      <c r="G144" s="54"/>
      <c r="H144" s="54"/>
      <c r="I144" s="54"/>
      <c r="L144" s="54"/>
    </row>
    <row r="145" spans="1:12" ht="15">
      <c r="A145" t="s">
        <v>134</v>
      </c>
      <c r="C145" t="s">
        <v>140</v>
      </c>
      <c r="D145" t="s">
        <v>135</v>
      </c>
      <c r="F145" s="43">
        <v>21772097.46</v>
      </c>
      <c r="G145" s="54"/>
      <c r="H145" s="54"/>
      <c r="I145" s="54"/>
      <c r="K145" s="165">
        <v>21882097.46</v>
      </c>
      <c r="L145" s="46">
        <f>SUM(E145:I145)</f>
        <v>21772097.46</v>
      </c>
    </row>
    <row r="146" spans="5:12" ht="15">
      <c r="E146" s="54"/>
      <c r="F146" s="54"/>
      <c r="G146" s="54"/>
      <c r="H146" s="54"/>
      <c r="I146" s="54"/>
      <c r="K146" s="165">
        <v>0</v>
      </c>
      <c r="L146" s="46">
        <f>SUM(E146:I146)</f>
        <v>0</v>
      </c>
    </row>
    <row r="147" spans="6:13" ht="15.75" thickBot="1">
      <c r="F147" s="55">
        <f>SUM(F145:F146)</f>
        <v>21772097.46</v>
      </c>
      <c r="K147" s="166">
        <f>SUM(K145:K146)</f>
        <v>21882097.46</v>
      </c>
      <c r="L147" s="45">
        <f>SUM(E147:I147)</f>
        <v>21772097.46</v>
      </c>
      <c r="M147" s="54"/>
    </row>
    <row r="148" spans="1:3" ht="15.75" thickTop="1">
      <c r="A148" s="24" t="s">
        <v>43</v>
      </c>
      <c r="C148" t="s">
        <v>156</v>
      </c>
    </row>
    <row r="149" spans="1:12" ht="15">
      <c r="A149" s="27" t="s">
        <v>157</v>
      </c>
      <c r="H149" s="43">
        <v>42500</v>
      </c>
      <c r="I149" s="43">
        <v>372118.48</v>
      </c>
      <c r="K149" s="155">
        <v>389619.78</v>
      </c>
      <c r="L149" s="46">
        <f>SUM(E149:I149)</f>
        <v>414618.48</v>
      </c>
    </row>
    <row r="150" spans="1:12" ht="15">
      <c r="A150" t="s">
        <v>131</v>
      </c>
      <c r="C150" t="s">
        <v>140</v>
      </c>
      <c r="D150" t="s">
        <v>136</v>
      </c>
      <c r="F150" s="46">
        <v>656814.61</v>
      </c>
      <c r="I150" s="43"/>
      <c r="K150" s="162">
        <v>598814.61</v>
      </c>
      <c r="L150" s="46">
        <f>SUM(E150:I150)</f>
        <v>656814.61</v>
      </c>
    </row>
    <row r="151" spans="1:12" ht="15">
      <c r="A151" t="s">
        <v>141</v>
      </c>
      <c r="D151" t="s">
        <v>242</v>
      </c>
      <c r="F151" s="60"/>
      <c r="K151" s="162">
        <v>0</v>
      </c>
      <c r="L151" s="46">
        <f>SUM(E151:I151)</f>
        <v>0</v>
      </c>
    </row>
    <row r="152" spans="6:12" ht="15">
      <c r="F152" s="60"/>
      <c r="K152" s="162">
        <v>0</v>
      </c>
      <c r="L152" s="46">
        <f>SUM(E152:I152)</f>
        <v>0</v>
      </c>
    </row>
    <row r="153" spans="1:12" ht="15">
      <c r="A153" t="s">
        <v>132</v>
      </c>
      <c r="F153" s="43"/>
      <c r="G153" s="43">
        <v>40949.96</v>
      </c>
      <c r="K153" s="162">
        <v>40949.96</v>
      </c>
      <c r="L153" s="46">
        <f>SUM(E153:I153)</f>
        <v>40949.96</v>
      </c>
    </row>
    <row r="154" spans="5:13" ht="15.75" thickBot="1">
      <c r="E154" s="55">
        <f>SUM(E149:E153)</f>
        <v>0</v>
      </c>
      <c r="F154" s="55">
        <f>SUM(F149:F153)</f>
        <v>656814.61</v>
      </c>
      <c r="G154" s="55">
        <f>SUM(G149:G153)</f>
        <v>40949.96</v>
      </c>
      <c r="H154" s="55">
        <f>SUM(H149:H153)</f>
        <v>42500</v>
      </c>
      <c r="I154" s="55">
        <f>SUM(I149:I153)</f>
        <v>372118.48</v>
      </c>
      <c r="K154" s="168">
        <f>SUM(K149:K153)</f>
        <v>1029384.35</v>
      </c>
      <c r="L154" s="55">
        <f>SUM(L149:L153)</f>
        <v>1112383.0499999998</v>
      </c>
      <c r="M154" s="54"/>
    </row>
    <row r="155" spans="5:13" ht="15.75" thickTop="1">
      <c r="E155" s="54">
        <f>+E154-E25</f>
        <v>0</v>
      </c>
      <c r="F155" s="54">
        <f>+F154-F25</f>
        <v>0</v>
      </c>
      <c r="G155" s="54">
        <f>+G154-G25</f>
        <v>0</v>
      </c>
      <c r="H155" s="54">
        <f>+H154-H25</f>
        <v>0</v>
      </c>
      <c r="I155" s="54">
        <f>+I154-I25</f>
        <v>0</v>
      </c>
      <c r="L155" s="54">
        <f>+L25-L154</f>
        <v>0</v>
      </c>
      <c r="M155" s="54"/>
    </row>
    <row r="156" spans="1:3" ht="15">
      <c r="A156" s="24" t="s">
        <v>143</v>
      </c>
      <c r="C156" t="s">
        <v>172</v>
      </c>
    </row>
    <row r="157" spans="1:12" ht="15">
      <c r="A157" s="24" t="s">
        <v>137</v>
      </c>
      <c r="C157" t="s">
        <v>140</v>
      </c>
      <c r="D157" t="s">
        <v>168</v>
      </c>
      <c r="E157" s="43">
        <v>428350</v>
      </c>
      <c r="F157" s="60">
        <v>268350</v>
      </c>
      <c r="G157" s="43">
        <v>0</v>
      </c>
      <c r="H157" s="43">
        <v>0</v>
      </c>
      <c r="I157" s="43"/>
      <c r="K157" s="159">
        <v>647000</v>
      </c>
      <c r="L157" s="46">
        <f>SUM(E157:I157)</f>
        <v>696700</v>
      </c>
    </row>
    <row r="158" spans="1:12" ht="15">
      <c r="A158" t="s">
        <v>142</v>
      </c>
      <c r="E158" s="43">
        <v>0</v>
      </c>
      <c r="F158" s="60">
        <v>0</v>
      </c>
      <c r="G158" s="43">
        <v>0</v>
      </c>
      <c r="H158" s="43">
        <v>0</v>
      </c>
      <c r="I158" s="43">
        <v>0</v>
      </c>
      <c r="L158" s="46">
        <f>SUM(E158:I158)</f>
        <v>0</v>
      </c>
    </row>
    <row r="159" spans="5:12" ht="15.75" thickBot="1">
      <c r="E159" s="55">
        <f>SUM(E157:E158)</f>
        <v>428350</v>
      </c>
      <c r="F159" s="55">
        <f>SUM(F157:F158)</f>
        <v>268350</v>
      </c>
      <c r="G159" s="55">
        <f>SUM(G157:G158)</f>
        <v>0</v>
      </c>
      <c r="H159" s="55">
        <f>SUM(H157:H158)</f>
        <v>0</v>
      </c>
      <c r="I159" s="55">
        <f>SUM(I157:I158)</f>
        <v>0</v>
      </c>
      <c r="K159" s="168">
        <f>SUM(K157:K158)</f>
        <v>647000</v>
      </c>
      <c r="L159" s="55">
        <f>SUM(L157:L158)</f>
        <v>696700</v>
      </c>
    </row>
    <row r="160" spans="5:12" ht="15.75" thickTop="1">
      <c r="E160" s="54"/>
      <c r="F160" s="54">
        <f>+F159-F23</f>
        <v>0</v>
      </c>
      <c r="G160" s="54">
        <f>+G159-G23</f>
        <v>0</v>
      </c>
      <c r="H160" s="54">
        <f>+H159-H23</f>
        <v>0</v>
      </c>
      <c r="I160" s="54">
        <f>+I159-I23</f>
        <v>0</v>
      </c>
      <c r="J160" s="54"/>
      <c r="L160" s="54">
        <f>+L159-L23</f>
        <v>0</v>
      </c>
    </row>
    <row r="163" ht="15">
      <c r="A163" s="24" t="s">
        <v>171</v>
      </c>
    </row>
    <row r="165" ht="15">
      <c r="A165" s="24" t="s">
        <v>248</v>
      </c>
    </row>
    <row r="166" spans="1:6" ht="15">
      <c r="A166" t="s">
        <v>237</v>
      </c>
      <c r="D166" s="43">
        <v>0</v>
      </c>
      <c r="F166" s="43"/>
    </row>
    <row r="167" spans="1:6" ht="15">
      <c r="A167" t="s">
        <v>198</v>
      </c>
      <c r="D167" s="43">
        <v>0</v>
      </c>
      <c r="F167" s="46"/>
    </row>
    <row r="168" spans="1:6" ht="15.75" thickBot="1">
      <c r="A168" s="59" t="s">
        <v>238</v>
      </c>
      <c r="D168" s="55">
        <f>SUM(D166:D167)</f>
        <v>0</v>
      </c>
      <c r="F168" s="55">
        <f>SUM(F166:F167)</f>
        <v>0</v>
      </c>
    </row>
    <row r="169" spans="1:4" ht="15">
      <c r="A169" s="63" t="s">
        <v>239</v>
      </c>
      <c r="D169" s="62"/>
    </row>
    <row r="170" spans="1:6" ht="15">
      <c r="A170" s="81" t="s">
        <v>221</v>
      </c>
      <c r="D170" s="43">
        <v>10272.9</v>
      </c>
      <c r="F170" s="43">
        <v>10272.9</v>
      </c>
    </row>
    <row r="171" spans="1:6" ht="15">
      <c r="A171" s="81" t="s">
        <v>222</v>
      </c>
      <c r="D171" s="43">
        <v>-10272.9</v>
      </c>
      <c r="F171" s="43">
        <v>-10272.9</v>
      </c>
    </row>
    <row r="172" spans="1:6" ht="15.75" thickBot="1">
      <c r="A172" s="59"/>
      <c r="D172" s="55">
        <f>SUM(D170:D171)</f>
        <v>0</v>
      </c>
      <c r="F172" s="55">
        <f>SUM(F170:F171)</f>
        <v>0</v>
      </c>
    </row>
    <row r="173" ht="15">
      <c r="A173" s="83" t="s">
        <v>240</v>
      </c>
    </row>
    <row r="174" spans="1:6" ht="15">
      <c r="A174" s="81" t="s">
        <v>8</v>
      </c>
      <c r="D174" s="43">
        <v>748366.38</v>
      </c>
      <c r="F174" s="43">
        <v>935045.97</v>
      </c>
    </row>
    <row r="175" spans="1:6" ht="15">
      <c r="A175" s="81" t="s">
        <v>47</v>
      </c>
      <c r="D175" s="84">
        <v>-748366.38</v>
      </c>
      <c r="F175" s="84">
        <v>-935045.97</v>
      </c>
    </row>
    <row r="176" spans="1:6" ht="15.75" thickBot="1">
      <c r="A176" s="82" t="s">
        <v>249</v>
      </c>
      <c r="D176" s="45">
        <f>SUM(D174:D175)</f>
        <v>0</v>
      </c>
      <c r="F176" s="59"/>
    </row>
    <row r="177" ht="15">
      <c r="A177" s="83" t="s">
        <v>241</v>
      </c>
    </row>
    <row r="178" spans="1:6" ht="15">
      <c r="A178" s="81" t="s">
        <v>226</v>
      </c>
      <c r="D178" s="43">
        <v>474050.75</v>
      </c>
      <c r="F178" s="43">
        <v>474050.75</v>
      </c>
    </row>
    <row r="179" spans="1:6" ht="15">
      <c r="A179" s="81" t="s">
        <v>91</v>
      </c>
      <c r="D179" s="43">
        <v>-474050.75</v>
      </c>
      <c r="F179" s="43">
        <v>-474050.75</v>
      </c>
    </row>
    <row r="180" spans="1:6" ht="15.75" thickBot="1">
      <c r="A180" s="59"/>
      <c r="D180" s="55">
        <f>SUM(D178:D179)</f>
        <v>0</v>
      </c>
      <c r="F180" s="59"/>
    </row>
    <row r="181" ht="15">
      <c r="A181" s="83" t="s">
        <v>243</v>
      </c>
    </row>
    <row r="182" spans="1:6" ht="15">
      <c r="A182" s="81" t="s">
        <v>252</v>
      </c>
      <c r="F182" s="43">
        <v>14725.8</v>
      </c>
    </row>
    <row r="183" spans="1:6" ht="15">
      <c r="A183" s="81" t="s">
        <v>253</v>
      </c>
      <c r="F183" s="43">
        <v>-14725.8</v>
      </c>
    </row>
    <row r="184" spans="1:6" ht="15.75" thickBot="1">
      <c r="A184" s="59"/>
      <c r="F184" s="59"/>
    </row>
    <row r="186" ht="15">
      <c r="A186" t="s">
        <v>258</v>
      </c>
    </row>
    <row r="187" ht="15">
      <c r="A187" t="s">
        <v>293</v>
      </c>
    </row>
    <row r="188" spans="1:6" ht="15">
      <c r="A188" t="s">
        <v>259</v>
      </c>
      <c r="F188" s="43">
        <v>133668.06</v>
      </c>
    </row>
    <row r="189" spans="1:6" ht="15">
      <c r="A189" t="s">
        <v>260</v>
      </c>
      <c r="F189" s="43">
        <v>133668.06</v>
      </c>
    </row>
    <row r="190" ht="15">
      <c r="F190" s="43"/>
    </row>
    <row r="191" spans="1:6" ht="15">
      <c r="A191" t="s">
        <v>261</v>
      </c>
      <c r="F191" s="43"/>
    </row>
    <row r="192" spans="1:6" ht="15">
      <c r="A192" t="s">
        <v>262</v>
      </c>
      <c r="F192" s="43">
        <v>2200000</v>
      </c>
    </row>
    <row r="193" spans="1:6" ht="15">
      <c r="A193" t="s">
        <v>68</v>
      </c>
      <c r="F193" s="43">
        <v>-2200000</v>
      </c>
    </row>
    <row r="194" ht="15">
      <c r="F194" s="43"/>
    </row>
    <row r="195" spans="1:6" ht="15">
      <c r="A195" t="s">
        <v>263</v>
      </c>
      <c r="F195" s="43"/>
    </row>
    <row r="196" spans="1:6" ht="15">
      <c r="A196" t="s">
        <v>264</v>
      </c>
      <c r="F196" s="43">
        <v>13214436</v>
      </c>
    </row>
    <row r="197" spans="1:6" ht="15">
      <c r="A197" t="s">
        <v>55</v>
      </c>
      <c r="F197" s="43">
        <v>-13214436</v>
      </c>
    </row>
    <row r="198" ht="15">
      <c r="F198" s="43"/>
    </row>
    <row r="199" spans="1:6" ht="15">
      <c r="A199" t="s">
        <v>265</v>
      </c>
      <c r="F199" s="43"/>
    </row>
    <row r="200" spans="1:6" ht="15">
      <c r="A200" t="s">
        <v>266</v>
      </c>
      <c r="F200" s="43">
        <v>28944</v>
      </c>
    </row>
    <row r="201" spans="1:6" ht="15">
      <c r="A201" t="s">
        <v>267</v>
      </c>
      <c r="F201" s="43">
        <v>4359</v>
      </c>
    </row>
    <row r="202" spans="1:6" ht="15">
      <c r="A202" t="s">
        <v>268</v>
      </c>
      <c r="F202" s="43">
        <v>-33303</v>
      </c>
    </row>
    <row r="203" ht="15">
      <c r="F203" s="43"/>
    </row>
    <row r="204" spans="1:6" ht="15">
      <c r="A204" t="s">
        <v>269</v>
      </c>
      <c r="F204" s="43"/>
    </row>
    <row r="205" spans="1:6" ht="15">
      <c r="A205" t="s">
        <v>270</v>
      </c>
      <c r="F205" s="43">
        <v>28944</v>
      </c>
    </row>
    <row r="206" spans="1:6" ht="15">
      <c r="A206" t="s">
        <v>271</v>
      </c>
      <c r="F206" s="43">
        <v>4359</v>
      </c>
    </row>
    <row r="207" spans="1:6" ht="15">
      <c r="A207" t="s">
        <v>272</v>
      </c>
      <c r="F207" s="43">
        <v>-33303</v>
      </c>
    </row>
    <row r="208" ht="15">
      <c r="F208" s="43"/>
    </row>
    <row r="209" spans="1:6" ht="15">
      <c r="A209" t="s">
        <v>273</v>
      </c>
      <c r="F209" s="43"/>
    </row>
    <row r="210" spans="1:6" ht="15">
      <c r="A210" t="s">
        <v>274</v>
      </c>
      <c r="F210" s="43">
        <v>111360</v>
      </c>
    </row>
    <row r="211" spans="1:6" ht="15">
      <c r="A211" t="s">
        <v>275</v>
      </c>
      <c r="F211" s="43">
        <v>-111360</v>
      </c>
    </row>
    <row r="212" ht="15">
      <c r="F212" s="43"/>
    </row>
    <row r="213" spans="1:6" ht="15">
      <c r="A213" t="s">
        <v>276</v>
      </c>
      <c r="F213" s="43"/>
    </row>
    <row r="214" spans="1:6" ht="15">
      <c r="A214" t="s">
        <v>45</v>
      </c>
      <c r="F214" s="43">
        <v>411823</v>
      </c>
    </row>
    <row r="215" spans="1:6" ht="15">
      <c r="A215" t="s">
        <v>277</v>
      </c>
      <c r="F215" s="43">
        <v>-411823</v>
      </c>
    </row>
    <row r="217" spans="1:6" ht="15">
      <c r="A217" t="s">
        <v>287</v>
      </c>
      <c r="F217" s="43"/>
    </row>
    <row r="218" spans="1:6" ht="15">
      <c r="A218" t="s">
        <v>198</v>
      </c>
      <c r="F218" s="43">
        <v>702000</v>
      </c>
    </row>
    <row r="219" spans="1:6" ht="15">
      <c r="A219" t="s">
        <v>10</v>
      </c>
      <c r="F219" s="43">
        <v>-702000</v>
      </c>
    </row>
    <row r="220" spans="1:6" ht="15">
      <c r="A220" t="s">
        <v>289</v>
      </c>
      <c r="F220" s="43"/>
    </row>
    <row r="221" spans="1:6" ht="15">
      <c r="A221" t="s">
        <v>288</v>
      </c>
      <c r="F221" s="43"/>
    </row>
    <row r="222" ht="15">
      <c r="F222" s="43"/>
    </row>
    <row r="223" spans="1:6" ht="15">
      <c r="A223" t="s">
        <v>290</v>
      </c>
      <c r="F223" s="43"/>
    </row>
    <row r="224" spans="1:6" ht="15">
      <c r="A224" t="s">
        <v>291</v>
      </c>
      <c r="F224" s="43">
        <v>80598.66</v>
      </c>
    </row>
    <row r="225" spans="1:6" ht="15">
      <c r="A225" t="s">
        <v>198</v>
      </c>
      <c r="F225" s="43">
        <v>-80598.66</v>
      </c>
    </row>
    <row r="226" ht="15">
      <c r="A226" t="s">
        <v>292</v>
      </c>
    </row>
    <row r="228" ht="15">
      <c r="A228" t="s">
        <v>296</v>
      </c>
    </row>
    <row r="229" spans="1:6" ht="15">
      <c r="A229" t="s">
        <v>86</v>
      </c>
      <c r="F229" s="43">
        <v>1113860.5</v>
      </c>
    </row>
    <row r="230" spans="1:6" ht="15">
      <c r="A230" t="s">
        <v>297</v>
      </c>
      <c r="F230" s="43">
        <v>-1113860.5</v>
      </c>
    </row>
    <row r="231" ht="15">
      <c r="A231" t="s">
        <v>298</v>
      </c>
    </row>
    <row r="233" spans="1:6" ht="15">
      <c r="A233" t="s">
        <v>299</v>
      </c>
      <c r="F233" s="43">
        <v>217632.86</v>
      </c>
    </row>
    <row r="234" spans="1:6" ht="15">
      <c r="A234" t="s">
        <v>300</v>
      </c>
      <c r="F234" s="43">
        <v>-217632.86</v>
      </c>
    </row>
    <row r="235" ht="15">
      <c r="A235" t="s">
        <v>301</v>
      </c>
    </row>
    <row r="236" ht="15">
      <c r="E236" s="43"/>
    </row>
    <row r="237" spans="1:5" ht="15">
      <c r="A237" t="s">
        <v>302</v>
      </c>
      <c r="E237" s="43">
        <v>2316556.04</v>
      </c>
    </row>
    <row r="238" spans="1:5" ht="15">
      <c r="A238" t="s">
        <v>303</v>
      </c>
      <c r="E238" s="43">
        <v>-2316556.04</v>
      </c>
    </row>
    <row r="239" ht="15">
      <c r="E239" s="43"/>
    </row>
    <row r="240" spans="1:6" ht="15">
      <c r="A240" t="s">
        <v>304</v>
      </c>
      <c r="E240" s="43"/>
      <c r="F240" s="60" t="s">
        <v>307</v>
      </c>
    </row>
    <row r="241" spans="1:6" ht="15">
      <c r="A241" t="s">
        <v>305</v>
      </c>
      <c r="F241" s="43">
        <v>5817609.56</v>
      </c>
    </row>
    <row r="242" spans="1:6" ht="15">
      <c r="A242" t="s">
        <v>91</v>
      </c>
      <c r="F242" s="43">
        <v>-5817609.56</v>
      </c>
    </row>
  </sheetData>
  <mergeCells count="2">
    <mergeCell ref="M3:N3"/>
    <mergeCell ref="E4:I4"/>
  </mergeCells>
  <printOptions horizontalCentered="1"/>
  <pageMargins left="0.35" right="0.23" top="0.71" bottom="0.47" header="0.19" footer="0.25"/>
  <pageSetup horizontalDpi="300" verticalDpi="300" orientation="landscape" paperSize="9" scale="70" r:id="rId4"/>
  <headerFooter alignWithMargins="0">
    <oddHeader>&amp;L&amp;F
&amp;D &amp;T&amp;R&amp;P</oddHeader>
    <oddFooter>&amp;CPage &amp;P&amp;R&amp;F</oddFooter>
  </headerFooter>
  <rowBreaks count="3" manualBreakCount="3">
    <brk id="49" max="13" man="1"/>
    <brk id="87" max="13" man="1"/>
    <brk id="134" max="13" man="1"/>
  </rowBreaks>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U96"/>
  <sheetViews>
    <sheetView zoomScale="75" zoomScaleNormal="75" workbookViewId="0" topLeftCell="A1">
      <pane xSplit="2" ySplit="5" topLeftCell="D6" activePane="bottomRight" state="frozen"/>
      <selection pane="topLeft" activeCell="E128" sqref="E128:E129"/>
      <selection pane="topRight" activeCell="E128" sqref="E128:E129"/>
      <selection pane="bottomLeft" activeCell="E128" sqref="E128:E129"/>
      <selection pane="bottomRight" activeCell="A1" sqref="A1"/>
    </sheetView>
  </sheetViews>
  <sheetFormatPr defaultColWidth="9.00390625" defaultRowHeight="16.5"/>
  <cols>
    <col min="2" max="2" width="49.75390625" style="0" customWidth="1"/>
    <col min="3" max="3" width="9.125" style="0" hidden="1" customWidth="1"/>
    <col min="4" max="4" width="18.625" style="0" customWidth="1"/>
    <col min="5" max="5" width="18.375" style="0" customWidth="1"/>
    <col min="6" max="6" width="13.875" style="0" bestFit="1" customWidth="1"/>
    <col min="7" max="7" width="2.625" style="36" customWidth="1"/>
    <col min="8" max="8" width="13.875" style="0" customWidth="1"/>
    <col min="9" max="9" width="13.875" style="0" bestFit="1" customWidth="1"/>
    <col min="10" max="10" width="15.625" style="0" bestFit="1" customWidth="1"/>
    <col min="11" max="11" width="3.125" style="0" bestFit="1" customWidth="1"/>
    <col min="12" max="12" width="1.00390625" style="0" customWidth="1"/>
    <col min="13" max="13" width="17.00390625" style="0" customWidth="1"/>
    <col min="14" max="14" width="5.375" style="0" customWidth="1"/>
    <col min="15" max="15" width="16.75390625" style="0" customWidth="1"/>
    <col min="16" max="16" width="5.25390625" style="0" customWidth="1"/>
    <col min="17" max="17" width="17.25390625" style="0" customWidth="1"/>
    <col min="18" max="18" width="10.75390625" style="0" hidden="1" customWidth="1"/>
    <col min="19" max="19" width="14.875" style="0" customWidth="1"/>
    <col min="20" max="20" width="15.00390625" style="0" customWidth="1"/>
  </cols>
  <sheetData>
    <row r="1" spans="2:17" ht="16.5">
      <c r="B1" t="s">
        <v>71</v>
      </c>
      <c r="M1" s="43"/>
      <c r="N1" s="43"/>
      <c r="O1" s="43"/>
      <c r="P1" s="43"/>
      <c r="Q1" s="43"/>
    </row>
    <row r="2" spans="2:17" ht="16.5">
      <c r="B2" t="s">
        <v>69</v>
      </c>
      <c r="M2" s="43"/>
      <c r="N2" s="43"/>
      <c r="O2" s="43"/>
      <c r="P2" s="43"/>
      <c r="Q2" s="43"/>
    </row>
    <row r="3" spans="2:17" ht="16.5">
      <c r="B3" t="s">
        <v>308</v>
      </c>
      <c r="F3" s="28"/>
      <c r="G3" s="81"/>
      <c r="H3" s="28"/>
      <c r="I3" s="28"/>
      <c r="J3" s="28"/>
      <c r="K3" s="28"/>
      <c r="L3" s="28"/>
      <c r="M3" s="43"/>
      <c r="N3" s="43"/>
      <c r="O3" s="43"/>
      <c r="P3" s="43"/>
      <c r="Q3" s="43"/>
    </row>
    <row r="4" spans="5:20" s="1" customFormat="1" ht="15">
      <c r="E4" s="1">
        <v>100</v>
      </c>
      <c r="F4" s="1">
        <v>100</v>
      </c>
      <c r="G4" s="34"/>
      <c r="H4" s="1">
        <v>100</v>
      </c>
      <c r="I4" s="1">
        <v>100</v>
      </c>
      <c r="M4" s="68"/>
      <c r="N4" s="68"/>
      <c r="O4" s="68"/>
      <c r="P4" s="68"/>
      <c r="Q4" s="68"/>
      <c r="S4" s="52" t="s">
        <v>34</v>
      </c>
      <c r="T4" s="52" t="s">
        <v>70</v>
      </c>
    </row>
    <row r="5" spans="3:20" s="22" customFormat="1" ht="15">
      <c r="C5" s="22" t="s">
        <v>36</v>
      </c>
      <c r="D5" s="22" t="s">
        <v>34</v>
      </c>
      <c r="E5" s="23" t="s">
        <v>25</v>
      </c>
      <c r="F5" s="23" t="s">
        <v>26</v>
      </c>
      <c r="G5" s="35"/>
      <c r="H5" s="23" t="s">
        <v>27</v>
      </c>
      <c r="I5" s="23" t="s">
        <v>28</v>
      </c>
      <c r="J5" s="23"/>
      <c r="K5" s="23"/>
      <c r="M5" s="69" t="s">
        <v>15</v>
      </c>
      <c r="N5" s="263" t="s">
        <v>20</v>
      </c>
      <c r="O5" s="264"/>
      <c r="P5" s="265"/>
      <c r="Q5" s="69" t="s">
        <v>70</v>
      </c>
      <c r="S5" s="52" t="s">
        <v>74</v>
      </c>
      <c r="T5" s="52" t="s">
        <v>75</v>
      </c>
    </row>
    <row r="6" spans="4:17" s="22" customFormat="1" ht="15" hidden="1">
      <c r="D6" s="266" t="s">
        <v>57</v>
      </c>
      <c r="E6" s="266"/>
      <c r="F6" s="266"/>
      <c r="G6" s="266"/>
      <c r="H6" s="266"/>
      <c r="I6" s="266"/>
      <c r="J6" s="266"/>
      <c r="K6" s="266"/>
      <c r="M6" s="69"/>
      <c r="N6" s="118"/>
      <c r="O6" s="70"/>
      <c r="P6" s="119"/>
      <c r="Q6" s="69"/>
    </row>
    <row r="7" spans="7:17" s="2" customFormat="1" ht="16.5">
      <c r="G7" s="13"/>
      <c r="J7" s="21"/>
      <c r="M7" s="65"/>
      <c r="N7" s="120"/>
      <c r="O7" s="53"/>
      <c r="P7" s="121"/>
      <c r="Q7" s="65"/>
    </row>
    <row r="8" spans="1:20" s="2" customFormat="1" ht="17.25" thickBot="1">
      <c r="A8" s="2" t="s">
        <v>199</v>
      </c>
      <c r="B8" s="3" t="s">
        <v>12</v>
      </c>
      <c r="C8" s="3"/>
      <c r="D8" s="49">
        <v>0</v>
      </c>
      <c r="E8" s="49">
        <v>18380276.45</v>
      </c>
      <c r="F8" s="49">
        <v>0</v>
      </c>
      <c r="G8" s="53"/>
      <c r="H8" s="49">
        <v>156729.7</v>
      </c>
      <c r="I8" s="49">
        <v>0</v>
      </c>
      <c r="J8" s="49"/>
      <c r="K8" s="4"/>
      <c r="M8" s="49">
        <f>SUM(D8:K8)</f>
        <v>18537006.15</v>
      </c>
      <c r="N8" s="122"/>
      <c r="O8" s="53">
        <v>108433.47</v>
      </c>
      <c r="P8" s="121"/>
      <c r="Q8" s="49">
        <f>M8-O8</f>
        <v>18428572.68</v>
      </c>
      <c r="R8" s="38" t="s">
        <v>58</v>
      </c>
      <c r="S8" s="49">
        <f>ROUND((+D8/1000),0)</f>
        <v>0</v>
      </c>
      <c r="T8" s="4">
        <f>ROUND((+Q8/1000),0)</f>
        <v>18429</v>
      </c>
    </row>
    <row r="9" spans="4:17" s="2" customFormat="1" ht="17.25" thickTop="1">
      <c r="D9" s="65"/>
      <c r="E9" s="65"/>
      <c r="F9" s="65"/>
      <c r="G9" s="53"/>
      <c r="H9" s="65"/>
      <c r="I9" s="65"/>
      <c r="J9" s="65"/>
      <c r="M9" s="65"/>
      <c r="N9" s="122"/>
      <c r="O9" s="53"/>
      <c r="P9" s="121"/>
      <c r="Q9" s="65"/>
    </row>
    <row r="10" spans="1:20" s="2" customFormat="1" ht="16.5">
      <c r="A10" s="75" t="s">
        <v>200</v>
      </c>
      <c r="B10" s="3" t="s">
        <v>35</v>
      </c>
      <c r="D10" s="48">
        <f>+D36</f>
        <v>262902.08</v>
      </c>
      <c r="E10" s="48">
        <f>+E36</f>
        <v>137283.62</v>
      </c>
      <c r="F10" s="48">
        <f>+F36</f>
        <v>0</v>
      </c>
      <c r="G10" s="48"/>
      <c r="H10" s="48">
        <f>+H36</f>
        <v>0</v>
      </c>
      <c r="I10" s="48">
        <f>+I36</f>
        <v>0</v>
      </c>
      <c r="J10" s="48"/>
      <c r="K10" s="17"/>
      <c r="L10" s="17"/>
      <c r="M10" s="48">
        <f>SUM(D10:K10)</f>
        <v>400185.7</v>
      </c>
      <c r="N10" s="123"/>
      <c r="O10" s="48">
        <v>0</v>
      </c>
      <c r="P10" s="124"/>
      <c r="Q10" s="48">
        <f>M10-O10</f>
        <v>400185.7</v>
      </c>
      <c r="R10" s="17"/>
      <c r="S10" s="48">
        <f>ROUND((+D10/1000),0)</f>
        <v>263</v>
      </c>
      <c r="T10" s="17">
        <f>ROUND((+Q10/1000),0)</f>
        <v>400</v>
      </c>
    </row>
    <row r="11" spans="1:17" s="2" customFormat="1" ht="16.5">
      <c r="A11" s="75"/>
      <c r="D11" s="65"/>
      <c r="E11" s="65"/>
      <c r="F11" s="65"/>
      <c r="G11" s="53"/>
      <c r="H11" s="65"/>
      <c r="I11" s="65"/>
      <c r="J11" s="65"/>
      <c r="M11" s="65"/>
      <c r="N11" s="122"/>
      <c r="O11" s="53"/>
      <c r="P11" s="121"/>
      <c r="Q11" s="65"/>
    </row>
    <row r="12" spans="1:20" s="2" customFormat="1" ht="16.5">
      <c r="A12" s="2" t="s">
        <v>202</v>
      </c>
      <c r="B12" s="3" t="s">
        <v>201</v>
      </c>
      <c r="D12" s="65">
        <f>+D10-32305.93+D13</f>
        <v>230628.65000000002</v>
      </c>
      <c r="E12" s="65">
        <f>801375.1+E13+E14</f>
        <v>1117862.3699999999</v>
      </c>
      <c r="F12" s="65">
        <f>-8388.75+F13+F14</f>
        <v>-1485</v>
      </c>
      <c r="G12" s="53"/>
      <c r="H12" s="65">
        <f>-6330.76+H13+H14</f>
        <v>-6243.56</v>
      </c>
      <c r="I12" s="65">
        <f>-1311.05+I13</f>
        <v>-1310</v>
      </c>
      <c r="J12" s="65"/>
      <c r="M12" s="65">
        <f>SUM(D12:J12)</f>
        <v>1339452.46</v>
      </c>
      <c r="N12" s="122"/>
      <c r="O12" s="53"/>
      <c r="P12" s="121"/>
      <c r="Q12" s="53">
        <f>M12-O12</f>
        <v>1339452.46</v>
      </c>
      <c r="S12" s="77">
        <f>ROUND((+D12/1000),0)</f>
        <v>231</v>
      </c>
      <c r="T12" s="77">
        <f>ROUND((+Q12/1000),0)</f>
        <v>1339</v>
      </c>
    </row>
    <row r="13" spans="1:21" s="2" customFormat="1" ht="16.5">
      <c r="A13" s="2" t="s">
        <v>203</v>
      </c>
      <c r="B13" s="3" t="s">
        <v>309</v>
      </c>
      <c r="D13" s="65">
        <f>+D46</f>
        <v>32.5</v>
      </c>
      <c r="E13" s="65">
        <f>+E46</f>
        <v>209896.00999999998</v>
      </c>
      <c r="F13" s="65">
        <f>+F46</f>
        <v>3.75</v>
      </c>
      <c r="G13" s="53"/>
      <c r="H13" s="65">
        <f>+H46</f>
        <v>7.5</v>
      </c>
      <c r="I13" s="65">
        <f>+I46</f>
        <v>1.05</v>
      </c>
      <c r="J13" s="65"/>
      <c r="M13" s="65">
        <f>SUM(D13:J13)</f>
        <v>209940.80999999997</v>
      </c>
      <c r="N13" s="122"/>
      <c r="O13" s="53"/>
      <c r="P13" s="121"/>
      <c r="Q13" s="53">
        <f>M13-O13</f>
        <v>209940.80999999997</v>
      </c>
      <c r="S13" s="77">
        <f>ROUND((+D13/1000),0)</f>
        <v>0</v>
      </c>
      <c r="T13" s="77">
        <f>ROUND((+Q13/1000),0)</f>
        <v>210</v>
      </c>
      <c r="U13" s="75"/>
    </row>
    <row r="14" spans="1:20" s="2" customFormat="1" ht="16.5">
      <c r="A14" s="2" t="s">
        <v>62</v>
      </c>
      <c r="B14" s="3" t="s">
        <v>310</v>
      </c>
      <c r="D14" s="65">
        <v>0</v>
      </c>
      <c r="E14" s="65">
        <f>+E48</f>
        <v>106591.26</v>
      </c>
      <c r="F14" s="65">
        <f>+F48</f>
        <v>6900</v>
      </c>
      <c r="G14" s="53"/>
      <c r="H14" s="65">
        <f>+H48</f>
        <v>79.7</v>
      </c>
      <c r="I14" s="65">
        <f>+I48</f>
        <v>0</v>
      </c>
      <c r="J14" s="65"/>
      <c r="M14" s="65">
        <f>SUM(D14:J14)</f>
        <v>113570.95999999999</v>
      </c>
      <c r="N14" s="122"/>
      <c r="O14" s="53"/>
      <c r="P14" s="121"/>
      <c r="Q14" s="53">
        <f>M14-O14</f>
        <v>113570.95999999999</v>
      </c>
      <c r="S14" s="77">
        <f>ROUND((+D14/1000),0)</f>
        <v>0</v>
      </c>
      <c r="T14" s="13">
        <f>ROUND((+Q14/1000),0)</f>
        <v>114</v>
      </c>
    </row>
    <row r="15" spans="1:20" s="2" customFormat="1" ht="16.5">
      <c r="A15" s="2" t="s">
        <v>204</v>
      </c>
      <c r="B15" s="3" t="s">
        <v>205</v>
      </c>
      <c r="D15" s="48">
        <v>0</v>
      </c>
      <c r="E15" s="48">
        <v>0</v>
      </c>
      <c r="F15" s="48">
        <v>0</v>
      </c>
      <c r="G15" s="48"/>
      <c r="H15" s="48">
        <v>0</v>
      </c>
      <c r="I15" s="48">
        <v>0</v>
      </c>
      <c r="J15" s="48">
        <v>0</v>
      </c>
      <c r="K15" s="17"/>
      <c r="L15" s="17"/>
      <c r="M15" s="48">
        <f>SUM(D15:J15)</f>
        <v>0</v>
      </c>
      <c r="N15" s="123"/>
      <c r="O15" s="44"/>
      <c r="P15" s="124"/>
      <c r="Q15" s="48">
        <f>M15+O15</f>
        <v>0</v>
      </c>
      <c r="R15" s="17"/>
      <c r="S15" s="79">
        <f>ROUND((+D15/1000),0)</f>
        <v>0</v>
      </c>
      <c r="T15" s="48">
        <f>ROUND((+Q15/1000),0)</f>
        <v>0</v>
      </c>
    </row>
    <row r="16" spans="1:20" s="2" customFormat="1" ht="16.5">
      <c r="A16" s="2" t="s">
        <v>206</v>
      </c>
      <c r="B16" s="3" t="s">
        <v>207</v>
      </c>
      <c r="D16" s="65">
        <f>+D12-D13-D14-D15</f>
        <v>230596.15000000002</v>
      </c>
      <c r="E16" s="65">
        <f>+E12-E13-E14-E15</f>
        <v>801375.0999999999</v>
      </c>
      <c r="F16" s="65">
        <f>+F12-F13-F14-F15</f>
        <v>-8388.75</v>
      </c>
      <c r="G16" s="53"/>
      <c r="H16" s="65">
        <f>+H12-H13-H14-H15</f>
        <v>-6330.76</v>
      </c>
      <c r="I16" s="65">
        <f>+I12-I13-I14-I15</f>
        <v>-1311.05</v>
      </c>
      <c r="J16" s="65">
        <f>+J12-J13-J14-J15</f>
        <v>0</v>
      </c>
      <c r="M16" s="65">
        <f>+M12-M13-M14-M15</f>
        <v>1015940.69</v>
      </c>
      <c r="N16" s="122"/>
      <c r="O16" s="53"/>
      <c r="P16" s="121"/>
      <c r="Q16" s="65">
        <f>+Q12-Q13-Q14+Q15</f>
        <v>1015940.69</v>
      </c>
      <c r="S16" s="78">
        <f>+S12-S13-S14-S15</f>
        <v>231</v>
      </c>
      <c r="T16" s="78">
        <f>+T12-T13-T14+T15</f>
        <v>1015</v>
      </c>
    </row>
    <row r="17" spans="1:20" s="2" customFormat="1" ht="16.5">
      <c r="A17" s="2" t="s">
        <v>208</v>
      </c>
      <c r="B17" s="38" t="s">
        <v>56</v>
      </c>
      <c r="D17" s="65">
        <f>+D16</f>
        <v>230596.15000000002</v>
      </c>
      <c r="E17" s="65">
        <f>+E16</f>
        <v>801375.0999999999</v>
      </c>
      <c r="F17" s="65">
        <f>+F16</f>
        <v>-8388.75</v>
      </c>
      <c r="G17" s="53"/>
      <c r="H17" s="65">
        <f>+H16</f>
        <v>-6330.76</v>
      </c>
      <c r="I17" s="65">
        <f>+I16</f>
        <v>-1311.05</v>
      </c>
      <c r="J17" s="65">
        <f>+J16</f>
        <v>0</v>
      </c>
      <c r="M17" s="65">
        <f>+M16</f>
        <v>1015940.69</v>
      </c>
      <c r="N17" s="122"/>
      <c r="O17" s="53"/>
      <c r="P17" s="121"/>
      <c r="Q17" s="65">
        <f>+Q16</f>
        <v>1015940.69</v>
      </c>
      <c r="S17" s="78">
        <f>+S16</f>
        <v>231</v>
      </c>
      <c r="T17" s="78">
        <f>+T16</f>
        <v>1015</v>
      </c>
    </row>
    <row r="18" spans="1:20" s="2" customFormat="1" ht="16.5">
      <c r="A18" s="2" t="s">
        <v>209</v>
      </c>
      <c r="B18" s="3" t="s">
        <v>10</v>
      </c>
      <c r="D18" s="48">
        <f>+D57</f>
        <v>71350</v>
      </c>
      <c r="E18" s="48">
        <f>+E57</f>
        <v>268350</v>
      </c>
      <c r="F18" s="48">
        <v>0</v>
      </c>
      <c r="G18" s="48"/>
      <c r="H18" s="48">
        <v>0</v>
      </c>
      <c r="I18" s="48">
        <v>0</v>
      </c>
      <c r="J18" s="48">
        <v>0</v>
      </c>
      <c r="K18" s="17"/>
      <c r="L18" s="17"/>
      <c r="M18" s="48">
        <f>SUM(D18:J18)</f>
        <v>339700</v>
      </c>
      <c r="N18" s="123"/>
      <c r="O18" s="48"/>
      <c r="P18" s="124"/>
      <c r="Q18" s="48">
        <f>+M18-O18</f>
        <v>339700</v>
      </c>
      <c r="S18" s="79">
        <f>ROUND((+D18/1000),0)</f>
        <v>71</v>
      </c>
      <c r="T18" s="17">
        <f>ROUND((+Q18/1000),0)</f>
        <v>340</v>
      </c>
    </row>
    <row r="19" spans="1:20" s="2" customFormat="1" ht="16.5">
      <c r="A19" s="2" t="s">
        <v>210</v>
      </c>
      <c r="B19" s="3" t="s">
        <v>211</v>
      </c>
      <c r="D19" s="65">
        <f>+D17-D18</f>
        <v>159246.15000000002</v>
      </c>
      <c r="E19" s="65">
        <f>+E17-E18</f>
        <v>533025.0999999999</v>
      </c>
      <c r="F19" s="65">
        <f>+F17-F18</f>
        <v>-8388.75</v>
      </c>
      <c r="G19" s="53"/>
      <c r="H19" s="65">
        <f>+H17-H18</f>
        <v>-6330.76</v>
      </c>
      <c r="I19" s="65">
        <f>+I17-I18</f>
        <v>-1311.05</v>
      </c>
      <c r="J19" s="65">
        <f>+J17-J18</f>
        <v>0</v>
      </c>
      <c r="M19" s="65">
        <f>SUM(D19:J19)</f>
        <v>676240.6899999998</v>
      </c>
      <c r="N19" s="122"/>
      <c r="O19" s="53"/>
      <c r="P19" s="121"/>
      <c r="Q19" s="65">
        <f>+Q17-Q18</f>
        <v>676240.69</v>
      </c>
      <c r="S19" s="78">
        <f>+S17-S18</f>
        <v>160</v>
      </c>
      <c r="T19" s="78">
        <f>+T17-T18</f>
        <v>675</v>
      </c>
    </row>
    <row r="20" spans="1:20" s="2" customFormat="1" ht="16.5">
      <c r="A20" s="2" t="s">
        <v>212</v>
      </c>
      <c r="B20" s="3" t="s">
        <v>213</v>
      </c>
      <c r="D20" s="74">
        <v>0</v>
      </c>
      <c r="E20" s="48">
        <v>0</v>
      </c>
      <c r="F20" s="48">
        <v>0</v>
      </c>
      <c r="G20" s="48"/>
      <c r="H20" s="48">
        <v>0</v>
      </c>
      <c r="I20" s="48">
        <v>0</v>
      </c>
      <c r="J20" s="48">
        <v>0</v>
      </c>
      <c r="K20" s="17"/>
      <c r="L20" s="17"/>
      <c r="M20" s="48">
        <f>SUM(D20:J20)</f>
        <v>0</v>
      </c>
      <c r="N20" s="123"/>
      <c r="O20" s="44"/>
      <c r="P20" s="124"/>
      <c r="Q20" s="48">
        <f>+M20+O20</f>
        <v>0</v>
      </c>
      <c r="R20" s="17"/>
      <c r="S20" s="79">
        <f>ROUND((+D20/1000),0)</f>
        <v>0</v>
      </c>
      <c r="T20" s="48">
        <f>ROUND((+Q20/1000),0)</f>
        <v>0</v>
      </c>
    </row>
    <row r="21" spans="1:20" s="2" customFormat="1" ht="16.5">
      <c r="A21" s="2" t="s">
        <v>214</v>
      </c>
      <c r="B21" s="73" t="s">
        <v>215</v>
      </c>
      <c r="C21" s="13"/>
      <c r="D21" s="53">
        <f>+D19-D20</f>
        <v>159246.15000000002</v>
      </c>
      <c r="E21" s="53">
        <f>+E19+E20</f>
        <v>533025.0999999999</v>
      </c>
      <c r="F21" s="53">
        <f>+F19+F20</f>
        <v>-8388.75</v>
      </c>
      <c r="G21" s="53"/>
      <c r="H21" s="53">
        <f>+H19+H20</f>
        <v>-6330.76</v>
      </c>
      <c r="I21" s="53">
        <f>+I19+I20</f>
        <v>-1311.05</v>
      </c>
      <c r="J21" s="53">
        <f>+J19+J20</f>
        <v>0</v>
      </c>
      <c r="K21" s="13"/>
      <c r="L21" s="13"/>
      <c r="M21" s="53">
        <f>+M19+M20</f>
        <v>676240.6899999998</v>
      </c>
      <c r="N21" s="122"/>
      <c r="O21" s="53"/>
      <c r="P21" s="121"/>
      <c r="Q21" s="53">
        <f>+Q19-Q20</f>
        <v>676240.69</v>
      </c>
      <c r="R21" s="17"/>
      <c r="S21" s="77">
        <f>+S19-S20</f>
        <v>160</v>
      </c>
      <c r="T21" s="77">
        <f>+T19-T20</f>
        <v>675</v>
      </c>
    </row>
    <row r="22" spans="2:20" s="2" customFormat="1" ht="16.5">
      <c r="B22" s="3" t="s">
        <v>175</v>
      </c>
      <c r="D22" s="48">
        <v>0</v>
      </c>
      <c r="E22" s="48">
        <v>0</v>
      </c>
      <c r="F22" s="48">
        <v>0</v>
      </c>
      <c r="G22" s="48"/>
      <c r="H22" s="48">
        <v>0</v>
      </c>
      <c r="I22" s="48">
        <v>0</v>
      </c>
      <c r="J22" s="48">
        <v>0</v>
      </c>
      <c r="K22" s="17"/>
      <c r="L22" s="17"/>
      <c r="M22" s="48">
        <f>SUM(D22:J22)</f>
        <v>0</v>
      </c>
      <c r="N22" s="123"/>
      <c r="O22" s="48"/>
      <c r="P22" s="124"/>
      <c r="Q22" s="48">
        <f>+M22+O22</f>
        <v>0</v>
      </c>
      <c r="R22" s="17"/>
      <c r="S22" s="79">
        <f>ROUND((+D22/1000),0)</f>
        <v>0</v>
      </c>
      <c r="T22" s="48">
        <f>ROUND((+Q22/1000),0)</f>
        <v>0</v>
      </c>
    </row>
    <row r="23" spans="2:20" s="2" customFormat="1" ht="15">
      <c r="B23" s="3" t="s">
        <v>181</v>
      </c>
      <c r="D23" s="65">
        <f>+D21+D22</f>
        <v>159246.15000000002</v>
      </c>
      <c r="E23" s="65">
        <f aca="true" t="shared" si="0" ref="E23:J23">+E21+E22</f>
        <v>533025.0999999999</v>
      </c>
      <c r="F23" s="65">
        <f t="shared" si="0"/>
        <v>-8388.75</v>
      </c>
      <c r="G23" s="53"/>
      <c r="H23" s="65">
        <f t="shared" si="0"/>
        <v>-6330.76</v>
      </c>
      <c r="I23" s="65">
        <f t="shared" si="0"/>
        <v>-1311.05</v>
      </c>
      <c r="J23" s="65">
        <f t="shared" si="0"/>
        <v>0</v>
      </c>
      <c r="M23" s="53">
        <f>SUM(D23:J23)</f>
        <v>676240.6899999998</v>
      </c>
      <c r="N23" s="122"/>
      <c r="O23" s="53"/>
      <c r="P23" s="121"/>
      <c r="Q23" s="65">
        <f>+Q21+Q22</f>
        <v>676240.69</v>
      </c>
      <c r="S23" s="78">
        <f>+S21+S22</f>
        <v>160</v>
      </c>
      <c r="T23" s="78">
        <f>+T21+T22</f>
        <v>675</v>
      </c>
    </row>
    <row r="24" spans="2:20" s="2" customFormat="1" ht="15">
      <c r="B24" s="3" t="s">
        <v>216</v>
      </c>
      <c r="D24" s="65">
        <v>7315197.65</v>
      </c>
      <c r="E24" s="65">
        <v>24841735.52</v>
      </c>
      <c r="F24" s="65">
        <v>179421.4</v>
      </c>
      <c r="G24" s="53"/>
      <c r="H24" s="65">
        <v>124893.24</v>
      </c>
      <c r="I24" s="65">
        <v>-336134.95</v>
      </c>
      <c r="J24" s="65"/>
      <c r="M24" s="53">
        <f>SUM(D24:J24)</f>
        <v>32125112.86</v>
      </c>
      <c r="N24" s="122"/>
      <c r="O24" s="46" t="e">
        <f>+#REF!+#REF!+#REF!+#REF!</f>
        <v>#REF!</v>
      </c>
      <c r="P24" s="121"/>
      <c r="Q24" s="65" t="e">
        <f>+M24-O24</f>
        <v>#REF!</v>
      </c>
      <c r="S24" s="77">
        <f>ROUND((+D24/1000),0)</f>
        <v>7315</v>
      </c>
      <c r="T24" s="13" t="e">
        <f>ROUND((+Q24/1000),0)</f>
        <v>#REF!</v>
      </c>
    </row>
    <row r="25" spans="2:17" s="2" customFormat="1" ht="15">
      <c r="B25" s="3" t="s">
        <v>49</v>
      </c>
      <c r="D25" s="65">
        <v>0</v>
      </c>
      <c r="E25" s="65">
        <v>0</v>
      </c>
      <c r="F25" s="65">
        <v>0</v>
      </c>
      <c r="G25" s="53">
        <v>0</v>
      </c>
      <c r="H25" s="65">
        <v>0</v>
      </c>
      <c r="I25" s="65">
        <v>0</v>
      </c>
      <c r="J25" s="65">
        <v>0</v>
      </c>
      <c r="M25" s="53">
        <f>SUM(D25:J25)</f>
        <v>0</v>
      </c>
      <c r="N25" s="122"/>
      <c r="O25" s="53"/>
      <c r="P25" s="121"/>
      <c r="Q25" s="65">
        <f>+M25+O25</f>
        <v>0</v>
      </c>
    </row>
    <row r="26" spans="2:20" s="2" customFormat="1" ht="15.75" thickBot="1">
      <c r="B26" s="3" t="s">
        <v>217</v>
      </c>
      <c r="D26" s="76">
        <f>+D23+D24-D25</f>
        <v>7474443.800000001</v>
      </c>
      <c r="E26" s="76">
        <f aca="true" t="shared" si="1" ref="E26:T26">+E23+E24-E25</f>
        <v>25374760.62</v>
      </c>
      <c r="F26" s="76">
        <f>+F23+F24-F25</f>
        <v>171032.65</v>
      </c>
      <c r="G26" s="76">
        <f t="shared" si="1"/>
        <v>0</v>
      </c>
      <c r="H26" s="76">
        <f t="shared" si="1"/>
        <v>118562.48000000001</v>
      </c>
      <c r="I26" s="76">
        <f t="shared" si="1"/>
        <v>-337446</v>
      </c>
      <c r="J26" s="76">
        <f t="shared" si="1"/>
        <v>0</v>
      </c>
      <c r="K26" s="76">
        <f t="shared" si="1"/>
        <v>0</v>
      </c>
      <c r="L26" s="76">
        <f t="shared" si="1"/>
        <v>0</v>
      </c>
      <c r="M26" s="76">
        <f t="shared" si="1"/>
        <v>32801353.55</v>
      </c>
      <c r="N26" s="125"/>
      <c r="O26" s="76" t="e">
        <f t="shared" si="1"/>
        <v>#REF!</v>
      </c>
      <c r="P26" s="126"/>
      <c r="Q26" s="76" t="e">
        <f t="shared" si="1"/>
        <v>#REF!</v>
      </c>
      <c r="R26" s="76">
        <f t="shared" si="1"/>
        <v>0</v>
      </c>
      <c r="S26" s="80">
        <f t="shared" si="1"/>
        <v>7475</v>
      </c>
      <c r="T26" s="80" t="e">
        <f t="shared" si="1"/>
        <v>#REF!</v>
      </c>
    </row>
    <row r="27" spans="2:20" s="2" customFormat="1" ht="15.75" thickTop="1">
      <c r="B27" s="3"/>
      <c r="D27" s="43">
        <f>D26-'BAL SHEET'!E33+5547984.36</f>
        <v>0</v>
      </c>
      <c r="E27" s="43">
        <f>E26-'BAL SHEET'!F33</f>
        <v>0</v>
      </c>
      <c r="F27" s="43">
        <f>F26-'BAL SHEET'!G33</f>
        <v>0</v>
      </c>
      <c r="G27" s="53"/>
      <c r="H27" s="43">
        <f>H26-'BAL SHEET'!H33</f>
        <v>0</v>
      </c>
      <c r="I27" s="43">
        <f>I26-'BAL SHEET'!I33</f>
        <v>0</v>
      </c>
      <c r="J27" s="65"/>
      <c r="M27" s="65"/>
      <c r="N27" s="67"/>
      <c r="O27" s="65"/>
      <c r="P27" s="65"/>
      <c r="Q27" s="43">
        <f>'BAL SHEET'!Q33</f>
        <v>0</v>
      </c>
      <c r="S27" s="5"/>
      <c r="T27" s="43"/>
    </row>
    <row r="28" spans="2:20" s="2" customFormat="1" ht="15">
      <c r="B28" s="3"/>
      <c r="D28" s="43"/>
      <c r="E28" s="110"/>
      <c r="F28" s="5"/>
      <c r="G28" s="53"/>
      <c r="H28" s="5"/>
      <c r="I28" s="43"/>
      <c r="J28" s="65"/>
      <c r="M28" s="65"/>
      <c r="N28" s="67"/>
      <c r="O28" s="65"/>
      <c r="P28" s="65"/>
      <c r="Q28" s="43"/>
      <c r="S28" s="5"/>
      <c r="T28" s="43"/>
    </row>
    <row r="29" spans="2:7" s="5" customFormat="1" ht="15">
      <c r="B29" s="5" t="s">
        <v>76</v>
      </c>
      <c r="F29" s="5">
        <v>0</v>
      </c>
      <c r="G29" s="12"/>
    </row>
    <row r="30" s="5" customFormat="1" ht="15">
      <c r="G30" s="12"/>
    </row>
    <row r="31" spans="2:20" s="5" customFormat="1" ht="15">
      <c r="B31" s="5" t="s">
        <v>81</v>
      </c>
      <c r="D31" s="5">
        <v>0</v>
      </c>
      <c r="F31" s="5">
        <v>0</v>
      </c>
      <c r="G31" s="12"/>
      <c r="H31" s="5">
        <v>0</v>
      </c>
      <c r="I31" s="5">
        <v>0</v>
      </c>
      <c r="M31" s="13">
        <f>SUM(D31:K31)</f>
        <v>0</v>
      </c>
      <c r="Q31" s="5">
        <f>+M31-O31</f>
        <v>0</v>
      </c>
      <c r="S31" s="53">
        <f>ROUND((+D31/1000),0)</f>
        <v>0</v>
      </c>
      <c r="T31" s="13">
        <f>ROUND((+Q31/1000),0)</f>
        <v>0</v>
      </c>
    </row>
    <row r="32" spans="2:20" s="5" customFormat="1" ht="15">
      <c r="B32" s="5" t="s">
        <v>77</v>
      </c>
      <c r="D32" s="5">
        <v>0</v>
      </c>
      <c r="F32" s="5">
        <v>0</v>
      </c>
      <c r="G32" s="12"/>
      <c r="H32" s="5">
        <v>0</v>
      </c>
      <c r="I32" s="5">
        <v>0</v>
      </c>
      <c r="M32" s="13">
        <f>SUM(D32:K32)</f>
        <v>0</v>
      </c>
      <c r="Q32" s="5">
        <f>+M32-O32</f>
        <v>0</v>
      </c>
      <c r="S32" s="53">
        <f>ROUND((+D32/1000),0)</f>
        <v>0</v>
      </c>
      <c r="T32" s="13">
        <f>ROUND((+Q32/1000),0)</f>
        <v>0</v>
      </c>
    </row>
    <row r="33" spans="2:20" s="5" customFormat="1" ht="15">
      <c r="B33" s="5" t="s">
        <v>78</v>
      </c>
      <c r="D33" s="5">
        <v>262902.08</v>
      </c>
      <c r="E33" s="5">
        <v>35429.8</v>
      </c>
      <c r="F33" s="5">
        <v>0</v>
      </c>
      <c r="G33" s="12"/>
      <c r="H33" s="5">
        <v>0</v>
      </c>
      <c r="I33" s="5">
        <v>0</v>
      </c>
      <c r="M33" s="13">
        <f>SUM(D33:K33)</f>
        <v>298331.88</v>
      </c>
      <c r="Q33" s="5">
        <f>+M33-O33</f>
        <v>298331.88</v>
      </c>
      <c r="S33" s="53">
        <f>ROUND((+D33/1000),0)</f>
        <v>263</v>
      </c>
      <c r="T33" s="13">
        <f>ROUND((+Q33/1000),0)</f>
        <v>298</v>
      </c>
    </row>
    <row r="34" spans="2:20" s="5" customFormat="1" ht="15">
      <c r="B34" s="5" t="s">
        <v>177</v>
      </c>
      <c r="G34" s="12"/>
      <c r="M34" s="13">
        <f>SUM(D34:K34)</f>
        <v>0</v>
      </c>
      <c r="Q34" s="5">
        <f>+M34-O34</f>
        <v>0</v>
      </c>
      <c r="S34" s="53"/>
      <c r="T34" s="13">
        <f>ROUND((+Q34/1000),0)</f>
        <v>0</v>
      </c>
    </row>
    <row r="35" spans="2:20" s="5" customFormat="1" ht="15">
      <c r="B35" s="5" t="s">
        <v>178</v>
      </c>
      <c r="E35" s="5">
        <v>101853.82</v>
      </c>
      <c r="G35" s="12"/>
      <c r="M35" s="13">
        <f>SUM(D35:K35)</f>
        <v>101853.82</v>
      </c>
      <c r="Q35" s="5">
        <f>+M35-O35</f>
        <v>101853.82</v>
      </c>
      <c r="S35" s="53"/>
      <c r="T35" s="13">
        <f>ROUND((+Q35/1000),0)</f>
        <v>102</v>
      </c>
    </row>
    <row r="36" spans="4:20" s="5" customFormat="1" ht="15.75" thickBot="1">
      <c r="D36" s="7">
        <f>SUM(D31:D35)</f>
        <v>262902.08</v>
      </c>
      <c r="E36" s="7">
        <f>SUM(E31:E35)</f>
        <v>137283.62</v>
      </c>
      <c r="F36" s="7">
        <f>SUM(F31:F35)</f>
        <v>0</v>
      </c>
      <c r="G36" s="12"/>
      <c r="H36" s="7">
        <f>SUM(H31:H35)</f>
        <v>0</v>
      </c>
      <c r="I36" s="7">
        <f>SUM(I31:I35)</f>
        <v>0</v>
      </c>
      <c r="J36" s="7">
        <f>SUM(J31:J35)</f>
        <v>0</v>
      </c>
      <c r="K36" s="7"/>
      <c r="L36" s="7">
        <f>SUM(L31:L35)</f>
        <v>0</v>
      </c>
      <c r="M36" s="7">
        <f>SUM(M31:M35)</f>
        <v>400185.7</v>
      </c>
      <c r="Q36" s="7">
        <f>SUM(Q31:Q35)</f>
        <v>400185.7</v>
      </c>
      <c r="S36" s="45">
        <f>SUM(S31:S33)</f>
        <v>263</v>
      </c>
      <c r="T36" s="7">
        <f>SUM(T31:T35)</f>
        <v>400</v>
      </c>
    </row>
    <row r="37" spans="2:7" s="5" customFormat="1" ht="15.75" thickTop="1">
      <c r="B37" s="5" t="s">
        <v>219</v>
      </c>
      <c r="F37" s="5">
        <v>0</v>
      </c>
      <c r="G37" s="12"/>
    </row>
    <row r="38" spans="2:20" s="5" customFormat="1" ht="15">
      <c r="B38" s="5" t="s">
        <v>79</v>
      </c>
      <c r="D38" s="5">
        <v>0</v>
      </c>
      <c r="E38" s="43">
        <v>164840.83</v>
      </c>
      <c r="F38" s="5">
        <v>0</v>
      </c>
      <c r="G38" s="12"/>
      <c r="H38" s="5">
        <v>0</v>
      </c>
      <c r="I38" s="5">
        <v>0</v>
      </c>
      <c r="M38" s="13">
        <f>SUM(D38:K38)</f>
        <v>164840.83</v>
      </c>
      <c r="Q38" s="43">
        <f>+M38-O38</f>
        <v>164840.83</v>
      </c>
      <c r="S38" s="53">
        <f>ROUND((+D38/1000),0)</f>
        <v>0</v>
      </c>
      <c r="T38" s="53">
        <f>ROUND((+Q38/1000),0)</f>
        <v>165</v>
      </c>
    </row>
    <row r="39" spans="2:20" s="5" customFormat="1" ht="15">
      <c r="B39" s="5" t="s">
        <v>80</v>
      </c>
      <c r="D39" s="5">
        <v>0</v>
      </c>
      <c r="E39" s="43">
        <v>25030.64</v>
      </c>
      <c r="G39" s="12"/>
      <c r="M39" s="13">
        <f aca="true" t="shared" si="2" ref="M39:M45">SUM(D39:K39)</f>
        <v>25030.64</v>
      </c>
      <c r="Q39" s="43">
        <f aca="true" t="shared" si="3" ref="Q39:Q45">+M39-O39</f>
        <v>25030.64</v>
      </c>
      <c r="S39" s="53"/>
      <c r="T39" s="53">
        <f aca="true" t="shared" si="4" ref="T39:T45">ROUND((+Q39/1000),0)</f>
        <v>25</v>
      </c>
    </row>
    <row r="40" spans="2:20" s="5" customFormat="1" ht="15">
      <c r="B40" s="5" t="s">
        <v>228</v>
      </c>
      <c r="D40" s="5">
        <v>0</v>
      </c>
      <c r="E40" s="43"/>
      <c r="F40" s="5">
        <v>0</v>
      </c>
      <c r="G40" s="12"/>
      <c r="H40" s="5">
        <v>0</v>
      </c>
      <c r="I40" s="5">
        <v>0</v>
      </c>
      <c r="M40" s="53">
        <f t="shared" si="2"/>
        <v>0</v>
      </c>
      <c r="Q40" s="43">
        <f t="shared" si="3"/>
        <v>0</v>
      </c>
      <c r="S40" s="53">
        <f>ROUND((+D39/1000),0)</f>
        <v>0</v>
      </c>
      <c r="T40" s="53">
        <f t="shared" si="4"/>
        <v>0</v>
      </c>
    </row>
    <row r="41" spans="2:20" s="5" customFormat="1" ht="15">
      <c r="B41" s="5" t="s">
        <v>220</v>
      </c>
      <c r="D41" s="43"/>
      <c r="E41" s="43"/>
      <c r="G41" s="12"/>
      <c r="M41" s="53">
        <f t="shared" si="2"/>
        <v>0</v>
      </c>
      <c r="Q41" s="43">
        <f t="shared" si="3"/>
        <v>0</v>
      </c>
      <c r="S41" s="53"/>
      <c r="T41" s="53">
        <f t="shared" si="4"/>
        <v>0</v>
      </c>
    </row>
    <row r="42" spans="2:20" s="5" customFormat="1" ht="15">
      <c r="B42" s="5" t="s">
        <v>294</v>
      </c>
      <c r="D42" s="43"/>
      <c r="E42" s="43"/>
      <c r="G42" s="12"/>
      <c r="M42" s="53">
        <f t="shared" si="2"/>
        <v>0</v>
      </c>
      <c r="Q42" s="43">
        <f t="shared" si="3"/>
        <v>0</v>
      </c>
      <c r="S42" s="53"/>
      <c r="T42" s="53">
        <f t="shared" si="4"/>
        <v>0</v>
      </c>
    </row>
    <row r="43" spans="2:20" s="5" customFormat="1" ht="15">
      <c r="B43" s="5" t="s">
        <v>254</v>
      </c>
      <c r="D43" s="5">
        <v>32.5</v>
      </c>
      <c r="E43" s="43">
        <v>5675.75</v>
      </c>
      <c r="F43" s="5">
        <v>3.75</v>
      </c>
      <c r="G43" s="12"/>
      <c r="H43" s="5">
        <v>7.5</v>
      </c>
      <c r="I43" s="5">
        <v>1.05</v>
      </c>
      <c r="M43" s="53">
        <f t="shared" si="2"/>
        <v>5720.55</v>
      </c>
      <c r="Q43" s="43">
        <f t="shared" si="3"/>
        <v>5720.55</v>
      </c>
      <c r="S43" s="53"/>
      <c r="T43" s="53">
        <f t="shared" si="4"/>
        <v>6</v>
      </c>
    </row>
    <row r="44" spans="2:20" s="5" customFormat="1" ht="15">
      <c r="B44" s="5" t="s">
        <v>255</v>
      </c>
      <c r="E44" s="43"/>
      <c r="G44" s="12"/>
      <c r="M44" s="53">
        <f t="shared" si="2"/>
        <v>0</v>
      </c>
      <c r="Q44" s="43">
        <f t="shared" si="3"/>
        <v>0</v>
      </c>
      <c r="S44" s="53"/>
      <c r="T44" s="53">
        <f t="shared" si="4"/>
        <v>0</v>
      </c>
    </row>
    <row r="45" spans="2:20" s="5" customFormat="1" ht="15">
      <c r="B45" s="5" t="s">
        <v>256</v>
      </c>
      <c r="E45" s="43">
        <v>14348.79</v>
      </c>
      <c r="G45" s="12"/>
      <c r="M45" s="53">
        <f t="shared" si="2"/>
        <v>14348.79</v>
      </c>
      <c r="Q45" s="43">
        <f t="shared" si="3"/>
        <v>14348.79</v>
      </c>
      <c r="S45" s="53"/>
      <c r="T45" s="53">
        <f t="shared" si="4"/>
        <v>14</v>
      </c>
    </row>
    <row r="46" spans="4:20" s="5" customFormat="1" ht="15.75" thickBot="1">
      <c r="D46" s="45">
        <f>SUM(D38:D44)</f>
        <v>32.5</v>
      </c>
      <c r="E46" s="45">
        <f>SUM(E38:E45)</f>
        <v>209896.00999999998</v>
      </c>
      <c r="F46" s="7">
        <f>SUM(F38:F44)</f>
        <v>3.75</v>
      </c>
      <c r="G46" s="7">
        <f>SUM(G38:G40)</f>
        <v>0</v>
      </c>
      <c r="H46" s="7">
        <f>SUM(H38:H44)</f>
        <v>7.5</v>
      </c>
      <c r="I46" s="7">
        <f>SUM(I38:I44)</f>
        <v>1.05</v>
      </c>
      <c r="J46" s="7">
        <f>SUM(J38:J44)</f>
        <v>0</v>
      </c>
      <c r="K46" s="7"/>
      <c r="L46" s="7">
        <f>SUM(L38:L40)</f>
        <v>0</v>
      </c>
      <c r="M46" s="45">
        <f>SUM(M38:M45)</f>
        <v>209940.80999999997</v>
      </c>
      <c r="Q46" s="45">
        <f>SUM(Q38:Q45)</f>
        <v>209940.80999999997</v>
      </c>
      <c r="S46" s="45">
        <f>SUM(S38:S40)</f>
        <v>0</v>
      </c>
      <c r="T46" s="7">
        <f>SUM(T38:T40)</f>
        <v>190</v>
      </c>
    </row>
    <row r="47" s="5" customFormat="1" ht="15.75" thickTop="1">
      <c r="G47" s="12"/>
    </row>
    <row r="48" spans="2:20" s="5" customFormat="1" ht="15.75" thickBot="1">
      <c r="B48" s="5" t="s">
        <v>16</v>
      </c>
      <c r="D48" s="8">
        <v>0</v>
      </c>
      <c r="E48" s="8">
        <v>106591.26</v>
      </c>
      <c r="F48" s="8">
        <v>6900</v>
      </c>
      <c r="G48" s="12"/>
      <c r="H48" s="8">
        <v>79.7</v>
      </c>
      <c r="I48" s="8">
        <v>0</v>
      </c>
      <c r="J48" s="8"/>
      <c r="M48" s="4">
        <f>SUM(D48:K48)</f>
        <v>113570.95999999999</v>
      </c>
      <c r="Q48" s="8">
        <f>+M48-O48</f>
        <v>113570.95999999999</v>
      </c>
      <c r="S48" s="49">
        <f>ROUND((+D48/1000),0)</f>
        <v>0</v>
      </c>
      <c r="T48" s="4">
        <f>ROUND((+Q48/1000),0)</f>
        <v>114</v>
      </c>
    </row>
    <row r="49" s="5" customFormat="1" ht="15.75" thickTop="1">
      <c r="G49" s="12"/>
    </row>
    <row r="50" spans="2:7" s="5" customFormat="1" ht="15">
      <c r="B50" s="18" t="s">
        <v>10</v>
      </c>
      <c r="G50" s="12"/>
    </row>
    <row r="51" spans="2:20" s="5" customFormat="1" ht="15">
      <c r="B51" s="5" t="s">
        <v>179</v>
      </c>
      <c r="D51" s="5">
        <v>71350</v>
      </c>
      <c r="E51" s="43">
        <v>268350</v>
      </c>
      <c r="F51" s="5">
        <v>0</v>
      </c>
      <c r="G51" s="12"/>
      <c r="M51" s="13">
        <f>SUM(D51:K51)</f>
        <v>339700</v>
      </c>
      <c r="Q51" s="5">
        <f>+M51-O51</f>
        <v>339700</v>
      </c>
      <c r="S51" s="53">
        <f>ROUND((+D51/1000),0)</f>
        <v>71</v>
      </c>
      <c r="T51" s="13">
        <f>ROUND((+Q51/1000),0)</f>
        <v>340</v>
      </c>
    </row>
    <row r="52" spans="2:20" s="5" customFormat="1" ht="15">
      <c r="B52" s="14" t="s">
        <v>180</v>
      </c>
      <c r="D52" s="5">
        <v>0</v>
      </c>
      <c r="G52" s="12"/>
      <c r="M52" s="13">
        <f>SUM(D52:K52)</f>
        <v>0</v>
      </c>
      <c r="Q52" s="5">
        <f>+M52-O52</f>
        <v>0</v>
      </c>
      <c r="S52" s="53">
        <f>ROUND((+D52/1000),0)</f>
        <v>0</v>
      </c>
      <c r="T52" s="13">
        <f>ROUND((+Q52/1000),0)</f>
        <v>0</v>
      </c>
    </row>
    <row r="53" spans="2:20" s="5" customFormat="1" ht="15">
      <c r="B53" s="5" t="s">
        <v>174</v>
      </c>
      <c r="D53" s="5">
        <v>0</v>
      </c>
      <c r="E53" s="43">
        <v>0</v>
      </c>
      <c r="G53" s="12"/>
      <c r="M53" s="13">
        <f>SUM(D53:K53)</f>
        <v>0</v>
      </c>
      <c r="Q53" s="5">
        <f>+M53-O53</f>
        <v>0</v>
      </c>
      <c r="S53" s="53">
        <f>ROUND((+D53/1000),0)</f>
        <v>0</v>
      </c>
      <c r="T53" s="13">
        <f>ROUND((+Q53/1000),0)</f>
        <v>0</v>
      </c>
    </row>
    <row r="54" spans="4:13" s="5" customFormat="1" ht="15">
      <c r="D54" s="5">
        <v>0</v>
      </c>
      <c r="G54" s="12"/>
      <c r="M54" s="13">
        <f>SUM(D54:K54)</f>
        <v>0</v>
      </c>
    </row>
    <row r="55" s="5" customFormat="1" ht="15">
      <c r="G55" s="12"/>
    </row>
    <row r="56" s="5" customFormat="1" ht="15">
      <c r="G56" s="12"/>
    </row>
    <row r="57" spans="4:20" s="5" customFormat="1" ht="15.75" thickBot="1">
      <c r="D57" s="8">
        <f>SUM(D51:D55)</f>
        <v>71350</v>
      </c>
      <c r="E57" s="71">
        <f aca="true" t="shared" si="5" ref="E57:J57">SUM(E51:E55)</f>
        <v>268350</v>
      </c>
      <c r="F57" s="8">
        <f t="shared" si="5"/>
        <v>0</v>
      </c>
      <c r="G57" s="12"/>
      <c r="H57" s="8">
        <f t="shared" si="5"/>
        <v>0</v>
      </c>
      <c r="I57" s="8">
        <f t="shared" si="5"/>
        <v>0</v>
      </c>
      <c r="J57" s="8">
        <f t="shared" si="5"/>
        <v>0</v>
      </c>
      <c r="M57" s="4">
        <f>SUM(M51:M56)</f>
        <v>339700</v>
      </c>
      <c r="Q57" s="8">
        <f>+M57-O57</f>
        <v>339700</v>
      </c>
      <c r="S57" s="49">
        <f>ROUND((+D57/1000),0)</f>
        <v>71</v>
      </c>
      <c r="T57" s="4">
        <f>ROUND((+Q57/1000),0)</f>
        <v>340</v>
      </c>
    </row>
    <row r="58" spans="5:7" s="5" customFormat="1" ht="15.75" thickTop="1">
      <c r="E58" s="43">
        <f>+E57-E18</f>
        <v>0</v>
      </c>
      <c r="F58" s="43"/>
      <c r="G58" s="12"/>
    </row>
    <row r="59" s="5" customFormat="1" ht="15">
      <c r="G59" s="12"/>
    </row>
    <row r="60" s="5" customFormat="1" ht="15">
      <c r="G60" s="12"/>
    </row>
    <row r="61" s="5" customFormat="1" ht="15">
      <c r="G61" s="12"/>
    </row>
    <row r="62" s="5" customFormat="1" ht="15">
      <c r="G62" s="12"/>
    </row>
    <row r="63" spans="4:10" s="5" customFormat="1" ht="15">
      <c r="D63" s="5" t="s">
        <v>295</v>
      </c>
      <c r="F63" s="5" t="s">
        <v>245</v>
      </c>
      <c r="G63" s="12"/>
      <c r="H63" s="5" t="s">
        <v>245</v>
      </c>
      <c r="I63" s="5" t="s">
        <v>245</v>
      </c>
      <c r="J63" s="5" t="s">
        <v>188</v>
      </c>
    </row>
    <row r="64" spans="4:7" s="5" customFormat="1" ht="15">
      <c r="D64" s="5" t="s">
        <v>65</v>
      </c>
      <c r="G64" s="12"/>
    </row>
    <row r="65" s="5" customFormat="1" ht="15">
      <c r="G65" s="12"/>
    </row>
    <row r="66" s="5" customFormat="1" ht="15">
      <c r="G66" s="12"/>
    </row>
    <row r="67" s="5" customFormat="1" ht="15">
      <c r="G67" s="12"/>
    </row>
    <row r="68" s="5" customFormat="1" ht="15">
      <c r="G68" s="12"/>
    </row>
    <row r="69" s="5" customFormat="1" ht="15">
      <c r="G69" s="12"/>
    </row>
    <row r="70" s="5" customFormat="1" ht="15">
      <c r="G70" s="12"/>
    </row>
    <row r="71" s="5" customFormat="1" ht="15">
      <c r="G71" s="12"/>
    </row>
    <row r="72" spans="7:15" s="5" customFormat="1" ht="15">
      <c r="G72" s="12"/>
      <c r="O72" s="18" t="s">
        <v>37</v>
      </c>
    </row>
    <row r="73" spans="7:17" s="5" customFormat="1" ht="15">
      <c r="G73" s="12"/>
      <c r="O73" s="5" t="s">
        <v>24</v>
      </c>
      <c r="Q73" s="5" t="e">
        <f>#REF!</f>
        <v>#REF!</v>
      </c>
    </row>
    <row r="74" spans="7:17" s="5" customFormat="1" ht="15">
      <c r="G74" s="12"/>
      <c r="J74" s="37" t="s">
        <v>59</v>
      </c>
      <c r="K74" s="23"/>
      <c r="O74" s="5" t="s">
        <v>25</v>
      </c>
      <c r="Q74" s="5" t="e">
        <f>#REF!-#REF!</f>
        <v>#REF!</v>
      </c>
    </row>
    <row r="75" spans="7:17" s="5" customFormat="1" ht="15">
      <c r="G75" s="12"/>
      <c r="H75" s="5" t="s">
        <v>50</v>
      </c>
      <c r="J75" s="5" t="e">
        <f>#REF!</f>
        <v>#REF!</v>
      </c>
      <c r="O75" s="5" t="s">
        <v>29</v>
      </c>
      <c r="Q75" s="5" t="e">
        <f>#REF!</f>
        <v>#REF!</v>
      </c>
    </row>
    <row r="76" spans="7:17" s="5" customFormat="1" ht="15">
      <c r="G76" s="12"/>
      <c r="H76" s="5" t="s">
        <v>52</v>
      </c>
      <c r="J76" s="6" t="e">
        <f>#REF!</f>
        <v>#REF!</v>
      </c>
      <c r="K76" s="6"/>
      <c r="O76" s="5" t="s">
        <v>27</v>
      </c>
      <c r="Q76" s="5" t="e">
        <f>#REF!-#REF!</f>
        <v>#REF!</v>
      </c>
    </row>
    <row r="77" spans="7:17" s="5" customFormat="1" ht="15">
      <c r="G77" s="12"/>
      <c r="H77" s="29" t="s">
        <v>51</v>
      </c>
      <c r="J77" s="12" t="e">
        <f>J75+J76</f>
        <v>#REF!</v>
      </c>
      <c r="K77" s="12"/>
      <c r="O77" s="5" t="s">
        <v>30</v>
      </c>
      <c r="Q77" s="5" t="e">
        <f>#REF!-#REF!</f>
        <v>#REF!</v>
      </c>
    </row>
    <row r="78" spans="7:17" s="5" customFormat="1" ht="15">
      <c r="G78" s="12"/>
      <c r="H78" s="5" t="s">
        <v>10</v>
      </c>
      <c r="J78" s="6" t="e">
        <f>#REF!</f>
        <v>#REF!</v>
      </c>
      <c r="K78" s="6"/>
      <c r="O78" s="5" t="s">
        <v>31</v>
      </c>
      <c r="Q78" s="5" t="e">
        <f>#REF!-#REF!-#REF!</f>
        <v>#REF!</v>
      </c>
    </row>
    <row r="79" spans="7:17" s="5" customFormat="1" ht="15">
      <c r="G79" s="12"/>
      <c r="H79" s="5" t="s">
        <v>13</v>
      </c>
      <c r="J79" s="5" t="e">
        <f>SUM(J77:J78)</f>
        <v>#REF!</v>
      </c>
      <c r="O79" s="5" t="s">
        <v>32</v>
      </c>
      <c r="Q79" s="6"/>
    </row>
    <row r="80" spans="7:17" s="5" customFormat="1" ht="15">
      <c r="G80" s="12"/>
      <c r="H80" s="5" t="s">
        <v>14</v>
      </c>
      <c r="J80" s="6" t="e">
        <f>#REF!</f>
        <v>#REF!</v>
      </c>
      <c r="O80" s="5" t="s">
        <v>19</v>
      </c>
      <c r="Q80" s="12" t="e">
        <f>SUM(Q73:Q79)</f>
        <v>#REF!</v>
      </c>
    </row>
    <row r="81" spans="2:17" s="5" customFormat="1" ht="15.75" thickBot="1">
      <c r="B81" s="33" t="s">
        <v>57</v>
      </c>
      <c r="C81" s="5" t="s">
        <v>61</v>
      </c>
      <c r="G81" s="12"/>
      <c r="H81" s="5" t="s">
        <v>53</v>
      </c>
      <c r="J81" s="30" t="e">
        <f>SUM(J79:J80)</f>
        <v>#REF!</v>
      </c>
      <c r="O81" s="2" t="s">
        <v>38</v>
      </c>
      <c r="Q81" s="39" t="e">
        <f>#REF!</f>
        <v>#REF!</v>
      </c>
    </row>
    <row r="82" spans="2:17" s="5" customFormat="1" ht="16.5" thickBot="1" thickTop="1">
      <c r="B82" s="33"/>
      <c r="G82" s="12"/>
      <c r="Q82" s="7" t="e">
        <f>Q80-Q81</f>
        <v>#REF!</v>
      </c>
    </row>
    <row r="83" spans="2:7" s="5" customFormat="1" ht="15.75" thickTop="1">
      <c r="B83" s="33"/>
      <c r="G83" s="12"/>
    </row>
    <row r="84" s="5" customFormat="1" ht="15">
      <c r="G84" s="12"/>
    </row>
    <row r="85" s="5" customFormat="1" ht="15">
      <c r="G85" s="12"/>
    </row>
    <row r="86" spans="4:10" s="5" customFormat="1" ht="15">
      <c r="D86" s="5" t="s">
        <v>66</v>
      </c>
      <c r="E86" s="42" t="s">
        <v>64</v>
      </c>
      <c r="F86" s="41" t="s">
        <v>63</v>
      </c>
      <c r="G86" s="12"/>
      <c r="H86" s="41" t="s">
        <v>63</v>
      </c>
      <c r="I86" s="41" t="s">
        <v>63</v>
      </c>
      <c r="J86" s="5" t="s">
        <v>67</v>
      </c>
    </row>
    <row r="87" s="5" customFormat="1" ht="15">
      <c r="G87" s="12"/>
    </row>
    <row r="88" s="5" customFormat="1" ht="15">
      <c r="G88" s="12"/>
    </row>
    <row r="89" s="5" customFormat="1" ht="15">
      <c r="G89" s="12"/>
    </row>
    <row r="90" s="5" customFormat="1" ht="15">
      <c r="G90" s="12"/>
    </row>
    <row r="91" s="5" customFormat="1" ht="15">
      <c r="G91" s="12"/>
    </row>
    <row r="92" s="5" customFormat="1" ht="15">
      <c r="G92" s="12"/>
    </row>
    <row r="93" s="5" customFormat="1" ht="15">
      <c r="G93" s="12"/>
    </row>
    <row r="94" s="5" customFormat="1" ht="15">
      <c r="G94" s="12"/>
    </row>
    <row r="95" s="5" customFormat="1" ht="15">
      <c r="G95" s="12"/>
    </row>
    <row r="96" s="5" customFormat="1" ht="15">
      <c r="G96" s="12"/>
    </row>
  </sheetData>
  <mergeCells count="2">
    <mergeCell ref="N5:P5"/>
    <mergeCell ref="D6:K6"/>
  </mergeCells>
  <printOptions gridLines="1"/>
  <pageMargins left="0.42" right="0.3" top="0.67" bottom="0.78" header="0.23" footer="0.5"/>
  <pageSetup fitToHeight="5" horizontalDpi="300" verticalDpi="300" orientation="landscape" paperSize="9" scale="55" r:id="rId4"/>
  <headerFooter alignWithMargins="0">
    <oddHeader>&amp;L&amp;"Century Gothic,Regular"&amp;8Fajar Baru Capital Bhd
Consolidated Profit &amp; Loss
A:31.12.99
</oddHeader>
    <oddFooter>&amp;L&amp;"Century Gothic,Regular"&amp;8Printed on:&amp;D,&amp;T
&amp;F&amp;R&amp;"Century Gothic,Regular"&amp;8Page &amp;Pof&amp;N</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E56"/>
  <sheetViews>
    <sheetView zoomScale="75" zoomScaleNormal="75" workbookViewId="0" topLeftCell="A1">
      <selection activeCell="C22" sqref="C22"/>
    </sheetView>
  </sheetViews>
  <sheetFormatPr defaultColWidth="9.00390625" defaultRowHeight="16.5"/>
  <cols>
    <col min="1" max="1" width="5.25390625" style="173" customWidth="1"/>
    <col min="2" max="2" width="43.375" style="173" customWidth="1"/>
    <col min="3" max="3" width="20.875" style="173" customWidth="1"/>
    <col min="4" max="4" width="13.00390625" style="204" hidden="1" customWidth="1"/>
    <col min="5" max="5" width="12.375" style="174" customWidth="1"/>
    <col min="6" max="16384" width="9.00390625" style="173" customWidth="1"/>
  </cols>
  <sheetData>
    <row r="1" spans="1:2" ht="18.75">
      <c r="A1" s="182" t="s">
        <v>327</v>
      </c>
      <c r="B1" s="172"/>
    </row>
    <row r="2" spans="1:2" ht="15.75">
      <c r="A2" s="172"/>
      <c r="B2" s="172"/>
    </row>
    <row r="3" spans="1:5" ht="15.75">
      <c r="A3" s="176" t="s">
        <v>478</v>
      </c>
      <c r="B3" s="172"/>
      <c r="D3" s="205">
        <v>2002</v>
      </c>
      <c r="E3" s="202">
        <v>2002</v>
      </c>
    </row>
    <row r="4" spans="1:5" ht="15.75">
      <c r="A4" s="176" t="s">
        <v>367</v>
      </c>
      <c r="B4" s="172"/>
      <c r="D4" s="206" t="s">
        <v>330</v>
      </c>
      <c r="E4" s="196" t="s">
        <v>330</v>
      </c>
    </row>
    <row r="5" spans="4:5" ht="15.75">
      <c r="D5" s="206" t="s">
        <v>331</v>
      </c>
      <c r="E5" s="196" t="s">
        <v>331</v>
      </c>
    </row>
    <row r="6" spans="4:5" ht="15.75">
      <c r="D6" s="206" t="s">
        <v>332</v>
      </c>
      <c r="E6" s="196" t="s">
        <v>332</v>
      </c>
    </row>
    <row r="7" spans="4:5" ht="15.75">
      <c r="D7" s="207">
        <v>37529</v>
      </c>
      <c r="E7" s="203">
        <v>37529</v>
      </c>
    </row>
    <row r="8" ht="15.75">
      <c r="D8" s="208"/>
    </row>
    <row r="9" spans="1:4" ht="15.75">
      <c r="A9" s="133" t="s">
        <v>383</v>
      </c>
      <c r="D9" s="208"/>
    </row>
    <row r="10" spans="1:5" ht="15.75">
      <c r="A10" s="172" t="s">
        <v>371</v>
      </c>
      <c r="B10" s="172"/>
      <c r="C10" s="172"/>
      <c r="D10" s="209">
        <f>+'P &amp; L'!Q17</f>
        <v>1015940.69</v>
      </c>
      <c r="E10" s="200">
        <f>ROUND((+D10/1000),0)</f>
        <v>1016</v>
      </c>
    </row>
    <row r="11" spans="1:5" ht="15.75">
      <c r="A11" s="172" t="s">
        <v>368</v>
      </c>
      <c r="B11" s="172"/>
      <c r="C11" s="172"/>
      <c r="D11" s="209"/>
      <c r="E11" s="195"/>
    </row>
    <row r="12" spans="2:5" ht="15.75">
      <c r="B12" s="172" t="s">
        <v>16</v>
      </c>
      <c r="C12" s="172"/>
      <c r="D12" s="209">
        <f>+'P &amp; L'!Q48</f>
        <v>113570.95999999999</v>
      </c>
      <c r="E12" s="200">
        <f>ROUND((+D12/1000),0)</f>
        <v>114</v>
      </c>
    </row>
    <row r="13" spans="2:5" ht="15.75">
      <c r="B13" s="172" t="s">
        <v>372</v>
      </c>
      <c r="C13" s="172"/>
      <c r="D13" s="209">
        <v>209940.81</v>
      </c>
      <c r="E13" s="200">
        <f>ROUND((+D13/1000),0)</f>
        <v>210</v>
      </c>
    </row>
    <row r="14" spans="2:5" ht="15.75">
      <c r="B14" s="172" t="s">
        <v>373</v>
      </c>
      <c r="C14" s="172"/>
      <c r="D14" s="209">
        <f>-'P &amp; L'!Q36</f>
        <v>-400185.7</v>
      </c>
      <c r="E14" s="200">
        <f>ROUND((+D14/1000),0)</f>
        <v>-400</v>
      </c>
    </row>
    <row r="15" spans="1:5" ht="15.75">
      <c r="A15" s="172"/>
      <c r="B15" s="172"/>
      <c r="C15" s="172"/>
      <c r="D15" s="210"/>
      <c r="E15" s="201"/>
    </row>
    <row r="16" spans="1:5" ht="15.75">
      <c r="A16" s="172" t="s">
        <v>374</v>
      </c>
      <c r="B16" s="172"/>
      <c r="C16" s="172"/>
      <c r="D16" s="209">
        <f>SUM(D10:D15)</f>
        <v>939266.76</v>
      </c>
      <c r="E16" s="194">
        <f>SUM(E10:E15)</f>
        <v>940</v>
      </c>
    </row>
    <row r="17" spans="1:5" ht="15.75">
      <c r="A17" s="172"/>
      <c r="B17" s="172"/>
      <c r="C17" s="172"/>
      <c r="D17" s="209"/>
      <c r="E17" s="195"/>
    </row>
    <row r="18" spans="1:5" ht="15.75">
      <c r="A18" s="172" t="s">
        <v>369</v>
      </c>
      <c r="B18" s="172"/>
      <c r="C18" s="172"/>
      <c r="D18" s="209"/>
      <c r="E18" s="195"/>
    </row>
    <row r="19" spans="1:5" ht="15.75">
      <c r="A19" s="172"/>
      <c r="B19" s="172" t="s">
        <v>375</v>
      </c>
      <c r="C19" s="172"/>
      <c r="D19" s="209">
        <f>+'BAL SHEET'!K12-'BAL SHEET'!O12</f>
        <v>43145.98999999999</v>
      </c>
      <c r="E19" s="200">
        <f>ROUND((+D19/1000),0)</f>
        <v>43</v>
      </c>
    </row>
    <row r="20" spans="1:5" ht="15.75">
      <c r="A20" s="172"/>
      <c r="B20" s="172" t="s">
        <v>376</v>
      </c>
      <c r="C20" s="172"/>
      <c r="D20" s="209">
        <f>+'BAL SHEET'!K9+'BAL SHEET'!K13+'BAL SHEET'!K14-'BAL SHEET'!O9-'BAL SHEET'!O13-'BAL SHEET'!O14</f>
        <v>-4402856.149999995</v>
      </c>
      <c r="E20" s="200">
        <f>ROUND((+D20/1000),0)</f>
        <v>-4403</v>
      </c>
    </row>
    <row r="21" spans="1:5" ht="15.75">
      <c r="A21" s="172"/>
      <c r="B21" s="172" t="s">
        <v>377</v>
      </c>
      <c r="C21" s="172"/>
      <c r="D21" s="209">
        <f>+'BAL SHEET'!K15-'BAL SHEET'!O15+1323291</f>
        <v>-1493965.9100000598</v>
      </c>
      <c r="E21" s="200">
        <f>ROUND((+D21/1000),0)</f>
        <v>-1494</v>
      </c>
    </row>
    <row r="22" spans="1:5" ht="15.75">
      <c r="A22" s="172"/>
      <c r="B22" s="172" t="s">
        <v>378</v>
      </c>
      <c r="C22" s="172"/>
      <c r="D22" s="209">
        <f>+'BAL SHEET'!O21-'BAL SHEET'!K21+'BAL SHEET'!O22-'BAL SHEET'!K22</f>
        <v>1080988.8600000008</v>
      </c>
      <c r="E22" s="200">
        <f>ROUND((+D22/1000),0)</f>
        <v>1081</v>
      </c>
    </row>
    <row r="23" spans="1:5" ht="15.75">
      <c r="A23" s="172" t="s">
        <v>379</v>
      </c>
      <c r="B23" s="172"/>
      <c r="C23" s="172"/>
      <c r="D23" s="211">
        <f>SUM(D16:D22)</f>
        <v>-3833420.4500000537</v>
      </c>
      <c r="E23" s="197">
        <f>SUM(E16:E22)</f>
        <v>-3833</v>
      </c>
    </row>
    <row r="24" spans="1:5" ht="15.75">
      <c r="A24" s="172"/>
      <c r="B24" s="172"/>
      <c r="C24" s="172"/>
      <c r="D24" s="212"/>
      <c r="E24" s="195"/>
    </row>
    <row r="25" spans="1:5" ht="15.75">
      <c r="A25" s="172" t="s">
        <v>380</v>
      </c>
      <c r="B25" s="172"/>
      <c r="C25" s="172"/>
      <c r="D25" s="212">
        <f>-'P &amp; L'!Q46</f>
        <v>-209940.80999999997</v>
      </c>
      <c r="E25" s="200">
        <f>ROUND((+D25/1000),0)</f>
        <v>-210</v>
      </c>
    </row>
    <row r="26" spans="1:5" ht="15.75">
      <c r="A26" s="172" t="s">
        <v>381</v>
      </c>
      <c r="B26" s="172"/>
      <c r="C26" s="172"/>
      <c r="D26" s="210">
        <v>-290000</v>
      </c>
      <c r="E26" s="200">
        <f>ROUND((+D26/1000),0)</f>
        <v>-290</v>
      </c>
    </row>
    <row r="27" spans="1:5" ht="15.75">
      <c r="A27" s="172" t="s">
        <v>382</v>
      </c>
      <c r="B27" s="172"/>
      <c r="C27" s="172"/>
      <c r="D27" s="213">
        <f>SUM(D23:D26)</f>
        <v>-4333361.260000054</v>
      </c>
      <c r="E27" s="198">
        <f>SUM(E23:E26)</f>
        <v>-4333</v>
      </c>
    </row>
    <row r="28" spans="1:5" ht="15.75">
      <c r="A28" s="172"/>
      <c r="B28" s="172"/>
      <c r="C28" s="172"/>
      <c r="D28" s="212"/>
      <c r="E28" s="195"/>
    </row>
    <row r="29" spans="1:5" ht="15.75">
      <c r="A29" s="176" t="s">
        <v>384</v>
      </c>
      <c r="B29" s="172"/>
      <c r="C29" s="172"/>
      <c r="D29" s="212"/>
      <c r="E29" s="195"/>
    </row>
    <row r="30" spans="1:5" ht="15.75">
      <c r="A30" s="172"/>
      <c r="B30" s="172"/>
      <c r="C30" s="172"/>
      <c r="D30" s="212"/>
      <c r="E30" s="195"/>
    </row>
    <row r="31" spans="2:5" ht="15.75">
      <c r="B31" s="172" t="s">
        <v>385</v>
      </c>
      <c r="C31" s="172"/>
      <c r="D31" s="209">
        <f>-D14</f>
        <v>400185.7</v>
      </c>
      <c r="E31" s="200">
        <f>ROUND((+D31/1000),0)</f>
        <v>400</v>
      </c>
    </row>
    <row r="32" spans="2:5" ht="15.75">
      <c r="B32" s="172" t="s">
        <v>386</v>
      </c>
      <c r="C32" s="172"/>
      <c r="D32" s="209">
        <v>-25348.16</v>
      </c>
      <c r="E32" s="200">
        <f>ROUND((+D32/1000),0)</f>
        <v>-25</v>
      </c>
    </row>
    <row r="33" spans="1:5" ht="15.75">
      <c r="A33" s="172" t="s">
        <v>387</v>
      </c>
      <c r="B33" s="172"/>
      <c r="C33" s="172"/>
      <c r="D33" s="213">
        <f>SUM(D31:D32)</f>
        <v>374837.54000000004</v>
      </c>
      <c r="E33" s="198">
        <f>SUM(E31:E32)</f>
        <v>375</v>
      </c>
    </row>
    <row r="34" spans="1:5" ht="15.75">
      <c r="A34" s="172"/>
      <c r="B34" s="172"/>
      <c r="C34" s="172"/>
      <c r="D34" s="209"/>
      <c r="E34" s="195"/>
    </row>
    <row r="35" spans="1:5" ht="15.75">
      <c r="A35" s="176" t="s">
        <v>388</v>
      </c>
      <c r="B35" s="172"/>
      <c r="C35" s="172"/>
      <c r="D35" s="209"/>
      <c r="E35" s="195"/>
    </row>
    <row r="36" spans="1:5" ht="15.75">
      <c r="A36" s="172"/>
      <c r="B36" s="177"/>
      <c r="C36" s="172"/>
      <c r="D36" s="209"/>
      <c r="E36" s="195"/>
    </row>
    <row r="37" spans="1:5" ht="15.75">
      <c r="A37" s="172"/>
      <c r="B37" s="172" t="s">
        <v>470</v>
      </c>
      <c r="C37" s="172"/>
      <c r="D37" s="209">
        <f>+'BAL SHEET'!L98-'BAL SHEET'!K98</f>
        <v>-540098.2</v>
      </c>
      <c r="E37" s="200">
        <f>ROUND((+D37/1000),0)</f>
        <v>-540</v>
      </c>
    </row>
    <row r="38" spans="1:5" ht="15.75">
      <c r="A38" s="172"/>
      <c r="B38" s="172" t="s">
        <v>473</v>
      </c>
      <c r="C38" s="172"/>
      <c r="D38" s="209">
        <v>1157000</v>
      </c>
      <c r="E38" s="200">
        <f>ROUND((+D38/1000),0)</f>
        <v>1157</v>
      </c>
    </row>
    <row r="39" spans="1:5" ht="15.75">
      <c r="A39" s="172"/>
      <c r="B39" s="172" t="s">
        <v>389</v>
      </c>
      <c r="C39" s="172"/>
      <c r="D39" s="209">
        <v>-129622.36</v>
      </c>
      <c r="E39" s="200">
        <f>ROUND((+D39/1000),0)</f>
        <v>-130</v>
      </c>
    </row>
    <row r="40" spans="1:5" ht="15.75">
      <c r="A40" s="172" t="s">
        <v>390</v>
      </c>
      <c r="B40" s="172"/>
      <c r="C40" s="172"/>
      <c r="D40" s="213">
        <f>SUM(D37:D39)</f>
        <v>487279.44000000006</v>
      </c>
      <c r="E40" s="198">
        <f>SUM(E37:E39)</f>
        <v>487</v>
      </c>
    </row>
    <row r="41" spans="1:5" ht="15.75">
      <c r="A41" s="172"/>
      <c r="B41" s="172"/>
      <c r="C41" s="172"/>
      <c r="D41" s="209"/>
      <c r="E41" s="195"/>
    </row>
    <row r="42" spans="1:5" ht="15.75">
      <c r="A42" s="175" t="s">
        <v>391</v>
      </c>
      <c r="B42" s="172"/>
      <c r="C42" s="172"/>
      <c r="D42" s="209">
        <f>+D27+D33+D40+1</f>
        <v>-3471243.280000054</v>
      </c>
      <c r="E42" s="200">
        <f>ROUND((+D42/1000),0)</f>
        <v>-3471</v>
      </c>
    </row>
    <row r="43" spans="1:5" ht="15.75">
      <c r="A43" s="172"/>
      <c r="B43" s="172"/>
      <c r="C43" s="172"/>
      <c r="D43" s="209"/>
      <c r="E43" s="195"/>
    </row>
    <row r="44" spans="1:5" ht="15.75">
      <c r="A44" s="175" t="s">
        <v>392</v>
      </c>
      <c r="B44" s="172"/>
      <c r="C44" s="172"/>
      <c r="D44" s="209">
        <f>3613938.3-7086741.9</f>
        <v>-3472803.6000000006</v>
      </c>
      <c r="E44" s="200">
        <f>ROUND((+D44/1000),0)</f>
        <v>-3473</v>
      </c>
    </row>
    <row r="45" spans="1:5" ht="16.5" thickBot="1">
      <c r="A45" s="175" t="s">
        <v>393</v>
      </c>
      <c r="B45" s="172"/>
      <c r="C45" s="172"/>
      <c r="D45" s="214">
        <f>SUM(D42:D44)</f>
        <v>-6944046.880000055</v>
      </c>
      <c r="E45" s="193">
        <f>SUM(E42:E44)</f>
        <v>-6944</v>
      </c>
    </row>
    <row r="46" spans="1:5" ht="16.5" thickTop="1">
      <c r="A46" s="172"/>
      <c r="B46" s="172"/>
      <c r="C46" s="172"/>
      <c r="D46" s="209"/>
      <c r="E46" s="195"/>
    </row>
    <row r="47" spans="1:5" ht="15.75">
      <c r="A47" s="172"/>
      <c r="B47" s="172"/>
      <c r="C47" s="172"/>
      <c r="D47" s="209"/>
      <c r="E47" s="195"/>
    </row>
    <row r="48" spans="1:5" ht="15.75">
      <c r="A48" s="175" t="s">
        <v>394</v>
      </c>
      <c r="B48" s="172"/>
      <c r="C48" s="172"/>
      <c r="D48" s="209"/>
      <c r="E48" s="195"/>
    </row>
    <row r="49" spans="2:5" ht="15.75">
      <c r="B49" s="173" t="s">
        <v>39</v>
      </c>
      <c r="D49" s="204">
        <f>+'BAL SHEET'!L66-'BAL SHEET'!L56</f>
        <v>10741.489999999758</v>
      </c>
      <c r="E49" s="200">
        <f>ROUND((+D49/1000),0)</f>
        <v>11</v>
      </c>
    </row>
    <row r="50" spans="2:5" ht="15.75">
      <c r="B50" s="173" t="s">
        <v>395</v>
      </c>
      <c r="D50" s="204">
        <f>+'BAL SHEET'!L56</f>
        <v>3608305.07</v>
      </c>
      <c r="E50" s="200">
        <f>ROUND((+D50/1000),0)</f>
        <v>3608</v>
      </c>
    </row>
    <row r="51" spans="2:5" ht="15.75">
      <c r="B51" s="173" t="s">
        <v>396</v>
      </c>
      <c r="D51" s="204">
        <f>-'BAL SHEET'!L103+'BAL SHEET'!L102+'BAL SHEET'!L98</f>
        <v>-10563093.229999999</v>
      </c>
      <c r="E51" s="200">
        <f>ROUND((+D51/1000),0)</f>
        <v>-10563</v>
      </c>
    </row>
    <row r="52" spans="4:5" ht="16.5" thickBot="1">
      <c r="D52" s="215">
        <f>SUM(D49:D51)</f>
        <v>-6944046.669999999</v>
      </c>
      <c r="E52" s="199">
        <f>SUM(E49:E51)</f>
        <v>-6944</v>
      </c>
    </row>
    <row r="53" ht="16.5" thickTop="1"/>
    <row r="55" ht="15.75">
      <c r="A55" s="192" t="s">
        <v>479</v>
      </c>
    </row>
    <row r="56" ht="15.75">
      <c r="A56" s="192" t="s">
        <v>480</v>
      </c>
    </row>
  </sheetData>
  <printOptions/>
  <pageMargins left="0.75" right="0.75" top="0.5" bottom="0.42" header="0.36" footer="0.33"/>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G249"/>
  <sheetViews>
    <sheetView tabSelected="1" workbookViewId="0" topLeftCell="A210">
      <selection activeCell="C215" sqref="C215"/>
    </sheetView>
  </sheetViews>
  <sheetFormatPr defaultColWidth="9.00390625" defaultRowHeight="16.5"/>
  <cols>
    <col min="1" max="1" width="4.25390625" style="134" customWidth="1"/>
    <col min="2" max="2" width="3.375" style="135" customWidth="1"/>
    <col min="3" max="3" width="24.75390625" style="135" customWidth="1"/>
    <col min="4" max="4" width="13.25390625" style="135" customWidth="1"/>
    <col min="5" max="5" width="14.75390625" style="135" customWidth="1"/>
    <col min="6" max="6" width="14.375" style="135" customWidth="1"/>
    <col min="7" max="7" width="14.75390625" style="135" customWidth="1"/>
    <col min="8" max="16384" width="9.00390625" style="135" customWidth="1"/>
  </cols>
  <sheetData>
    <row r="1" ht="18.75">
      <c r="A1" s="182" t="s">
        <v>327</v>
      </c>
    </row>
    <row r="3" ht="12.75">
      <c r="A3" s="134" t="s">
        <v>481</v>
      </c>
    </row>
    <row r="5" spans="1:3" ht="12.75">
      <c r="A5" s="134" t="s">
        <v>505</v>
      </c>
      <c r="C5" s="216" t="s">
        <v>482</v>
      </c>
    </row>
    <row r="6" spans="3:7" ht="15.75" customHeight="1">
      <c r="C6" s="267" t="s">
        <v>548</v>
      </c>
      <c r="D6" s="267"/>
      <c r="E6" s="267"/>
      <c r="F6" s="267"/>
      <c r="G6" s="267"/>
    </row>
    <row r="7" spans="3:7" ht="12.75">
      <c r="C7" s="267"/>
      <c r="D7" s="267"/>
      <c r="E7" s="267"/>
      <c r="F7" s="267"/>
      <c r="G7" s="267"/>
    </row>
    <row r="9" spans="3:7" ht="12.75">
      <c r="C9" s="267" t="s">
        <v>570</v>
      </c>
      <c r="D9" s="267"/>
      <c r="E9" s="267"/>
      <c r="F9" s="267"/>
      <c r="G9" s="267"/>
    </row>
    <row r="10" spans="3:7" ht="16.5" customHeight="1">
      <c r="C10" s="267"/>
      <c r="D10" s="267"/>
      <c r="E10" s="267"/>
      <c r="F10" s="267"/>
      <c r="G10" s="267"/>
    </row>
    <row r="12" spans="3:7" ht="12.75">
      <c r="C12" s="267" t="s">
        <v>571</v>
      </c>
      <c r="D12" s="267"/>
      <c r="E12" s="267"/>
      <c r="F12" s="267"/>
      <c r="G12" s="267"/>
    </row>
    <row r="13" spans="3:7" ht="15.75" customHeight="1">
      <c r="C13" s="267"/>
      <c r="D13" s="267"/>
      <c r="E13" s="267"/>
      <c r="F13" s="267"/>
      <c r="G13" s="267"/>
    </row>
    <row r="15" spans="1:3" ht="12.75">
      <c r="A15" s="134" t="s">
        <v>506</v>
      </c>
      <c r="C15" s="216" t="s">
        <v>483</v>
      </c>
    </row>
    <row r="16" spans="3:7" ht="12.75">
      <c r="C16" s="267" t="s">
        <v>572</v>
      </c>
      <c r="D16" s="267"/>
      <c r="E16" s="267"/>
      <c r="F16" s="267"/>
      <c r="G16" s="267"/>
    </row>
    <row r="17" spans="3:7" ht="16.5" customHeight="1">
      <c r="C17" s="267"/>
      <c r="D17" s="267"/>
      <c r="E17" s="267"/>
      <c r="F17" s="267"/>
      <c r="G17" s="267"/>
    </row>
    <row r="19" spans="1:3" ht="12.75">
      <c r="A19" s="134" t="s">
        <v>511</v>
      </c>
      <c r="C19" s="216" t="s">
        <v>484</v>
      </c>
    </row>
    <row r="20" ht="12.75">
      <c r="C20" s="135" t="s">
        <v>359</v>
      </c>
    </row>
    <row r="22" spans="1:3" ht="12.75">
      <c r="A22" s="134" t="s">
        <v>512</v>
      </c>
      <c r="C22" s="216" t="s">
        <v>485</v>
      </c>
    </row>
    <row r="23" spans="3:7" ht="12.75">
      <c r="C23" s="267" t="s">
        <v>549</v>
      </c>
      <c r="D23" s="267"/>
      <c r="E23" s="267"/>
      <c r="F23" s="267"/>
      <c r="G23" s="267"/>
    </row>
    <row r="24" spans="3:7" ht="15" customHeight="1">
      <c r="C24" s="267"/>
      <c r="D24" s="267"/>
      <c r="E24" s="267"/>
      <c r="F24" s="267"/>
      <c r="G24" s="267"/>
    </row>
    <row r="26" spans="1:3" ht="12.75">
      <c r="A26" s="134" t="s">
        <v>513</v>
      </c>
      <c r="C26" s="216" t="s">
        <v>486</v>
      </c>
    </row>
    <row r="27" spans="3:7" ht="15.75" customHeight="1">
      <c r="C27" s="267" t="s">
        <v>0</v>
      </c>
      <c r="D27" s="267"/>
      <c r="E27" s="267"/>
      <c r="F27" s="267"/>
      <c r="G27" s="267"/>
    </row>
    <row r="28" spans="3:7" ht="15.75" customHeight="1">
      <c r="C28" s="267"/>
      <c r="D28" s="267"/>
      <c r="E28" s="267"/>
      <c r="F28" s="267"/>
      <c r="G28" s="267"/>
    </row>
    <row r="29" spans="3:7" ht="15.75" customHeight="1">
      <c r="C29" s="267"/>
      <c r="D29" s="267"/>
      <c r="E29" s="267"/>
      <c r="F29" s="267"/>
      <c r="G29" s="267"/>
    </row>
    <row r="31" spans="1:3" ht="12.75">
      <c r="A31" s="134" t="s">
        <v>514</v>
      </c>
      <c r="C31" s="216" t="s">
        <v>487</v>
      </c>
    </row>
    <row r="32" spans="3:7" ht="12.75">
      <c r="C32" s="267" t="s">
        <v>1</v>
      </c>
      <c r="D32" s="267"/>
      <c r="E32" s="267"/>
      <c r="F32" s="267"/>
      <c r="G32" s="267"/>
    </row>
    <row r="33" spans="3:7" ht="15.75" customHeight="1">
      <c r="C33" s="267"/>
      <c r="D33" s="267"/>
      <c r="E33" s="267"/>
      <c r="F33" s="267"/>
      <c r="G33" s="267"/>
    </row>
    <row r="35" spans="1:3" ht="15.75" customHeight="1">
      <c r="A35" s="134" t="s">
        <v>515</v>
      </c>
      <c r="C35" s="216" t="s">
        <v>477</v>
      </c>
    </row>
    <row r="36" ht="15.75" customHeight="1">
      <c r="C36" s="135" t="s">
        <v>541</v>
      </c>
    </row>
    <row r="38" spans="1:3" ht="12.75">
      <c r="A38" s="134" t="s">
        <v>516</v>
      </c>
      <c r="C38" s="216" t="s">
        <v>542</v>
      </c>
    </row>
    <row r="39" ht="12.75">
      <c r="C39" s="135" t="s">
        <v>353</v>
      </c>
    </row>
    <row r="41" spans="4:5" ht="12.75">
      <c r="D41" s="178" t="s">
        <v>307</v>
      </c>
      <c r="E41" s="178" t="s">
        <v>354</v>
      </c>
    </row>
    <row r="42" spans="3:6" ht="12.75">
      <c r="C42" s="137"/>
      <c r="D42" s="138" t="s">
        <v>328</v>
      </c>
      <c r="E42" s="138" t="s">
        <v>355</v>
      </c>
      <c r="F42" s="138"/>
    </row>
    <row r="43" spans="4:6" ht="12.75">
      <c r="D43" s="178" t="s">
        <v>370</v>
      </c>
      <c r="E43" s="178" t="s">
        <v>370</v>
      </c>
      <c r="F43" s="178"/>
    </row>
    <row r="44" spans="3:6" ht="12.75">
      <c r="C44" s="135" t="s">
        <v>356</v>
      </c>
      <c r="D44" s="180">
        <v>18380</v>
      </c>
      <c r="E44" s="180">
        <v>801</v>
      </c>
      <c r="F44" s="180"/>
    </row>
    <row r="45" spans="3:6" ht="12.75">
      <c r="C45" s="135" t="s">
        <v>357</v>
      </c>
      <c r="D45" s="180">
        <v>0</v>
      </c>
      <c r="E45" s="180">
        <v>231</v>
      </c>
      <c r="F45" s="180"/>
    </row>
    <row r="46" spans="3:6" ht="12.75">
      <c r="C46" s="135" t="s">
        <v>365</v>
      </c>
      <c r="D46" s="180">
        <v>49</v>
      </c>
      <c r="E46" s="180">
        <v>-16</v>
      </c>
      <c r="F46" s="180"/>
    </row>
    <row r="47" spans="4:6" ht="12.75">
      <c r="D47" s="180"/>
      <c r="E47" s="180"/>
      <c r="F47" s="256"/>
    </row>
    <row r="48" spans="4:6" ht="13.5" thickBot="1">
      <c r="D48" s="181">
        <f>SUM(D44:D47)</f>
        <v>18429</v>
      </c>
      <c r="E48" s="181">
        <f>SUM(E44:E47)</f>
        <v>1016</v>
      </c>
      <c r="F48" s="256"/>
    </row>
    <row r="49" ht="13.5" thickTop="1"/>
    <row r="50" spans="3:7" ht="12.75">
      <c r="C50" s="267" t="s">
        <v>2</v>
      </c>
      <c r="D50" s="267"/>
      <c r="E50" s="267"/>
      <c r="F50" s="267"/>
      <c r="G50" s="267"/>
    </row>
    <row r="51" spans="3:7" ht="12.75">
      <c r="C51" s="267"/>
      <c r="D51" s="267"/>
      <c r="E51" s="267"/>
      <c r="F51" s="267"/>
      <c r="G51" s="267"/>
    </row>
    <row r="53" spans="1:3" ht="12.75">
      <c r="A53" s="134" t="s">
        <v>517</v>
      </c>
      <c r="C53" s="216" t="s">
        <v>488</v>
      </c>
    </row>
    <row r="54" spans="3:7" ht="12.75">
      <c r="C54" s="267" t="s">
        <v>555</v>
      </c>
      <c r="D54" s="267"/>
      <c r="E54" s="267"/>
      <c r="F54" s="267"/>
      <c r="G54" s="267"/>
    </row>
    <row r="55" spans="3:7" ht="15.75" customHeight="1">
      <c r="C55" s="267"/>
      <c r="D55" s="267"/>
      <c r="E55" s="267"/>
      <c r="F55" s="267"/>
      <c r="G55" s="267"/>
    </row>
    <row r="56" spans="3:7" ht="15.75" customHeight="1">
      <c r="C56" s="255"/>
      <c r="D56" s="255"/>
      <c r="E56" s="255"/>
      <c r="F56" s="255"/>
      <c r="G56" s="255"/>
    </row>
    <row r="57" spans="3:7" ht="15.75" customHeight="1">
      <c r="C57" s="255"/>
      <c r="D57" s="255"/>
      <c r="E57" s="255"/>
      <c r="F57" s="255"/>
      <c r="G57" s="255"/>
    </row>
    <row r="58" spans="3:7" ht="15.75" customHeight="1">
      <c r="C58" s="255"/>
      <c r="D58" s="255"/>
      <c r="E58" s="255"/>
      <c r="F58" s="255"/>
      <c r="G58" s="255"/>
    </row>
    <row r="59" spans="3:7" ht="15.75" customHeight="1">
      <c r="C59" s="255"/>
      <c r="D59" s="255"/>
      <c r="E59" s="255"/>
      <c r="F59" s="255"/>
      <c r="G59" s="255"/>
    </row>
    <row r="60" spans="3:7" ht="15.75" customHeight="1">
      <c r="C60" s="267" t="s">
        <v>565</v>
      </c>
      <c r="D60" s="267"/>
      <c r="E60" s="267"/>
      <c r="F60" s="267"/>
      <c r="G60" s="267"/>
    </row>
    <row r="61" spans="3:7" ht="15.75" customHeight="1">
      <c r="C61" s="267"/>
      <c r="D61" s="267"/>
      <c r="E61" s="267"/>
      <c r="F61" s="267"/>
      <c r="G61" s="267"/>
    </row>
    <row r="62" spans="3:7" ht="15.75" customHeight="1">
      <c r="C62" s="267"/>
      <c r="D62" s="267"/>
      <c r="E62" s="267"/>
      <c r="F62" s="267"/>
      <c r="G62" s="267"/>
    </row>
    <row r="63" spans="3:7" ht="15.75" customHeight="1">
      <c r="C63" s="267"/>
      <c r="D63" s="267"/>
      <c r="E63" s="267"/>
      <c r="F63" s="267"/>
      <c r="G63" s="267"/>
    </row>
    <row r="64" spans="3:7" ht="15.75" customHeight="1">
      <c r="C64" s="267"/>
      <c r="D64" s="267"/>
      <c r="E64" s="267"/>
      <c r="F64" s="267"/>
      <c r="G64" s="267"/>
    </row>
    <row r="65" spans="3:7" ht="18.75" customHeight="1">
      <c r="C65" s="267"/>
      <c r="D65" s="267"/>
      <c r="E65" s="267"/>
      <c r="F65" s="267"/>
      <c r="G65" s="267"/>
    </row>
    <row r="66" spans="3:7" ht="21" customHeight="1">
      <c r="C66" s="267"/>
      <c r="D66" s="267"/>
      <c r="E66" s="267"/>
      <c r="F66" s="267"/>
      <c r="G66" s="267"/>
    </row>
    <row r="67" spans="3:7" ht="15.75" customHeight="1">
      <c r="C67" s="255"/>
      <c r="D67" s="255"/>
      <c r="E67" s="255"/>
      <c r="F67" s="255"/>
      <c r="G67" s="255"/>
    </row>
    <row r="68" spans="1:3" ht="12.75">
      <c r="A68" s="134" t="s">
        <v>518</v>
      </c>
      <c r="C68" s="216" t="s">
        <v>489</v>
      </c>
    </row>
    <row r="69" ht="12.75">
      <c r="C69" s="135" t="s">
        <v>352</v>
      </c>
    </row>
    <row r="71" spans="1:3" ht="12.75">
      <c r="A71" s="134" t="s">
        <v>519</v>
      </c>
      <c r="C71" s="216" t="s">
        <v>543</v>
      </c>
    </row>
    <row r="72" spans="3:7" ht="16.5" customHeight="1">
      <c r="C72" s="267" t="s">
        <v>3</v>
      </c>
      <c r="D72" s="267"/>
      <c r="E72" s="267"/>
      <c r="F72" s="267"/>
      <c r="G72" s="267"/>
    </row>
    <row r="73" spans="3:7" ht="16.5" customHeight="1">
      <c r="C73" s="267"/>
      <c r="D73" s="267"/>
      <c r="E73" s="267"/>
      <c r="F73" s="267"/>
      <c r="G73" s="267"/>
    </row>
    <row r="75" ht="12.75">
      <c r="A75" s="134" t="s">
        <v>490</v>
      </c>
    </row>
    <row r="77" spans="1:3" ht="12.75">
      <c r="A77" s="134" t="s">
        <v>520</v>
      </c>
      <c r="C77" s="216" t="s">
        <v>358</v>
      </c>
    </row>
    <row r="78" ht="12.75">
      <c r="C78" s="216"/>
    </row>
    <row r="79" spans="3:6" ht="12.75">
      <c r="C79" s="242"/>
      <c r="D79" s="233"/>
      <c r="E79" s="223" t="s">
        <v>491</v>
      </c>
      <c r="F79" s="223" t="s">
        <v>338</v>
      </c>
    </row>
    <row r="80" spans="3:6" ht="12.75">
      <c r="C80" s="243"/>
      <c r="D80" s="228"/>
      <c r="E80" s="224" t="s">
        <v>342</v>
      </c>
      <c r="F80" s="224" t="s">
        <v>494</v>
      </c>
    </row>
    <row r="81" spans="3:6" ht="12.75">
      <c r="C81" s="243"/>
      <c r="D81" s="228"/>
      <c r="E81" s="244">
        <v>37529</v>
      </c>
      <c r="F81" s="244">
        <v>37164</v>
      </c>
    </row>
    <row r="82" spans="3:6" ht="12.75">
      <c r="C82" s="245"/>
      <c r="D82" s="228"/>
      <c r="E82" s="225" t="s">
        <v>370</v>
      </c>
      <c r="F82" s="225" t="s">
        <v>370</v>
      </c>
    </row>
    <row r="83" spans="3:6" ht="12.75">
      <c r="C83" s="246" t="s">
        <v>328</v>
      </c>
      <c r="D83" s="247"/>
      <c r="E83" s="248">
        <v>18429</v>
      </c>
      <c r="F83" s="248">
        <v>10618</v>
      </c>
    </row>
    <row r="84" spans="3:6" ht="12.75">
      <c r="C84" s="246" t="s">
        <v>492</v>
      </c>
      <c r="D84" s="249"/>
      <c r="E84" s="248">
        <v>1016</v>
      </c>
      <c r="F84" s="248">
        <v>450</v>
      </c>
    </row>
    <row r="85" spans="3:6" ht="12.75">
      <c r="C85" s="246" t="s">
        <v>493</v>
      </c>
      <c r="D85" s="249"/>
      <c r="E85" s="248">
        <v>675</v>
      </c>
      <c r="F85" s="248">
        <v>293</v>
      </c>
    </row>
    <row r="86" ht="12.75">
      <c r="C86" s="216"/>
    </row>
    <row r="87" spans="3:7" ht="12.75">
      <c r="C87" s="267" t="s">
        <v>573</v>
      </c>
      <c r="D87" s="267"/>
      <c r="E87" s="267"/>
      <c r="F87" s="267"/>
      <c r="G87" s="267"/>
    </row>
    <row r="88" spans="3:7" ht="16.5" customHeight="1">
      <c r="C88" s="267"/>
      <c r="D88" s="267"/>
      <c r="E88" s="267"/>
      <c r="F88" s="267"/>
      <c r="G88" s="267"/>
    </row>
    <row r="90" spans="3:7" ht="12.75">
      <c r="C90" s="267" t="s">
        <v>544</v>
      </c>
      <c r="D90" s="267"/>
      <c r="E90" s="267"/>
      <c r="F90" s="267"/>
      <c r="G90" s="267"/>
    </row>
    <row r="91" spans="3:7" ht="12.75">
      <c r="C91" s="267"/>
      <c r="D91" s="267"/>
      <c r="E91" s="267"/>
      <c r="F91" s="267"/>
      <c r="G91" s="267"/>
    </row>
    <row r="93" spans="1:3" ht="12.75">
      <c r="A93" s="134" t="s">
        <v>521</v>
      </c>
      <c r="C93" s="216" t="s">
        <v>495</v>
      </c>
    </row>
    <row r="95" spans="3:6" ht="12.75">
      <c r="C95" s="242"/>
      <c r="D95" s="233"/>
      <c r="E95" s="223" t="s">
        <v>337</v>
      </c>
      <c r="F95" s="223" t="s">
        <v>336</v>
      </c>
    </row>
    <row r="96" spans="3:6" ht="12.75">
      <c r="C96" s="243"/>
      <c r="D96" s="228"/>
      <c r="E96" s="224" t="s">
        <v>342</v>
      </c>
      <c r="F96" s="224" t="s">
        <v>342</v>
      </c>
    </row>
    <row r="97" spans="3:6" ht="12.75">
      <c r="C97" s="243"/>
      <c r="D97" s="228"/>
      <c r="E97" s="244">
        <v>37529</v>
      </c>
      <c r="F97" s="244">
        <v>37437</v>
      </c>
    </row>
    <row r="98" spans="3:6" ht="12.75">
      <c r="C98" s="245"/>
      <c r="D98" s="228"/>
      <c r="E98" s="225" t="s">
        <v>370</v>
      </c>
      <c r="F98" s="225" t="s">
        <v>370</v>
      </c>
    </row>
    <row r="99" spans="3:6" ht="12.75">
      <c r="C99" s="246" t="s">
        <v>328</v>
      </c>
      <c r="D99" s="247"/>
      <c r="E99" s="248">
        <v>18429</v>
      </c>
      <c r="F99" s="248">
        <v>13677</v>
      </c>
    </row>
    <row r="100" spans="3:6" ht="12.75">
      <c r="C100" s="246" t="s">
        <v>492</v>
      </c>
      <c r="D100" s="249"/>
      <c r="E100" s="248">
        <v>1016</v>
      </c>
      <c r="F100" s="248">
        <v>-10906</v>
      </c>
    </row>
    <row r="101" spans="3:6" ht="12.75">
      <c r="C101" s="246" t="s">
        <v>493</v>
      </c>
      <c r="D101" s="249"/>
      <c r="E101" s="248">
        <v>676</v>
      </c>
      <c r="F101" s="248">
        <v>-10851</v>
      </c>
    </row>
    <row r="103" spans="3:7" ht="12.75">
      <c r="C103" s="267" t="s">
        <v>550</v>
      </c>
      <c r="D103" s="267"/>
      <c r="E103" s="267"/>
      <c r="F103" s="267"/>
      <c r="G103" s="267"/>
    </row>
    <row r="104" spans="3:7" ht="12.75">
      <c r="C104" s="267"/>
      <c r="D104" s="267"/>
      <c r="E104" s="267"/>
      <c r="F104" s="267"/>
      <c r="G104" s="267"/>
    </row>
    <row r="105" spans="3:7" ht="12.75">
      <c r="C105" s="267"/>
      <c r="D105" s="267"/>
      <c r="E105" s="267"/>
      <c r="F105" s="267"/>
      <c r="G105" s="267"/>
    </row>
    <row r="106" spans="3:7" ht="12.75">
      <c r="C106" s="267"/>
      <c r="D106" s="267"/>
      <c r="E106" s="267"/>
      <c r="F106" s="267"/>
      <c r="G106" s="267"/>
    </row>
    <row r="107" spans="1:3" ht="12.75">
      <c r="A107" s="134" t="s">
        <v>522</v>
      </c>
      <c r="C107" s="216" t="s">
        <v>360</v>
      </c>
    </row>
    <row r="108" ht="12.75">
      <c r="C108" s="135" t="s">
        <v>4</v>
      </c>
    </row>
    <row r="110" spans="3:7" ht="12.75">
      <c r="C110" s="267" t="s">
        <v>5</v>
      </c>
      <c r="D110" s="267"/>
      <c r="E110" s="267"/>
      <c r="F110" s="267"/>
      <c r="G110" s="267"/>
    </row>
    <row r="111" spans="3:7" ht="12.75">
      <c r="C111" s="267"/>
      <c r="D111" s="267"/>
      <c r="E111" s="267"/>
      <c r="F111" s="267"/>
      <c r="G111" s="267"/>
    </row>
    <row r="113" spans="1:3" ht="12.75">
      <c r="A113" s="134" t="s">
        <v>523</v>
      </c>
      <c r="C113" s="216" t="s">
        <v>361</v>
      </c>
    </row>
    <row r="114" ht="12.75">
      <c r="C114" s="135" t="s">
        <v>366</v>
      </c>
    </row>
    <row r="116" spans="1:3" ht="12.75">
      <c r="A116" s="134" t="s">
        <v>524</v>
      </c>
      <c r="C116" s="216" t="s">
        <v>10</v>
      </c>
    </row>
    <row r="117" ht="12.75">
      <c r="C117" s="135" t="s">
        <v>334</v>
      </c>
    </row>
    <row r="118" spans="3:7" ht="12.75">
      <c r="C118" s="220"/>
      <c r="D118" s="271" t="s">
        <v>362</v>
      </c>
      <c r="E118" s="272"/>
      <c r="F118" s="271" t="s">
        <v>363</v>
      </c>
      <c r="G118" s="272"/>
    </row>
    <row r="119" spans="3:7" ht="12.75">
      <c r="C119" s="221"/>
      <c r="D119" s="223" t="s">
        <v>335</v>
      </c>
      <c r="E119" s="217" t="s">
        <v>336</v>
      </c>
      <c r="F119" s="223" t="s">
        <v>337</v>
      </c>
      <c r="G119" s="217" t="s">
        <v>338</v>
      </c>
    </row>
    <row r="120" spans="3:7" ht="12.75">
      <c r="C120" s="221"/>
      <c r="D120" s="224" t="s">
        <v>339</v>
      </c>
      <c r="E120" s="218" t="s">
        <v>339</v>
      </c>
      <c r="F120" s="224" t="s">
        <v>340</v>
      </c>
      <c r="G120" s="218" t="s">
        <v>341</v>
      </c>
    </row>
    <row r="121" spans="3:7" ht="12.75">
      <c r="C121" s="221"/>
      <c r="D121" s="224" t="s">
        <v>342</v>
      </c>
      <c r="E121" s="218" t="s">
        <v>342</v>
      </c>
      <c r="F121" s="224" t="s">
        <v>343</v>
      </c>
      <c r="G121" s="218" t="s">
        <v>344</v>
      </c>
    </row>
    <row r="122" spans="3:7" ht="12.75">
      <c r="C122" s="221"/>
      <c r="D122" s="224" t="s">
        <v>364</v>
      </c>
      <c r="E122" s="218" t="s">
        <v>545</v>
      </c>
      <c r="F122" s="224" t="s">
        <v>364</v>
      </c>
      <c r="G122" s="218" t="s">
        <v>545</v>
      </c>
    </row>
    <row r="123" spans="3:7" ht="12.75">
      <c r="C123" s="222"/>
      <c r="D123" s="225" t="s">
        <v>333</v>
      </c>
      <c r="E123" s="219" t="s">
        <v>345</v>
      </c>
      <c r="F123" s="225" t="s">
        <v>333</v>
      </c>
      <c r="G123" s="219" t="s">
        <v>333</v>
      </c>
    </row>
    <row r="124" spans="3:7" ht="12.75">
      <c r="C124" s="226"/>
      <c r="D124" s="233"/>
      <c r="E124" s="220"/>
      <c r="F124" s="220"/>
      <c r="G124" s="228"/>
    </row>
    <row r="125" spans="3:7" ht="12.75">
      <c r="C125" s="221" t="s">
        <v>346</v>
      </c>
      <c r="D125" s="229">
        <v>340</v>
      </c>
      <c r="E125" s="235">
        <v>157</v>
      </c>
      <c r="F125" s="235">
        <f>+D125</f>
        <v>340</v>
      </c>
      <c r="G125" s="229">
        <f>+E125</f>
        <v>157</v>
      </c>
    </row>
    <row r="126" spans="3:7" ht="12.75">
      <c r="C126" s="221" t="s">
        <v>347</v>
      </c>
      <c r="D126" s="234">
        <v>0</v>
      </c>
      <c r="E126" s="236">
        <v>0</v>
      </c>
      <c r="F126" s="240">
        <v>0</v>
      </c>
      <c r="G126" s="231">
        <v>0</v>
      </c>
    </row>
    <row r="127" spans="3:7" ht="12.75">
      <c r="C127" s="221"/>
      <c r="D127" s="229">
        <f>SUM(D125:D126)</f>
        <v>340</v>
      </c>
      <c r="E127" s="237">
        <f>+E125+E126</f>
        <v>157</v>
      </c>
      <c r="F127" s="235">
        <f>SUM(F125:F126)</f>
        <v>340</v>
      </c>
      <c r="G127" s="232">
        <f>+G125+G126</f>
        <v>157</v>
      </c>
    </row>
    <row r="128" spans="3:7" ht="12.75">
      <c r="C128" s="227" t="s">
        <v>348</v>
      </c>
      <c r="D128" s="234">
        <v>0</v>
      </c>
      <c r="E128" s="238">
        <v>0</v>
      </c>
      <c r="F128" s="241">
        <v>0</v>
      </c>
      <c r="G128" s="230">
        <v>0</v>
      </c>
    </row>
    <row r="129" spans="3:7" ht="13.5" thickBot="1">
      <c r="C129" s="134"/>
      <c r="D129" s="239">
        <f>SUM(D127:D128)</f>
        <v>340</v>
      </c>
      <c r="E129" s="239">
        <f>SUM(E127:E128)</f>
        <v>157</v>
      </c>
      <c r="F129" s="239">
        <f>SUM(F127:F128)</f>
        <v>340</v>
      </c>
      <c r="G129" s="179">
        <f>SUM(G127:G128)</f>
        <v>157</v>
      </c>
    </row>
    <row r="130" ht="13.5" thickTop="1"/>
    <row r="131" spans="3:7" ht="12.75">
      <c r="C131" s="267" t="s">
        <v>567</v>
      </c>
      <c r="D131" s="267"/>
      <c r="E131" s="267"/>
      <c r="F131" s="267"/>
      <c r="G131" s="267"/>
    </row>
    <row r="132" spans="3:7" ht="16.5" customHeight="1">
      <c r="C132" s="267"/>
      <c r="D132" s="267"/>
      <c r="E132" s="267"/>
      <c r="F132" s="267"/>
      <c r="G132" s="267"/>
    </row>
    <row r="133" spans="3:7" ht="16.5" customHeight="1">
      <c r="C133" s="255"/>
      <c r="D133" s="255"/>
      <c r="E133" s="255"/>
      <c r="F133" s="255"/>
      <c r="G133" s="255"/>
    </row>
    <row r="134" spans="1:3" ht="12.75">
      <c r="A134" s="134" t="s">
        <v>525</v>
      </c>
      <c r="C134" s="216" t="s">
        <v>496</v>
      </c>
    </row>
    <row r="135" ht="12.75">
      <c r="C135" s="135" t="s">
        <v>349</v>
      </c>
    </row>
    <row r="137" spans="1:3" ht="12.75">
      <c r="A137" s="134" t="s">
        <v>526</v>
      </c>
      <c r="C137" s="216" t="s">
        <v>350</v>
      </c>
    </row>
    <row r="138" ht="12.75">
      <c r="C138" s="135" t="s">
        <v>351</v>
      </c>
    </row>
    <row r="141" spans="1:3" ht="12.75">
      <c r="A141" s="134" t="s">
        <v>527</v>
      </c>
      <c r="C141" s="216" t="s">
        <v>499</v>
      </c>
    </row>
    <row r="142" spans="3:7" ht="12.75">
      <c r="C142" s="267" t="s">
        <v>508</v>
      </c>
      <c r="D142" s="270"/>
      <c r="E142" s="270"/>
      <c r="F142" s="270"/>
      <c r="G142" s="270"/>
    </row>
    <row r="143" spans="3:7" ht="18.75" customHeight="1">
      <c r="C143" s="270"/>
      <c r="D143" s="270"/>
      <c r="E143" s="270"/>
      <c r="F143" s="270"/>
      <c r="G143" s="270"/>
    </row>
    <row r="144" spans="3:7" ht="10.5" customHeight="1">
      <c r="C144" s="250"/>
      <c r="D144" s="250"/>
      <c r="E144" s="250"/>
      <c r="F144" s="250"/>
      <c r="G144" s="250"/>
    </row>
    <row r="145" spans="3:7" ht="12.75">
      <c r="C145" s="267" t="s">
        <v>509</v>
      </c>
      <c r="D145" s="267"/>
      <c r="E145" s="267"/>
      <c r="F145" s="267"/>
      <c r="G145" s="267"/>
    </row>
    <row r="146" spans="3:7" ht="12.75">
      <c r="C146" s="267"/>
      <c r="D146" s="267"/>
      <c r="E146" s="267"/>
      <c r="F146" s="267"/>
      <c r="G146" s="267"/>
    </row>
    <row r="147" spans="3:7" ht="12.75">
      <c r="C147" s="267"/>
      <c r="D147" s="267"/>
      <c r="E147" s="267"/>
      <c r="F147" s="267"/>
      <c r="G147" s="267"/>
    </row>
    <row r="148" spans="3:7" ht="12.75">
      <c r="C148" s="267"/>
      <c r="D148" s="267"/>
      <c r="E148" s="267"/>
      <c r="F148" s="267"/>
      <c r="G148" s="267"/>
    </row>
    <row r="149" spans="3:7" ht="12.75">
      <c r="C149" s="267" t="s">
        <v>510</v>
      </c>
      <c r="D149" s="267"/>
      <c r="E149" s="267"/>
      <c r="F149" s="267"/>
      <c r="G149" s="267"/>
    </row>
    <row r="150" spans="3:7" ht="12.75">
      <c r="C150" s="267"/>
      <c r="D150" s="267"/>
      <c r="E150" s="267"/>
      <c r="F150" s="267"/>
      <c r="G150" s="267"/>
    </row>
    <row r="151" spans="3:7" ht="12.75">
      <c r="C151" s="267"/>
      <c r="D151" s="267"/>
      <c r="E151" s="267"/>
      <c r="F151" s="267"/>
      <c r="G151" s="267"/>
    </row>
    <row r="152" spans="3:7" ht="12.75">
      <c r="C152" s="267"/>
      <c r="D152" s="267"/>
      <c r="E152" s="267"/>
      <c r="F152" s="267"/>
      <c r="G152" s="267"/>
    </row>
    <row r="153" spans="3:7" ht="12.75">
      <c r="C153" s="267"/>
      <c r="D153" s="267"/>
      <c r="E153" s="267"/>
      <c r="F153" s="267"/>
      <c r="G153" s="267"/>
    </row>
    <row r="154" spans="3:7" ht="12.75">
      <c r="C154" s="255"/>
      <c r="D154" s="255"/>
      <c r="E154" s="255"/>
      <c r="F154" s="255"/>
      <c r="G154" s="255"/>
    </row>
    <row r="155" spans="3:7" ht="12.75">
      <c r="C155" s="267" t="s">
        <v>551</v>
      </c>
      <c r="D155" s="267"/>
      <c r="E155" s="267"/>
      <c r="F155" s="267"/>
      <c r="G155" s="267"/>
    </row>
    <row r="156" spans="3:7" ht="16.5" customHeight="1">
      <c r="C156" s="267"/>
      <c r="D156" s="267"/>
      <c r="E156" s="267"/>
      <c r="F156" s="267"/>
      <c r="G156" s="267"/>
    </row>
    <row r="157" spans="3:7" ht="16.5" customHeight="1">
      <c r="C157" s="268"/>
      <c r="D157" s="268"/>
      <c r="E157" s="268"/>
      <c r="F157" s="268"/>
      <c r="G157" s="268"/>
    </row>
    <row r="158" spans="3:7" ht="12.75">
      <c r="C158" s="251"/>
      <c r="D158" s="251"/>
      <c r="E158" s="251"/>
      <c r="F158" s="251"/>
      <c r="G158" s="251"/>
    </row>
    <row r="159" spans="3:7" ht="12.75">
      <c r="C159" s="267" t="s">
        <v>507</v>
      </c>
      <c r="D159" s="267"/>
      <c r="E159" s="267"/>
      <c r="F159" s="267"/>
      <c r="G159" s="267"/>
    </row>
    <row r="160" spans="3:7" ht="16.5" customHeight="1">
      <c r="C160" s="267"/>
      <c r="D160" s="267"/>
      <c r="E160" s="267"/>
      <c r="F160" s="267"/>
      <c r="G160" s="267"/>
    </row>
    <row r="161" spans="3:7" ht="15.75" customHeight="1">
      <c r="C161" s="267"/>
      <c r="D161" s="267"/>
      <c r="E161" s="267"/>
      <c r="F161" s="267"/>
      <c r="G161" s="267"/>
    </row>
    <row r="162" spans="3:7" ht="15.75" customHeight="1">
      <c r="C162" s="270"/>
      <c r="D162" s="270"/>
      <c r="E162" s="270"/>
      <c r="F162" s="270"/>
      <c r="G162" s="270"/>
    </row>
    <row r="164" spans="1:3" ht="12.75">
      <c r="A164" s="134" t="s">
        <v>528</v>
      </c>
      <c r="C164" s="216" t="s">
        <v>502</v>
      </c>
    </row>
    <row r="165" spans="3:5" ht="12.75">
      <c r="C165" s="136" t="s">
        <v>503</v>
      </c>
      <c r="E165" s="259" t="s">
        <v>75</v>
      </c>
    </row>
    <row r="166" spans="3:5" ht="12.75">
      <c r="C166" s="136"/>
      <c r="E166" s="178"/>
    </row>
    <row r="167" spans="3:5" ht="12.75">
      <c r="C167" s="136"/>
      <c r="E167" s="178"/>
    </row>
    <row r="168" spans="3:5" ht="12.75">
      <c r="C168" s="136" t="s">
        <v>46</v>
      </c>
      <c r="E168" s="178"/>
    </row>
    <row r="169" spans="3:5" ht="12.75">
      <c r="C169" s="135" t="s">
        <v>474</v>
      </c>
      <c r="E169" s="257">
        <v>10563</v>
      </c>
    </row>
    <row r="170" spans="3:5" ht="12.75">
      <c r="C170" s="135" t="s">
        <v>475</v>
      </c>
      <c r="E170" s="257">
        <v>494</v>
      </c>
    </row>
    <row r="171" spans="3:5" ht="12.75">
      <c r="C171" s="135" t="s">
        <v>476</v>
      </c>
      <c r="E171" s="257">
        <v>618</v>
      </c>
    </row>
    <row r="172" ht="13.5" thickBot="1">
      <c r="E172" s="258">
        <f>SUM(E169:E171)</f>
        <v>11675</v>
      </c>
    </row>
    <row r="173" ht="13.5" thickTop="1"/>
    <row r="174" ht="12.75">
      <c r="C174" s="136" t="s">
        <v>504</v>
      </c>
    </row>
    <row r="175" spans="3:5" ht="13.5" thickBot="1">
      <c r="C175" s="135" t="s">
        <v>476</v>
      </c>
      <c r="E175" s="260">
        <v>2054</v>
      </c>
    </row>
    <row r="176" ht="13.5" thickTop="1"/>
    <row r="177" ht="12.75">
      <c r="C177" s="135" t="s">
        <v>500</v>
      </c>
    </row>
    <row r="179" spans="1:3" ht="12.75">
      <c r="A179" s="134" t="s">
        <v>529</v>
      </c>
      <c r="C179" s="216" t="s">
        <v>501</v>
      </c>
    </row>
    <row r="180" ht="12.75">
      <c r="C180" s="135" t="s">
        <v>546</v>
      </c>
    </row>
    <row r="182" spans="1:3" ht="12.75">
      <c r="A182" s="134" t="s">
        <v>530</v>
      </c>
      <c r="C182" s="216" t="s">
        <v>498</v>
      </c>
    </row>
    <row r="183" spans="3:7" ht="12.75">
      <c r="C183" s="268" t="s">
        <v>568</v>
      </c>
      <c r="D183" s="270"/>
      <c r="E183" s="270"/>
      <c r="F183" s="270"/>
      <c r="G183" s="270"/>
    </row>
    <row r="184" spans="3:7" ht="12.75">
      <c r="C184" s="270"/>
      <c r="D184" s="270"/>
      <c r="E184" s="270"/>
      <c r="F184" s="270"/>
      <c r="G184" s="270"/>
    </row>
    <row r="185" spans="3:7" ht="12.75">
      <c r="C185" s="270"/>
      <c r="D185" s="270"/>
      <c r="E185" s="270"/>
      <c r="F185" s="270"/>
      <c r="G185" s="270"/>
    </row>
    <row r="186" spans="3:7" ht="12.75">
      <c r="C186" s="270"/>
      <c r="D186" s="270"/>
      <c r="E186" s="270"/>
      <c r="F186" s="270"/>
      <c r="G186" s="270"/>
    </row>
    <row r="187" spans="3:7" ht="15" customHeight="1">
      <c r="C187" s="270"/>
      <c r="D187" s="270"/>
      <c r="E187" s="270"/>
      <c r="F187" s="270"/>
      <c r="G187" s="270"/>
    </row>
    <row r="188" spans="3:7" ht="12.75">
      <c r="C188" s="270"/>
      <c r="D188" s="270"/>
      <c r="E188" s="270"/>
      <c r="F188" s="270"/>
      <c r="G188" s="270"/>
    </row>
    <row r="189" spans="3:7" ht="12.75">
      <c r="C189" s="270"/>
      <c r="D189" s="270"/>
      <c r="E189" s="270"/>
      <c r="F189" s="270"/>
      <c r="G189" s="270"/>
    </row>
    <row r="190" spans="3:7" ht="15">
      <c r="C190" s="250"/>
      <c r="D190" s="250"/>
      <c r="E190" s="250"/>
      <c r="F190" s="250"/>
      <c r="G190" s="250"/>
    </row>
    <row r="191" spans="1:7" ht="15">
      <c r="A191" s="134" t="s">
        <v>530</v>
      </c>
      <c r="C191" s="273" t="s">
        <v>569</v>
      </c>
      <c r="D191" s="273"/>
      <c r="E191" s="250"/>
      <c r="F191" s="250"/>
      <c r="G191" s="250"/>
    </row>
    <row r="192" spans="3:7" ht="15">
      <c r="C192" s="250"/>
      <c r="D192" s="250"/>
      <c r="E192" s="250"/>
      <c r="F192" s="250"/>
      <c r="G192" s="250"/>
    </row>
    <row r="193" spans="1:7" ht="15">
      <c r="A193" s="135"/>
      <c r="B193" s="135" t="s">
        <v>535</v>
      </c>
      <c r="C193" s="268" t="s">
        <v>534</v>
      </c>
      <c r="D193" s="270"/>
      <c r="E193" s="270"/>
      <c r="F193" s="270"/>
      <c r="G193" s="270"/>
    </row>
    <row r="194" spans="3:7" ht="15">
      <c r="C194" s="268" t="s">
        <v>556</v>
      </c>
      <c r="D194" s="270"/>
      <c r="E194" s="270"/>
      <c r="F194" s="270"/>
      <c r="G194" s="270"/>
    </row>
    <row r="195" spans="3:7" ht="15">
      <c r="C195" s="253"/>
      <c r="D195" s="250"/>
      <c r="E195" s="250"/>
      <c r="F195" s="250"/>
      <c r="G195" s="250"/>
    </row>
    <row r="196" spans="3:7" ht="12.75">
      <c r="C196" s="268" t="s">
        <v>557</v>
      </c>
      <c r="D196" s="270"/>
      <c r="E196" s="270"/>
      <c r="F196" s="270"/>
      <c r="G196" s="270"/>
    </row>
    <row r="197" spans="3:7" ht="12.75">
      <c r="C197" s="270"/>
      <c r="D197" s="270"/>
      <c r="E197" s="270"/>
      <c r="F197" s="270"/>
      <c r="G197" s="270"/>
    </row>
    <row r="198" spans="3:7" ht="12.75">
      <c r="C198" s="270"/>
      <c r="D198" s="270"/>
      <c r="E198" s="270"/>
      <c r="F198" s="270"/>
      <c r="G198" s="270"/>
    </row>
    <row r="199" spans="3:7" ht="12.75">
      <c r="C199" s="270"/>
      <c r="D199" s="270"/>
      <c r="E199" s="270"/>
      <c r="F199" s="270"/>
      <c r="G199" s="270"/>
    </row>
    <row r="200" spans="3:7" ht="18" customHeight="1">
      <c r="C200" s="270"/>
      <c r="D200" s="270"/>
      <c r="E200" s="270"/>
      <c r="F200" s="270"/>
      <c r="G200" s="270"/>
    </row>
    <row r="201" spans="3:7" ht="15" customHeight="1">
      <c r="C201" s="270"/>
      <c r="D201" s="270"/>
      <c r="E201" s="270"/>
      <c r="F201" s="270"/>
      <c r="G201" s="270"/>
    </row>
    <row r="202" spans="3:7" ht="12.75">
      <c r="C202" s="269" t="s">
        <v>566</v>
      </c>
      <c r="D202" s="270"/>
      <c r="E202" s="270"/>
      <c r="F202" s="270"/>
      <c r="G202" s="270"/>
    </row>
    <row r="203" spans="3:7" ht="10.5" customHeight="1">
      <c r="C203" s="270"/>
      <c r="D203" s="270"/>
      <c r="E203" s="270"/>
      <c r="F203" s="270"/>
      <c r="G203" s="270"/>
    </row>
    <row r="204" spans="3:7" ht="10.5" customHeight="1">
      <c r="C204" s="250"/>
      <c r="D204" s="250"/>
      <c r="E204" s="250"/>
      <c r="F204" s="250"/>
      <c r="G204" s="250"/>
    </row>
    <row r="205" spans="2:7" ht="15">
      <c r="B205" s="135" t="s">
        <v>537</v>
      </c>
      <c r="C205" s="268" t="s">
        <v>536</v>
      </c>
      <c r="D205" s="270"/>
      <c r="E205" s="270"/>
      <c r="F205" s="270"/>
      <c r="G205" s="270"/>
    </row>
    <row r="206" spans="3:7" ht="15">
      <c r="C206" s="254"/>
      <c r="D206" s="250"/>
      <c r="E206" s="250"/>
      <c r="F206" s="250"/>
      <c r="G206" s="250"/>
    </row>
    <row r="207" spans="3:7" ht="12.75">
      <c r="C207" s="268" t="s">
        <v>533</v>
      </c>
      <c r="D207" s="270"/>
      <c r="E207" s="270"/>
      <c r="F207" s="270"/>
      <c r="G207" s="270"/>
    </row>
    <row r="208" spans="3:7" ht="16.5" customHeight="1">
      <c r="C208" s="270"/>
      <c r="D208" s="270"/>
      <c r="E208" s="270"/>
      <c r="F208" s="270"/>
      <c r="G208" s="270"/>
    </row>
    <row r="209" spans="3:7" ht="15">
      <c r="C209" s="250"/>
      <c r="D209" s="250"/>
      <c r="E209" s="250"/>
      <c r="F209" s="250"/>
      <c r="G209" s="250"/>
    </row>
    <row r="210" spans="3:7" ht="12.75">
      <c r="C210" s="269" t="s">
        <v>558</v>
      </c>
      <c r="D210" s="270"/>
      <c r="E210" s="270"/>
      <c r="F210" s="270"/>
      <c r="G210" s="270"/>
    </row>
    <row r="211" spans="3:7" ht="18" customHeight="1">
      <c r="C211" s="270"/>
      <c r="D211" s="270"/>
      <c r="E211" s="270"/>
      <c r="F211" s="270"/>
      <c r="G211" s="270"/>
    </row>
    <row r="212" spans="3:7" ht="15">
      <c r="C212" s="250"/>
      <c r="D212" s="250"/>
      <c r="E212" s="250"/>
      <c r="F212" s="250"/>
      <c r="G212" s="250"/>
    </row>
    <row r="213" spans="2:7" ht="12.75">
      <c r="B213" s="135" t="s">
        <v>538</v>
      </c>
      <c r="C213" s="268" t="s">
        <v>559</v>
      </c>
      <c r="D213" s="270"/>
      <c r="E213" s="270"/>
      <c r="F213" s="270"/>
      <c r="G213" s="270"/>
    </row>
    <row r="214" spans="3:7" ht="18" customHeight="1">
      <c r="C214" s="270"/>
      <c r="D214" s="270"/>
      <c r="E214" s="270"/>
      <c r="F214" s="270"/>
      <c r="G214" s="270"/>
    </row>
    <row r="215" spans="3:7" ht="15">
      <c r="C215" s="250"/>
      <c r="D215" s="250"/>
      <c r="E215" s="250"/>
      <c r="F215" s="250"/>
      <c r="G215" s="250"/>
    </row>
    <row r="216" spans="3:7" ht="12.75">
      <c r="C216" s="269" t="s">
        <v>560</v>
      </c>
      <c r="D216" s="270"/>
      <c r="E216" s="270"/>
      <c r="F216" s="270"/>
      <c r="G216" s="270"/>
    </row>
    <row r="217" spans="3:7" ht="15.75" customHeight="1">
      <c r="C217" s="270"/>
      <c r="D217" s="270"/>
      <c r="E217" s="270"/>
      <c r="F217" s="270"/>
      <c r="G217" s="270"/>
    </row>
    <row r="218" spans="3:7" ht="18.75" customHeight="1">
      <c r="C218" s="270"/>
      <c r="D218" s="270"/>
      <c r="E218" s="270"/>
      <c r="F218" s="270"/>
      <c r="G218" s="270"/>
    </row>
    <row r="219" spans="3:7" ht="18.75" customHeight="1">
      <c r="C219" s="270"/>
      <c r="D219" s="270"/>
      <c r="E219" s="270"/>
      <c r="F219" s="270"/>
      <c r="G219" s="270"/>
    </row>
    <row r="220" spans="3:7" ht="15">
      <c r="C220" s="254" t="s">
        <v>552</v>
      </c>
      <c r="D220" s="250"/>
      <c r="E220" s="250"/>
      <c r="F220" s="250"/>
      <c r="G220" s="250"/>
    </row>
    <row r="221" spans="3:7" ht="15">
      <c r="C221" s="250"/>
      <c r="D221" s="250"/>
      <c r="E221" s="250"/>
      <c r="F221" s="250"/>
      <c r="G221" s="250"/>
    </row>
    <row r="222" spans="2:7" ht="15">
      <c r="B222" s="135" t="s">
        <v>539</v>
      </c>
      <c r="C222" s="252" t="s">
        <v>561</v>
      </c>
      <c r="D222" s="250"/>
      <c r="E222" s="250"/>
      <c r="F222" s="250"/>
      <c r="G222" s="250"/>
    </row>
    <row r="223" spans="3:7" ht="15">
      <c r="C223" s="250"/>
      <c r="D223" s="250"/>
      <c r="E223" s="250"/>
      <c r="F223" s="250"/>
      <c r="G223" s="250"/>
    </row>
    <row r="224" spans="3:7" ht="12.75">
      <c r="C224" s="269" t="s">
        <v>562</v>
      </c>
      <c r="D224" s="270"/>
      <c r="E224" s="270"/>
      <c r="F224" s="270"/>
      <c r="G224" s="270"/>
    </row>
    <row r="225" spans="3:7" ht="12.75">
      <c r="C225" s="270"/>
      <c r="D225" s="270"/>
      <c r="E225" s="270"/>
      <c r="F225" s="270"/>
      <c r="G225" s="270"/>
    </row>
    <row r="226" spans="3:7" ht="12.75">
      <c r="C226" s="270"/>
      <c r="D226" s="270"/>
      <c r="E226" s="270"/>
      <c r="F226" s="270"/>
      <c r="G226" s="270"/>
    </row>
    <row r="227" spans="3:7" ht="12.75">
      <c r="C227" s="270"/>
      <c r="D227" s="270"/>
      <c r="E227" s="270"/>
      <c r="F227" s="270"/>
      <c r="G227" s="270"/>
    </row>
    <row r="228" spans="3:7" ht="12.75">
      <c r="C228" s="270"/>
      <c r="D228" s="270"/>
      <c r="E228" s="270"/>
      <c r="F228" s="270"/>
      <c r="G228" s="270"/>
    </row>
    <row r="229" spans="3:7" ht="16.5" customHeight="1">
      <c r="C229" s="270"/>
      <c r="D229" s="270"/>
      <c r="E229" s="270"/>
      <c r="F229" s="270"/>
      <c r="G229" s="270"/>
    </row>
    <row r="230" spans="3:7" ht="9.75" customHeight="1">
      <c r="C230" s="254"/>
      <c r="D230" s="250"/>
      <c r="E230" s="250"/>
      <c r="F230" s="250"/>
      <c r="G230" s="250"/>
    </row>
    <row r="231" spans="3:7" ht="15">
      <c r="C231" s="254" t="s">
        <v>553</v>
      </c>
      <c r="D231" s="250"/>
      <c r="E231" s="250"/>
      <c r="F231" s="250"/>
      <c r="G231" s="250"/>
    </row>
    <row r="232" spans="3:7" ht="15">
      <c r="C232" s="254"/>
      <c r="D232" s="250"/>
      <c r="E232" s="250"/>
      <c r="F232" s="250"/>
      <c r="G232" s="250"/>
    </row>
    <row r="233" spans="2:7" ht="12.75">
      <c r="B233" s="135" t="s">
        <v>540</v>
      </c>
      <c r="C233" s="268" t="s">
        <v>563</v>
      </c>
      <c r="D233" s="270"/>
      <c r="E233" s="270"/>
      <c r="F233" s="270"/>
      <c r="G233" s="270"/>
    </row>
    <row r="234" spans="3:7" ht="18.75" customHeight="1">
      <c r="C234" s="270"/>
      <c r="D234" s="270"/>
      <c r="E234" s="270"/>
      <c r="F234" s="270"/>
      <c r="G234" s="270"/>
    </row>
    <row r="235" spans="3:7" ht="15">
      <c r="C235" s="250"/>
      <c r="D235" s="250"/>
      <c r="E235" s="250"/>
      <c r="F235" s="250"/>
      <c r="G235" s="250"/>
    </row>
    <row r="236" spans="3:7" ht="12.75">
      <c r="C236" s="269" t="s">
        <v>564</v>
      </c>
      <c r="D236" s="270"/>
      <c r="E236" s="270"/>
      <c r="F236" s="270"/>
      <c r="G236" s="270"/>
    </row>
    <row r="237" spans="3:7" ht="16.5" customHeight="1">
      <c r="C237" s="270"/>
      <c r="D237" s="270"/>
      <c r="E237" s="270"/>
      <c r="F237" s="270"/>
      <c r="G237" s="270"/>
    </row>
    <row r="238" spans="3:7" ht="21" customHeight="1">
      <c r="C238" s="270"/>
      <c r="D238" s="270"/>
      <c r="E238" s="270"/>
      <c r="F238" s="270"/>
      <c r="G238" s="270"/>
    </row>
    <row r="239" spans="3:7" ht="15">
      <c r="C239" s="254" t="s">
        <v>553</v>
      </c>
      <c r="D239" s="250"/>
      <c r="E239" s="250"/>
      <c r="F239" s="250"/>
      <c r="G239" s="250"/>
    </row>
    <row r="240" spans="3:7" ht="15">
      <c r="C240" s="254"/>
      <c r="D240" s="250"/>
      <c r="E240" s="250"/>
      <c r="F240" s="250"/>
      <c r="G240" s="250"/>
    </row>
    <row r="241" spans="3:7" ht="12.75">
      <c r="C241" s="274" t="s">
        <v>554</v>
      </c>
      <c r="D241" s="270"/>
      <c r="E241" s="270"/>
      <c r="F241" s="270"/>
      <c r="G241" s="270"/>
    </row>
    <row r="242" spans="3:7" ht="21.75" customHeight="1">
      <c r="C242" s="270"/>
      <c r="D242" s="270"/>
      <c r="E242" s="270"/>
      <c r="F242" s="270"/>
      <c r="G242" s="270"/>
    </row>
    <row r="243" spans="1:3" ht="15">
      <c r="A243" s="135"/>
      <c r="C243" s="252"/>
    </row>
    <row r="244" spans="1:3" ht="12.75">
      <c r="A244" s="134" t="s">
        <v>531</v>
      </c>
      <c r="C244" s="216" t="s">
        <v>49</v>
      </c>
    </row>
    <row r="245" ht="12.75">
      <c r="C245" s="135" t="s">
        <v>547</v>
      </c>
    </row>
    <row r="247" spans="1:3" ht="12.75">
      <c r="A247" s="134" t="s">
        <v>532</v>
      </c>
      <c r="C247" s="216" t="s">
        <v>497</v>
      </c>
    </row>
    <row r="248" spans="3:7" ht="12.75">
      <c r="C248" s="267" t="s">
        <v>6</v>
      </c>
      <c r="D248" s="267"/>
      <c r="E248" s="267"/>
      <c r="F248" s="267"/>
      <c r="G248" s="267"/>
    </row>
    <row r="249" spans="3:7" ht="16.5" customHeight="1">
      <c r="C249" s="267"/>
      <c r="D249" s="267"/>
      <c r="E249" s="267"/>
      <c r="F249" s="267"/>
      <c r="G249" s="267"/>
    </row>
    <row r="256" ht="15.75" customHeight="1"/>
  </sheetData>
  <mergeCells count="39">
    <mergeCell ref="C191:D191"/>
    <mergeCell ref="C216:G219"/>
    <mergeCell ref="C248:G249"/>
    <mergeCell ref="C241:G242"/>
    <mergeCell ref="C205:G205"/>
    <mergeCell ref="C207:G208"/>
    <mergeCell ref="C210:G211"/>
    <mergeCell ref="C213:G214"/>
    <mergeCell ref="C224:G229"/>
    <mergeCell ref="C236:G238"/>
    <mergeCell ref="C27:G29"/>
    <mergeCell ref="C233:G234"/>
    <mergeCell ref="C23:G24"/>
    <mergeCell ref="C32:G33"/>
    <mergeCell ref="D118:E118"/>
    <mergeCell ref="C50:G51"/>
    <mergeCell ref="C54:G55"/>
    <mergeCell ref="C72:G73"/>
    <mergeCell ref="C103:G106"/>
    <mergeCell ref="C87:G88"/>
    <mergeCell ref="C6:G7"/>
    <mergeCell ref="C9:G10"/>
    <mergeCell ref="C12:G13"/>
    <mergeCell ref="C16:G17"/>
    <mergeCell ref="F118:G118"/>
    <mergeCell ref="C60:G66"/>
    <mergeCell ref="C145:G148"/>
    <mergeCell ref="C149:G153"/>
    <mergeCell ref="C110:G111"/>
    <mergeCell ref="C131:G132"/>
    <mergeCell ref="C142:G143"/>
    <mergeCell ref="C90:G91"/>
    <mergeCell ref="C155:G157"/>
    <mergeCell ref="C202:G203"/>
    <mergeCell ref="C193:G193"/>
    <mergeCell ref="C194:G194"/>
    <mergeCell ref="C196:G201"/>
    <mergeCell ref="C159:G162"/>
    <mergeCell ref="C183:G189"/>
  </mergeCells>
  <printOptions/>
  <pageMargins left="0.75" right="0.38" top="0.64" bottom="0.47" header="0.5" footer="0.35"/>
  <pageSetup horizontalDpi="600" verticalDpi="600" orientation="portrait" paperSize="9" r:id="rId1"/>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ss090a</dc:creator>
  <cp:keywords/>
  <dc:description/>
  <cp:lastModifiedBy>PCATAX Advisory Sdn. Bhd.</cp:lastModifiedBy>
  <cp:lastPrinted>2002-11-19T09:02:22Z</cp:lastPrinted>
  <dcterms:created xsi:type="dcterms:W3CDTF">1998-07-27T05:30:18Z</dcterms:created>
  <dcterms:modified xsi:type="dcterms:W3CDTF">2002-11-19T05:59:00Z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