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'BalanceSheet'!$A$1:$G$60</definedName>
    <definedName name="_xlnm.Print_Area" localSheetId="2">'Statm''t of changes in equity'!$A$1:$N$61</definedName>
  </definedNames>
  <calcPr fullCalcOnLoad="1"/>
</workbook>
</file>

<file path=xl/sharedStrings.xml><?xml version="1.0" encoding="utf-8"?>
<sst xmlns="http://schemas.openxmlformats.org/spreadsheetml/2006/main" count="209" uniqueCount="160">
  <si>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</si>
  <si>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</si>
  <si>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</si>
  <si>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</si>
  <si>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</si>
  <si>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</si>
  <si>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YEAR</t>
  </si>
  <si>
    <t>CORRESPONDING</t>
  </si>
  <si>
    <t>YEAR TO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</si>
  <si>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</si>
  <si>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</si>
  <si>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</si>
  <si>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</si>
  <si>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</si>
  <si>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</si>
  <si>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</si>
  <si>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</si>
  <si>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</si>
  <si>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Investment in Associated Companies</t>
  </si>
  <si>
    <t>Intangible Assets</t>
  </si>
  <si>
    <t>Current Assets</t>
  </si>
  <si>
    <t>Current Liabilities</t>
  </si>
  <si>
    <t xml:space="preserve">  Short Term Borrowings</t>
  </si>
  <si>
    <t xml:space="preserve">  Provision for Taxation</t>
  </si>
  <si>
    <t>Total Net Assets</t>
  </si>
  <si>
    <t>Shareholders’ Funds</t>
  </si>
  <si>
    <t xml:space="preserve">  Share Capital</t>
  </si>
  <si>
    <t xml:space="preserve">  Reserves</t>
  </si>
  <si>
    <t>Minority Interests</t>
  </si>
  <si>
    <t>Long Term Borrowings</t>
  </si>
  <si>
    <t>YEAR END</t>
  </si>
  <si>
    <t xml:space="preserve">AS AT PRECEDING FINANCIAL </t>
  </si>
  <si>
    <t xml:space="preserve"> PRECEDING YEAR  </t>
  </si>
  <si>
    <t>Goodwill on Consolidation</t>
  </si>
  <si>
    <t>Other Long Term Assets</t>
  </si>
  <si>
    <t xml:space="preserve">  Inventories</t>
  </si>
  <si>
    <t xml:space="preserve">  Short Term Investments</t>
  </si>
  <si>
    <t xml:space="preserve">  Proposed Dividend</t>
  </si>
  <si>
    <t>Revenue</t>
  </si>
  <si>
    <t>Deferred Taxation</t>
  </si>
  <si>
    <t>-</t>
  </si>
  <si>
    <t>Investment Property</t>
  </si>
  <si>
    <t>Property, Plant and Equipment</t>
  </si>
  <si>
    <t>30/11/2001</t>
  </si>
  <si>
    <t>FOR THE FINANCIAL YEAR ENDED 30 NOVEMBER 2002</t>
  </si>
  <si>
    <t>(The figures have not been audited)</t>
  </si>
  <si>
    <t>30-11-2002</t>
  </si>
  <si>
    <t>30-11-2001</t>
  </si>
  <si>
    <t>Taxation</t>
  </si>
  <si>
    <t>30/11/2002</t>
  </si>
  <si>
    <t>CONDENSED CONSOLIDATED BALANCE SHEET AS AT 30 NOVEMBER 2002</t>
  </si>
  <si>
    <t xml:space="preserve">  Cash and deposits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</si>
  <si>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</si>
  <si>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</si>
  <si>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</si>
  <si>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</si>
  <si>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</si>
  <si>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</si>
  <si>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</si>
  <si>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Financed By:-</t>
  </si>
  <si>
    <t xml:space="preserve">Net Current Assets </t>
  </si>
  <si>
    <t>UNAUDITED</t>
  </si>
  <si>
    <t xml:space="preserve">AUDITED </t>
  </si>
  <si>
    <t>PRECEDING FINANCIAL YEAR</t>
  </si>
  <si>
    <t>AS AT CURRENT FINANCIAL</t>
  </si>
  <si>
    <t>CURRENT FINANCIAL YEAR</t>
  </si>
  <si>
    <t>ENDED</t>
  </si>
  <si>
    <t>CASH FLOW FROM OPERATING ACTIVITIES</t>
  </si>
  <si>
    <t>Profit before taxation</t>
  </si>
  <si>
    <t>Adjustment for:-</t>
  </si>
  <si>
    <t xml:space="preserve">  Non-cash items</t>
  </si>
  <si>
    <t>Operating profit before changes in working capital</t>
  </si>
  <si>
    <t xml:space="preserve">  Changes in working capital</t>
  </si>
  <si>
    <t xml:space="preserve">    Net change in current assets</t>
  </si>
  <si>
    <t xml:space="preserve">    Net changes in current liabilities</t>
  </si>
  <si>
    <t>CASH FLOW FROM INVESTING ACTIVITIES</t>
  </si>
  <si>
    <t xml:space="preserve">  Equity investment</t>
  </si>
  <si>
    <t xml:space="preserve">  Other investment activities</t>
  </si>
  <si>
    <t>CASH FLOW FROM FINANCING ACTIVITIES</t>
  </si>
  <si>
    <t xml:space="preserve">  Share of results of associated companies</t>
  </si>
  <si>
    <t>TRANSLATION DIFFERENCE</t>
  </si>
  <si>
    <t>CASH AND CASH EQUIVALENT AT END OF YEAR</t>
  </si>
  <si>
    <t>CASH AND CASH EQUIVALENT AT BEGINNING OF YEAR</t>
  </si>
  <si>
    <t>CONDENSED CONSOLIDATED CASH FLOW STATEMENTS</t>
  </si>
  <si>
    <t>FOR THE  FINANCIAL YEAR ENDED 30 NOVEMBER 2002</t>
  </si>
  <si>
    <t xml:space="preserve">Share </t>
  </si>
  <si>
    <t>Capital</t>
  </si>
  <si>
    <t>Premium</t>
  </si>
  <si>
    <t xml:space="preserve">Capital </t>
  </si>
  <si>
    <t xml:space="preserve">Redemption </t>
  </si>
  <si>
    <t>Reserve</t>
  </si>
  <si>
    <t>On</t>
  </si>
  <si>
    <t>Consolidation</t>
  </si>
  <si>
    <t xml:space="preserve">Translation </t>
  </si>
  <si>
    <t>Retained</t>
  </si>
  <si>
    <t>Profits/</t>
  </si>
  <si>
    <t>(Accumulated</t>
  </si>
  <si>
    <t>Losses)</t>
  </si>
  <si>
    <t>Total</t>
  </si>
  <si>
    <t>Shareholders'</t>
  </si>
  <si>
    <t>Equity</t>
  </si>
  <si>
    <t>At 1 December 2001</t>
  </si>
  <si>
    <t>Net profit for the year</t>
  </si>
  <si>
    <t>Acquisition of subsidiary</t>
  </si>
  <si>
    <t>Amortisation during the year</t>
  </si>
  <si>
    <t>At 30 November 2002</t>
  </si>
  <si>
    <t>ended 30 November 2002</t>
  </si>
  <si>
    <t>ended 30 November 2001</t>
  </si>
  <si>
    <t>Compensation from guarantors</t>
  </si>
  <si>
    <t xml:space="preserve">  pursuant to profit guarantee</t>
  </si>
  <si>
    <t>Foreign exchange translation</t>
  </si>
  <si>
    <t xml:space="preserve">  difference</t>
  </si>
  <si>
    <t>Issuance of shares pursuant</t>
  </si>
  <si>
    <t xml:space="preserve">  to Bonus Issue</t>
  </si>
  <si>
    <t xml:space="preserve">Amount capitalised for Bonus </t>
  </si>
  <si>
    <t xml:space="preserve">  Issue</t>
  </si>
  <si>
    <t>At 30 November 2001</t>
  </si>
  <si>
    <t>At 1 December 2000</t>
  </si>
  <si>
    <t>Disposal of subsidiary</t>
  </si>
  <si>
    <t>Bonus Issue expenses</t>
  </si>
  <si>
    <t>RM'000</t>
  </si>
  <si>
    <t>Operating Expenses</t>
  </si>
  <si>
    <t>Profit from Operations</t>
  </si>
  <si>
    <t>Profit Before Taxation</t>
  </si>
  <si>
    <t>Profit After Taxation</t>
  </si>
  <si>
    <t>N/A</t>
  </si>
  <si>
    <t>Basic (sen)</t>
  </si>
  <si>
    <t xml:space="preserve">    Interest paid</t>
  </si>
  <si>
    <t xml:space="preserve">    Taxes paid</t>
  </si>
  <si>
    <t xml:space="preserve">12 months </t>
  </si>
  <si>
    <t>AMTEL HOLDINGS BERHAD</t>
  </si>
  <si>
    <t>Exceptional Item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</si>
  <si>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</si>
  <si>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</si>
  <si>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</si>
  <si>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Other Investments </t>
  </si>
  <si>
    <t>Net Profit for The Year</t>
  </si>
  <si>
    <t xml:space="preserve">    Interest received </t>
  </si>
  <si>
    <t xml:space="preserve">    Income tax refund</t>
  </si>
  <si>
    <t xml:space="preserve">  Non-operating items</t>
  </si>
  <si>
    <t>Cash generated from/(used in) operations</t>
  </si>
  <si>
    <t>Net cash flow generated from/(used in) operating activities</t>
  </si>
  <si>
    <t>Net cash flow (used in)/generated from investing activities</t>
  </si>
  <si>
    <t>Net cash flow used in financing activities</t>
  </si>
  <si>
    <t>NET DECREASE IN CASH AND CASH EQUIVALENT</t>
  </si>
  <si>
    <t xml:space="preserve">  Other long term assets </t>
  </si>
  <si>
    <t xml:space="preserve">  Payment of bonus issue expenses</t>
  </si>
  <si>
    <t xml:space="preserve">  Proceed from equity securities issued to minority interest</t>
  </si>
  <si>
    <t xml:space="preserve">  Net repayment of bank borrowings</t>
  </si>
  <si>
    <t xml:space="preserve">  Plant and equipment</t>
  </si>
  <si>
    <t>PERIOD</t>
  </si>
  <si>
    <t>INTERIM FINANCIAL REPORT FOR THE FOURTH QUARTER ENDED 30 NOVEMBER 2002</t>
  </si>
  <si>
    <t>CONDENSED CONSOLIDATED INCOME STATEMENTS</t>
  </si>
  <si>
    <t xml:space="preserve">(The Condensed Consolidated Income Statements should be read in conjunction with the Audited Financial </t>
  </si>
  <si>
    <t xml:space="preserve">  Report for the year ended 30 November 2001)</t>
  </si>
  <si>
    <t xml:space="preserve">(The Condensed Consolidated Statements of Changes in Equity should be read in conjunction with the Audited Financial </t>
  </si>
  <si>
    <t xml:space="preserve">(The Condensed Consolidated Cash Flow Statements should be read in conjunction with the Audited Financial </t>
  </si>
  <si>
    <t xml:space="preserve">(The Condensed Consolidated Balance Sheet should be read in conjunction with the Audited </t>
  </si>
  <si>
    <t xml:space="preserve">  Financial Report for the year ended 30 November 2001)</t>
  </si>
  <si>
    <t>30 January 2003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</si>
</sst>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</numFmts>
  <fonts count="16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9" fillId="0" borderId="0" xfId="15" applyFont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0" fontId="5" fillId="0" borderId="4" xfId="0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15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4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4" fontId="3" fillId="0" borderId="0" xfId="0" applyNumberFormat="1" applyFont="1" applyFill="1" applyBorder="1" applyAlignment="1">
      <alignment vertical="justify"/>
    </xf>
    <xf numFmtId="41" fontId="3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0" fontId="15" fillId="0" borderId="0" xfId="0" applyFont="1" applyAlignment="1">
      <alignment/>
    </xf>
    <xf numFmtId="41" fontId="3" fillId="0" borderId="0" xfId="0" applyNumberFormat="1" applyFont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5" fontId="5" fillId="0" borderId="0" xfId="0" applyNumberFormat="1" applyFont="1" applyBorder="1" applyAlignment="1" quotePrefix="1">
      <alignment horizontal="right"/>
    </xf>
    <xf numFmtId="15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.8515625" style="2" customWidth="1"/>
    <col min="2" max="2" width="37.8515625" style="2" customWidth="1"/>
    <col min="3" max="3" width="5.7109375" style="2" customWidth="1"/>
    <col min="4" max="4" width="13.7109375" style="2" customWidth="1"/>
    <col min="5" max="5" width="0.85546875" style="2" customWidth="1"/>
    <col min="6" max="6" width="13.28125" style="2" customWidth="1"/>
    <col min="7" max="7" width="0.85546875" style="2" customWidth="1"/>
    <col min="8" max="8" width="13.28125" style="2" customWidth="1"/>
    <col min="9" max="9" width="0.85546875" style="2" customWidth="1"/>
    <col min="10" max="10" width="13.140625" style="2" customWidth="1"/>
    <col min="11" max="11" width="1.421875" style="2" customWidth="1"/>
    <col min="12" max="12" width="6.140625" style="2" customWidth="1"/>
    <col min="13" max="16384" width="7.8515625" style="2" customWidth="1"/>
  </cols>
  <sheetData>
    <row r="1" spans="2:10" ht="15.75">
      <c r="B1" s="119"/>
      <c r="H1" s="141" t="s">
        <v>159</v>
      </c>
      <c r="I1" s="142"/>
      <c r="J1" s="142"/>
    </row>
    <row r="2" spans="8:10" ht="12.75">
      <c r="H2" s="5"/>
      <c r="I2" s="5"/>
      <c r="J2" s="32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36" t="s">
        <v>130</v>
      </c>
      <c r="B4" s="136"/>
      <c r="C4" s="136"/>
      <c r="D4" s="136"/>
      <c r="E4" s="136"/>
      <c r="F4" s="136"/>
      <c r="G4" s="136"/>
      <c r="H4" s="136"/>
      <c r="I4" s="136"/>
      <c r="J4" s="136"/>
    </row>
    <row r="5" spans="1:10" ht="12.75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40" t="s">
        <v>151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33"/>
    </row>
    <row r="8" spans="1:12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.75">
      <c r="A10" s="138" t="s">
        <v>152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33"/>
    </row>
    <row r="11" spans="1:12" ht="15.75">
      <c r="A11" s="138" t="s">
        <v>44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33"/>
    </row>
    <row r="12" spans="1:11" ht="15">
      <c r="A12" s="138" t="s">
        <v>45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</row>
    <row r="13" spans="1:10" ht="15" hidden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35"/>
      <c r="B15" s="135"/>
      <c r="C15" s="10"/>
      <c r="D15" s="139" t="s">
        <v>1</v>
      </c>
      <c r="E15" s="139"/>
      <c r="F15" s="139"/>
      <c r="G15" s="68"/>
      <c r="H15" s="139" t="s">
        <v>2</v>
      </c>
      <c r="I15" s="139"/>
      <c r="J15" s="139"/>
    </row>
    <row r="16" spans="1:10" ht="12.75" customHeight="1">
      <c r="A16" s="4"/>
      <c r="B16" s="4"/>
      <c r="C16" s="4"/>
      <c r="D16" s="17" t="s">
        <v>3</v>
      </c>
      <c r="E16" s="17"/>
      <c r="F16" s="35" t="s">
        <v>4</v>
      </c>
      <c r="G16" s="35"/>
      <c r="H16" s="17" t="s">
        <v>5</v>
      </c>
      <c r="I16" s="17"/>
      <c r="J16" s="17" t="s">
        <v>32</v>
      </c>
    </row>
    <row r="17" spans="1:10" ht="12.75" customHeight="1">
      <c r="A17" s="4"/>
      <c r="B17" s="4"/>
      <c r="C17" s="4"/>
      <c r="D17" s="17" t="s">
        <v>6</v>
      </c>
      <c r="E17" s="17"/>
      <c r="F17" s="17" t="s">
        <v>7</v>
      </c>
      <c r="G17" s="17"/>
      <c r="H17" s="17" t="s">
        <v>8</v>
      </c>
      <c r="I17" s="17"/>
      <c r="J17" s="17" t="s">
        <v>7</v>
      </c>
    </row>
    <row r="18" spans="1:10" ht="12.75" customHeight="1">
      <c r="A18" s="135"/>
      <c r="B18" s="135"/>
      <c r="C18" s="10"/>
      <c r="D18" s="17" t="s">
        <v>9</v>
      </c>
      <c r="E18" s="17"/>
      <c r="F18" s="17" t="s">
        <v>9</v>
      </c>
      <c r="G18" s="17"/>
      <c r="H18" s="17" t="s">
        <v>10</v>
      </c>
      <c r="I18" s="17"/>
      <c r="J18" s="17" t="s">
        <v>150</v>
      </c>
    </row>
    <row r="19" spans="1:10" ht="12.75">
      <c r="A19" s="4"/>
      <c r="B19" s="4"/>
      <c r="C19" s="4"/>
      <c r="D19" s="69" t="s">
        <v>46</v>
      </c>
      <c r="E19" s="69"/>
      <c r="F19" s="69" t="s">
        <v>47</v>
      </c>
      <c r="G19" s="69"/>
      <c r="H19" s="69" t="s">
        <v>46</v>
      </c>
      <c r="I19" s="69"/>
      <c r="J19" s="69" t="s">
        <v>47</v>
      </c>
    </row>
    <row r="20" spans="1:10" ht="14.25">
      <c r="A20" s="4"/>
      <c r="B20" s="4"/>
      <c r="C20" s="61"/>
      <c r="D20" s="68" t="s">
        <v>11</v>
      </c>
      <c r="E20" s="68"/>
      <c r="F20" s="68" t="s">
        <v>11</v>
      </c>
      <c r="G20" s="68"/>
      <c r="H20" s="68" t="s">
        <v>11</v>
      </c>
      <c r="I20" s="68"/>
      <c r="J20" s="68" t="s">
        <v>11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0" ht="16.5" customHeight="1">
      <c r="A22" s="4"/>
      <c r="B22" s="40" t="s">
        <v>38</v>
      </c>
      <c r="C22" s="43"/>
      <c r="D22" s="82">
        <f>28939-1</f>
        <v>28938</v>
      </c>
      <c r="E22" s="50"/>
      <c r="F22" s="50">
        <v>35667</v>
      </c>
      <c r="G22" s="50"/>
      <c r="H22" s="82">
        <f>87136+D22</f>
        <v>116074</v>
      </c>
      <c r="I22" s="50"/>
      <c r="J22" s="50">
        <v>130873</v>
      </c>
    </row>
    <row r="23" spans="1:10" ht="11.25" customHeight="1">
      <c r="A23" s="40"/>
      <c r="B23" s="40"/>
      <c r="C23" s="43"/>
      <c r="D23" s="82"/>
      <c r="E23" s="50"/>
      <c r="F23" s="51"/>
      <c r="G23" s="51"/>
      <c r="H23" s="82"/>
      <c r="I23" s="50"/>
      <c r="J23" s="52"/>
    </row>
    <row r="24" spans="1:12" ht="16.5" customHeight="1">
      <c r="A24" s="40"/>
      <c r="B24" s="40" t="s">
        <v>121</v>
      </c>
      <c r="C24" s="43"/>
      <c r="D24" s="80">
        <f>-26672-3075+275+11+16+57+5+2-77+1-23+1</f>
        <v>-29479</v>
      </c>
      <c r="E24" s="53"/>
      <c r="F24" s="50">
        <f>-33677-6225</f>
        <v>-39902</v>
      </c>
      <c r="G24" s="50"/>
      <c r="H24" s="82">
        <f>-26601-28970-26189+D24-5655-275+25-11-16-2</f>
        <v>-117173</v>
      </c>
      <c r="I24" s="50"/>
      <c r="J24" s="50">
        <f>-120043-13631</f>
        <v>-133674</v>
      </c>
      <c r="L24" s="12"/>
    </row>
    <row r="25" spans="1:10" ht="11.25" customHeight="1">
      <c r="A25" s="40"/>
      <c r="B25" s="40"/>
      <c r="C25" s="43"/>
      <c r="D25" s="82"/>
      <c r="E25" s="50"/>
      <c r="F25" s="14"/>
      <c r="G25" s="50"/>
      <c r="H25" s="82"/>
      <c r="I25" s="50"/>
      <c r="J25" s="14"/>
    </row>
    <row r="26" spans="1:10" ht="16.5" customHeight="1">
      <c r="A26" s="40"/>
      <c r="B26" s="40" t="s">
        <v>53</v>
      </c>
      <c r="C26" s="43"/>
      <c r="D26" s="82">
        <f>1083+1+1</f>
        <v>1085</v>
      </c>
      <c r="E26" s="50"/>
      <c r="F26" s="50">
        <f>2632+584</f>
        <v>3216</v>
      </c>
      <c r="G26" s="50"/>
      <c r="H26" s="82">
        <f>1411+175+350+D26</f>
        <v>3021</v>
      </c>
      <c r="I26" s="50"/>
      <c r="J26" s="50">
        <f>8246-3053</f>
        <v>5193</v>
      </c>
    </row>
    <row r="27" spans="1:10" ht="10.5" customHeight="1">
      <c r="A27" s="40"/>
      <c r="B27" s="40"/>
      <c r="C27" s="43"/>
      <c r="D27" s="82"/>
      <c r="E27" s="50"/>
      <c r="F27" s="50"/>
      <c r="G27" s="50"/>
      <c r="H27" s="82"/>
      <c r="I27" s="50"/>
      <c r="J27" s="50"/>
    </row>
    <row r="28" spans="1:10" ht="16.5" customHeight="1">
      <c r="A28" s="40"/>
      <c r="B28" s="40" t="s">
        <v>131</v>
      </c>
      <c r="C28" s="43"/>
      <c r="D28" s="82">
        <v>0</v>
      </c>
      <c r="E28" s="50"/>
      <c r="F28" s="50">
        <v>3053</v>
      </c>
      <c r="G28" s="50"/>
      <c r="H28" s="82">
        <f>0+D28</f>
        <v>0</v>
      </c>
      <c r="I28" s="50"/>
      <c r="J28" s="50">
        <v>3053</v>
      </c>
    </row>
    <row r="29" spans="1:10" ht="10.5" customHeight="1">
      <c r="A29" s="40"/>
      <c r="B29" s="40"/>
      <c r="C29" s="43"/>
      <c r="D29" s="83"/>
      <c r="E29" s="55"/>
      <c r="F29" s="56"/>
      <c r="G29" s="57"/>
      <c r="H29" s="83"/>
      <c r="I29" s="55"/>
      <c r="J29" s="54"/>
    </row>
    <row r="30" spans="1:13" ht="16.5" customHeight="1">
      <c r="A30" s="40"/>
      <c r="B30" s="40" t="s">
        <v>122</v>
      </c>
      <c r="C30" s="43"/>
      <c r="D30" s="84">
        <f>SUM(D22:D29)</f>
        <v>544</v>
      </c>
      <c r="E30" s="51"/>
      <c r="F30" s="51">
        <f>SUM(F22:F29)</f>
        <v>2034</v>
      </c>
      <c r="G30" s="51"/>
      <c r="H30" s="84">
        <f>SUM(H22:H29)</f>
        <v>1922</v>
      </c>
      <c r="I30" s="51"/>
      <c r="J30" s="51">
        <f>SUM(J22:J29)</f>
        <v>5445</v>
      </c>
      <c r="L30" s="12"/>
      <c r="M30" s="12"/>
    </row>
    <row r="31" spans="1:10" ht="11.25" customHeight="1">
      <c r="A31" s="41"/>
      <c r="B31" s="42"/>
      <c r="C31" s="42"/>
      <c r="D31" s="80"/>
      <c r="E31" s="53"/>
      <c r="F31" s="53"/>
      <c r="G31" s="53"/>
      <c r="H31" s="80"/>
      <c r="I31" s="53"/>
      <c r="J31" s="53"/>
    </row>
    <row r="32" spans="1:10" ht="16.5" customHeight="1">
      <c r="A32" s="41"/>
      <c r="B32" s="42" t="s">
        <v>54</v>
      </c>
      <c r="C32" s="42"/>
      <c r="D32" s="80">
        <f>-277+2</f>
        <v>-275</v>
      </c>
      <c r="E32" s="53"/>
      <c r="F32" s="53">
        <v>-437</v>
      </c>
      <c r="G32" s="53"/>
      <c r="H32" s="80">
        <f>-867+D32</f>
        <v>-1142</v>
      </c>
      <c r="I32" s="53"/>
      <c r="J32" s="53">
        <v>-1609</v>
      </c>
    </row>
    <row r="33" spans="1:13" ht="11.25" customHeight="1">
      <c r="A33" s="42"/>
      <c r="B33" s="42"/>
      <c r="C33" s="42"/>
      <c r="D33" s="80"/>
      <c r="E33" s="53"/>
      <c r="F33" s="53"/>
      <c r="G33" s="53"/>
      <c r="H33" s="80"/>
      <c r="I33" s="53"/>
      <c r="J33" s="53"/>
      <c r="L33" s="12"/>
      <c r="M33" s="12"/>
    </row>
    <row r="34" spans="1:10" ht="15.75" customHeight="1">
      <c r="A34" s="42"/>
      <c r="B34" s="48" t="s">
        <v>55</v>
      </c>
      <c r="C34" s="48"/>
      <c r="D34" s="80">
        <v>564</v>
      </c>
      <c r="E34" s="53"/>
      <c r="F34" s="53">
        <v>67</v>
      </c>
      <c r="G34" s="53"/>
      <c r="H34" s="80">
        <f>-76+1157+522+D34</f>
        <v>2167</v>
      </c>
      <c r="I34" s="53"/>
      <c r="J34" s="53">
        <v>78</v>
      </c>
    </row>
    <row r="35" spans="1:10" ht="11.25" customHeight="1">
      <c r="A35" s="42"/>
      <c r="B35" s="48"/>
      <c r="C35" s="48"/>
      <c r="D35" s="85"/>
      <c r="E35" s="37"/>
      <c r="F35" s="58"/>
      <c r="G35" s="37"/>
      <c r="H35" s="85"/>
      <c r="I35" s="37"/>
      <c r="J35" s="58"/>
    </row>
    <row r="36" spans="1:10" ht="16.5" customHeight="1">
      <c r="A36" s="42"/>
      <c r="B36" s="48" t="s">
        <v>123</v>
      </c>
      <c r="C36" s="48"/>
      <c r="D36" s="84">
        <f>SUM(D30:D35)</f>
        <v>833</v>
      </c>
      <c r="E36" s="51"/>
      <c r="F36" s="51">
        <f>SUM(F30:F35)</f>
        <v>1664</v>
      </c>
      <c r="G36" s="51"/>
      <c r="H36" s="84">
        <f>SUM(H30:H35)</f>
        <v>2947</v>
      </c>
      <c r="I36" s="51"/>
      <c r="J36" s="51">
        <f>SUM(J30:J35)</f>
        <v>3914</v>
      </c>
    </row>
    <row r="37" spans="1:10" ht="11.25" customHeight="1">
      <c r="A37" s="42"/>
      <c r="B37" s="48"/>
      <c r="C37" s="48"/>
      <c r="D37" s="86"/>
      <c r="E37" s="37"/>
      <c r="F37" s="37"/>
      <c r="G37" s="37"/>
      <c r="H37" s="86"/>
      <c r="I37" s="37"/>
      <c r="J37" s="37"/>
    </row>
    <row r="38" spans="1:10" ht="15" customHeight="1">
      <c r="A38" s="42"/>
      <c r="B38" s="42" t="s">
        <v>48</v>
      </c>
      <c r="C38" s="62"/>
      <c r="D38" s="80">
        <f>-281+20+115-1+6-281</f>
        <v>-422</v>
      </c>
      <c r="E38" s="53"/>
      <c r="F38" s="53">
        <v>170</v>
      </c>
      <c r="G38" s="53"/>
      <c r="H38" s="80">
        <f>-88-323-153+D38</f>
        <v>-986</v>
      </c>
      <c r="I38" s="53"/>
      <c r="J38" s="53">
        <v>-553</v>
      </c>
    </row>
    <row r="39" spans="1:10" ht="11.25" customHeight="1">
      <c r="A39" s="40"/>
      <c r="B39" s="40"/>
      <c r="C39" s="40"/>
      <c r="D39" s="49"/>
      <c r="E39" s="21"/>
      <c r="F39" s="49"/>
      <c r="G39" s="21"/>
      <c r="H39" s="49"/>
      <c r="I39" s="21"/>
      <c r="J39" s="49"/>
    </row>
    <row r="40" spans="1:10" ht="16.5" customHeight="1">
      <c r="A40" s="40"/>
      <c r="B40" s="40" t="s">
        <v>124</v>
      </c>
      <c r="C40" s="43"/>
      <c r="D40" s="80">
        <f>SUM(D36:D39)</f>
        <v>411</v>
      </c>
      <c r="E40" s="53"/>
      <c r="F40" s="53">
        <f>SUM(F36:F39)</f>
        <v>1834</v>
      </c>
      <c r="G40" s="53"/>
      <c r="H40" s="80">
        <f>SUM(H36:H39)</f>
        <v>1961</v>
      </c>
      <c r="I40" s="53"/>
      <c r="J40" s="53">
        <f>SUM(J36:J39)</f>
        <v>3361</v>
      </c>
    </row>
    <row r="41" spans="1:10" ht="10.5" customHeight="1">
      <c r="A41" s="40"/>
      <c r="B41" s="40"/>
      <c r="C41" s="43"/>
      <c r="D41" s="80"/>
      <c r="E41" s="53"/>
      <c r="F41" s="53"/>
      <c r="G41" s="53"/>
      <c r="H41" s="80"/>
      <c r="I41" s="53"/>
      <c r="J41" s="53"/>
    </row>
    <row r="42" spans="1:10" ht="16.5" customHeight="1">
      <c r="A42" s="40"/>
      <c r="B42" s="40" t="s">
        <v>56</v>
      </c>
      <c r="C42" s="43"/>
      <c r="D42" s="80">
        <f>104+22</f>
        <v>126</v>
      </c>
      <c r="E42" s="53"/>
      <c r="F42" s="53">
        <v>629</v>
      </c>
      <c r="G42" s="53"/>
      <c r="H42" s="80">
        <f>-55-28-59+D42</f>
        <v>-16</v>
      </c>
      <c r="I42" s="53"/>
      <c r="J42" s="53">
        <v>92</v>
      </c>
    </row>
    <row r="43" spans="1:10" ht="11.25" customHeight="1">
      <c r="A43" s="40"/>
      <c r="B43" s="40"/>
      <c r="C43" s="43"/>
      <c r="D43" s="59"/>
      <c r="E43" s="10"/>
      <c r="F43" s="10"/>
      <c r="G43" s="10"/>
      <c r="H43" s="10"/>
      <c r="I43" s="10"/>
      <c r="J43" s="10"/>
    </row>
    <row r="44" spans="1:10" ht="16.5" customHeight="1" thickBot="1">
      <c r="A44" s="40"/>
      <c r="B44" s="40" t="s">
        <v>136</v>
      </c>
      <c r="C44" s="43"/>
      <c r="D44" s="81">
        <f>SUM(D40:D43)</f>
        <v>537</v>
      </c>
      <c r="E44" s="19"/>
      <c r="F44" s="60">
        <f>SUM(F40:F43)</f>
        <v>2463</v>
      </c>
      <c r="G44" s="19"/>
      <c r="H44" s="81">
        <f>SUM(H40:H43)</f>
        <v>1945</v>
      </c>
      <c r="I44" s="19"/>
      <c r="J44" s="60">
        <f>SUM(J40:J43)</f>
        <v>3453</v>
      </c>
    </row>
    <row r="45" spans="1:10" ht="15" customHeight="1">
      <c r="A45" s="41"/>
      <c r="B45" s="42"/>
      <c r="C45" s="41"/>
      <c r="D45" s="87"/>
      <c r="E45" s="36"/>
      <c r="F45" s="36"/>
      <c r="G45" s="36"/>
      <c r="H45" s="87"/>
      <c r="I45" s="36"/>
      <c r="J45" s="36"/>
    </row>
    <row r="46" spans="1:10" ht="16.5" customHeight="1">
      <c r="A46" s="42"/>
      <c r="B46" s="72" t="s">
        <v>57</v>
      </c>
      <c r="C46" s="43"/>
      <c r="D46" s="28"/>
      <c r="E46" s="4"/>
      <c r="F46" s="19"/>
      <c r="G46" s="19"/>
      <c r="H46" s="82"/>
      <c r="I46" s="4"/>
      <c r="J46" s="19"/>
    </row>
    <row r="47" spans="1:10" ht="6.75" customHeight="1">
      <c r="A47" s="40"/>
      <c r="B47" s="40"/>
      <c r="C47" s="43"/>
      <c r="D47" s="28"/>
      <c r="E47" s="4"/>
      <c r="F47" s="19"/>
      <c r="G47" s="19"/>
      <c r="H47" s="28"/>
      <c r="I47" s="4"/>
      <c r="J47" s="19"/>
    </row>
    <row r="48" spans="1:10" ht="16.5" customHeight="1">
      <c r="A48" s="42"/>
      <c r="B48" s="40" t="s">
        <v>126</v>
      </c>
      <c r="C48" s="43"/>
      <c r="D48" s="88">
        <f>D44/41866.667*100</f>
        <v>1.2826433018897827</v>
      </c>
      <c r="E48" s="38"/>
      <c r="F48" s="39">
        <f>F44/41866.667*100</f>
        <v>5.882961736600622</v>
      </c>
      <c r="G48" s="39"/>
      <c r="H48" s="92">
        <f>H44/41866.667*100</f>
        <v>4.645700599954613</v>
      </c>
      <c r="I48" s="39"/>
      <c r="J48" s="39">
        <f>J44/41866.667*100</f>
        <v>8.247611399302457</v>
      </c>
    </row>
    <row r="49" spans="1:10" ht="6.75" customHeight="1">
      <c r="A49" s="40"/>
      <c r="B49" s="40"/>
      <c r="C49" s="43"/>
      <c r="D49" s="28"/>
      <c r="E49" s="4"/>
      <c r="F49" s="19"/>
      <c r="G49" s="19"/>
      <c r="H49" s="28"/>
      <c r="I49" s="4"/>
      <c r="J49" s="19"/>
    </row>
    <row r="50" spans="1:10" ht="16.5" customHeight="1">
      <c r="A50" s="40"/>
      <c r="B50" s="40" t="s">
        <v>58</v>
      </c>
      <c r="C50" s="43"/>
      <c r="D50" s="89" t="s">
        <v>125</v>
      </c>
      <c r="E50" s="4"/>
      <c r="F50" s="18" t="s">
        <v>125</v>
      </c>
      <c r="G50" s="19"/>
      <c r="H50" s="89" t="s">
        <v>125</v>
      </c>
      <c r="I50" s="4"/>
      <c r="J50" s="18" t="s">
        <v>125</v>
      </c>
    </row>
    <row r="51" spans="1:10" ht="28.5" hidden="1">
      <c r="A51" s="44" t="s">
        <v>13</v>
      </c>
      <c r="B51" s="44" t="s">
        <v>14</v>
      </c>
      <c r="C51" s="63"/>
      <c r="D51" s="90">
        <f>BalanceSheet!C56/100</f>
        <v>0.009042276998071043</v>
      </c>
      <c r="E51" s="7"/>
      <c r="F51" s="6">
        <v>1.99</v>
      </c>
      <c r="G51" s="6"/>
      <c r="H51" s="90">
        <f>D51</f>
        <v>0.009042276998071043</v>
      </c>
      <c r="I51" s="7"/>
      <c r="J51" s="6">
        <v>1.99</v>
      </c>
    </row>
    <row r="52" spans="1:10" ht="18" customHeight="1" hidden="1">
      <c r="A52" s="45" t="s">
        <v>15</v>
      </c>
      <c r="B52" s="45" t="s">
        <v>16</v>
      </c>
      <c r="C52" s="64"/>
      <c r="D52" s="91">
        <v>0</v>
      </c>
      <c r="E52" s="16"/>
      <c r="F52" s="16">
        <v>0</v>
      </c>
      <c r="G52" s="16"/>
      <c r="H52" s="91">
        <v>0</v>
      </c>
      <c r="I52" s="16"/>
      <c r="J52" s="16">
        <v>0</v>
      </c>
    </row>
    <row r="53" spans="1:10" ht="18" customHeight="1" hidden="1">
      <c r="A53" s="45" t="s">
        <v>12</v>
      </c>
      <c r="B53" s="45" t="s">
        <v>17</v>
      </c>
      <c r="C53" s="64"/>
      <c r="D53" s="91">
        <v>0</v>
      </c>
      <c r="E53" s="16"/>
      <c r="F53" s="16">
        <v>0</v>
      </c>
      <c r="G53" s="16"/>
      <c r="H53" s="91">
        <v>0</v>
      </c>
      <c r="I53" s="16"/>
      <c r="J53" s="16">
        <v>0</v>
      </c>
    </row>
    <row r="54" spans="1:10" ht="14.25">
      <c r="A54" s="46"/>
      <c r="B54" s="46"/>
      <c r="C54" s="65"/>
      <c r="D54" s="3"/>
      <c r="E54" s="1"/>
      <c r="F54" s="1"/>
      <c r="G54" s="1"/>
      <c r="H54" s="3"/>
      <c r="I54" s="1"/>
      <c r="J54" s="1"/>
    </row>
    <row r="55" spans="1:10" ht="14.25">
      <c r="A55" s="46"/>
      <c r="B55" s="66"/>
      <c r="C55" s="65"/>
      <c r="D55" s="1"/>
      <c r="E55" s="1"/>
      <c r="F55" s="1"/>
      <c r="G55" s="1"/>
      <c r="H55" s="3"/>
      <c r="I55" s="1"/>
      <c r="J55" s="1"/>
    </row>
    <row r="56" spans="1:10" ht="14.25">
      <c r="A56" s="46"/>
      <c r="B56" s="46"/>
      <c r="C56" s="46"/>
      <c r="D56" s="1"/>
      <c r="E56" s="1"/>
      <c r="F56" s="1"/>
      <c r="G56" s="1"/>
      <c r="H56" s="3"/>
      <c r="I56" s="1"/>
      <c r="J56" s="1"/>
    </row>
    <row r="57" spans="1:10" ht="12" customHeight="1">
      <c r="A57" s="46"/>
      <c r="C57" s="46"/>
      <c r="D57" s="1"/>
      <c r="E57" s="1"/>
      <c r="F57" s="1"/>
      <c r="G57" s="1"/>
      <c r="H57" s="3"/>
      <c r="I57" s="1"/>
      <c r="J57" s="1"/>
    </row>
    <row r="58" spans="1:10" ht="14.25">
      <c r="A58" s="46"/>
      <c r="B58" s="46"/>
      <c r="C58" s="46"/>
      <c r="D58" s="1"/>
      <c r="E58" s="1"/>
      <c r="F58" s="1"/>
      <c r="G58" s="1"/>
      <c r="H58" s="3"/>
      <c r="I58" s="1"/>
      <c r="J58" s="1"/>
    </row>
    <row r="59" spans="1:10" ht="14.25">
      <c r="A59" s="47"/>
      <c r="B59" s="46"/>
      <c r="C59" s="46"/>
      <c r="D59" s="1"/>
      <c r="E59" s="1"/>
      <c r="F59" s="1"/>
      <c r="G59" s="1"/>
      <c r="H59" s="1"/>
      <c r="I59" s="1"/>
      <c r="J59" s="1"/>
    </row>
    <row r="60" spans="1:10" ht="14.25">
      <c r="A60" s="46"/>
      <c r="B60" s="46"/>
      <c r="C60" s="46"/>
      <c r="D60" s="1"/>
      <c r="E60" s="1"/>
      <c r="F60" s="1"/>
      <c r="G60" s="1"/>
      <c r="H60" s="1"/>
      <c r="I60" s="1"/>
      <c r="J60" s="1"/>
    </row>
    <row r="61" spans="1:10" ht="14.25">
      <c r="A61" s="46"/>
      <c r="B61" s="46" t="s">
        <v>153</v>
      </c>
      <c r="C61" s="46"/>
      <c r="D61" s="1"/>
      <c r="E61" s="1"/>
      <c r="F61" s="1"/>
      <c r="G61" s="1"/>
      <c r="H61" s="1"/>
      <c r="I61" s="1"/>
      <c r="J61" s="1"/>
    </row>
    <row r="62" spans="1:10" ht="14.25">
      <c r="A62" s="46"/>
      <c r="B62" s="46" t="s">
        <v>154</v>
      </c>
      <c r="C62" s="46"/>
      <c r="D62" s="1"/>
      <c r="E62" s="1"/>
      <c r="F62" s="1"/>
      <c r="G62" s="1"/>
      <c r="H62" s="1"/>
      <c r="I62" s="1"/>
      <c r="J62" s="1"/>
    </row>
    <row r="63" spans="1:10" ht="14.25">
      <c r="A63" s="46"/>
      <c r="B63" s="46"/>
      <c r="C63" s="46"/>
      <c r="D63" s="1"/>
      <c r="E63" s="1"/>
      <c r="F63" s="1"/>
      <c r="G63" s="1"/>
      <c r="H63" s="1"/>
      <c r="I63" s="1"/>
      <c r="J63" s="1"/>
    </row>
    <row r="64" spans="1:10" ht="14.25">
      <c r="A64" s="47"/>
      <c r="B64" s="46"/>
      <c r="C64" s="46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</sheetData>
  <mergeCells count="12">
    <mergeCell ref="H1:J1"/>
    <mergeCell ref="A10:K10"/>
    <mergeCell ref="A11:K11"/>
    <mergeCell ref="A15:B15"/>
    <mergeCell ref="A18:B18"/>
    <mergeCell ref="A4:J4"/>
    <mergeCell ref="A5:J5"/>
    <mergeCell ref="A13:J13"/>
    <mergeCell ref="D15:F15"/>
    <mergeCell ref="A7:K7"/>
    <mergeCell ref="H15:J15"/>
    <mergeCell ref="A12:K12"/>
  </mergeCells>
  <printOptions/>
  <pageMargins left="0.55" right="0.25" top="0.3" bottom="0.4" header="0.33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1">
      <selection activeCell="A2" sqref="A2:E2"/>
    </sheetView>
  </sheetViews>
  <sheetFormatPr defaultColWidth="9.140625" defaultRowHeight="12.75"/>
  <cols>
    <col min="1" max="1" width="2.57421875" style="2" customWidth="1"/>
    <col min="2" max="2" width="46.8515625" style="2" customWidth="1"/>
    <col min="3" max="3" width="13.421875" style="2" customWidth="1"/>
    <col min="4" max="4" width="4.140625" style="2" customWidth="1"/>
    <col min="5" max="5" width="14.140625" style="2" customWidth="1"/>
    <col min="6" max="6" width="2.7109375" style="2" customWidth="1"/>
    <col min="7" max="16384" width="7.8515625" style="2" customWidth="1"/>
  </cols>
  <sheetData>
    <row r="1" spans="1:7" ht="15.75">
      <c r="A1" s="4"/>
      <c r="B1" s="4"/>
      <c r="C1" s="18"/>
      <c r="D1" s="18"/>
      <c r="G1" s="118"/>
    </row>
    <row r="2" spans="1:6" ht="18">
      <c r="A2" s="143" t="s">
        <v>130</v>
      </c>
      <c r="B2" s="143"/>
      <c r="C2" s="143"/>
      <c r="D2" s="143"/>
      <c r="E2" s="143"/>
      <c r="F2" s="25"/>
    </row>
    <row r="3" spans="1:6" ht="12.75">
      <c r="A3" s="144" t="s">
        <v>0</v>
      </c>
      <c r="B3" s="144"/>
      <c r="C3" s="144"/>
      <c r="D3" s="144"/>
      <c r="E3" s="144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45"/>
      <c r="B5" s="145"/>
      <c r="C5" s="145"/>
      <c r="D5" s="145"/>
      <c r="E5" s="145"/>
      <c r="F5" s="27"/>
    </row>
    <row r="6" spans="1:6" ht="15.75">
      <c r="A6" s="146" t="s">
        <v>50</v>
      </c>
      <c r="B6" s="146"/>
      <c r="C6" s="146"/>
      <c r="D6" s="146"/>
      <c r="E6" s="146"/>
      <c r="F6" s="27"/>
    </row>
    <row r="7" spans="1:11" ht="15">
      <c r="A7" s="138" t="s">
        <v>45</v>
      </c>
      <c r="B7" s="138"/>
      <c r="C7" s="138"/>
      <c r="D7" s="138"/>
      <c r="E7" s="138"/>
      <c r="F7" s="34"/>
      <c r="G7" s="34"/>
      <c r="H7" s="34"/>
      <c r="I7" s="34"/>
      <c r="J7" s="34"/>
      <c r="K7" s="34"/>
    </row>
    <row r="8" spans="1:7" ht="12.75">
      <c r="A8" s="4"/>
      <c r="B8" s="4"/>
      <c r="C8" s="4"/>
      <c r="D8" s="4"/>
      <c r="E8" s="4"/>
      <c r="F8" s="4"/>
      <c r="G8" s="22"/>
    </row>
    <row r="9" spans="1:7" ht="12.75">
      <c r="A9" s="4"/>
      <c r="B9" s="4"/>
      <c r="C9" s="8" t="s">
        <v>61</v>
      </c>
      <c r="D9" s="8"/>
      <c r="E9" s="8" t="s">
        <v>62</v>
      </c>
      <c r="F9" s="4"/>
      <c r="G9" s="22"/>
    </row>
    <row r="10" spans="1:8" ht="37.5" customHeight="1">
      <c r="A10" s="20"/>
      <c r="B10" s="4"/>
      <c r="C10" s="8" t="s">
        <v>64</v>
      </c>
      <c r="D10" s="8"/>
      <c r="E10" s="8" t="s">
        <v>31</v>
      </c>
      <c r="F10" s="8"/>
      <c r="G10" s="22"/>
      <c r="H10" s="12"/>
    </row>
    <row r="11" spans="1:8" ht="12.75" customHeight="1">
      <c r="A11" s="20"/>
      <c r="B11" s="4"/>
      <c r="C11" s="8" t="s">
        <v>30</v>
      </c>
      <c r="D11" s="8"/>
      <c r="E11" s="8" t="s">
        <v>30</v>
      </c>
      <c r="F11" s="8"/>
      <c r="G11" s="22"/>
      <c r="H11" s="12"/>
    </row>
    <row r="12" spans="1:7" ht="12.75">
      <c r="A12" s="20"/>
      <c r="B12" s="4"/>
      <c r="C12" s="31" t="s">
        <v>49</v>
      </c>
      <c r="D12" s="31"/>
      <c r="E12" s="31" t="s">
        <v>43</v>
      </c>
      <c r="F12" s="9"/>
      <c r="G12" s="22"/>
    </row>
    <row r="13" spans="1:7" ht="12.75">
      <c r="A13" s="4"/>
      <c r="B13" s="4"/>
      <c r="C13" s="10" t="s">
        <v>11</v>
      </c>
      <c r="D13" s="10"/>
      <c r="E13" s="10" t="s">
        <v>11</v>
      </c>
      <c r="F13" s="10"/>
      <c r="G13" s="22"/>
    </row>
    <row r="14" spans="1:7" ht="12.75">
      <c r="A14" s="4"/>
      <c r="B14" s="4"/>
      <c r="C14" s="10"/>
      <c r="D14" s="10"/>
      <c r="E14" s="10"/>
      <c r="F14" s="10"/>
      <c r="G14" s="22"/>
    </row>
    <row r="15" spans="1:7" ht="15">
      <c r="A15" s="19"/>
      <c r="B15" s="40" t="s">
        <v>42</v>
      </c>
      <c r="C15" s="100">
        <v>21808</v>
      </c>
      <c r="D15" s="95"/>
      <c r="E15" s="129">
        <v>19609</v>
      </c>
      <c r="F15" s="11"/>
      <c r="G15" s="22"/>
    </row>
    <row r="16" spans="1:7" ht="15">
      <c r="A16" s="19"/>
      <c r="B16" s="40" t="s">
        <v>41</v>
      </c>
      <c r="C16" s="100">
        <v>0</v>
      </c>
      <c r="D16" s="96"/>
      <c r="E16" s="129" t="s">
        <v>40</v>
      </c>
      <c r="F16" s="11"/>
      <c r="G16" s="22"/>
    </row>
    <row r="17" spans="1:8" ht="15">
      <c r="A17" s="19"/>
      <c r="B17" s="40" t="s">
        <v>18</v>
      </c>
      <c r="C17" s="100">
        <v>9158</v>
      </c>
      <c r="D17" s="95"/>
      <c r="E17" s="129">
        <v>7517</v>
      </c>
      <c r="F17" s="11"/>
      <c r="G17" s="23"/>
      <c r="H17" s="12"/>
    </row>
    <row r="18" spans="1:7" ht="15">
      <c r="A18" s="19"/>
      <c r="B18" s="40" t="s">
        <v>135</v>
      </c>
      <c r="C18" s="100">
        <f>945-513</f>
        <v>432</v>
      </c>
      <c r="D18" s="95"/>
      <c r="E18" s="129">
        <v>259</v>
      </c>
      <c r="F18" s="11"/>
      <c r="G18" s="23"/>
    </row>
    <row r="19" spans="1:7" ht="15">
      <c r="A19" s="19"/>
      <c r="B19" s="40" t="s">
        <v>33</v>
      </c>
      <c r="C19" s="100">
        <v>5</v>
      </c>
      <c r="D19" s="95"/>
      <c r="E19" s="129">
        <v>27</v>
      </c>
      <c r="F19" s="11"/>
      <c r="G19" s="23"/>
    </row>
    <row r="20" spans="1:8" ht="15">
      <c r="A20" s="19"/>
      <c r="B20" s="40" t="s">
        <v>19</v>
      </c>
      <c r="C20" s="100">
        <v>0</v>
      </c>
      <c r="D20" s="96"/>
      <c r="E20" s="129" t="s">
        <v>40</v>
      </c>
      <c r="F20" s="11"/>
      <c r="G20" s="23"/>
      <c r="H20" s="12"/>
    </row>
    <row r="21" spans="1:8" ht="15">
      <c r="A21" s="19"/>
      <c r="B21" s="40" t="s">
        <v>34</v>
      </c>
      <c r="C21" s="113">
        <v>513</v>
      </c>
      <c r="D21" s="96"/>
      <c r="E21" s="130">
        <v>1554</v>
      </c>
      <c r="F21" s="11"/>
      <c r="G21" s="23"/>
      <c r="H21" s="12"/>
    </row>
    <row r="22" spans="1:8" ht="15">
      <c r="A22" s="19"/>
      <c r="B22" s="40"/>
      <c r="C22" s="113">
        <f>SUM(C15:C21)</f>
        <v>31916</v>
      </c>
      <c r="D22" s="95"/>
      <c r="E22" s="114">
        <f>SUM(E15:E21)</f>
        <v>28966</v>
      </c>
      <c r="F22" s="11"/>
      <c r="G22" s="23"/>
      <c r="H22" s="12"/>
    </row>
    <row r="23" spans="1:7" ht="15">
      <c r="A23" s="19"/>
      <c r="B23" s="40"/>
      <c r="C23" s="94"/>
      <c r="D23" s="95"/>
      <c r="E23" s="95"/>
      <c r="F23" s="11"/>
      <c r="G23" s="22"/>
    </row>
    <row r="24" spans="1:7" ht="15">
      <c r="A24" s="19"/>
      <c r="B24" s="40" t="s">
        <v>20</v>
      </c>
      <c r="C24" s="94"/>
      <c r="D24" s="95"/>
      <c r="E24" s="98"/>
      <c r="F24" s="11"/>
      <c r="G24" s="22"/>
    </row>
    <row r="25" spans="1:8" ht="15">
      <c r="A25" s="19"/>
      <c r="B25" s="40" t="s">
        <v>35</v>
      </c>
      <c r="C25" s="123">
        <v>5957</v>
      </c>
      <c r="D25" s="95"/>
      <c r="E25" s="125">
        <v>5613</v>
      </c>
      <c r="F25" s="11"/>
      <c r="G25" s="22"/>
      <c r="H25" s="12"/>
    </row>
    <row r="26" spans="1:8" ht="15">
      <c r="A26" s="19"/>
      <c r="B26" s="40" t="s">
        <v>133</v>
      </c>
      <c r="C26" s="124">
        <f>17157+4+3361</f>
        <v>20522</v>
      </c>
      <c r="D26" s="95"/>
      <c r="E26" s="126">
        <f>13942+7274</f>
        <v>21216</v>
      </c>
      <c r="F26" s="11"/>
      <c r="G26" s="23"/>
      <c r="H26" s="12"/>
    </row>
    <row r="27" spans="1:8" ht="15">
      <c r="A27" s="19"/>
      <c r="B27" s="40" t="s">
        <v>36</v>
      </c>
      <c r="C27" s="124">
        <v>513</v>
      </c>
      <c r="D27" s="96"/>
      <c r="E27" s="121" t="s">
        <v>40</v>
      </c>
      <c r="F27" s="11"/>
      <c r="G27" s="23"/>
      <c r="H27" s="12"/>
    </row>
    <row r="28" spans="1:9" ht="15">
      <c r="A28" s="19"/>
      <c r="B28" s="40" t="s">
        <v>51</v>
      </c>
      <c r="C28" s="122">
        <f>2120+4859</f>
        <v>6979</v>
      </c>
      <c r="D28" s="95"/>
      <c r="E28" s="127">
        <v>10304</v>
      </c>
      <c r="F28" s="11"/>
      <c r="G28" s="23"/>
      <c r="I28" s="12"/>
    </row>
    <row r="29" spans="1:8" ht="15">
      <c r="A29" s="19"/>
      <c r="B29" s="40"/>
      <c r="C29" s="122">
        <f>SUM(C25:C28)</f>
        <v>33971</v>
      </c>
      <c r="D29" s="95"/>
      <c r="E29" s="127">
        <f>SUM(E25:E28)</f>
        <v>37133</v>
      </c>
      <c r="F29" s="13"/>
      <c r="G29" s="23"/>
      <c r="H29" s="12"/>
    </row>
    <row r="30" spans="1:9" ht="15">
      <c r="A30" s="19"/>
      <c r="B30" s="40"/>
      <c r="C30" s="94"/>
      <c r="D30" s="94"/>
      <c r="E30" s="94"/>
      <c r="F30" s="13"/>
      <c r="G30" s="23"/>
      <c r="H30" s="12"/>
      <c r="I30" s="12"/>
    </row>
    <row r="31" spans="1:9" ht="15">
      <c r="A31" s="19"/>
      <c r="B31" s="40" t="s">
        <v>21</v>
      </c>
      <c r="C31" s="94"/>
      <c r="D31" s="95"/>
      <c r="E31" s="95"/>
      <c r="F31" s="11"/>
      <c r="G31" s="23"/>
      <c r="H31" s="12"/>
      <c r="I31" s="12"/>
    </row>
    <row r="32" spans="1:10" ht="15">
      <c r="A32" s="19"/>
      <c r="B32" s="40" t="s">
        <v>134</v>
      </c>
      <c r="C32" s="123">
        <f>8669+4574</f>
        <v>13243</v>
      </c>
      <c r="D32" s="95"/>
      <c r="E32" s="125">
        <f>8856+3824</f>
        <v>12680</v>
      </c>
      <c r="F32" s="11"/>
      <c r="G32" s="131"/>
      <c r="J32" s="12"/>
    </row>
    <row r="33" spans="1:10" ht="15">
      <c r="A33" s="19"/>
      <c r="B33" s="40" t="s">
        <v>22</v>
      </c>
      <c r="C33" s="124">
        <f>6600+4590+688</f>
        <v>11878</v>
      </c>
      <c r="D33" s="95"/>
      <c r="E33" s="126">
        <v>13567</v>
      </c>
      <c r="F33" s="11"/>
      <c r="G33" s="23"/>
      <c r="H33" s="133"/>
      <c r="I33" s="133"/>
      <c r="J33" s="12"/>
    </row>
    <row r="34" spans="1:9" ht="15">
      <c r="A34" s="19"/>
      <c r="B34" s="40" t="s">
        <v>23</v>
      </c>
      <c r="C34" s="124">
        <f>424+281+23</f>
        <v>728</v>
      </c>
      <c r="D34" s="95"/>
      <c r="E34" s="121">
        <v>1530</v>
      </c>
      <c r="F34" s="11"/>
      <c r="G34" s="23"/>
      <c r="H34" s="132"/>
      <c r="I34" s="12"/>
    </row>
    <row r="35" spans="1:9" ht="15">
      <c r="A35" s="19"/>
      <c r="B35" s="40" t="s">
        <v>37</v>
      </c>
      <c r="C35" s="124">
        <v>0</v>
      </c>
      <c r="D35" s="96"/>
      <c r="E35" s="121" t="s">
        <v>40</v>
      </c>
      <c r="F35" s="11"/>
      <c r="G35" s="23"/>
      <c r="H35" s="12"/>
      <c r="I35" s="12"/>
    </row>
    <row r="36" spans="1:9" ht="15">
      <c r="A36" s="19"/>
      <c r="B36" s="40" t="s">
        <v>52</v>
      </c>
      <c r="C36" s="122">
        <f>288+23</f>
        <v>311</v>
      </c>
      <c r="D36" s="95"/>
      <c r="E36" s="127">
        <v>332</v>
      </c>
      <c r="F36" s="11"/>
      <c r="G36" s="23"/>
      <c r="I36" s="12"/>
    </row>
    <row r="37" spans="1:7" ht="15">
      <c r="A37" s="19"/>
      <c r="B37" s="40"/>
      <c r="C37" s="99">
        <f>SUM(C32:C36)</f>
        <v>26160</v>
      </c>
      <c r="D37" s="95"/>
      <c r="E37" s="127">
        <f>SUM(E32:E36)</f>
        <v>28109</v>
      </c>
      <c r="F37" s="13"/>
      <c r="G37" s="23"/>
    </row>
    <row r="38" spans="1:7" ht="6.75" customHeight="1">
      <c r="A38" s="19"/>
      <c r="B38" s="40"/>
      <c r="C38" s="94"/>
      <c r="D38" s="95"/>
      <c r="E38" s="95"/>
      <c r="F38" s="11"/>
      <c r="G38" s="22"/>
    </row>
    <row r="39" spans="1:7" ht="15">
      <c r="A39" s="19"/>
      <c r="B39" s="40" t="s">
        <v>60</v>
      </c>
      <c r="C39" s="100">
        <f>+C29-C37</f>
        <v>7811</v>
      </c>
      <c r="D39" s="101"/>
      <c r="E39" s="106">
        <f>+E29-E37</f>
        <v>9024</v>
      </c>
      <c r="F39" s="13"/>
      <c r="G39" s="22"/>
    </row>
    <row r="40" spans="1:7" ht="6.75" customHeight="1">
      <c r="A40" s="19"/>
      <c r="B40" s="40"/>
      <c r="C40" s="94"/>
      <c r="D40" s="94"/>
      <c r="E40" s="94"/>
      <c r="F40" s="13"/>
      <c r="G40" s="22"/>
    </row>
    <row r="41" spans="1:7" ht="15" hidden="1">
      <c r="A41" s="19"/>
      <c r="B41" s="40" t="s">
        <v>24</v>
      </c>
      <c r="C41" s="94">
        <f>SUM(C15:C20)+C39</f>
        <v>39214</v>
      </c>
      <c r="D41" s="94"/>
      <c r="E41" s="94">
        <f>SUM(E15:E20)+E39</f>
        <v>36436</v>
      </c>
      <c r="F41" s="13"/>
      <c r="G41" s="22"/>
    </row>
    <row r="42" spans="1:7" ht="15.75" thickBot="1">
      <c r="A42" s="19"/>
      <c r="B42" s="40"/>
      <c r="C42" s="102">
        <f>C22+C39</f>
        <v>39727</v>
      </c>
      <c r="D42" s="95"/>
      <c r="E42" s="115">
        <f>E22+E39</f>
        <v>37990</v>
      </c>
      <c r="F42" s="11"/>
      <c r="G42" s="22"/>
    </row>
    <row r="43" spans="1:7" ht="15">
      <c r="A43" s="19"/>
      <c r="B43" s="40"/>
      <c r="C43" s="94"/>
      <c r="D43" s="95"/>
      <c r="E43" s="95"/>
      <c r="F43" s="11"/>
      <c r="G43" s="22"/>
    </row>
    <row r="44" spans="1:8" ht="15">
      <c r="A44" s="19"/>
      <c r="B44" s="40" t="s">
        <v>59</v>
      </c>
      <c r="C44" s="94"/>
      <c r="D44" s="95"/>
      <c r="E44" s="95"/>
      <c r="F44" s="11"/>
      <c r="G44" s="22"/>
      <c r="H44" s="12"/>
    </row>
    <row r="45" spans="1:8" ht="9.75" customHeight="1">
      <c r="A45" s="19"/>
      <c r="B45" s="40"/>
      <c r="C45" s="94"/>
      <c r="D45" s="95"/>
      <c r="E45" s="95"/>
      <c r="F45" s="11"/>
      <c r="G45" s="22"/>
      <c r="H45" s="12"/>
    </row>
    <row r="46" spans="1:7" ht="15">
      <c r="A46" s="19"/>
      <c r="B46" s="40" t="s">
        <v>26</v>
      </c>
      <c r="C46" s="128">
        <v>41867</v>
      </c>
      <c r="D46" s="95"/>
      <c r="E46" s="129">
        <v>31400</v>
      </c>
      <c r="F46" s="11"/>
      <c r="G46" s="131"/>
    </row>
    <row r="47" spans="1:7" ht="15">
      <c r="A47" s="19"/>
      <c r="B47" s="40" t="s">
        <v>27</v>
      </c>
      <c r="C47" s="120">
        <f>-8959+4824+130</f>
        <v>-4005</v>
      </c>
      <c r="D47" s="96"/>
      <c r="E47" s="130">
        <f>14811+684-10904</f>
        <v>4591</v>
      </c>
      <c r="F47" s="11"/>
      <c r="G47" s="131"/>
    </row>
    <row r="48" spans="1:7" ht="15">
      <c r="A48" s="19"/>
      <c r="B48" s="40" t="s">
        <v>25</v>
      </c>
      <c r="C48" s="100">
        <f>SUM(C46:C47)</f>
        <v>37862</v>
      </c>
      <c r="D48" s="95"/>
      <c r="E48" s="129">
        <f>SUM(E46:E47)</f>
        <v>35991</v>
      </c>
      <c r="F48" s="13"/>
      <c r="G48" s="23"/>
    </row>
    <row r="49" spans="1:7" ht="15">
      <c r="A49" s="19"/>
      <c r="B49" s="40"/>
      <c r="C49" s="94"/>
      <c r="D49" s="95"/>
      <c r="E49" s="129"/>
      <c r="F49" s="11"/>
      <c r="G49" s="131"/>
    </row>
    <row r="50" spans="1:8" ht="15">
      <c r="A50" s="19"/>
      <c r="B50" s="40" t="s">
        <v>28</v>
      </c>
      <c r="C50" s="128">
        <v>1499</v>
      </c>
      <c r="D50" s="95"/>
      <c r="E50" s="129">
        <v>1559</v>
      </c>
      <c r="F50" s="11"/>
      <c r="G50" s="23"/>
      <c r="H50" s="12"/>
    </row>
    <row r="51" spans="1:7" ht="15">
      <c r="A51" s="19"/>
      <c r="B51" s="40" t="s">
        <v>29</v>
      </c>
      <c r="C51" s="128"/>
      <c r="D51" s="96"/>
      <c r="E51" s="129" t="s">
        <v>40</v>
      </c>
      <c r="F51" s="14"/>
      <c r="G51" s="23"/>
    </row>
    <row r="52" spans="1:7" ht="15">
      <c r="A52" s="19"/>
      <c r="B52" s="40" t="s">
        <v>52</v>
      </c>
      <c r="C52" s="128">
        <f>254-23</f>
        <v>231</v>
      </c>
      <c r="D52" s="103"/>
      <c r="E52" s="129">
        <v>284</v>
      </c>
      <c r="F52" s="11"/>
      <c r="G52" s="131"/>
    </row>
    <row r="53" spans="1:8" ht="15">
      <c r="A53" s="19"/>
      <c r="B53" s="40" t="s">
        <v>39</v>
      </c>
      <c r="C53" s="128">
        <v>135</v>
      </c>
      <c r="D53" s="95"/>
      <c r="E53" s="129">
        <v>156</v>
      </c>
      <c r="F53" s="11"/>
      <c r="G53" s="22"/>
      <c r="H53" s="133"/>
    </row>
    <row r="54" spans="1:7" ht="15.75" thickBot="1">
      <c r="A54" s="19"/>
      <c r="B54" s="40"/>
      <c r="C54" s="102">
        <f>+C48+C50+C53+C52</f>
        <v>39727</v>
      </c>
      <c r="D54" s="95"/>
      <c r="E54" s="115">
        <f>+E48+E50+E52+E53</f>
        <v>37990</v>
      </c>
      <c r="F54" s="13"/>
      <c r="G54" s="22"/>
    </row>
    <row r="55" spans="1:7" ht="15">
      <c r="A55" s="19"/>
      <c r="B55" s="40"/>
      <c r="C55" s="94"/>
      <c r="D55" s="95"/>
      <c r="E55" s="95"/>
      <c r="F55" s="11"/>
      <c r="G55" s="22"/>
    </row>
    <row r="56" spans="1:7" ht="15">
      <c r="A56" s="19"/>
      <c r="B56" s="40" t="s">
        <v>14</v>
      </c>
      <c r="C56" s="134">
        <f>(C48-C19)/41866.667</f>
        <v>0.9042276998071043</v>
      </c>
      <c r="D56" s="104"/>
      <c r="E56" s="134">
        <f>(E48-E19)/31400</f>
        <v>1.1453503184713376</v>
      </c>
      <c r="F56" s="15"/>
      <c r="G56" s="22"/>
    </row>
    <row r="57" spans="1:7" ht="12.75">
      <c r="A57" s="19"/>
      <c r="B57" s="4"/>
      <c r="C57" s="15"/>
      <c r="D57" s="15"/>
      <c r="E57" s="15"/>
      <c r="F57" s="15"/>
      <c r="G57" s="22"/>
    </row>
    <row r="58" spans="1:6" ht="12.75">
      <c r="A58" s="22"/>
      <c r="B58" s="22"/>
      <c r="C58" s="23"/>
      <c r="D58" s="23"/>
      <c r="E58" s="23"/>
      <c r="F58" s="23"/>
    </row>
    <row r="59" spans="2:6" ht="14.25">
      <c r="B59" s="46" t="s">
        <v>157</v>
      </c>
      <c r="C59" s="12"/>
      <c r="D59" s="23"/>
      <c r="E59" s="12"/>
      <c r="F59" s="12"/>
    </row>
    <row r="60" spans="2:6" ht="14.25">
      <c r="B60" s="46" t="s">
        <v>158</v>
      </c>
      <c r="F60" s="12"/>
    </row>
    <row r="61" spans="3:6" ht="12.75">
      <c r="C61" s="12"/>
      <c r="D61" s="23"/>
      <c r="E61" s="12"/>
      <c r="F61" s="12"/>
    </row>
    <row r="62" spans="3:6" ht="12.75">
      <c r="C62" s="12"/>
      <c r="D62" s="23"/>
      <c r="E62" s="12"/>
      <c r="F62" s="12"/>
    </row>
    <row r="63" ht="12.75">
      <c r="D63" s="22"/>
    </row>
    <row r="64" ht="12.75">
      <c r="D64" s="22"/>
    </row>
    <row r="65" ht="12.75">
      <c r="D65" s="22"/>
    </row>
    <row r="66" spans="3:5" ht="12.75">
      <c r="C66" s="30">
        <f>C42-C54</f>
        <v>0</v>
      </c>
      <c r="D66" s="67"/>
      <c r="E66" s="29">
        <f>E42-E54</f>
        <v>0</v>
      </c>
    </row>
    <row r="67" ht="12.75">
      <c r="D67" s="22"/>
    </row>
    <row r="68" ht="12.75">
      <c r="D68" s="22"/>
    </row>
    <row r="69" ht="12.75">
      <c r="D69" s="22"/>
    </row>
  </sheetData>
  <mergeCells count="5">
    <mergeCell ref="A7:E7"/>
    <mergeCell ref="A2:E2"/>
    <mergeCell ref="A3:E3"/>
    <mergeCell ref="A5:E5"/>
    <mergeCell ref="A6:E6"/>
  </mergeCells>
  <printOptions/>
  <pageMargins left="0.83" right="0.38" top="0.5" bottom="0.7" header="0.24" footer="0.28"/>
  <pageSetup fitToHeight="1" fitToWidth="1" horizontalDpi="600" verticalDpi="600" orientation="portrait" paperSize="9" scale="88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10"/>
  <sheetViews>
    <sheetView workbookViewId="0" topLeftCell="A46">
      <selection activeCell="A60" sqref="A60"/>
    </sheetView>
  </sheetViews>
  <sheetFormatPr defaultColWidth="9.140625" defaultRowHeight="12.75"/>
  <cols>
    <col min="1" max="1" width="25.8515625" style="0" customWidth="1"/>
    <col min="2" max="2" width="11.00390625" style="0" customWidth="1"/>
    <col min="3" max="3" width="0.85546875" style="0" customWidth="1"/>
    <col min="4" max="4" width="10.57421875" style="0" customWidth="1"/>
    <col min="5" max="5" width="0.85546875" style="0" customWidth="1"/>
    <col min="6" max="6" width="11.7109375" style="0" customWidth="1"/>
    <col min="7" max="7" width="0.9921875" style="0" customWidth="1"/>
    <col min="8" max="8" width="12.8515625" style="0" customWidth="1"/>
    <col min="9" max="9" width="0.9921875" style="0" customWidth="1"/>
    <col min="10" max="10" width="11.00390625" style="0" customWidth="1"/>
    <col min="11" max="11" width="0.85546875" style="0" customWidth="1"/>
    <col min="12" max="12" width="12.7109375" style="0" customWidth="1"/>
    <col min="13" max="13" width="0.9921875" style="0" customWidth="1"/>
    <col min="14" max="14" width="13.00390625" style="0" customWidth="1"/>
  </cols>
  <sheetData>
    <row r="1" spans="1:14" ht="15.75">
      <c r="A1" s="4"/>
      <c r="B1" s="4"/>
      <c r="C1" s="4"/>
      <c r="D1" s="18"/>
      <c r="E1" s="18"/>
      <c r="F1" s="18"/>
      <c r="G1" s="18"/>
      <c r="H1" s="24"/>
      <c r="I1" s="24"/>
      <c r="N1" s="118"/>
    </row>
    <row r="2" spans="1:14" ht="18">
      <c r="A2" s="143" t="s">
        <v>130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2.75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14" ht="15">
      <c r="A5" s="146" t="s">
        <v>132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</row>
    <row r="6" spans="1:14" ht="15">
      <c r="A6" s="146" t="s">
        <v>84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5">
      <c r="A7" s="138" t="s">
        <v>45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10" spans="2:14" ht="12.75"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 t="s">
        <v>94</v>
      </c>
      <c r="M10" s="74"/>
      <c r="N10" s="74"/>
    </row>
    <row r="11" spans="2:14" ht="12.75">
      <c r="B11" s="74"/>
      <c r="C11" s="74"/>
      <c r="D11" s="74"/>
      <c r="E11" s="74"/>
      <c r="F11" s="74" t="s">
        <v>88</v>
      </c>
      <c r="G11" s="74"/>
      <c r="H11" s="74" t="s">
        <v>90</v>
      </c>
      <c r="I11" s="74"/>
      <c r="J11" s="74"/>
      <c r="K11" s="74"/>
      <c r="L11" s="74" t="s">
        <v>95</v>
      </c>
      <c r="M11" s="74"/>
      <c r="N11" s="74" t="s">
        <v>98</v>
      </c>
    </row>
    <row r="12" spans="2:14" ht="12.75">
      <c r="B12" s="74" t="s">
        <v>85</v>
      </c>
      <c r="C12" s="74"/>
      <c r="D12" s="74" t="s">
        <v>85</v>
      </c>
      <c r="E12" s="74"/>
      <c r="F12" s="74" t="s">
        <v>89</v>
      </c>
      <c r="G12" s="74"/>
      <c r="H12" s="74" t="s">
        <v>91</v>
      </c>
      <c r="I12" s="74"/>
      <c r="J12" s="74" t="s">
        <v>93</v>
      </c>
      <c r="K12" s="74"/>
      <c r="L12" s="74" t="s">
        <v>96</v>
      </c>
      <c r="M12" s="74"/>
      <c r="N12" s="74" t="s">
        <v>99</v>
      </c>
    </row>
    <row r="13" spans="2:14" ht="12.75">
      <c r="B13" s="74" t="s">
        <v>86</v>
      </c>
      <c r="C13" s="74"/>
      <c r="D13" s="74" t="s">
        <v>87</v>
      </c>
      <c r="E13" s="74"/>
      <c r="F13" s="74" t="s">
        <v>90</v>
      </c>
      <c r="G13" s="74"/>
      <c r="H13" s="74" t="s">
        <v>92</v>
      </c>
      <c r="I13" s="74"/>
      <c r="J13" s="74" t="s">
        <v>90</v>
      </c>
      <c r="K13" s="74"/>
      <c r="L13" s="74" t="s">
        <v>97</v>
      </c>
      <c r="M13" s="74"/>
      <c r="N13" s="74" t="s">
        <v>100</v>
      </c>
    </row>
    <row r="14" spans="2:14" ht="12.75">
      <c r="B14" s="74" t="s">
        <v>120</v>
      </c>
      <c r="C14" s="74"/>
      <c r="D14" s="74" t="s">
        <v>120</v>
      </c>
      <c r="E14" s="74"/>
      <c r="F14" s="74" t="s">
        <v>120</v>
      </c>
      <c r="G14" s="74"/>
      <c r="H14" s="74" t="s">
        <v>120</v>
      </c>
      <c r="I14" s="74"/>
      <c r="J14" s="74" t="s">
        <v>120</v>
      </c>
      <c r="K14" s="74"/>
      <c r="L14" s="74" t="s">
        <v>120</v>
      </c>
      <c r="M14" s="74"/>
      <c r="N14" s="74" t="s">
        <v>120</v>
      </c>
    </row>
    <row r="15" spans="1:14" ht="12.75">
      <c r="A15" s="3" t="s">
        <v>129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spans="1:15" ht="12.75">
      <c r="A16" s="75" t="s">
        <v>106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</row>
    <row r="17" spans="2:15" ht="12.75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77"/>
    </row>
    <row r="18" spans="1:15" ht="12.75">
      <c r="A18" t="s">
        <v>101</v>
      </c>
      <c r="B18" s="117">
        <v>31400</v>
      </c>
      <c r="C18" s="117"/>
      <c r="D18" s="117">
        <v>14811</v>
      </c>
      <c r="E18" s="117"/>
      <c r="F18" s="117">
        <v>600</v>
      </c>
      <c r="G18" s="117"/>
      <c r="H18" s="117">
        <v>84</v>
      </c>
      <c r="I18" s="117"/>
      <c r="J18" s="117">
        <v>0</v>
      </c>
      <c r="K18" s="117"/>
      <c r="L18" s="117">
        <v>-10904</v>
      </c>
      <c r="M18" s="117"/>
      <c r="N18" s="117">
        <f>SUM(B18:M18)</f>
        <v>35991</v>
      </c>
      <c r="O18" s="77"/>
    </row>
    <row r="19" spans="2:15" ht="9.75" customHeight="1"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77"/>
    </row>
    <row r="20" spans="1:15" ht="12.75">
      <c r="A20" t="s">
        <v>102</v>
      </c>
      <c r="B20" s="117">
        <v>0</v>
      </c>
      <c r="C20" s="117"/>
      <c r="D20" s="117">
        <v>0</v>
      </c>
      <c r="E20" s="117"/>
      <c r="F20" s="117">
        <v>0</v>
      </c>
      <c r="G20" s="117"/>
      <c r="H20" s="117">
        <v>0</v>
      </c>
      <c r="I20" s="117"/>
      <c r="J20" s="117">
        <v>0</v>
      </c>
      <c r="K20" s="117"/>
      <c r="L20" s="117">
        <f>'Income Statement'!H44</f>
        <v>1945</v>
      </c>
      <c r="M20" s="117"/>
      <c r="N20" s="117">
        <f>SUM(B20:M20)</f>
        <v>1945</v>
      </c>
      <c r="O20" s="77"/>
    </row>
    <row r="21" spans="2:15" ht="9.75" customHeight="1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77"/>
    </row>
    <row r="22" spans="1:15" ht="12.75">
      <c r="A22" t="s">
        <v>103</v>
      </c>
      <c r="B22" s="117">
        <v>0</v>
      </c>
      <c r="C22" s="117"/>
      <c r="D22" s="117">
        <v>0</v>
      </c>
      <c r="E22" s="117"/>
      <c r="F22" s="117">
        <v>0</v>
      </c>
      <c r="G22" s="117"/>
      <c r="H22" s="117">
        <v>92</v>
      </c>
      <c r="I22" s="117"/>
      <c r="J22" s="117">
        <v>0</v>
      </c>
      <c r="K22" s="117"/>
      <c r="L22" s="117">
        <v>0</v>
      </c>
      <c r="M22" s="117"/>
      <c r="N22" s="117">
        <f>SUM(B22:M22)</f>
        <v>92</v>
      </c>
      <c r="O22" s="77"/>
    </row>
    <row r="23" spans="2:15" ht="9.75" customHeight="1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77"/>
    </row>
    <row r="24" spans="1:15" ht="12.75">
      <c r="A24" t="s">
        <v>104</v>
      </c>
      <c r="B24" s="117">
        <v>0</v>
      </c>
      <c r="C24" s="117"/>
      <c r="D24" s="117">
        <v>0</v>
      </c>
      <c r="E24" s="117"/>
      <c r="F24" s="117">
        <v>0</v>
      </c>
      <c r="G24" s="117"/>
      <c r="H24" s="117">
        <v>-46</v>
      </c>
      <c r="I24" s="117"/>
      <c r="J24" s="117">
        <v>0</v>
      </c>
      <c r="K24" s="117"/>
      <c r="L24" s="117">
        <v>0</v>
      </c>
      <c r="M24" s="117"/>
      <c r="N24" s="117">
        <f>SUM(B24:M24)</f>
        <v>-46</v>
      </c>
      <c r="O24" s="77"/>
    </row>
    <row r="25" spans="2:15" ht="9.75" customHeight="1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77"/>
    </row>
    <row r="26" spans="1:15" ht="12.75">
      <c r="A26" t="s">
        <v>112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77"/>
    </row>
    <row r="27" spans="1:15" ht="12.75">
      <c r="A27" t="s">
        <v>113</v>
      </c>
      <c r="B27" s="117">
        <v>10467</v>
      </c>
      <c r="C27" s="117"/>
      <c r="D27" s="117">
        <v>0</v>
      </c>
      <c r="E27" s="117"/>
      <c r="F27" s="117">
        <v>0</v>
      </c>
      <c r="G27" s="117"/>
      <c r="H27" s="117">
        <v>0</v>
      </c>
      <c r="I27" s="117"/>
      <c r="J27" s="117">
        <v>0</v>
      </c>
      <c r="K27" s="117"/>
      <c r="L27" s="117">
        <v>0</v>
      </c>
      <c r="M27" s="117"/>
      <c r="N27" s="117">
        <f>SUM(B27:M27)</f>
        <v>10467</v>
      </c>
      <c r="O27" s="77"/>
    </row>
    <row r="28" spans="2:15" ht="9.75" customHeight="1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77"/>
    </row>
    <row r="29" spans="1:15" ht="12.75">
      <c r="A29" t="s">
        <v>114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77"/>
    </row>
    <row r="30" spans="1:15" ht="12.75">
      <c r="A30" t="s">
        <v>115</v>
      </c>
      <c r="B30" s="117">
        <v>0</v>
      </c>
      <c r="C30" s="117"/>
      <c r="D30" s="117">
        <f>-10467+600</f>
        <v>-9867</v>
      </c>
      <c r="E30" s="117"/>
      <c r="F30" s="117">
        <v>-600</v>
      </c>
      <c r="G30" s="117"/>
      <c r="H30" s="117">
        <v>0</v>
      </c>
      <c r="I30" s="117"/>
      <c r="J30" s="117">
        <v>0</v>
      </c>
      <c r="K30" s="117"/>
      <c r="L30" s="117">
        <v>0</v>
      </c>
      <c r="M30" s="117"/>
      <c r="N30" s="117">
        <f>SUM(B30:M30)</f>
        <v>-10467</v>
      </c>
      <c r="O30" s="77"/>
    </row>
    <row r="31" spans="2:15" ht="9.75" customHeight="1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77"/>
    </row>
    <row r="32" spans="1:15" ht="12.75">
      <c r="A32" t="s">
        <v>119</v>
      </c>
      <c r="B32" s="117">
        <v>0</v>
      </c>
      <c r="C32" s="117"/>
      <c r="D32" s="117">
        <f>-89-31</f>
        <v>-120</v>
      </c>
      <c r="E32" s="117"/>
      <c r="F32" s="117">
        <v>0</v>
      </c>
      <c r="G32" s="117"/>
      <c r="H32" s="117">
        <v>0</v>
      </c>
      <c r="I32" s="117"/>
      <c r="J32" s="117">
        <v>0</v>
      </c>
      <c r="K32" s="117"/>
      <c r="L32" s="117">
        <v>0</v>
      </c>
      <c r="M32" s="117"/>
      <c r="N32" s="117">
        <f>SUM(B32:M32)</f>
        <v>-120</v>
      </c>
      <c r="O32" s="77"/>
    </row>
    <row r="33" spans="2:15" ht="9.75" customHeight="1">
      <c r="B33" s="117"/>
      <c r="C33" s="82"/>
      <c r="D33" s="117"/>
      <c r="E33" s="82"/>
      <c r="F33" s="117"/>
      <c r="G33" s="82"/>
      <c r="H33" s="117"/>
      <c r="I33" s="82"/>
      <c r="J33" s="117"/>
      <c r="K33" s="82"/>
      <c r="L33" s="117"/>
      <c r="M33" s="82"/>
      <c r="N33" s="117"/>
      <c r="O33" s="77"/>
    </row>
    <row r="34" spans="1:16" ht="13.5" thickBot="1">
      <c r="A34" s="1" t="s">
        <v>105</v>
      </c>
      <c r="B34" s="93">
        <f>SUM(B18:B33)</f>
        <v>41867</v>
      </c>
      <c r="C34" s="82"/>
      <c r="D34" s="93">
        <f>SUM(D18:D33)</f>
        <v>4824</v>
      </c>
      <c r="E34" s="82"/>
      <c r="F34" s="93">
        <f>SUM(F18:F33)</f>
        <v>0</v>
      </c>
      <c r="G34" s="82"/>
      <c r="H34" s="93">
        <f>SUM(H18:H33)</f>
        <v>130</v>
      </c>
      <c r="I34" s="82"/>
      <c r="J34" s="93">
        <f>SUM(J18:J33)</f>
        <v>0</v>
      </c>
      <c r="K34" s="82"/>
      <c r="L34" s="93">
        <f>SUM(L18:L33)</f>
        <v>-8959</v>
      </c>
      <c r="M34" s="82"/>
      <c r="N34" s="93">
        <f>SUM(N18:N33)</f>
        <v>37862</v>
      </c>
      <c r="O34" s="77"/>
      <c r="P34" s="77">
        <f>+N34-BalanceSheet!C48</f>
        <v>0</v>
      </c>
    </row>
    <row r="35" spans="2:15" ht="12.75">
      <c r="B35" s="117"/>
      <c r="C35" s="82"/>
      <c r="D35" s="117"/>
      <c r="E35" s="82"/>
      <c r="F35" s="117"/>
      <c r="G35" s="82"/>
      <c r="H35" s="117"/>
      <c r="I35" s="82"/>
      <c r="J35" s="117"/>
      <c r="K35" s="82"/>
      <c r="L35" s="117"/>
      <c r="M35" s="82"/>
      <c r="N35" s="117"/>
      <c r="O35" s="77"/>
    </row>
    <row r="36" spans="2:15" ht="12.7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.75">
      <c r="A37" s="1" t="s">
        <v>129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12.75">
      <c r="A38" s="116" t="s">
        <v>107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</row>
    <row r="39" spans="2:15" ht="12.75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.75">
      <c r="A40" t="s">
        <v>117</v>
      </c>
      <c r="B40" s="77">
        <v>31400</v>
      </c>
      <c r="C40" s="77"/>
      <c r="D40" s="77">
        <v>14811</v>
      </c>
      <c r="E40" s="77"/>
      <c r="F40" s="77">
        <v>600</v>
      </c>
      <c r="G40" s="77"/>
      <c r="H40" s="77">
        <v>44</v>
      </c>
      <c r="I40" s="77"/>
      <c r="J40" s="77">
        <v>720</v>
      </c>
      <c r="K40" s="77"/>
      <c r="L40" s="77">
        <v>-14357</v>
      </c>
      <c r="M40" s="77"/>
      <c r="N40" s="77">
        <f>SUM(B40:M40)</f>
        <v>33218</v>
      </c>
      <c r="O40" s="77"/>
    </row>
    <row r="41" spans="2:15" ht="9.75" customHeight="1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</row>
    <row r="42" spans="1:15" ht="12.75">
      <c r="A42" t="s">
        <v>102</v>
      </c>
      <c r="B42" s="77">
        <v>0</v>
      </c>
      <c r="C42" s="77"/>
      <c r="D42" s="77">
        <v>0</v>
      </c>
      <c r="E42" s="77"/>
      <c r="F42" s="77">
        <v>0</v>
      </c>
      <c r="G42" s="77"/>
      <c r="H42" s="77">
        <v>0</v>
      </c>
      <c r="I42" s="77"/>
      <c r="J42" s="77">
        <v>0</v>
      </c>
      <c r="K42" s="77"/>
      <c r="L42" s="77">
        <v>3453</v>
      </c>
      <c r="M42" s="77"/>
      <c r="N42" s="77">
        <f>SUM(B42:M42)</f>
        <v>3453</v>
      </c>
      <c r="O42" s="77"/>
    </row>
    <row r="43" spans="2:15" ht="9.75" customHeight="1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ht="12.75">
      <c r="A44" t="s">
        <v>103</v>
      </c>
      <c r="B44" s="77">
        <v>0</v>
      </c>
      <c r="C44" s="77"/>
      <c r="D44" s="77">
        <v>0</v>
      </c>
      <c r="E44" s="77"/>
      <c r="F44" s="77">
        <v>0</v>
      </c>
      <c r="G44" s="77"/>
      <c r="H44" s="77">
        <v>58</v>
      </c>
      <c r="I44" s="77"/>
      <c r="J44" s="77">
        <v>0</v>
      </c>
      <c r="K44" s="77"/>
      <c r="L44" s="77">
        <v>0</v>
      </c>
      <c r="M44" s="77"/>
      <c r="N44" s="77">
        <f>SUM(B44:M44)</f>
        <v>58</v>
      </c>
      <c r="O44" s="77"/>
    </row>
    <row r="45" spans="2:15" ht="9.75" customHeight="1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</row>
    <row r="46" spans="1:15" ht="12.75">
      <c r="A46" t="s">
        <v>108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1:15" ht="12.75">
      <c r="A47" t="s">
        <v>109</v>
      </c>
      <c r="B47" s="77">
        <v>0</v>
      </c>
      <c r="C47" s="77"/>
      <c r="D47" s="77">
        <v>0</v>
      </c>
      <c r="E47" s="77"/>
      <c r="F47" s="77">
        <v>0</v>
      </c>
      <c r="G47" s="77"/>
      <c r="H47" s="77">
        <v>1751</v>
      </c>
      <c r="I47" s="77"/>
      <c r="J47" s="77">
        <v>0</v>
      </c>
      <c r="K47" s="77"/>
      <c r="L47" s="77">
        <v>0</v>
      </c>
      <c r="M47" s="77"/>
      <c r="N47" s="77">
        <f>SUM(B47:M47)</f>
        <v>1751</v>
      </c>
      <c r="O47" s="77"/>
    </row>
    <row r="48" spans="2:15" ht="9.75" customHeight="1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1:15" ht="12.75">
      <c r="A49" t="s">
        <v>104</v>
      </c>
      <c r="B49" s="77">
        <v>0</v>
      </c>
      <c r="C49" s="77"/>
      <c r="D49" s="77">
        <v>0</v>
      </c>
      <c r="E49" s="77"/>
      <c r="F49" s="77">
        <v>0</v>
      </c>
      <c r="G49" s="77"/>
      <c r="H49" s="77">
        <v>-1769</v>
      </c>
      <c r="I49" s="77"/>
      <c r="J49" s="77">
        <v>0</v>
      </c>
      <c r="K49" s="77"/>
      <c r="L49" s="77">
        <v>0</v>
      </c>
      <c r="M49" s="77"/>
      <c r="N49" s="77">
        <f>SUM(B49:M49)</f>
        <v>-1769</v>
      </c>
      <c r="O49" s="77"/>
    </row>
    <row r="50" spans="2:15" ht="9" customHeight="1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1:15" ht="12.75">
      <c r="A51" t="s">
        <v>110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1:15" ht="12.75">
      <c r="A52" t="s">
        <v>111</v>
      </c>
      <c r="B52" s="77">
        <v>0</v>
      </c>
      <c r="C52" s="77"/>
      <c r="D52" s="77">
        <v>0</v>
      </c>
      <c r="E52" s="77"/>
      <c r="F52" s="77">
        <v>0</v>
      </c>
      <c r="G52" s="77"/>
      <c r="H52" s="77">
        <v>0</v>
      </c>
      <c r="I52" s="77"/>
      <c r="J52" s="77">
        <v>20</v>
      </c>
      <c r="K52" s="77"/>
      <c r="L52" s="77">
        <v>0</v>
      </c>
      <c r="M52" s="77"/>
      <c r="N52" s="77">
        <f>SUM(B52:M52)</f>
        <v>20</v>
      </c>
      <c r="O52" s="77"/>
    </row>
    <row r="53" spans="2:15" ht="9.75" customHeight="1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1:15" ht="12.75">
      <c r="A54" t="s">
        <v>118</v>
      </c>
      <c r="B54" s="77">
        <v>0</v>
      </c>
      <c r="C54" s="77"/>
      <c r="D54" s="77">
        <v>0</v>
      </c>
      <c r="E54" s="77"/>
      <c r="F54" s="77">
        <v>0</v>
      </c>
      <c r="G54" s="77"/>
      <c r="H54" s="77">
        <v>0</v>
      </c>
      <c r="I54" s="77"/>
      <c r="J54" s="77">
        <v>-740</v>
      </c>
      <c r="K54" s="77"/>
      <c r="L54" s="77">
        <v>0</v>
      </c>
      <c r="M54" s="77"/>
      <c r="N54" s="77">
        <f>SUM(B54:M54)</f>
        <v>-740</v>
      </c>
      <c r="O54" s="77"/>
    </row>
    <row r="55" spans="2:15" ht="9.75" customHeight="1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1:15" ht="13.5" thickBot="1">
      <c r="A56" s="1" t="s">
        <v>116</v>
      </c>
      <c r="B56" s="79">
        <f>SUM(B40:B55)</f>
        <v>31400</v>
      </c>
      <c r="C56" s="78"/>
      <c r="D56" s="79">
        <f>SUM(D40:D55)</f>
        <v>14811</v>
      </c>
      <c r="E56" s="78"/>
      <c r="F56" s="79">
        <f>SUM(F40:F55)</f>
        <v>600</v>
      </c>
      <c r="G56" s="78"/>
      <c r="H56" s="79">
        <f>SUM(H40:H55)</f>
        <v>84</v>
      </c>
      <c r="I56" s="78"/>
      <c r="J56" s="79">
        <f>SUM(J40:J55)</f>
        <v>0</v>
      </c>
      <c r="K56" s="78"/>
      <c r="L56" s="79">
        <f>SUM(L40:L55)</f>
        <v>-10904</v>
      </c>
      <c r="M56" s="78"/>
      <c r="N56" s="79">
        <f>SUM(N40:N55)</f>
        <v>35991</v>
      </c>
      <c r="O56" s="77"/>
    </row>
    <row r="57" spans="2:15" ht="12.7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spans="2:15" ht="12.7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59" spans="2:15" ht="12.7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spans="1:15" ht="14.25">
      <c r="A60" s="46" t="s">
        <v>155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5" ht="14.25">
      <c r="A61" s="46" t="s">
        <v>154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2" spans="2:15" ht="12.7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</row>
    <row r="63" spans="2:15" ht="12.75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2:15" ht="12.75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spans="2:15" ht="12.75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</row>
    <row r="66" spans="2:15" ht="12.75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2:15" ht="12.75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spans="2:15" ht="12.75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2:15" ht="12.75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spans="2:15" ht="12.75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</row>
    <row r="71" spans="2:15" ht="12.75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</row>
    <row r="72" spans="2:15" ht="12.75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</row>
    <row r="73" spans="2:15" ht="12.75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</row>
    <row r="74" spans="2:15" ht="12.75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</row>
    <row r="75" spans="2:15" ht="12.75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</row>
    <row r="76" spans="2:15" ht="12.75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</row>
    <row r="77" spans="2:15" ht="12.75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</row>
    <row r="78" spans="2:15" ht="12.75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</row>
    <row r="79" spans="2:15" ht="12.75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</row>
    <row r="80" spans="2:15" ht="12.75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</row>
    <row r="81" spans="2:15" ht="12.75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</row>
    <row r="82" spans="2:15" ht="12.75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</row>
    <row r="83" spans="2:15" ht="12.75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</row>
    <row r="84" spans="2:15" ht="12.75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</row>
    <row r="85" spans="2:15" ht="12.75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</row>
    <row r="86" spans="2:15" ht="12.75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</row>
    <row r="87" spans="2:15" ht="12.75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</row>
    <row r="88" spans="2:15" ht="12.75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</row>
    <row r="89" spans="2:15" ht="12.75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</row>
    <row r="90" spans="2:15" ht="12.7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</row>
    <row r="91" spans="2:15" ht="12.75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2:15" ht="12.75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</row>
    <row r="93" spans="2:15" ht="12.7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</row>
    <row r="94" spans="2:15" ht="12.75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</row>
    <row r="95" spans="2:15" ht="12.75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spans="2:15" ht="12.7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</row>
    <row r="97" spans="2:15" ht="12.7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</row>
    <row r="98" spans="2:15" ht="12.75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</row>
    <row r="99" spans="2:15" ht="12.7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spans="2:15" ht="12.7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</row>
    <row r="101" spans="2:15" ht="12.7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</row>
    <row r="102" spans="2:15" ht="12.7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</row>
    <row r="103" spans="2:15" ht="12.7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</row>
    <row r="104" spans="2:15" ht="12.7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</row>
    <row r="105" spans="2:15" ht="12.7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</row>
    <row r="106" spans="2:15" ht="12.7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</row>
    <row r="107" spans="2:15" ht="12.7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8" spans="2:15" ht="12.7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</row>
    <row r="109" spans="2:15" ht="12.7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</row>
    <row r="110" spans="2:15" ht="12.7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</row>
  </sheetData>
  <mergeCells count="5">
    <mergeCell ref="A7:N7"/>
    <mergeCell ref="A2:N2"/>
    <mergeCell ref="A3:N3"/>
    <mergeCell ref="A5:N5"/>
    <mergeCell ref="A6:N6"/>
  </mergeCells>
  <printOptions/>
  <pageMargins left="0.48" right="0.24" top="0.59" bottom="0.7" header="0.32" footer="0.28"/>
  <pageSetup orientation="portrait" paperSize="9" scale="85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44">
      <selection activeCell="A57" sqref="A57"/>
    </sheetView>
  </sheetViews>
  <sheetFormatPr defaultColWidth="9.140625" defaultRowHeight="12.75"/>
  <cols>
    <col min="1" max="1" width="2.8515625" style="0" customWidth="1"/>
    <col min="2" max="2" width="56.00390625" style="0" customWidth="1"/>
    <col min="3" max="3" width="14.421875" style="0" customWidth="1"/>
    <col min="4" max="4" width="3.28125" style="0" customWidth="1"/>
    <col min="5" max="5" width="14.8515625" style="0" customWidth="1"/>
    <col min="6" max="6" width="10.140625" style="0" bestFit="1" customWidth="1"/>
  </cols>
  <sheetData>
    <row r="1" spans="1:6" ht="15.75">
      <c r="A1" s="4"/>
      <c r="B1" s="4"/>
      <c r="C1" s="18"/>
      <c r="D1" s="18"/>
      <c r="E1" s="118"/>
      <c r="F1" s="4"/>
    </row>
    <row r="2" spans="1:6" ht="18">
      <c r="A2" s="143" t="s">
        <v>130</v>
      </c>
      <c r="B2" s="143"/>
      <c r="C2" s="143"/>
      <c r="D2" s="143"/>
      <c r="E2" s="143"/>
      <c r="F2" s="25"/>
    </row>
    <row r="3" spans="1:6" ht="12.75">
      <c r="A3" s="144" t="s">
        <v>0</v>
      </c>
      <c r="B3" s="144"/>
      <c r="C3" s="144"/>
      <c r="D3" s="144"/>
      <c r="E3" s="144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46" t="s">
        <v>83</v>
      </c>
      <c r="B5" s="146"/>
      <c r="C5" s="146"/>
      <c r="D5" s="146"/>
      <c r="E5" s="146"/>
      <c r="F5" s="27"/>
    </row>
    <row r="6" spans="1:6" ht="15.75">
      <c r="A6" s="146" t="s">
        <v>44</v>
      </c>
      <c r="B6" s="146"/>
      <c r="C6" s="146"/>
      <c r="D6" s="146"/>
      <c r="E6" s="146"/>
      <c r="F6" s="27"/>
    </row>
    <row r="7" spans="1:6" ht="15">
      <c r="A7" s="138" t="s">
        <v>45</v>
      </c>
      <c r="B7" s="138"/>
      <c r="C7" s="138"/>
      <c r="D7" s="138"/>
      <c r="E7" s="138"/>
      <c r="F7" s="28"/>
    </row>
    <row r="8" spans="1:6" ht="15">
      <c r="A8" s="34"/>
      <c r="B8" s="34"/>
      <c r="C8" s="34"/>
      <c r="D8" s="34"/>
      <c r="E8" s="34"/>
      <c r="F8" s="28"/>
    </row>
    <row r="9" spans="1:6" ht="12.75">
      <c r="A9" s="4"/>
      <c r="B9" s="4"/>
      <c r="C9" s="4"/>
      <c r="D9" s="4"/>
      <c r="E9" s="4"/>
      <c r="F9" s="4"/>
    </row>
    <row r="10" spans="1:6" ht="38.25" customHeight="1">
      <c r="A10" s="20"/>
      <c r="B10" s="4"/>
      <c r="C10" s="8" t="s">
        <v>65</v>
      </c>
      <c r="D10" s="8"/>
      <c r="E10" s="8" t="s">
        <v>63</v>
      </c>
      <c r="F10" s="8"/>
    </row>
    <row r="11" spans="1:6" ht="12.75" customHeight="1">
      <c r="A11" s="20"/>
      <c r="B11" s="4"/>
      <c r="C11" s="8" t="s">
        <v>66</v>
      </c>
      <c r="D11" s="8"/>
      <c r="E11" s="8" t="s">
        <v>66</v>
      </c>
      <c r="F11" s="8"/>
    </row>
    <row r="12" spans="1:6" ht="12.75" customHeight="1">
      <c r="A12" s="20"/>
      <c r="B12" s="4"/>
      <c r="C12" s="31" t="s">
        <v>49</v>
      </c>
      <c r="D12" s="31"/>
      <c r="E12" s="31" t="s">
        <v>43</v>
      </c>
      <c r="F12" s="9"/>
    </row>
    <row r="13" spans="1:6" ht="12.75">
      <c r="A13" s="4"/>
      <c r="B13" s="4"/>
      <c r="C13" s="10" t="s">
        <v>11</v>
      </c>
      <c r="D13" s="10"/>
      <c r="E13" s="10" t="s">
        <v>11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67</v>
      </c>
      <c r="C15" s="100"/>
      <c r="D15" s="106"/>
      <c r="E15" s="106"/>
      <c r="F15" s="50"/>
    </row>
    <row r="16" spans="1:6" ht="15">
      <c r="A16" s="19"/>
      <c r="B16" s="4"/>
      <c r="C16" s="112"/>
      <c r="D16" s="109"/>
      <c r="E16" s="109"/>
      <c r="F16" s="50"/>
    </row>
    <row r="17" spans="1:6" ht="15">
      <c r="A17" s="19"/>
      <c r="B17" s="40" t="s">
        <v>68</v>
      </c>
      <c r="C17" s="100">
        <f>'Income Statement'!H36</f>
        <v>2947</v>
      </c>
      <c r="D17" s="106"/>
      <c r="E17" s="106">
        <v>3914</v>
      </c>
      <c r="F17" s="50"/>
    </row>
    <row r="18" spans="1:6" ht="15">
      <c r="A18" s="19"/>
      <c r="B18" s="40" t="s">
        <v>69</v>
      </c>
      <c r="C18" s="107"/>
      <c r="D18" s="106"/>
      <c r="E18" s="106"/>
      <c r="F18" s="50"/>
    </row>
    <row r="19" spans="1:6" ht="15">
      <c r="A19" s="19"/>
      <c r="B19" s="40" t="s">
        <v>70</v>
      </c>
      <c r="C19" s="100">
        <v>-75</v>
      </c>
      <c r="D19" s="106"/>
      <c r="E19" s="106">
        <f>22-1769-719</f>
        <v>-2466</v>
      </c>
      <c r="F19" s="50"/>
    </row>
    <row r="20" spans="1:6" ht="15">
      <c r="A20" s="19"/>
      <c r="B20" s="40" t="s">
        <v>139</v>
      </c>
      <c r="C20" s="100">
        <v>801</v>
      </c>
      <c r="D20" s="106"/>
      <c r="E20" s="106">
        <f>-6+1488-273</f>
        <v>1209</v>
      </c>
      <c r="F20" s="50"/>
    </row>
    <row r="21" spans="1:6" ht="15">
      <c r="A21" s="19"/>
      <c r="B21" s="40" t="s">
        <v>79</v>
      </c>
      <c r="C21" s="100">
        <f>-'Income Statement'!H34</f>
        <v>-2167</v>
      </c>
      <c r="D21" s="106"/>
      <c r="E21" s="106">
        <v>-78</v>
      </c>
      <c r="F21" s="50"/>
    </row>
    <row r="22" spans="1:6" ht="9.75" customHeight="1">
      <c r="A22" s="19"/>
      <c r="B22" s="46"/>
      <c r="C22" s="108"/>
      <c r="D22" s="109"/>
      <c r="E22" s="110"/>
      <c r="F22" s="50"/>
    </row>
    <row r="23" spans="1:6" ht="15">
      <c r="A23" s="19"/>
      <c r="B23" s="40" t="s">
        <v>71</v>
      </c>
      <c r="C23" s="100">
        <f>SUM(C17:C22)</f>
        <v>1506</v>
      </c>
      <c r="D23" s="109"/>
      <c r="E23" s="106">
        <f>SUM(E17:E22)</f>
        <v>2579</v>
      </c>
      <c r="F23" s="50"/>
    </row>
    <row r="24" spans="1:6" ht="15">
      <c r="A24" s="19"/>
      <c r="B24" s="40" t="s">
        <v>72</v>
      </c>
      <c r="C24" s="100"/>
      <c r="D24" s="109"/>
      <c r="E24" s="109"/>
      <c r="F24" s="50"/>
    </row>
    <row r="25" spans="1:6" ht="15">
      <c r="A25" s="19"/>
      <c r="B25" s="40" t="s">
        <v>73</v>
      </c>
      <c r="C25" s="100">
        <v>941</v>
      </c>
      <c r="D25" s="106"/>
      <c r="E25" s="106">
        <f>13782+15185</f>
        <v>28967</v>
      </c>
      <c r="F25" s="50"/>
    </row>
    <row r="26" spans="1:6" ht="15">
      <c r="A26" s="19"/>
      <c r="B26" s="40" t="s">
        <v>74</v>
      </c>
      <c r="C26" s="113">
        <v>563</v>
      </c>
      <c r="D26" s="106"/>
      <c r="E26" s="114">
        <f>-32597</f>
        <v>-32597</v>
      </c>
      <c r="F26" s="50"/>
    </row>
    <row r="27" spans="1:6" ht="15">
      <c r="A27" s="19"/>
      <c r="B27" s="40" t="s">
        <v>140</v>
      </c>
      <c r="C27" s="100">
        <f>SUM(C23:C26)</f>
        <v>3010</v>
      </c>
      <c r="D27" s="106"/>
      <c r="E27" s="106">
        <f>SUM(E23:E26)</f>
        <v>-1051</v>
      </c>
      <c r="F27" s="50"/>
    </row>
    <row r="28" spans="1:6" ht="15">
      <c r="A28" s="19"/>
      <c r="B28" s="40" t="s">
        <v>137</v>
      </c>
      <c r="C28" s="100">
        <v>168</v>
      </c>
      <c r="D28" s="106"/>
      <c r="E28" s="106">
        <v>272</v>
      </c>
      <c r="F28" s="50"/>
    </row>
    <row r="29" spans="1:6" ht="15">
      <c r="A29" s="19"/>
      <c r="B29" s="40" t="s">
        <v>138</v>
      </c>
      <c r="C29" s="100">
        <v>730</v>
      </c>
      <c r="D29" s="106"/>
      <c r="E29" s="106">
        <v>0</v>
      </c>
      <c r="F29" s="50"/>
    </row>
    <row r="30" spans="1:6" ht="15">
      <c r="A30" s="19"/>
      <c r="B30" s="40" t="s">
        <v>127</v>
      </c>
      <c r="C30" s="100">
        <v>-1042</v>
      </c>
      <c r="D30" s="106"/>
      <c r="E30" s="106">
        <f>-1488</f>
        <v>-1488</v>
      </c>
      <c r="F30" s="50"/>
    </row>
    <row r="31" spans="1:6" ht="15">
      <c r="A31" s="19"/>
      <c r="B31" s="40" t="s">
        <v>128</v>
      </c>
      <c r="C31" s="100">
        <v>-1334</v>
      </c>
      <c r="D31" s="106"/>
      <c r="E31" s="106">
        <v>-699</v>
      </c>
      <c r="F31" s="50"/>
    </row>
    <row r="32" spans="1:6" ht="15">
      <c r="A32" s="19"/>
      <c r="B32" s="40" t="s">
        <v>141</v>
      </c>
      <c r="C32" s="97">
        <f>SUM(C27:C31)</f>
        <v>1532</v>
      </c>
      <c r="D32" s="106"/>
      <c r="E32" s="111">
        <f>SUM(E27:E31)</f>
        <v>-2966</v>
      </c>
      <c r="F32" s="50"/>
    </row>
    <row r="33" spans="1:6" ht="15">
      <c r="A33" s="19"/>
      <c r="B33" s="40"/>
      <c r="C33" s="100"/>
      <c r="D33" s="106"/>
      <c r="E33" s="106"/>
      <c r="F33" s="50"/>
    </row>
    <row r="34" spans="1:6" ht="15">
      <c r="A34" s="71" t="s">
        <v>75</v>
      </c>
      <c r="B34" s="4"/>
      <c r="C34" s="100"/>
      <c r="D34" s="106"/>
      <c r="E34" s="106"/>
      <c r="F34" s="50"/>
    </row>
    <row r="35" spans="1:6" ht="15">
      <c r="A35" s="71"/>
      <c r="B35" s="40" t="s">
        <v>149</v>
      </c>
      <c r="C35" s="100">
        <v>-2767</v>
      </c>
      <c r="D35" s="106"/>
      <c r="E35" s="106">
        <f>515-851</f>
        <v>-336</v>
      </c>
      <c r="F35" s="50"/>
    </row>
    <row r="36" spans="1:6" ht="15">
      <c r="A36" s="19"/>
      <c r="B36" s="40" t="s">
        <v>76</v>
      </c>
      <c r="C36" s="100">
        <v>-32</v>
      </c>
      <c r="D36" s="109"/>
      <c r="E36" s="106">
        <f>-9+6-400+753-83</f>
        <v>267</v>
      </c>
      <c r="F36" s="50"/>
    </row>
    <row r="37" spans="1:6" ht="15">
      <c r="A37" s="19"/>
      <c r="B37" s="40" t="s">
        <v>77</v>
      </c>
      <c r="C37" s="100">
        <f>-513-10-6</f>
        <v>-529</v>
      </c>
      <c r="D37" s="106"/>
      <c r="E37" s="106">
        <f>4416-10</f>
        <v>4406</v>
      </c>
      <c r="F37" s="50"/>
    </row>
    <row r="38" spans="1:6" ht="15">
      <c r="A38" s="19"/>
      <c r="B38" s="40" t="s">
        <v>145</v>
      </c>
      <c r="C38" s="100">
        <v>666</v>
      </c>
      <c r="D38" s="106"/>
      <c r="E38" s="106">
        <v>0</v>
      </c>
      <c r="F38" s="50"/>
    </row>
    <row r="39" spans="1:6" ht="15">
      <c r="A39" s="19"/>
      <c r="B39" s="40" t="s">
        <v>142</v>
      </c>
      <c r="C39" s="97">
        <f>SUM(C35:C38)</f>
        <v>-2662</v>
      </c>
      <c r="D39" s="106"/>
      <c r="E39" s="111">
        <f>SUM(E35:E37)</f>
        <v>4337</v>
      </c>
      <c r="F39" s="50"/>
    </row>
    <row r="40" spans="1:6" ht="15">
      <c r="A40" s="19"/>
      <c r="B40" s="4"/>
      <c r="C40" s="100"/>
      <c r="D40" s="106"/>
      <c r="E40" s="106"/>
      <c r="F40" s="82"/>
    </row>
    <row r="41" spans="1:6" ht="15">
      <c r="A41" s="71" t="s">
        <v>78</v>
      </c>
      <c r="B41" s="4"/>
      <c r="C41" s="100"/>
      <c r="D41" s="100"/>
      <c r="E41" s="100"/>
      <c r="F41" s="82"/>
    </row>
    <row r="42" spans="1:6" ht="15">
      <c r="A42" s="19"/>
      <c r="B42" s="40" t="s">
        <v>148</v>
      </c>
      <c r="C42" s="100">
        <v>-1370</v>
      </c>
      <c r="D42" s="106"/>
      <c r="E42" s="106">
        <f>-5134-439</f>
        <v>-5573</v>
      </c>
      <c r="F42" s="106"/>
    </row>
    <row r="43" spans="1:6" ht="15">
      <c r="A43" s="19"/>
      <c r="B43" s="40" t="s">
        <v>146</v>
      </c>
      <c r="C43" s="100">
        <v>-120</v>
      </c>
      <c r="D43" s="106"/>
      <c r="E43" s="106">
        <v>0</v>
      </c>
      <c r="F43" s="106"/>
    </row>
    <row r="44" spans="1:6" ht="15">
      <c r="A44" s="19"/>
      <c r="B44" s="40" t="s">
        <v>147</v>
      </c>
      <c r="C44" s="100">
        <v>0</v>
      </c>
      <c r="D44" s="106"/>
      <c r="E44" s="106">
        <v>398</v>
      </c>
      <c r="F44" s="106"/>
    </row>
    <row r="45" spans="1:6" ht="15">
      <c r="A45" s="19"/>
      <c r="B45" s="40" t="s">
        <v>143</v>
      </c>
      <c r="C45" s="97">
        <f>SUM(C42:C44)</f>
        <v>-1490</v>
      </c>
      <c r="D45" s="106"/>
      <c r="E45" s="111">
        <f>SUM(E42:E44)</f>
        <v>-5175</v>
      </c>
      <c r="F45" s="106"/>
    </row>
    <row r="46" spans="1:6" ht="15">
      <c r="A46" s="19"/>
      <c r="B46" s="40"/>
      <c r="C46" s="100"/>
      <c r="D46" s="106"/>
      <c r="E46" s="106"/>
      <c r="F46" s="106"/>
    </row>
    <row r="47" spans="1:6" ht="15">
      <c r="A47" s="71" t="s">
        <v>80</v>
      </c>
      <c r="B47" s="4"/>
      <c r="C47" s="100">
        <v>0</v>
      </c>
      <c r="D47" s="106"/>
      <c r="E47" s="106">
        <v>20</v>
      </c>
      <c r="F47" s="50"/>
    </row>
    <row r="48" spans="1:6" ht="15">
      <c r="A48" s="19"/>
      <c r="B48" s="4"/>
      <c r="C48" s="113"/>
      <c r="D48" s="106"/>
      <c r="E48" s="114"/>
      <c r="F48" s="50"/>
    </row>
    <row r="49" spans="1:6" ht="15">
      <c r="A49" s="71" t="s">
        <v>144</v>
      </c>
      <c r="B49" s="4"/>
      <c r="C49" s="100">
        <f>C32+C39+C45+C47</f>
        <v>-2620</v>
      </c>
      <c r="D49" s="106"/>
      <c r="E49" s="106">
        <f>E32+E39+E45+E47</f>
        <v>-3784</v>
      </c>
      <c r="F49" s="50"/>
    </row>
    <row r="50" spans="1:6" ht="15">
      <c r="A50" s="19"/>
      <c r="B50" s="4"/>
      <c r="C50" s="112"/>
      <c r="D50" s="109"/>
      <c r="E50" s="109"/>
      <c r="F50" s="50"/>
    </row>
    <row r="51" spans="1:6" ht="15">
      <c r="A51" s="71" t="s">
        <v>82</v>
      </c>
      <c r="B51" s="4"/>
      <c r="C51" s="100">
        <f>E53</f>
        <v>8911</v>
      </c>
      <c r="D51" s="106"/>
      <c r="E51" s="106">
        <v>12695</v>
      </c>
      <c r="F51" s="50"/>
    </row>
    <row r="52" spans="1:6" ht="15">
      <c r="A52" s="19"/>
      <c r="B52" s="4"/>
      <c r="C52" s="100"/>
      <c r="D52" s="106"/>
      <c r="E52" s="106"/>
      <c r="F52" s="82"/>
    </row>
    <row r="53" spans="1:6" ht="15.75" thickBot="1">
      <c r="A53" s="71" t="s">
        <v>81</v>
      </c>
      <c r="B53" s="4"/>
      <c r="C53" s="102">
        <f>SUM(C49:C52)</f>
        <v>6291</v>
      </c>
      <c r="D53" s="106"/>
      <c r="E53" s="115">
        <f>SUM(E49:E52)</f>
        <v>8911</v>
      </c>
      <c r="F53" s="50"/>
    </row>
    <row r="54" spans="1:6" ht="15">
      <c r="A54" s="19"/>
      <c r="B54" s="4"/>
      <c r="C54" s="100"/>
      <c r="D54" s="106"/>
      <c r="E54" s="106"/>
      <c r="F54" s="82"/>
    </row>
    <row r="55" spans="1:6" ht="15">
      <c r="A55" s="19"/>
      <c r="B55" s="4"/>
      <c r="C55" s="100"/>
      <c r="D55" s="100"/>
      <c r="E55" s="100"/>
      <c r="F55" s="82"/>
    </row>
    <row r="56" spans="1:6" ht="15">
      <c r="A56" s="46" t="s">
        <v>156</v>
      </c>
      <c r="B56" s="4"/>
      <c r="C56" s="100"/>
      <c r="D56" s="100"/>
      <c r="E56" s="100"/>
      <c r="F56" s="82"/>
    </row>
    <row r="57" spans="1:6" ht="14.25">
      <c r="A57" s="46" t="s">
        <v>154</v>
      </c>
      <c r="B57" s="4"/>
      <c r="C57" s="106"/>
      <c r="D57" s="106"/>
      <c r="E57" s="106"/>
      <c r="F57" s="50"/>
    </row>
    <row r="58" spans="2:6" ht="14.25">
      <c r="B58" s="70"/>
      <c r="C58" s="106"/>
      <c r="D58" s="106"/>
      <c r="E58" s="106"/>
      <c r="F58" s="78"/>
    </row>
    <row r="59" spans="2:6" ht="14.25">
      <c r="B59" s="70"/>
      <c r="C59" s="106"/>
      <c r="D59" s="106"/>
      <c r="E59" s="106"/>
      <c r="F59" s="78"/>
    </row>
    <row r="60" spans="2:6" ht="12.75">
      <c r="B60" s="70"/>
      <c r="C60" s="78"/>
      <c r="D60" s="78"/>
      <c r="E60" s="78"/>
      <c r="F60" s="78"/>
    </row>
    <row r="61" spans="2:6" ht="12.75">
      <c r="B61" s="70"/>
      <c r="C61" s="78"/>
      <c r="D61" s="78"/>
      <c r="E61" s="78"/>
      <c r="F61" s="78"/>
    </row>
    <row r="62" spans="2:6" ht="12.75">
      <c r="B62" s="70"/>
      <c r="C62" s="78"/>
      <c r="D62" s="78"/>
      <c r="E62" s="78"/>
      <c r="F62" s="78"/>
    </row>
    <row r="63" spans="2:6" ht="12.75">
      <c r="B63" s="70"/>
      <c r="C63" s="105"/>
      <c r="D63" s="105"/>
      <c r="E63" s="105"/>
      <c r="F63" s="70"/>
    </row>
    <row r="64" spans="2:6" ht="12.75">
      <c r="B64" s="70"/>
      <c r="C64" s="105"/>
      <c r="D64" s="105"/>
      <c r="E64" s="105"/>
      <c r="F64" s="70"/>
    </row>
    <row r="65" spans="2:6" ht="12.75">
      <c r="B65" s="70"/>
      <c r="C65" s="70"/>
      <c r="D65" s="70"/>
      <c r="E65" s="70"/>
      <c r="F65" s="70"/>
    </row>
    <row r="66" spans="2:6" ht="12.75">
      <c r="B66" s="70"/>
      <c r="C66" s="70"/>
      <c r="D66" s="70"/>
      <c r="E66" s="70"/>
      <c r="F66" s="70"/>
    </row>
    <row r="67" spans="2:6" ht="12.75">
      <c r="B67" s="70"/>
      <c r="C67" s="70"/>
      <c r="D67" s="70"/>
      <c r="E67" s="70"/>
      <c r="F67" s="70"/>
    </row>
    <row r="68" spans="2:6" ht="12.75">
      <c r="B68" s="70"/>
      <c r="C68" s="70"/>
      <c r="D68" s="70"/>
      <c r="E68" s="70"/>
      <c r="F68" s="70"/>
    </row>
    <row r="69" spans="2:6" ht="12.75">
      <c r="B69" s="70"/>
      <c r="C69" s="70"/>
      <c r="D69" s="70"/>
      <c r="E69" s="70"/>
      <c r="F69" s="70"/>
    </row>
  </sheetData>
  <mergeCells count="5">
    <mergeCell ref="A7:E7"/>
    <mergeCell ref="A2:E2"/>
    <mergeCell ref="A3:E3"/>
    <mergeCell ref="A5:E5"/>
    <mergeCell ref="A6:E6"/>
  </mergeCells>
  <printOptions/>
  <pageMargins left="0.62" right="0.43" top="0.45" bottom="0.68" header="0.24" footer="0.25"/>
  <pageSetup orientation="portrait" paperSize="9" scale="90" r:id="rId1"/>
  <headerFooter alignWithMargins="0">
    <oddFooter>&amp;C&amp;11Page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AGAC02</cp:lastModifiedBy>
  <cp:lastPrinted>2003-01-29T02:57:50Z</cp:lastPrinted>
  <dcterms:created xsi:type="dcterms:W3CDTF">2000-10-25T08:38:43Z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