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505" windowHeight="4530" activeTab="0"/>
  </bookViews>
  <sheets>
    <sheet name="PL7-900" sheetId="1" r:id="rId1"/>
    <sheet name="pl1-900" sheetId="2" r:id="rId2"/>
    <sheet name="conbs" sheetId="3" r:id="rId3"/>
  </sheets>
  <definedNames/>
  <calcPr fullCalcOnLoad="1"/>
</workbook>
</file>

<file path=xl/sharedStrings.xml><?xml version="1.0" encoding="utf-8"?>
<sst xmlns="http://schemas.openxmlformats.org/spreadsheetml/2006/main" count="120" uniqueCount="66">
  <si>
    <t>KENMARK INDUSTRIAL CO (M) BHD (173964-V)</t>
  </si>
  <si>
    <t>CONSOLIDATED BALANCE SHEET AS AT 30/09/2000</t>
  </si>
  <si>
    <t>KENMARK IND.</t>
  </si>
  <si>
    <t>KENMARK PAPER</t>
  </si>
  <si>
    <t>KM-MOULDING</t>
  </si>
  <si>
    <t xml:space="preserve">TOTAL </t>
  </si>
  <si>
    <t xml:space="preserve">        Consolidation Adjustment</t>
  </si>
  <si>
    <t>GROUP TOTAL</t>
  </si>
  <si>
    <t>RM</t>
  </si>
  <si>
    <t>DR.</t>
  </si>
  <si>
    <t>CR.</t>
  </si>
  <si>
    <t>FIXED ASSETS</t>
  </si>
  <si>
    <t>DEFERRED EXPENDITURE</t>
  </si>
  <si>
    <t xml:space="preserve"> </t>
  </si>
  <si>
    <t>CURRENT ASSETS</t>
  </si>
  <si>
    <t>STOCK</t>
  </si>
  <si>
    <t>TRADE DEBTORS</t>
  </si>
  <si>
    <t>OTHER DEBTORS</t>
  </si>
  <si>
    <t>AMOUNT DUE FROM SUBSIDIARY</t>
  </si>
  <si>
    <t>DEPOSITS WITH LICENSED FINANCIAL</t>
  </si>
  <si>
    <t>INSTITUTIONS</t>
  </si>
  <si>
    <t>CASH &amp; BANK BALANCES</t>
  </si>
  <si>
    <t>CURRENT LIABILITIES</t>
  </si>
  <si>
    <t>TRADE CREDITORS</t>
  </si>
  <si>
    <t>OTHER CREDITORS</t>
  </si>
  <si>
    <t>HIRE PURCHASE CREDITOR</t>
  </si>
  <si>
    <t xml:space="preserve">BILLS PAYABLE </t>
  </si>
  <si>
    <t>BORROWINGS</t>
  </si>
  <si>
    <t>TAXATION</t>
  </si>
  <si>
    <t>AMOUNT DUE TO HOLDING COMPANY</t>
  </si>
  <si>
    <t>NET CURRENT ASSETS/(LIABILITIES)</t>
  </si>
  <si>
    <t xml:space="preserve">FINANCED BY : </t>
  </si>
  <si>
    <t xml:space="preserve">SHARE CAPITAL </t>
  </si>
  <si>
    <t>SHARE PREMIUM</t>
  </si>
  <si>
    <t xml:space="preserve">RESERVE ON CONSOLIDATION </t>
  </si>
  <si>
    <t>RETAINED EARNINGS</t>
  </si>
  <si>
    <t>SHAREHOLDER FUND</t>
  </si>
  <si>
    <t>LONG TERM BORROWING</t>
  </si>
  <si>
    <t>CONSOLIDATED PROFIT AND LOSS FROM JAN'00-SEP'00</t>
  </si>
  <si>
    <t xml:space="preserve">KENMARK </t>
  </si>
  <si>
    <t>MOULDING</t>
  </si>
  <si>
    <t>Consolidation</t>
  </si>
  <si>
    <t>Adjustment</t>
  </si>
  <si>
    <t>KENMARK GROUP</t>
  </si>
  <si>
    <t>Dt.</t>
  </si>
  <si>
    <t>Kt.</t>
  </si>
  <si>
    <t>(RM)</t>
  </si>
  <si>
    <t>SALES</t>
  </si>
  <si>
    <t>COST OF SALES</t>
  </si>
  <si>
    <t>OPENING STOCK OF FINISHED GOODS</t>
  </si>
  <si>
    <t>TRANSFER FROM PRODUCTION</t>
  </si>
  <si>
    <t>CLOSING STOCK OF FINISHED GOODS</t>
  </si>
  <si>
    <t>GROSS PROFIT / (LOSS)</t>
  </si>
  <si>
    <t>BANK CHARGES</t>
  </si>
  <si>
    <t>ADMINISTRATION OVERHEADS</t>
  </si>
  <si>
    <t>SELLING &amp; DISTRUBUTION OVERHEADS</t>
  </si>
  <si>
    <t>OTHER REVENUE</t>
  </si>
  <si>
    <t>DEPRECIATION &amp; AMORTISATION</t>
  </si>
  <si>
    <t>TOTAL GROSS PROFIT / (LOSS)</t>
  </si>
  <si>
    <t>FINANCING CHARGES</t>
  </si>
  <si>
    <t>NET PROFIT / (LOSS) AFTER FINANCIAL CHARGES</t>
  </si>
  <si>
    <t>DIVIDENDS</t>
  </si>
  <si>
    <t>TOTAL PROFIT/(LOSS) AFTER DIVIDEND</t>
  </si>
  <si>
    <t>PROFIT / (LOSSES) B/F</t>
  </si>
  <si>
    <t>PROFIT / (LOSSES) C/F</t>
  </si>
  <si>
    <t>CONSOLIDATED PROFIT AND LOSS FROM JUL'00-SEP'00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</si>
</sst>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u val="single"/>
      <sz val="11"/>
      <name val="Book Antiqua"/>
      <family val="1"/>
    </font>
    <font>
      <u val="single"/>
      <sz val="11"/>
      <name val="Book Antiqua"/>
      <family val="1"/>
    </font>
    <font>
      <u val="single"/>
      <sz val="11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5" fontId="0" fillId="0" borderId="0" xfId="16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185" fontId="0" fillId="0" borderId="2" xfId="16" applyNumberFormat="1" applyBorder="1" applyAlignment="1">
      <alignment/>
    </xf>
    <xf numFmtId="185" fontId="0" fillId="0" borderId="0" xfId="16" applyNumberFormat="1" applyBorder="1" applyAlignment="1">
      <alignment/>
    </xf>
    <xf numFmtId="0" fontId="7" fillId="0" borderId="0" xfId="0" applyFont="1" applyAlignment="1">
      <alignment horizontal="left"/>
    </xf>
    <xf numFmtId="185" fontId="0" fillId="0" borderId="0" xfId="16" applyNumberFormat="1" applyFont="1" applyAlignment="1" quotePrefix="1">
      <alignment horizontal="left"/>
    </xf>
    <xf numFmtId="185" fontId="0" fillId="0" borderId="3" xfId="16" applyNumberFormat="1" applyBorder="1" applyAlignment="1">
      <alignment/>
    </xf>
    <xf numFmtId="0" fontId="7" fillId="0" borderId="0" xfId="0" applyFont="1" applyAlignment="1">
      <alignment/>
    </xf>
    <xf numFmtId="185" fontId="0" fillId="0" borderId="1" xfId="16" applyNumberFormat="1" applyBorder="1" applyAlignment="1">
      <alignment/>
    </xf>
    <xf numFmtId="185" fontId="0" fillId="0" borderId="0" xfId="16" applyNumberFormat="1" applyFont="1" applyAlignment="1">
      <alignment horizontal="right"/>
    </xf>
    <xf numFmtId="185" fontId="0" fillId="0" borderId="0" xfId="16" applyNumberFormat="1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3" fontId="9" fillId="0" borderId="0" xfId="15" applyNumberFormat="1" applyFont="1" applyAlignment="1">
      <alignment/>
    </xf>
    <xf numFmtId="185" fontId="6" fillId="0" borderId="0" xfId="16" applyNumberFormat="1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5" fontId="4" fillId="0" borderId="0" xfId="16" applyNumberFormat="1" applyFont="1" applyAlignment="1" quotePrefix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185" fontId="5" fillId="0" borderId="0" xfId="16" applyNumberFormat="1" applyFont="1" applyAlignment="1" quotePrefix="1">
      <alignment horizontal="center"/>
    </xf>
    <xf numFmtId="191" fontId="9" fillId="0" borderId="0" xfId="15" applyNumberFormat="1" applyFont="1" applyAlignment="1">
      <alignment/>
    </xf>
    <xf numFmtId="0" fontId="10" fillId="0" borderId="0" xfId="0" applyFont="1" applyBorder="1" applyAlignment="1">
      <alignment/>
    </xf>
    <xf numFmtId="183" fontId="9" fillId="0" borderId="1" xfId="15" applyNumberFormat="1" applyFont="1" applyBorder="1" applyAlignment="1">
      <alignment/>
    </xf>
    <xf numFmtId="185" fontId="6" fillId="0" borderId="1" xfId="16" applyNumberFormat="1" applyFont="1" applyBorder="1" applyAlignment="1">
      <alignment/>
    </xf>
    <xf numFmtId="183" fontId="9" fillId="0" borderId="4" xfId="15" applyNumberFormat="1" applyFont="1" applyBorder="1" applyAlignment="1">
      <alignment/>
    </xf>
    <xf numFmtId="183" fontId="9" fillId="0" borderId="0" xfId="15" applyNumberFormat="1" applyFont="1" applyBorder="1" applyAlignment="1">
      <alignment/>
    </xf>
    <xf numFmtId="183" fontId="9" fillId="0" borderId="0" xfId="0" applyNumberFormat="1" applyFont="1" applyAlignment="1">
      <alignment/>
    </xf>
    <xf numFmtId="185" fontId="9" fillId="0" borderId="0" xfId="16" applyNumberFormat="1" applyFont="1" applyAlignment="1">
      <alignment/>
    </xf>
    <xf numFmtId="185" fontId="6" fillId="0" borderId="0" xfId="16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/>
    </xf>
    <xf numFmtId="183" fontId="9" fillId="0" borderId="2" xfId="15" applyNumberFormat="1" applyFont="1" applyBorder="1" applyAlignment="1">
      <alignment/>
    </xf>
    <xf numFmtId="185" fontId="6" fillId="0" borderId="2" xfId="16" applyNumberFormat="1" applyFont="1" applyBorder="1" applyAlignment="1">
      <alignment/>
    </xf>
    <xf numFmtId="0" fontId="13" fillId="0" borderId="0" xfId="0" applyFont="1" applyAlignment="1">
      <alignment/>
    </xf>
    <xf numFmtId="183" fontId="1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1" zoomScaleNormal="91" workbookViewId="0" topLeftCell="A4">
      <selection activeCell="A13" sqref="A13"/>
    </sheetView>
  </sheetViews>
  <sheetFormatPr defaultColWidth="9.00390625" defaultRowHeight="15.75"/>
  <cols>
    <col min="1" max="2" width="9.00390625" style="10" customWidth="1"/>
    <col min="3" max="3" width="26.75390625" style="10" customWidth="1"/>
    <col min="4" max="4" width="16.375" style="10" customWidth="1"/>
    <col min="5" max="5" width="1.75390625" style="10" customWidth="1"/>
    <col min="6" max="6" width="17.625" style="10" customWidth="1"/>
    <col min="7" max="7" width="3.00390625" style="10" customWidth="1"/>
    <col min="8" max="9" width="14.875" style="10" customWidth="1"/>
    <col min="10" max="10" width="13.75390625" style="10" customWidth="1"/>
    <col min="11" max="11" width="15.50390625" style="10" customWidth="1"/>
    <col min="12" max="12" width="1.875" style="10" customWidth="1"/>
    <col min="13" max="13" width="16.50390625" style="26" customWidth="1"/>
    <col min="14" max="16384" width="9.00390625" style="10" customWidth="1"/>
  </cols>
  <sheetData>
    <row r="1" spans="1:11" ht="15">
      <c r="A1" s="22" t="s">
        <v>0</v>
      </c>
      <c r="B1" s="23"/>
      <c r="C1" s="23"/>
      <c r="D1" s="24"/>
      <c r="E1" s="25"/>
      <c r="F1" s="24"/>
      <c r="G1" s="24"/>
      <c r="H1" s="24"/>
      <c r="I1" s="24"/>
      <c r="J1" s="24"/>
      <c r="K1" s="24"/>
    </row>
    <row r="2" spans="1:11" ht="15">
      <c r="A2" s="27" t="s">
        <v>65</v>
      </c>
      <c r="B2" s="28"/>
      <c r="C2" s="28"/>
      <c r="D2" s="24"/>
      <c r="E2" s="25"/>
      <c r="F2" s="24"/>
      <c r="G2" s="24"/>
      <c r="H2" s="24"/>
      <c r="I2" s="24"/>
      <c r="J2" s="24"/>
      <c r="K2" s="24"/>
    </row>
    <row r="3" spans="1:11" ht="15">
      <c r="A3" s="24"/>
      <c r="B3" s="24"/>
      <c r="C3" s="24"/>
      <c r="D3" s="24"/>
      <c r="E3" s="25"/>
      <c r="F3" s="24"/>
      <c r="G3" s="24"/>
      <c r="H3" s="24"/>
      <c r="I3" s="24"/>
      <c r="J3" s="24"/>
      <c r="K3" s="24"/>
    </row>
    <row r="4" spans="1:11" ht="17.25" customHeight="1">
      <c r="A4" s="24"/>
      <c r="B4" s="24"/>
      <c r="C4" s="24"/>
      <c r="D4" s="23"/>
      <c r="E4" s="29"/>
      <c r="F4" s="29"/>
      <c r="G4" s="29"/>
      <c r="H4" s="30" t="s">
        <v>39</v>
      </c>
      <c r="I4" s="29"/>
      <c r="J4" s="29"/>
      <c r="K4" s="29"/>
    </row>
    <row r="5" spans="1:13" ht="15">
      <c r="A5" s="24"/>
      <c r="B5" s="24"/>
      <c r="C5" s="24"/>
      <c r="D5" s="30" t="s">
        <v>2</v>
      </c>
      <c r="E5" s="29"/>
      <c r="F5" s="30" t="s">
        <v>3</v>
      </c>
      <c r="G5" s="24"/>
      <c r="H5" s="30" t="s">
        <v>40</v>
      </c>
      <c r="I5" s="30" t="s">
        <v>5</v>
      </c>
      <c r="J5" s="30" t="s">
        <v>41</v>
      </c>
      <c r="K5" s="30" t="s">
        <v>42</v>
      </c>
      <c r="M5" s="31" t="s">
        <v>43</v>
      </c>
    </row>
    <row r="6" spans="1:11" ht="15">
      <c r="A6" s="24"/>
      <c r="B6" s="24"/>
      <c r="C6" s="24"/>
      <c r="D6" s="30"/>
      <c r="E6" s="29"/>
      <c r="F6" s="24"/>
      <c r="G6" s="24"/>
      <c r="H6" s="24"/>
      <c r="I6" s="24"/>
      <c r="J6" s="32" t="s">
        <v>44</v>
      </c>
      <c r="K6" s="32" t="s">
        <v>45</v>
      </c>
    </row>
    <row r="7" spans="1:13" s="37" customFormat="1" ht="15">
      <c r="A7" s="33"/>
      <c r="B7" s="33"/>
      <c r="C7" s="33"/>
      <c r="D7" s="34" t="s">
        <v>46</v>
      </c>
      <c r="E7" s="35"/>
      <c r="F7" s="36" t="s">
        <v>46</v>
      </c>
      <c r="G7" s="33"/>
      <c r="H7" s="36" t="s">
        <v>46</v>
      </c>
      <c r="I7" s="36" t="s">
        <v>46</v>
      </c>
      <c r="J7" s="36" t="s">
        <v>46</v>
      </c>
      <c r="K7" s="36" t="s">
        <v>46</v>
      </c>
      <c r="M7" s="38" t="s">
        <v>46</v>
      </c>
    </row>
    <row r="8" spans="1:11" ht="15">
      <c r="A8" s="24"/>
      <c r="B8" s="24"/>
      <c r="C8" s="24"/>
      <c r="D8" s="30"/>
      <c r="E8" s="29"/>
      <c r="F8" s="24"/>
      <c r="G8" s="24"/>
      <c r="H8" s="24"/>
      <c r="I8" s="24"/>
      <c r="J8" s="24"/>
      <c r="K8" s="24"/>
    </row>
    <row r="9" spans="1:11" ht="15">
      <c r="A9" s="24"/>
      <c r="B9" s="24"/>
      <c r="C9" s="24"/>
      <c r="D9" s="39"/>
      <c r="E9" s="39"/>
      <c r="F9" s="39"/>
      <c r="G9" s="39"/>
      <c r="H9" s="39"/>
      <c r="I9" s="39"/>
      <c r="J9" s="39"/>
      <c r="K9" s="39"/>
    </row>
    <row r="10" spans="1:13" ht="15">
      <c r="A10" s="23" t="s">
        <v>47</v>
      </c>
      <c r="C10" s="24"/>
      <c r="D10" s="25">
        <f>77362420.55-5597767.4-2181200</f>
        <v>69583453.14999999</v>
      </c>
      <c r="E10" s="25"/>
      <c r="F10" s="25">
        <v>3502268.2</v>
      </c>
      <c r="G10" s="25"/>
      <c r="H10" s="25">
        <v>126180.5</v>
      </c>
      <c r="I10" s="25">
        <f aca="true" t="shared" si="0" ref="I10:I34">SUM(D10:H10)</f>
        <v>73211901.85</v>
      </c>
      <c r="J10" s="25">
        <v>3628448.7</v>
      </c>
      <c r="K10" s="25"/>
      <c r="M10" s="26">
        <f>SUM(I10-J10+K10)</f>
        <v>69583453.14999999</v>
      </c>
    </row>
    <row r="11" spans="1:11" ht="15">
      <c r="A11" s="24"/>
      <c r="B11" s="24"/>
      <c r="C11" s="24"/>
      <c r="D11" s="25"/>
      <c r="E11" s="25"/>
      <c r="F11" s="25"/>
      <c r="G11" s="25"/>
      <c r="H11" s="25"/>
      <c r="I11" s="25">
        <f t="shared" si="0"/>
        <v>0</v>
      </c>
      <c r="J11" s="25"/>
      <c r="K11" s="25"/>
    </row>
    <row r="12" spans="1:11" ht="15">
      <c r="A12" s="40" t="s">
        <v>48</v>
      </c>
      <c r="C12" s="24"/>
      <c r="D12" s="25"/>
      <c r="E12" s="25"/>
      <c r="F12" s="25"/>
      <c r="G12" s="25"/>
      <c r="H12" s="25"/>
      <c r="I12" s="25">
        <f t="shared" si="0"/>
        <v>0</v>
      </c>
      <c r="J12" s="25"/>
      <c r="K12" s="25"/>
    </row>
    <row r="13" spans="1:13" ht="15">
      <c r="A13" s="24" t="s">
        <v>49</v>
      </c>
      <c r="B13" s="24"/>
      <c r="C13" s="24"/>
      <c r="D13" s="25">
        <v>4186634.35</v>
      </c>
      <c r="E13" s="25"/>
      <c r="F13" s="25">
        <v>0</v>
      </c>
      <c r="G13" s="25"/>
      <c r="H13" s="25">
        <v>0</v>
      </c>
      <c r="I13" s="25">
        <f t="shared" si="0"/>
        <v>4186634.35</v>
      </c>
      <c r="J13" s="25"/>
      <c r="K13" s="25"/>
      <c r="M13" s="26">
        <f>SUM(I13-J13+K13)</f>
        <v>4186634.35</v>
      </c>
    </row>
    <row r="14" spans="1:13" ht="15">
      <c r="A14" s="24" t="s">
        <v>50</v>
      </c>
      <c r="B14" s="24"/>
      <c r="C14" s="24"/>
      <c r="D14" s="25">
        <f>68271747.27-3022141.77-5597767.4-158836.95</f>
        <v>59493001.14999999</v>
      </c>
      <c r="E14" s="25"/>
      <c r="F14" s="41">
        <f>3266271.12-187048.84</f>
        <v>3079222.2800000003</v>
      </c>
      <c r="G14" s="25"/>
      <c r="H14" s="41">
        <v>116017.25</v>
      </c>
      <c r="I14" s="41">
        <f t="shared" si="0"/>
        <v>62688240.67999999</v>
      </c>
      <c r="J14" s="25"/>
      <c r="K14" s="25">
        <f>3628448.7+113000</f>
        <v>3741448.7</v>
      </c>
      <c r="M14" s="42">
        <f>I14+J14-K14</f>
        <v>58946791.97999999</v>
      </c>
    </row>
    <row r="15" spans="1:13" ht="15">
      <c r="A15" s="24"/>
      <c r="B15" s="24"/>
      <c r="C15" s="24"/>
      <c r="D15" s="43">
        <f>D13+D14</f>
        <v>63679635.49999999</v>
      </c>
      <c r="E15" s="43"/>
      <c r="F15" s="43">
        <f>F13+F14</f>
        <v>3079222.2800000003</v>
      </c>
      <c r="G15" s="44"/>
      <c r="H15" s="43">
        <f>H13+H14</f>
        <v>116017.25</v>
      </c>
      <c r="I15" s="25">
        <f t="shared" si="0"/>
        <v>66874875.029999994</v>
      </c>
      <c r="J15" s="25"/>
      <c r="K15" s="25"/>
      <c r="M15" s="26">
        <f>SUM(M13:M14)</f>
        <v>63133426.32999999</v>
      </c>
    </row>
    <row r="16" spans="1:13" ht="15">
      <c r="A16" s="24" t="s">
        <v>51</v>
      </c>
      <c r="B16" s="24"/>
      <c r="C16" s="24"/>
      <c r="D16" s="41">
        <v>-4557340.81</v>
      </c>
      <c r="E16" s="44"/>
      <c r="F16" s="41">
        <v>0</v>
      </c>
      <c r="G16" s="44"/>
      <c r="H16" s="41">
        <v>0</v>
      </c>
      <c r="I16" s="41">
        <f t="shared" si="0"/>
        <v>-4557340.81</v>
      </c>
      <c r="J16" s="25"/>
      <c r="K16" s="25"/>
      <c r="M16" s="42">
        <f>SUM(I16-J16+K16)</f>
        <v>-4557340.81</v>
      </c>
    </row>
    <row r="17" spans="1:13" ht="15">
      <c r="A17" s="24"/>
      <c r="B17" s="24"/>
      <c r="C17" s="24"/>
      <c r="D17" s="25">
        <f>D15+D16</f>
        <v>59122294.68999999</v>
      </c>
      <c r="E17" s="25"/>
      <c r="F17" s="25">
        <f>F15+F16</f>
        <v>3079222.2800000003</v>
      </c>
      <c r="G17" s="44"/>
      <c r="H17" s="25">
        <f>H15+H16</f>
        <v>116017.25</v>
      </c>
      <c r="I17" s="25">
        <f t="shared" si="0"/>
        <v>62317534.21999999</v>
      </c>
      <c r="J17" s="25"/>
      <c r="K17" s="25"/>
      <c r="M17" s="26">
        <f>SUM(M15:M16)</f>
        <v>58576085.51999999</v>
      </c>
    </row>
    <row r="18" spans="1:11" ht="15">
      <c r="A18" s="24"/>
      <c r="B18" s="24"/>
      <c r="C18" s="24"/>
      <c r="D18" s="25"/>
      <c r="E18" s="25"/>
      <c r="F18" s="25"/>
      <c r="G18" s="44"/>
      <c r="H18" s="25"/>
      <c r="I18" s="25">
        <f t="shared" si="0"/>
        <v>0</v>
      </c>
      <c r="J18" s="25"/>
      <c r="K18" s="25"/>
    </row>
    <row r="19" spans="1:13" ht="15">
      <c r="A19" s="24" t="s">
        <v>52</v>
      </c>
      <c r="B19" s="24"/>
      <c r="C19" s="24"/>
      <c r="D19" s="25">
        <f>SUM(D10-D17)</f>
        <v>10461158.46</v>
      </c>
      <c r="E19" s="25"/>
      <c r="F19" s="25">
        <f>SUM(F10-F17)</f>
        <v>423045.9199999999</v>
      </c>
      <c r="G19" s="25"/>
      <c r="H19" s="25">
        <f>SUM(H10-H17)</f>
        <v>10163.25</v>
      </c>
      <c r="I19" s="25">
        <f t="shared" si="0"/>
        <v>10894367.63</v>
      </c>
      <c r="J19" s="25"/>
      <c r="K19" s="25"/>
      <c r="M19" s="26">
        <f>M10-M17</f>
        <v>11007367.630000003</v>
      </c>
    </row>
    <row r="20" spans="1:13" ht="15">
      <c r="A20" s="24" t="s">
        <v>53</v>
      </c>
      <c r="B20" s="24"/>
      <c r="C20" s="24"/>
      <c r="D20" s="25">
        <v>-32350.45</v>
      </c>
      <c r="E20" s="25"/>
      <c r="F20" s="25">
        <v>-1899.28</v>
      </c>
      <c r="G20" s="25"/>
      <c r="H20" s="25">
        <v>-49.5</v>
      </c>
      <c r="I20" s="25">
        <f t="shared" si="0"/>
        <v>-34299.23</v>
      </c>
      <c r="J20" s="25"/>
      <c r="K20" s="25"/>
      <c r="M20" s="26">
        <f>SUM(I20+J20-K20)</f>
        <v>-34299.23</v>
      </c>
    </row>
    <row r="21" spans="1:13" ht="15">
      <c r="A21" s="24" t="s">
        <v>54</v>
      </c>
      <c r="B21" s="24"/>
      <c r="C21" s="24"/>
      <c r="D21" s="25">
        <f>-678881.36+20000</f>
        <v>-658881.36</v>
      </c>
      <c r="E21" s="25"/>
      <c r="F21" s="25">
        <f>-160019.48+158792.33</f>
        <v>-1227.1500000000233</v>
      </c>
      <c r="G21" s="25"/>
      <c r="H21" s="25">
        <f>-9468+5000+1963.98</f>
        <v>-2504.02</v>
      </c>
      <c r="I21" s="25">
        <f t="shared" si="0"/>
        <v>-662612.53</v>
      </c>
      <c r="J21" s="25"/>
      <c r="K21" s="25"/>
      <c r="M21" s="26">
        <f>SUM(I21+J21-K21)</f>
        <v>-662612.53</v>
      </c>
    </row>
    <row r="22" spans="1:13" ht="15">
      <c r="A22" s="24" t="s">
        <v>55</v>
      </c>
      <c r="B22" s="24"/>
      <c r="C22" s="24"/>
      <c r="D22" s="41">
        <v>-470662.91</v>
      </c>
      <c r="E22" s="25"/>
      <c r="F22" s="41">
        <v>0</v>
      </c>
      <c r="G22" s="25"/>
      <c r="H22" s="41">
        <v>0</v>
      </c>
      <c r="I22" s="41">
        <f t="shared" si="0"/>
        <v>-470662.91</v>
      </c>
      <c r="J22" s="25"/>
      <c r="K22" s="25"/>
      <c r="M22" s="42">
        <f>SUM(I22+J22-K22)</f>
        <v>-470662.91</v>
      </c>
    </row>
    <row r="23" spans="4:13" s="24" customFormat="1" ht="15">
      <c r="D23" s="45">
        <f>SUM(D19:D22)</f>
        <v>9299263.740000002</v>
      </c>
      <c r="F23" s="45">
        <f>SUM(F19:F22)</f>
        <v>419919.4899999999</v>
      </c>
      <c r="H23" s="45">
        <f>SUM(H19:H22)</f>
        <v>7609.73</v>
      </c>
      <c r="I23" s="25">
        <f t="shared" si="0"/>
        <v>9726792.960000003</v>
      </c>
      <c r="M23" s="46">
        <f>SUM(M19:M22)</f>
        <v>9839792.960000003</v>
      </c>
    </row>
    <row r="24" spans="1:13" ht="15">
      <c r="A24" s="24" t="s">
        <v>56</v>
      </c>
      <c r="B24" s="24"/>
      <c r="C24" s="24"/>
      <c r="D24" s="41">
        <v>40344.65</v>
      </c>
      <c r="E24" s="44"/>
      <c r="F24" s="41">
        <v>113000</v>
      </c>
      <c r="G24" s="25"/>
      <c r="H24" s="41">
        <v>0</v>
      </c>
      <c r="I24" s="41">
        <f t="shared" si="0"/>
        <v>153344.65</v>
      </c>
      <c r="J24" s="25">
        <v>113000</v>
      </c>
      <c r="K24" s="25"/>
      <c r="M24" s="42">
        <f>SUM(I24-J24+K24)</f>
        <v>40344.649999999994</v>
      </c>
    </row>
    <row r="25" spans="1:13" ht="15">
      <c r="A25" s="24"/>
      <c r="B25" s="24"/>
      <c r="C25" s="24"/>
      <c r="D25" s="25">
        <f>SUM(D23:D24)</f>
        <v>9339608.390000002</v>
      </c>
      <c r="E25" s="25"/>
      <c r="F25" s="25">
        <f>SUM(F23:F24)</f>
        <v>532919.4899999999</v>
      </c>
      <c r="G25" s="25"/>
      <c r="H25" s="25">
        <f>SUM(H23:H24)</f>
        <v>7609.73</v>
      </c>
      <c r="I25" s="25">
        <f t="shared" si="0"/>
        <v>9880137.610000003</v>
      </c>
      <c r="J25" s="25"/>
      <c r="K25" s="25"/>
      <c r="M25" s="47">
        <f>SUM(M23:M24)</f>
        <v>9880137.610000003</v>
      </c>
    </row>
    <row r="26" spans="1:13" ht="15">
      <c r="A26" s="48" t="s">
        <v>57</v>
      </c>
      <c r="B26" s="24"/>
      <c r="C26" s="24"/>
      <c r="D26" s="25">
        <f>-32634.57-3022141.77</f>
        <v>-3054776.34</v>
      </c>
      <c r="E26" s="25"/>
      <c r="F26" s="25">
        <f>-187048.84-158792.33</f>
        <v>-345841.17</v>
      </c>
      <c r="G26" s="44"/>
      <c r="H26" s="25">
        <v>-1963.98</v>
      </c>
      <c r="I26" s="41">
        <f t="shared" si="0"/>
        <v>-3402581.4899999998</v>
      </c>
      <c r="J26" s="25">
        <f>45710.31</f>
        <v>45710.31</v>
      </c>
      <c r="K26" s="25"/>
      <c r="M26" s="42">
        <f>SUM(I26-J26+K26)</f>
        <v>-3448291.8</v>
      </c>
    </row>
    <row r="27" spans="1:13" ht="15">
      <c r="A27" s="22" t="s">
        <v>58</v>
      </c>
      <c r="B27" s="23"/>
      <c r="C27" s="23"/>
      <c r="D27" s="43">
        <f>SUM(D25:D26)</f>
        <v>6284832.050000003</v>
      </c>
      <c r="E27" s="43"/>
      <c r="F27" s="43">
        <f>SUM(F25:F26)</f>
        <v>187078.3199999999</v>
      </c>
      <c r="G27" s="44"/>
      <c r="H27" s="43">
        <f>SUM(H25:H26)</f>
        <v>5645.75</v>
      </c>
      <c r="I27" s="25">
        <f t="shared" si="0"/>
        <v>6477556.120000003</v>
      </c>
      <c r="J27" s="25"/>
      <c r="K27" s="25"/>
      <c r="M27" s="26">
        <f>SUM(M25:M26)</f>
        <v>6431845.810000003</v>
      </c>
    </row>
    <row r="28" spans="1:13" ht="15">
      <c r="A28" s="24" t="s">
        <v>59</v>
      </c>
      <c r="B28" s="24"/>
      <c r="C28" s="24"/>
      <c r="D28" s="41">
        <f>-853183.82-37500</f>
        <v>-890683.82</v>
      </c>
      <c r="E28" s="25"/>
      <c r="F28" s="41">
        <f>-125850.27+1899.28</f>
        <v>-123950.99</v>
      </c>
      <c r="G28" s="25"/>
      <c r="H28" s="41">
        <v>0</v>
      </c>
      <c r="I28" s="41">
        <f t="shared" si="0"/>
        <v>-1014634.8099999999</v>
      </c>
      <c r="J28" s="25"/>
      <c r="K28" s="25"/>
      <c r="M28" s="42">
        <f>SUM(I28+J28-K28)</f>
        <v>-1014634.8099999999</v>
      </c>
    </row>
    <row r="29" spans="1:13" ht="15">
      <c r="A29" s="22" t="s">
        <v>60</v>
      </c>
      <c r="B29" s="23"/>
      <c r="C29" s="23"/>
      <c r="D29" s="25">
        <f>SUM(D27:D28)</f>
        <v>5394148.230000002</v>
      </c>
      <c r="E29" s="25"/>
      <c r="F29" s="25">
        <f>SUM(F27:F28)</f>
        <v>63127.329999999885</v>
      </c>
      <c r="G29" s="25"/>
      <c r="H29" s="25">
        <f>SUM(H27:H28)</f>
        <v>5645.75</v>
      </c>
      <c r="I29" s="25">
        <f t="shared" si="0"/>
        <v>5462921.310000002</v>
      </c>
      <c r="J29" s="25"/>
      <c r="K29" s="25"/>
      <c r="M29" s="26">
        <f>SUM(M27:M28)</f>
        <v>5417211.000000004</v>
      </c>
    </row>
    <row r="30" spans="1:13" ht="15">
      <c r="A30" s="22" t="s">
        <v>61</v>
      </c>
      <c r="B30" s="23"/>
      <c r="C30" s="23"/>
      <c r="D30" s="41">
        <v>0</v>
      </c>
      <c r="E30" s="44"/>
      <c r="F30" s="41">
        <v>0</v>
      </c>
      <c r="G30" s="25"/>
      <c r="H30" s="41">
        <v>0</v>
      </c>
      <c r="I30" s="41">
        <f t="shared" si="0"/>
        <v>0</v>
      </c>
      <c r="J30" s="25"/>
      <c r="K30" s="25"/>
      <c r="M30" s="42">
        <f>SUM(I30-J30+K30)</f>
        <v>0</v>
      </c>
    </row>
    <row r="31" spans="1:13" ht="15">
      <c r="A31" s="22" t="s">
        <v>62</v>
      </c>
      <c r="B31" s="23"/>
      <c r="C31" s="23"/>
      <c r="D31" s="25">
        <f>SUM(D29:D30)</f>
        <v>5394148.230000002</v>
      </c>
      <c r="E31" s="25"/>
      <c r="F31" s="25">
        <f>SUM(F29:F30)</f>
        <v>63127.329999999885</v>
      </c>
      <c r="G31" s="25"/>
      <c r="H31" s="25">
        <f>SUM(H29:H30)</f>
        <v>5645.75</v>
      </c>
      <c r="I31" s="25">
        <f t="shared" si="0"/>
        <v>5462921.310000002</v>
      </c>
      <c r="J31" s="25"/>
      <c r="K31" s="25"/>
      <c r="M31" s="26">
        <f>SUM(M29:M30)</f>
        <v>5417211.000000004</v>
      </c>
    </row>
    <row r="32" spans="1:13" ht="15">
      <c r="A32" s="49" t="s">
        <v>28</v>
      </c>
      <c r="B32" s="23"/>
      <c r="C32" s="23"/>
      <c r="D32" s="25">
        <v>0</v>
      </c>
      <c r="E32" s="25"/>
      <c r="F32" s="25">
        <f>-55564+55564</f>
        <v>0</v>
      </c>
      <c r="G32" s="25"/>
      <c r="H32" s="25">
        <f>-55564+55564</f>
        <v>0</v>
      </c>
      <c r="I32" s="25">
        <f t="shared" si="0"/>
        <v>0</v>
      </c>
      <c r="J32" s="25"/>
      <c r="K32" s="25"/>
      <c r="M32" s="26">
        <f>I32-J32+K32</f>
        <v>0</v>
      </c>
    </row>
    <row r="33" spans="1:13" ht="15">
      <c r="A33" s="50" t="s">
        <v>63</v>
      </c>
      <c r="B33" s="24"/>
      <c r="C33" s="24"/>
      <c r="D33" s="25">
        <v>97629167.38</v>
      </c>
      <c r="E33" s="25"/>
      <c r="F33" s="25">
        <v>186071.39</v>
      </c>
      <c r="G33" s="25"/>
      <c r="H33" s="25">
        <v>0</v>
      </c>
      <c r="I33" s="25">
        <f t="shared" si="0"/>
        <v>97815238.77</v>
      </c>
      <c r="J33" s="25">
        <f>299486+182841.24+182841.24+45710.31+45710.31</f>
        <v>756589.1000000001</v>
      </c>
      <c r="K33" s="25"/>
      <c r="M33" s="26">
        <f>I33-J33+K33</f>
        <v>97058649.67</v>
      </c>
    </row>
    <row r="34" spans="1:13" ht="15.75" thickBot="1">
      <c r="A34" s="24" t="s">
        <v>64</v>
      </c>
      <c r="B34" s="24"/>
      <c r="C34" s="24"/>
      <c r="D34" s="51">
        <f>SUM(D31:D33)</f>
        <v>103023315.61</v>
      </c>
      <c r="E34" s="44"/>
      <c r="F34" s="51">
        <f>SUM(F31:F33)</f>
        <v>249198.7199999999</v>
      </c>
      <c r="G34" s="25"/>
      <c r="H34" s="51">
        <f>SUM(H31:H33)</f>
        <v>5645.75</v>
      </c>
      <c r="I34" s="51">
        <f t="shared" si="0"/>
        <v>103278160.08</v>
      </c>
      <c r="J34" s="25"/>
      <c r="K34" s="25"/>
      <c r="M34" s="52">
        <f>SUM(M31:M33)</f>
        <v>102475860.67</v>
      </c>
    </row>
    <row r="35" spans="1:11" ht="15.75" thickTop="1">
      <c r="A35" s="24"/>
      <c r="B35" s="24"/>
      <c r="C35" s="24"/>
      <c r="D35" s="25"/>
      <c r="E35" s="25"/>
      <c r="F35" s="25"/>
      <c r="G35" s="25"/>
      <c r="H35" s="25"/>
      <c r="I35" s="25"/>
      <c r="J35" s="25"/>
      <c r="K35" s="25"/>
    </row>
    <row r="36" spans="1:11" ht="15">
      <c r="A36" s="53"/>
      <c r="B36" s="53"/>
      <c r="C36" s="53"/>
      <c r="D36" s="54"/>
      <c r="E36" s="54"/>
      <c r="F36" s="54"/>
      <c r="G36" s="54"/>
      <c r="H36" s="54"/>
      <c r="I36" s="54"/>
      <c r="J36" s="54"/>
      <c r="K36" s="54"/>
    </row>
  </sheetData>
  <printOptions/>
  <pageMargins left="0.35433070866141736" right="0" top="0.3937007874015748" bottom="0.3937007874015748" header="0.31496062992125984" footer="0.31496062992125984"/>
  <pageSetup horizontalDpi="180" verticalDpi="18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91" zoomScaleNormal="91" workbookViewId="0" topLeftCell="A1">
      <pane xSplit="3" ySplit="3" topLeftCell="L2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37" sqref="M37"/>
    </sheetView>
  </sheetViews>
  <sheetFormatPr defaultColWidth="9.00390625" defaultRowHeight="15.75"/>
  <cols>
    <col min="1" max="2" width="9.00390625" style="10" customWidth="1"/>
    <col min="3" max="3" width="26.75390625" style="10" customWidth="1"/>
    <col min="4" max="4" width="16.375" style="10" customWidth="1"/>
    <col min="5" max="5" width="1.75390625" style="10" customWidth="1"/>
    <col min="6" max="6" width="17.625" style="10" customWidth="1"/>
    <col min="7" max="7" width="3.00390625" style="10" customWidth="1"/>
    <col min="8" max="9" width="14.875" style="10" customWidth="1"/>
    <col min="10" max="10" width="13.75390625" style="10" customWidth="1"/>
    <col min="11" max="11" width="15.50390625" style="10" customWidth="1"/>
    <col min="12" max="12" width="1.875" style="10" customWidth="1"/>
    <col min="13" max="13" width="16.50390625" style="26" customWidth="1"/>
    <col min="14" max="16384" width="9.00390625" style="10" customWidth="1"/>
  </cols>
  <sheetData>
    <row r="1" spans="1:11" ht="15">
      <c r="A1" s="22" t="s">
        <v>0</v>
      </c>
      <c r="B1" s="23"/>
      <c r="C1" s="23"/>
      <c r="D1" s="24"/>
      <c r="E1" s="25"/>
      <c r="F1" s="24"/>
      <c r="G1" s="24"/>
      <c r="H1" s="24"/>
      <c r="I1" s="24"/>
      <c r="J1" s="24"/>
      <c r="K1" s="24"/>
    </row>
    <row r="2" spans="1:11" ht="15">
      <c r="A2" s="27" t="s">
        <v>38</v>
      </c>
      <c r="B2" s="28"/>
      <c r="C2" s="28"/>
      <c r="D2" s="24"/>
      <c r="E2" s="25"/>
      <c r="F2" s="24"/>
      <c r="G2" s="24"/>
      <c r="H2" s="24"/>
      <c r="I2" s="24"/>
      <c r="J2" s="24"/>
      <c r="K2" s="24"/>
    </row>
    <row r="3" spans="1:11" ht="15">
      <c r="A3" s="24"/>
      <c r="B3" s="24"/>
      <c r="C3" s="24"/>
      <c r="D3" s="24"/>
      <c r="E3" s="25"/>
      <c r="F3" s="24"/>
      <c r="G3" s="24"/>
      <c r="H3" s="24"/>
      <c r="I3" s="24"/>
      <c r="J3" s="24"/>
      <c r="K3" s="24"/>
    </row>
    <row r="4" spans="1:11" ht="17.25" customHeight="1">
      <c r="A4" s="24"/>
      <c r="B4" s="24"/>
      <c r="C4" s="24"/>
      <c r="D4" s="23"/>
      <c r="E4" s="29"/>
      <c r="F4" s="29"/>
      <c r="G4" s="29"/>
      <c r="H4" s="30" t="s">
        <v>39</v>
      </c>
      <c r="I4" s="29"/>
      <c r="J4" s="29"/>
      <c r="K4" s="29"/>
    </row>
    <row r="5" spans="1:13" ht="15">
      <c r="A5" s="24"/>
      <c r="B5" s="24"/>
      <c r="C5" s="24"/>
      <c r="D5" s="30" t="s">
        <v>2</v>
      </c>
      <c r="E5" s="29"/>
      <c r="F5" s="30" t="s">
        <v>3</v>
      </c>
      <c r="G5" s="24"/>
      <c r="H5" s="30" t="s">
        <v>40</v>
      </c>
      <c r="I5" s="30" t="s">
        <v>5</v>
      </c>
      <c r="J5" s="30" t="s">
        <v>41</v>
      </c>
      <c r="K5" s="30" t="s">
        <v>42</v>
      </c>
      <c r="M5" s="31" t="s">
        <v>43</v>
      </c>
    </row>
    <row r="6" spans="1:11" ht="15">
      <c r="A6" s="24"/>
      <c r="B6" s="24"/>
      <c r="C6" s="24"/>
      <c r="D6" s="30"/>
      <c r="E6" s="29"/>
      <c r="F6" s="24"/>
      <c r="G6" s="24"/>
      <c r="H6" s="24"/>
      <c r="I6" s="24"/>
      <c r="J6" s="32" t="s">
        <v>44</v>
      </c>
      <c r="K6" s="32" t="s">
        <v>45</v>
      </c>
    </row>
    <row r="7" spans="1:13" s="37" customFormat="1" ht="15">
      <c r="A7" s="33"/>
      <c r="B7" s="33"/>
      <c r="C7" s="33"/>
      <c r="D7" s="34" t="s">
        <v>46</v>
      </c>
      <c r="E7" s="35"/>
      <c r="F7" s="36" t="s">
        <v>46</v>
      </c>
      <c r="G7" s="33"/>
      <c r="H7" s="36" t="s">
        <v>46</v>
      </c>
      <c r="I7" s="36" t="s">
        <v>46</v>
      </c>
      <c r="J7" s="36" t="s">
        <v>46</v>
      </c>
      <c r="K7" s="36" t="s">
        <v>46</v>
      </c>
      <c r="M7" s="38" t="s">
        <v>46</v>
      </c>
    </row>
    <row r="8" spans="1:11" ht="15">
      <c r="A8" s="24"/>
      <c r="B8" s="24"/>
      <c r="C8" s="24"/>
      <c r="D8" s="30"/>
      <c r="E8" s="29"/>
      <c r="F8" s="24"/>
      <c r="G8" s="24"/>
      <c r="H8" s="24"/>
      <c r="I8" s="24"/>
      <c r="J8" s="24"/>
      <c r="K8" s="24"/>
    </row>
    <row r="9" spans="1:11" ht="15">
      <c r="A9" s="24"/>
      <c r="B9" s="24"/>
      <c r="C9" s="24"/>
      <c r="D9" s="39"/>
      <c r="E9" s="39"/>
      <c r="F9" s="39"/>
      <c r="G9" s="39"/>
      <c r="H9" s="39"/>
      <c r="I9" s="39"/>
      <c r="J9" s="39"/>
      <c r="K9" s="39"/>
    </row>
    <row r="10" spans="1:13" ht="15">
      <c r="A10" s="23" t="s">
        <v>47</v>
      </c>
      <c r="C10" s="24"/>
      <c r="D10" s="25">
        <f>155862669.31-2181200</f>
        <v>153681469.31</v>
      </c>
      <c r="E10" s="25"/>
      <c r="F10" s="25">
        <v>11011247.5</v>
      </c>
      <c r="G10" s="25"/>
      <c r="H10" s="25">
        <v>126180.5</v>
      </c>
      <c r="I10" s="25">
        <f>SUM(D10:H10)</f>
        <v>164818897.31</v>
      </c>
      <c r="J10" s="25">
        <v>11137428</v>
      </c>
      <c r="K10" s="25"/>
      <c r="M10" s="26">
        <f>SUM(I10-J10+K10)</f>
        <v>153681469.31</v>
      </c>
    </row>
    <row r="11" spans="1:11" ht="15">
      <c r="A11" s="24"/>
      <c r="B11" s="24"/>
      <c r="C11" s="24"/>
      <c r="D11" s="25"/>
      <c r="E11" s="25"/>
      <c r="F11" s="25"/>
      <c r="G11" s="25"/>
      <c r="H11" s="25"/>
      <c r="I11" s="25"/>
      <c r="J11" s="25"/>
      <c r="K11" s="25"/>
    </row>
    <row r="12" spans="1:11" ht="15">
      <c r="A12" s="40" t="s">
        <v>48</v>
      </c>
      <c r="C12" s="24"/>
      <c r="D12" s="25"/>
      <c r="E12" s="25"/>
      <c r="F12" s="25"/>
      <c r="G12" s="25"/>
      <c r="H12" s="25"/>
      <c r="I12" s="25"/>
      <c r="J12" s="25"/>
      <c r="K12" s="25"/>
    </row>
    <row r="13" spans="1:13" ht="15">
      <c r="A13" s="24" t="s">
        <v>49</v>
      </c>
      <c r="B13" s="24"/>
      <c r="C13" s="24"/>
      <c r="D13" s="25">
        <v>1580596.1</v>
      </c>
      <c r="E13" s="25"/>
      <c r="F13" s="25">
        <v>0</v>
      </c>
      <c r="G13" s="25"/>
      <c r="H13" s="25">
        <v>0</v>
      </c>
      <c r="I13" s="25">
        <f aca="true" t="shared" si="0" ref="I13:I34">SUM(D13:H13)</f>
        <v>1580596.1</v>
      </c>
      <c r="J13" s="25"/>
      <c r="K13" s="25"/>
      <c r="M13" s="26">
        <f>SUM(I13-J13+K13)</f>
        <v>1580596.1</v>
      </c>
    </row>
    <row r="14" spans="1:13" ht="15">
      <c r="A14" s="24" t="s">
        <v>50</v>
      </c>
      <c r="B14" s="24"/>
      <c r="C14" s="24"/>
      <c r="D14" s="25">
        <f>151477141.73-18506249.77-8921235.2</f>
        <v>124049656.75999999</v>
      </c>
      <c r="E14" s="25"/>
      <c r="F14" s="41">
        <f>10244094.14-559099.35</f>
        <v>9684994.790000001</v>
      </c>
      <c r="G14" s="25"/>
      <c r="H14" s="41">
        <v>116017.25</v>
      </c>
      <c r="I14" s="41">
        <f t="shared" si="0"/>
        <v>133850668.8</v>
      </c>
      <c r="J14" s="25"/>
      <c r="K14" s="25">
        <f>11137428+329000</f>
        <v>11466428</v>
      </c>
      <c r="M14" s="42">
        <f>I14+J14-K14</f>
        <v>122384240.8</v>
      </c>
    </row>
    <row r="15" spans="1:13" ht="15">
      <c r="A15" s="24"/>
      <c r="B15" s="24"/>
      <c r="C15" s="24"/>
      <c r="D15" s="43">
        <f>D13+D14</f>
        <v>125630252.85999998</v>
      </c>
      <c r="E15" s="43"/>
      <c r="F15" s="43">
        <f>F13+F14</f>
        <v>9684994.790000001</v>
      </c>
      <c r="G15" s="44"/>
      <c r="H15" s="43">
        <f>H13+H14</f>
        <v>116017.25</v>
      </c>
      <c r="I15" s="25">
        <f t="shared" si="0"/>
        <v>135431264.89999998</v>
      </c>
      <c r="J15" s="25"/>
      <c r="K15" s="25"/>
      <c r="M15" s="26">
        <f>SUM(M13:M14)</f>
        <v>123964836.89999999</v>
      </c>
    </row>
    <row r="16" spans="1:13" ht="15">
      <c r="A16" s="24" t="s">
        <v>51</v>
      </c>
      <c r="B16" s="24"/>
      <c r="C16" s="24"/>
      <c r="D16" s="41">
        <v>-1209672.77</v>
      </c>
      <c r="E16" s="44"/>
      <c r="F16" s="41">
        <v>0</v>
      </c>
      <c r="G16" s="44"/>
      <c r="H16" s="41">
        <v>0</v>
      </c>
      <c r="I16" s="41">
        <f t="shared" si="0"/>
        <v>-1209672.77</v>
      </c>
      <c r="J16" s="25"/>
      <c r="K16" s="25"/>
      <c r="M16" s="42">
        <f>SUM(I16-J16+K16)</f>
        <v>-1209672.77</v>
      </c>
    </row>
    <row r="17" spans="1:13" ht="15">
      <c r="A17" s="24"/>
      <c r="B17" s="24"/>
      <c r="C17" s="24"/>
      <c r="D17" s="25">
        <f>D15+D16</f>
        <v>124420580.08999999</v>
      </c>
      <c r="E17" s="25"/>
      <c r="F17" s="25">
        <f>F15+F16</f>
        <v>9684994.790000001</v>
      </c>
      <c r="G17" s="44"/>
      <c r="H17" s="25">
        <f>H15+H16</f>
        <v>116017.25</v>
      </c>
      <c r="I17" s="25">
        <f t="shared" si="0"/>
        <v>134221592.13</v>
      </c>
      <c r="J17" s="25"/>
      <c r="K17" s="25"/>
      <c r="M17" s="26">
        <f>SUM(M15:M16)</f>
        <v>122755164.13</v>
      </c>
    </row>
    <row r="18" spans="1:11" ht="15">
      <c r="A18" s="24"/>
      <c r="B18" s="24"/>
      <c r="C18" s="24"/>
      <c r="D18" s="25"/>
      <c r="E18" s="25"/>
      <c r="F18" s="25"/>
      <c r="G18" s="44"/>
      <c r="H18" s="25"/>
      <c r="I18" s="25">
        <f t="shared" si="0"/>
        <v>0</v>
      </c>
      <c r="J18" s="25"/>
      <c r="K18" s="25"/>
    </row>
    <row r="19" spans="1:13" ht="15">
      <c r="A19" s="24" t="s">
        <v>52</v>
      </c>
      <c r="B19" s="24"/>
      <c r="C19" s="24"/>
      <c r="D19" s="25">
        <f>SUM(D10-D17)</f>
        <v>29260889.220000014</v>
      </c>
      <c r="E19" s="25"/>
      <c r="F19" s="25">
        <f>SUM(F10-F17)</f>
        <v>1326252.709999999</v>
      </c>
      <c r="G19" s="25"/>
      <c r="H19" s="25">
        <f>SUM(H10-H17)</f>
        <v>10163.25</v>
      </c>
      <c r="I19" s="25">
        <f t="shared" si="0"/>
        <v>30597305.180000015</v>
      </c>
      <c r="J19" s="25"/>
      <c r="K19" s="25"/>
      <c r="M19" s="26">
        <f>M10-M17</f>
        <v>30926305.180000007</v>
      </c>
    </row>
    <row r="20" spans="1:13" ht="15">
      <c r="A20" s="24" t="s">
        <v>53</v>
      </c>
      <c r="B20" s="24"/>
      <c r="C20" s="24"/>
      <c r="D20" s="25">
        <f>-79597.13</f>
        <v>-79597.13</v>
      </c>
      <c r="E20" s="25"/>
      <c r="F20" s="25">
        <v>-8617.43</v>
      </c>
      <c r="G20" s="25"/>
      <c r="H20" s="25">
        <v>-49.5</v>
      </c>
      <c r="I20" s="25">
        <f t="shared" si="0"/>
        <v>-88264.06</v>
      </c>
      <c r="J20" s="25"/>
      <c r="K20" s="25"/>
      <c r="M20" s="26">
        <f>SUM(I20+J20-K20)</f>
        <v>-88264.06</v>
      </c>
    </row>
    <row r="21" spans="1:13" ht="15">
      <c r="A21" s="24" t="s">
        <v>54</v>
      </c>
      <c r="B21" s="24"/>
      <c r="C21" s="24"/>
      <c r="D21" s="25">
        <f>-2038620.82+81079.17</f>
        <v>-1957541.6500000001</v>
      </c>
      <c r="E21" s="25"/>
      <c r="F21" s="25">
        <f>-473426.76+466886.07</f>
        <v>-6540.690000000002</v>
      </c>
      <c r="G21" s="25"/>
      <c r="H21" s="25">
        <f>-9468+5000+1963.98</f>
        <v>-2504.02</v>
      </c>
      <c r="I21" s="25">
        <f t="shared" si="0"/>
        <v>-1966586.36</v>
      </c>
      <c r="J21" s="25"/>
      <c r="K21" s="25"/>
      <c r="M21" s="26">
        <f>SUM(I21+J21-K21)</f>
        <v>-1966586.36</v>
      </c>
    </row>
    <row r="22" spans="1:13" ht="15">
      <c r="A22" s="24" t="s">
        <v>55</v>
      </c>
      <c r="B22" s="24"/>
      <c r="C22" s="24"/>
      <c r="D22" s="41">
        <v>-1176274.85</v>
      </c>
      <c r="E22" s="25"/>
      <c r="F22" s="41">
        <v>0</v>
      </c>
      <c r="G22" s="25"/>
      <c r="H22" s="41">
        <v>0</v>
      </c>
      <c r="I22" s="41">
        <f t="shared" si="0"/>
        <v>-1176274.85</v>
      </c>
      <c r="J22" s="25"/>
      <c r="K22" s="25"/>
      <c r="M22" s="42">
        <f>SUM(I22+J22-K22)</f>
        <v>-1176274.85</v>
      </c>
    </row>
    <row r="23" spans="4:13" s="24" customFormat="1" ht="15">
      <c r="D23" s="45">
        <f>SUM(D19:D22)</f>
        <v>26047475.590000015</v>
      </c>
      <c r="F23" s="45">
        <f>SUM(F19:F22)</f>
        <v>1311094.5899999992</v>
      </c>
      <c r="H23" s="45">
        <f>SUM(H19:H22)</f>
        <v>7609.73</v>
      </c>
      <c r="I23" s="25">
        <f t="shared" si="0"/>
        <v>27366179.910000015</v>
      </c>
      <c r="M23" s="46">
        <f>SUM(M19:M22)</f>
        <v>27695179.910000008</v>
      </c>
    </row>
    <row r="24" spans="1:13" ht="15">
      <c r="A24" s="24" t="s">
        <v>56</v>
      </c>
      <c r="B24" s="24"/>
      <c r="C24" s="24"/>
      <c r="D24" s="41">
        <v>94284.46</v>
      </c>
      <c r="E24" s="44"/>
      <c r="F24" s="41">
        <v>329000</v>
      </c>
      <c r="G24" s="25"/>
      <c r="H24" s="41">
        <v>0</v>
      </c>
      <c r="I24" s="41">
        <f t="shared" si="0"/>
        <v>423284.46</v>
      </c>
      <c r="J24" s="25">
        <v>329000</v>
      </c>
      <c r="K24" s="25"/>
      <c r="M24" s="42">
        <f>SUM(I24-J24+K24)</f>
        <v>94284.46000000002</v>
      </c>
    </row>
    <row r="25" spans="1:13" ht="15">
      <c r="A25" s="24"/>
      <c r="B25" s="24"/>
      <c r="C25" s="24"/>
      <c r="D25" s="25">
        <f>SUM(D23:D24)</f>
        <v>26141760.050000016</v>
      </c>
      <c r="E25" s="25"/>
      <c r="F25" s="25">
        <f>SUM(F23:F24)</f>
        <v>1640094.5899999992</v>
      </c>
      <c r="G25" s="25"/>
      <c r="H25" s="25">
        <f>SUM(H23:H24)</f>
        <v>7609.73</v>
      </c>
      <c r="I25" s="25">
        <f t="shared" si="0"/>
        <v>27789464.370000016</v>
      </c>
      <c r="J25" s="25"/>
      <c r="K25" s="25"/>
      <c r="M25" s="47">
        <f>SUM(M23:M24)</f>
        <v>27789464.37000001</v>
      </c>
    </row>
    <row r="26" spans="1:13" ht="15">
      <c r="A26" s="48" t="s">
        <v>57</v>
      </c>
      <c r="B26" s="24"/>
      <c r="C26" s="24"/>
      <c r="D26" s="25">
        <f>-8921235.2-81079.17</f>
        <v>-9002314.37</v>
      </c>
      <c r="E26" s="25"/>
      <c r="F26" s="25">
        <f>-559099.35-466886.07</f>
        <v>-1025985.4199999999</v>
      </c>
      <c r="G26" s="44"/>
      <c r="H26" s="25">
        <v>-1963.98</v>
      </c>
      <c r="I26" s="41">
        <f t="shared" si="0"/>
        <v>-10030263.77</v>
      </c>
      <c r="J26" s="25">
        <f>45710.31+45710.31+45710.31</f>
        <v>137130.93</v>
      </c>
      <c r="K26" s="25">
        <v>0</v>
      </c>
      <c r="M26" s="42">
        <f>SUM(I26-J26+K26)</f>
        <v>-10167394.7</v>
      </c>
    </row>
    <row r="27" spans="1:13" ht="15">
      <c r="A27" s="22" t="s">
        <v>58</v>
      </c>
      <c r="B27" s="23"/>
      <c r="C27" s="23"/>
      <c r="D27" s="43">
        <f>SUM(D25:D26)</f>
        <v>17139445.680000015</v>
      </c>
      <c r="E27" s="43"/>
      <c r="F27" s="43">
        <f>SUM(F25:F26)</f>
        <v>614109.1699999992</v>
      </c>
      <c r="G27" s="44"/>
      <c r="H27" s="43">
        <f>SUM(H25:H26)</f>
        <v>5645.75</v>
      </c>
      <c r="I27" s="25">
        <f t="shared" si="0"/>
        <v>17759200.600000013</v>
      </c>
      <c r="J27" s="25"/>
      <c r="K27" s="25"/>
      <c r="M27" s="26">
        <f>SUM(M25:M26)</f>
        <v>17622069.67000001</v>
      </c>
    </row>
    <row r="28" spans="1:13" ht="15">
      <c r="A28" s="24" t="s">
        <v>59</v>
      </c>
      <c r="B28" s="24"/>
      <c r="C28" s="24"/>
      <c r="D28" s="41">
        <f>-2927512.52+79597.13</f>
        <v>-2847915.39</v>
      </c>
      <c r="E28" s="25"/>
      <c r="F28" s="41">
        <f>-479354.24+8617.43</f>
        <v>-470736.81</v>
      </c>
      <c r="G28" s="25"/>
      <c r="H28" s="41">
        <v>0</v>
      </c>
      <c r="I28" s="41">
        <f t="shared" si="0"/>
        <v>-3318652.2</v>
      </c>
      <c r="J28" s="25"/>
      <c r="K28" s="25"/>
      <c r="M28" s="42">
        <f>SUM(I28+J28-K28)</f>
        <v>-3318652.2</v>
      </c>
    </row>
    <row r="29" spans="1:13" ht="15">
      <c r="A29" s="22" t="s">
        <v>60</v>
      </c>
      <c r="B29" s="23"/>
      <c r="C29" s="23"/>
      <c r="D29" s="25">
        <f>SUM(D27:D28)</f>
        <v>14291530.290000014</v>
      </c>
      <c r="E29" s="25"/>
      <c r="F29" s="25">
        <f>SUM(F27:F28)</f>
        <v>143372.35999999923</v>
      </c>
      <c r="G29" s="25"/>
      <c r="H29" s="25">
        <f>SUM(H27:H28)</f>
        <v>5645.75</v>
      </c>
      <c r="I29" s="25">
        <f t="shared" si="0"/>
        <v>14440548.400000013</v>
      </c>
      <c r="J29" s="25"/>
      <c r="K29" s="25"/>
      <c r="M29" s="26">
        <f>SUM(M27:M28)</f>
        <v>14303417.47000001</v>
      </c>
    </row>
    <row r="30" spans="1:13" ht="15">
      <c r="A30" s="22" t="s">
        <v>61</v>
      </c>
      <c r="B30" s="23"/>
      <c r="C30" s="23"/>
      <c r="D30" s="41">
        <v>0</v>
      </c>
      <c r="E30" s="44"/>
      <c r="F30" s="41">
        <v>0</v>
      </c>
      <c r="G30" s="25"/>
      <c r="H30" s="41">
        <v>0</v>
      </c>
      <c r="I30" s="41">
        <f t="shared" si="0"/>
        <v>0</v>
      </c>
      <c r="J30" s="25"/>
      <c r="K30" s="25"/>
      <c r="M30" s="42">
        <f>SUM(I30-J30+K30)</f>
        <v>0</v>
      </c>
    </row>
    <row r="31" spans="1:13" ht="15">
      <c r="A31" s="22" t="s">
        <v>62</v>
      </c>
      <c r="B31" s="23"/>
      <c r="C31" s="23"/>
      <c r="D31" s="25">
        <f>SUM(D29:D30)</f>
        <v>14291530.290000014</v>
      </c>
      <c r="E31" s="25"/>
      <c r="F31" s="25">
        <f>SUM(F29:F30)</f>
        <v>143372.35999999923</v>
      </c>
      <c r="G31" s="25"/>
      <c r="H31" s="25">
        <f>SUM(H29:H30)</f>
        <v>5645.75</v>
      </c>
      <c r="I31" s="25">
        <f t="shared" si="0"/>
        <v>14440548.400000013</v>
      </c>
      <c r="J31" s="25"/>
      <c r="K31" s="25"/>
      <c r="M31" s="26">
        <f>SUM(M29:M30)</f>
        <v>14303417.47000001</v>
      </c>
    </row>
    <row r="32" spans="1:13" ht="15">
      <c r="A32" s="49" t="s">
        <v>28</v>
      </c>
      <c r="B32" s="23"/>
      <c r="C32" s="23"/>
      <c r="D32" s="25">
        <v>0</v>
      </c>
      <c r="E32" s="25"/>
      <c r="F32" s="25">
        <f>-55564+55564</f>
        <v>0</v>
      </c>
      <c r="G32" s="25"/>
      <c r="H32" s="25">
        <f>-55564+55564</f>
        <v>0</v>
      </c>
      <c r="I32" s="25">
        <f t="shared" si="0"/>
        <v>0</v>
      </c>
      <c r="J32" s="25"/>
      <c r="K32" s="25"/>
      <c r="M32" s="26">
        <f>I32-J32+K32</f>
        <v>0</v>
      </c>
    </row>
    <row r="33" spans="1:13" ht="15">
      <c r="A33" s="50" t="s">
        <v>63</v>
      </c>
      <c r="B33" s="24"/>
      <c r="C33" s="24"/>
      <c r="D33" s="25">
        <v>88731785.32</v>
      </c>
      <c r="E33" s="25"/>
      <c r="F33" s="25">
        <v>53429.48</v>
      </c>
      <c r="G33" s="25"/>
      <c r="H33" s="25">
        <v>0</v>
      </c>
      <c r="I33" s="25">
        <f t="shared" si="0"/>
        <v>88785214.8</v>
      </c>
      <c r="J33" s="25">
        <f>299486+182841.24+182841.24</f>
        <v>665168.48</v>
      </c>
      <c r="K33" s="25"/>
      <c r="M33" s="26">
        <f>I33-J33+K33</f>
        <v>88120046.32</v>
      </c>
    </row>
    <row r="34" spans="1:13" ht="15.75" thickBot="1">
      <c r="A34" s="24" t="s">
        <v>64</v>
      </c>
      <c r="B34" s="24"/>
      <c r="C34" s="24"/>
      <c r="D34" s="51">
        <f>SUM(D31:D33)</f>
        <v>103023315.61000001</v>
      </c>
      <c r="E34" s="44"/>
      <c r="F34" s="51">
        <f>SUM(F31:F33)</f>
        <v>196801.83999999924</v>
      </c>
      <c r="G34" s="25"/>
      <c r="H34" s="51">
        <f>SUM(H31:H33)</f>
        <v>5645.75</v>
      </c>
      <c r="I34" s="51">
        <f t="shared" si="0"/>
        <v>103225763.20000002</v>
      </c>
      <c r="J34" s="25"/>
      <c r="K34" s="25"/>
      <c r="M34" s="52">
        <f>SUM(M31:M33)</f>
        <v>102423463.79</v>
      </c>
    </row>
    <row r="35" spans="1:11" ht="15.75" thickTop="1">
      <c r="A35" s="24"/>
      <c r="B35" s="24"/>
      <c r="C35" s="24"/>
      <c r="D35" s="25"/>
      <c r="E35" s="25"/>
      <c r="F35" s="25"/>
      <c r="G35" s="25"/>
      <c r="H35" s="25"/>
      <c r="I35" s="25"/>
      <c r="J35" s="25"/>
      <c r="K35" s="25"/>
    </row>
    <row r="36" spans="1:11" ht="15">
      <c r="A36" s="53"/>
      <c r="B36" s="53"/>
      <c r="C36" s="53"/>
      <c r="D36" s="54"/>
      <c r="E36" s="54"/>
      <c r="F36" s="54"/>
      <c r="G36" s="54"/>
      <c r="H36" s="54"/>
      <c r="I36" s="54"/>
      <c r="J36" s="54"/>
      <c r="K36" s="54"/>
    </row>
  </sheetData>
  <printOptions/>
  <pageMargins left="0.35433070866141736" right="0" top="0.3937007874015748" bottom="0.3937007874015748" header="0.31496062992125984" footer="0.31496062992125984"/>
  <pageSetup horizontalDpi="180" verticalDpi="18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="90" zoomScaleNormal="90" workbookViewId="0" topLeftCell="D36">
      <selection activeCell="I49" sqref="I49"/>
    </sheetView>
  </sheetViews>
  <sheetFormatPr defaultColWidth="9.00390625" defaultRowHeight="15.75"/>
  <cols>
    <col min="1" max="1" width="36.75390625" style="0" customWidth="1"/>
    <col min="2" max="2" width="16.00390625" style="0" customWidth="1"/>
    <col min="3" max="3" width="17.25390625" style="0" customWidth="1"/>
    <col min="4" max="4" width="16.00390625" style="0" customWidth="1"/>
    <col min="5" max="5" width="15.375" style="0" customWidth="1"/>
    <col min="6" max="6" width="13.125" style="0" customWidth="1"/>
    <col min="7" max="7" width="14.00390625" style="0" customWidth="1"/>
    <col min="8" max="8" width="2.25390625" style="0" customWidth="1"/>
    <col min="9" max="9" width="15.375" style="0" customWidth="1"/>
  </cols>
  <sheetData>
    <row r="1" ht="15.75">
      <c r="A1" s="1" t="s">
        <v>0</v>
      </c>
    </row>
    <row r="2" ht="15.75">
      <c r="A2" s="2" t="s">
        <v>1</v>
      </c>
    </row>
    <row r="4" spans="2:9" ht="15.75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/>
      <c r="I4" s="3" t="s">
        <v>7</v>
      </c>
    </row>
    <row r="5" spans="2:9" ht="15.75">
      <c r="B5" s="6" t="s">
        <v>8</v>
      </c>
      <c r="C5" s="6" t="s">
        <v>8</v>
      </c>
      <c r="D5" s="6" t="s">
        <v>8</v>
      </c>
      <c r="E5" s="6" t="s">
        <v>8</v>
      </c>
      <c r="F5" s="6" t="s">
        <v>8</v>
      </c>
      <c r="G5" s="6" t="s">
        <v>8</v>
      </c>
      <c r="H5" s="6"/>
      <c r="I5" s="6" t="s">
        <v>8</v>
      </c>
    </row>
    <row r="6" spans="2:9" ht="15.75">
      <c r="B6" s="6"/>
      <c r="C6" s="6"/>
      <c r="D6" s="6"/>
      <c r="E6" s="7"/>
      <c r="F6" s="7" t="s">
        <v>9</v>
      </c>
      <c r="G6" s="8" t="s">
        <v>10</v>
      </c>
      <c r="H6" s="6"/>
      <c r="I6" s="6"/>
    </row>
    <row r="7" spans="1:12" ht="15.75">
      <c r="A7" s="1" t="s">
        <v>11</v>
      </c>
      <c r="B7" s="9">
        <v>88804191.51</v>
      </c>
      <c r="C7" s="9">
        <f>16869975.96-250003</f>
        <v>16619972.96</v>
      </c>
      <c r="D7" s="9">
        <v>0</v>
      </c>
      <c r="E7" s="9">
        <f>SUM(B7:D7)</f>
        <v>105424164.47</v>
      </c>
      <c r="F7" s="9">
        <v>3839666</v>
      </c>
      <c r="G7" s="9">
        <f>182841.24*2+45710.31+45710.31+45710.31</f>
        <v>502813.41</v>
      </c>
      <c r="H7" s="9"/>
      <c r="I7" s="9">
        <f>E7+F7-G7</f>
        <v>108761017.06</v>
      </c>
      <c r="J7" s="9"/>
      <c r="K7" s="9"/>
      <c r="L7" s="9"/>
    </row>
    <row r="8" spans="1:12" ht="15.75">
      <c r="A8" s="1" t="s">
        <v>12</v>
      </c>
      <c r="B8" s="9">
        <v>0</v>
      </c>
      <c r="C8" s="9">
        <v>0</v>
      </c>
      <c r="D8" s="9">
        <v>37315.67</v>
      </c>
      <c r="E8" s="9">
        <f>SUM(B8:D8)</f>
        <v>37315.67</v>
      </c>
      <c r="F8" s="9"/>
      <c r="G8" s="9"/>
      <c r="H8" s="9"/>
      <c r="I8" s="9">
        <f>E8+F8-G8</f>
        <v>37315.67</v>
      </c>
      <c r="J8" s="9"/>
      <c r="K8" s="9"/>
      <c r="L8" s="9"/>
    </row>
    <row r="9" spans="1:12" ht="15.7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.75">
      <c r="A10" s="1" t="s">
        <v>13</v>
      </c>
      <c r="B10" s="9">
        <v>10000000</v>
      </c>
      <c r="C10" s="9">
        <v>250003</v>
      </c>
      <c r="D10" s="9">
        <v>0</v>
      </c>
      <c r="E10" s="9">
        <f>SUM(B10:D10)</f>
        <v>10250003</v>
      </c>
      <c r="F10" s="9"/>
      <c r="G10" s="9">
        <f>SUM(E10)</f>
        <v>10250003</v>
      </c>
      <c r="H10" s="9"/>
      <c r="I10" s="9">
        <f>E10+F10-G10</f>
        <v>0</v>
      </c>
      <c r="J10" s="9"/>
      <c r="K10" s="9"/>
      <c r="L10" s="9"/>
    </row>
    <row r="11" spans="1:12" ht="15.75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11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10" t="s">
        <v>15</v>
      </c>
      <c r="B13" s="9">
        <v>30790424.79</v>
      </c>
      <c r="C13" s="9">
        <v>0</v>
      </c>
      <c r="D13" s="9">
        <v>0</v>
      </c>
      <c r="E13" s="9">
        <f aca="true" t="shared" si="0" ref="E13:E19">SUM(B13:D13)</f>
        <v>30790424.79</v>
      </c>
      <c r="F13" s="9"/>
      <c r="G13" s="9"/>
      <c r="H13" s="9"/>
      <c r="I13" s="9">
        <f aca="true" t="shared" si="1" ref="I13:I19">E13+F13-G13</f>
        <v>30790424.79</v>
      </c>
      <c r="J13" s="9"/>
      <c r="K13" s="9"/>
      <c r="L13" s="9"/>
    </row>
    <row r="14" spans="1:12" ht="15.75">
      <c r="A14" s="12" t="s">
        <v>16</v>
      </c>
      <c r="B14" s="9">
        <v>82968439</v>
      </c>
      <c r="C14" s="9">
        <v>0</v>
      </c>
      <c r="D14" s="9">
        <v>0</v>
      </c>
      <c r="E14" s="9">
        <f t="shared" si="0"/>
        <v>82968439</v>
      </c>
      <c r="F14" s="9"/>
      <c r="G14" s="9"/>
      <c r="H14" s="9"/>
      <c r="I14" s="9">
        <f t="shared" si="1"/>
        <v>82968439</v>
      </c>
      <c r="J14" s="9"/>
      <c r="K14" s="9"/>
      <c r="L14" s="9"/>
    </row>
    <row r="15" spans="1:12" ht="15.75">
      <c r="A15" s="10" t="s">
        <v>17</v>
      </c>
      <c r="B15" s="9">
        <v>11474094.07</v>
      </c>
      <c r="C15" s="9">
        <v>48701.82</v>
      </c>
      <c r="D15" s="9">
        <v>0</v>
      </c>
      <c r="E15" s="9">
        <f t="shared" si="0"/>
        <v>11522795.89</v>
      </c>
      <c r="F15" s="9">
        <v>150</v>
      </c>
      <c r="G15" s="9"/>
      <c r="H15" s="9"/>
      <c r="I15" s="9">
        <f t="shared" si="1"/>
        <v>11522945.89</v>
      </c>
      <c r="J15" s="9"/>
      <c r="K15" s="9"/>
      <c r="L15" s="9"/>
    </row>
    <row r="16" spans="1:12" ht="15.75">
      <c r="A16" s="10" t="s">
        <v>18</v>
      </c>
      <c r="B16" s="9">
        <v>2554027.82</v>
      </c>
      <c r="C16" s="9">
        <v>0</v>
      </c>
      <c r="D16" s="9">
        <f>29678.38+150000+5650</f>
        <v>185328.38</v>
      </c>
      <c r="E16" s="9">
        <f t="shared" si="0"/>
        <v>2739356.1999999997</v>
      </c>
      <c r="F16" s="9"/>
      <c r="G16" s="9">
        <f>E16</f>
        <v>2739356.1999999997</v>
      </c>
      <c r="H16" s="9"/>
      <c r="I16" s="9">
        <f t="shared" si="1"/>
        <v>0</v>
      </c>
      <c r="J16" s="9"/>
      <c r="K16" s="9"/>
      <c r="L16" s="9"/>
    </row>
    <row r="17" spans="1:12" ht="15.75">
      <c r="A17" s="10" t="s">
        <v>19</v>
      </c>
      <c r="B17" s="9">
        <v>0</v>
      </c>
      <c r="C17" s="9">
        <v>0</v>
      </c>
      <c r="D17" s="9">
        <v>0</v>
      </c>
      <c r="E17" s="9">
        <f t="shared" si="0"/>
        <v>0</v>
      </c>
      <c r="F17" s="9"/>
      <c r="G17" s="9"/>
      <c r="H17" s="9"/>
      <c r="I17" s="9">
        <f t="shared" si="1"/>
        <v>0</v>
      </c>
      <c r="J17" s="9"/>
      <c r="K17" s="9"/>
      <c r="L17" s="9"/>
    </row>
    <row r="18" spans="1:12" ht="15.75">
      <c r="A18" s="10" t="s">
        <v>20</v>
      </c>
      <c r="B18" s="9">
        <v>0</v>
      </c>
      <c r="C18" s="9">
        <v>0</v>
      </c>
      <c r="D18" s="9">
        <v>0</v>
      </c>
      <c r="E18" s="9">
        <f t="shared" si="0"/>
        <v>0</v>
      </c>
      <c r="F18" s="9"/>
      <c r="G18" s="9"/>
      <c r="H18" s="9"/>
      <c r="I18" s="9">
        <f t="shared" si="1"/>
        <v>0</v>
      </c>
      <c r="J18" s="9"/>
      <c r="K18" s="9"/>
      <c r="L18" s="9"/>
    </row>
    <row r="19" spans="1:12" ht="15.75">
      <c r="A19" s="10" t="s">
        <v>21</v>
      </c>
      <c r="B19" s="9">
        <v>79117.97</v>
      </c>
      <c r="C19" s="9">
        <v>258.61</v>
      </c>
      <c r="D19" s="9">
        <v>99903.5</v>
      </c>
      <c r="E19" s="9">
        <f t="shared" si="0"/>
        <v>179280.08000000002</v>
      </c>
      <c r="F19" s="9"/>
      <c r="G19" s="9"/>
      <c r="H19" s="9"/>
      <c r="I19" s="9">
        <f t="shared" si="1"/>
        <v>179280.08000000002</v>
      </c>
      <c r="J19" s="9"/>
      <c r="K19" s="9"/>
      <c r="L19" s="9"/>
    </row>
    <row r="20" spans="1:12" ht="16.5" thickBot="1">
      <c r="A20" s="10"/>
      <c r="B20" s="13">
        <f>SUM(B13:B19)</f>
        <v>127866103.64999998</v>
      </c>
      <c r="C20" s="13">
        <f>SUM(C13:C19)</f>
        <v>48960.43</v>
      </c>
      <c r="D20" s="13">
        <f>SUM(D13:D19)</f>
        <v>285231.88</v>
      </c>
      <c r="E20" s="13">
        <f>SUM(E13:E19)</f>
        <v>128200295.96</v>
      </c>
      <c r="F20" s="14"/>
      <c r="G20" s="14"/>
      <c r="H20" s="14"/>
      <c r="I20" s="13">
        <f>SUM(I13:I19)</f>
        <v>125461089.75999999</v>
      </c>
      <c r="J20" s="9"/>
      <c r="K20" s="9"/>
      <c r="L20" s="9"/>
    </row>
    <row r="21" spans="1:12" ht="16.5" thickTop="1">
      <c r="A21" s="15" t="s">
        <v>22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.75">
      <c r="A22" s="10" t="s">
        <v>23</v>
      </c>
      <c r="B22" s="9">
        <v>6353570.22</v>
      </c>
      <c r="C22" s="9">
        <v>57544.4</v>
      </c>
      <c r="D22" s="9">
        <v>0</v>
      </c>
      <c r="E22" s="9">
        <f aca="true" t="shared" si="2" ref="E22:E28">SUM(B22:D22)</f>
        <v>6411114.62</v>
      </c>
      <c r="F22" s="9"/>
      <c r="G22" s="9"/>
      <c r="H22" s="9"/>
      <c r="I22" s="9">
        <f aca="true" t="shared" si="3" ref="I22:I28">E22-F22+G22</f>
        <v>6411114.62</v>
      </c>
      <c r="J22" s="9"/>
      <c r="K22" s="9"/>
      <c r="L22" s="9"/>
    </row>
    <row r="23" spans="1:12" ht="15.75">
      <c r="A23" s="10" t="s">
        <v>24</v>
      </c>
      <c r="B23" s="9">
        <v>3065016.54</v>
      </c>
      <c r="C23" s="9">
        <v>67772.84</v>
      </c>
      <c r="D23" s="9">
        <v>66898.8</v>
      </c>
      <c r="E23" s="9">
        <f t="shared" si="2"/>
        <v>3199688.1799999997</v>
      </c>
      <c r="F23" s="9"/>
      <c r="G23" s="9">
        <v>150</v>
      </c>
      <c r="H23" s="9"/>
      <c r="I23" s="9">
        <f t="shared" si="3"/>
        <v>3199838.1799999997</v>
      </c>
      <c r="J23" s="9"/>
      <c r="K23" s="9"/>
      <c r="L23" s="9"/>
    </row>
    <row r="24" spans="1:12" ht="15.75">
      <c r="A24" s="10" t="s">
        <v>25</v>
      </c>
      <c r="B24" s="16">
        <v>959080.86</v>
      </c>
      <c r="C24" s="9">
        <v>0</v>
      </c>
      <c r="D24" s="9">
        <v>0</v>
      </c>
      <c r="E24" s="9">
        <f t="shared" si="2"/>
        <v>959080.86</v>
      </c>
      <c r="F24" s="9"/>
      <c r="G24" s="9"/>
      <c r="H24" s="9"/>
      <c r="I24" s="9">
        <f t="shared" si="3"/>
        <v>959080.86</v>
      </c>
      <c r="J24" s="9"/>
      <c r="K24" s="9"/>
      <c r="L24" s="9"/>
    </row>
    <row r="25" spans="1:12" ht="15.75">
      <c r="A25" s="10" t="s">
        <v>26</v>
      </c>
      <c r="B25" s="9">
        <v>26588000</v>
      </c>
      <c r="C25" s="9">
        <v>3420450</v>
      </c>
      <c r="D25" s="9">
        <v>0</v>
      </c>
      <c r="E25" s="9">
        <f t="shared" si="2"/>
        <v>30008450</v>
      </c>
      <c r="F25" s="9"/>
      <c r="G25" s="9"/>
      <c r="H25" s="9"/>
      <c r="I25" s="9">
        <f t="shared" si="3"/>
        <v>30008450</v>
      </c>
      <c r="J25" s="9"/>
      <c r="K25" s="9"/>
      <c r="L25" s="9"/>
    </row>
    <row r="26" spans="1:12" ht="15.75">
      <c r="A26" s="10" t="s">
        <v>27</v>
      </c>
      <c r="B26" s="9">
        <v>28311019.26</v>
      </c>
      <c r="C26" s="9">
        <v>4008779.11</v>
      </c>
      <c r="D26" s="9">
        <v>0</v>
      </c>
      <c r="E26" s="9">
        <f t="shared" si="2"/>
        <v>32319798.37</v>
      </c>
      <c r="F26" s="9"/>
      <c r="G26" s="9"/>
      <c r="H26" s="9"/>
      <c r="I26" s="9">
        <f t="shared" si="3"/>
        <v>32319798.37</v>
      </c>
      <c r="J26" s="9"/>
      <c r="K26" s="9"/>
      <c r="L26" s="9"/>
    </row>
    <row r="27" spans="1:12" ht="15.75">
      <c r="A27" s="10" t="s">
        <v>28</v>
      </c>
      <c r="B27" s="9">
        <v>0</v>
      </c>
      <c r="C27" s="9">
        <v>428232</v>
      </c>
      <c r="D27" s="9">
        <v>0</v>
      </c>
      <c r="E27" s="9">
        <f t="shared" si="2"/>
        <v>428232</v>
      </c>
      <c r="F27" s="9"/>
      <c r="G27" s="9"/>
      <c r="H27" s="9"/>
      <c r="I27" s="9">
        <f t="shared" si="3"/>
        <v>428232</v>
      </c>
      <c r="J27" s="9"/>
      <c r="K27" s="9"/>
      <c r="L27" s="9"/>
    </row>
    <row r="28" spans="1:12" ht="15.75">
      <c r="A28" s="10" t="s">
        <v>29</v>
      </c>
      <c r="B28" s="9">
        <v>0</v>
      </c>
      <c r="C28" s="9">
        <v>2739356.2</v>
      </c>
      <c r="D28" s="9">
        <v>0</v>
      </c>
      <c r="E28" s="9">
        <f t="shared" si="2"/>
        <v>2739356.2</v>
      </c>
      <c r="F28" s="9">
        <f>E28</f>
        <v>2739356.2</v>
      </c>
      <c r="G28" s="9"/>
      <c r="H28" s="9"/>
      <c r="I28" s="9">
        <f t="shared" si="3"/>
        <v>0</v>
      </c>
      <c r="J28" s="9"/>
      <c r="K28" s="9"/>
      <c r="L28" s="9"/>
    </row>
    <row r="29" spans="1:12" ht="16.5" thickBot="1">
      <c r="A29" s="10"/>
      <c r="B29" s="13">
        <f>SUM(B22:B28)</f>
        <v>65276686.879999995</v>
      </c>
      <c r="C29" s="13">
        <f>SUM(C22:C28)</f>
        <v>10722134.55</v>
      </c>
      <c r="D29" s="13">
        <f>SUM(D22:D28)</f>
        <v>66898.8</v>
      </c>
      <c r="E29" s="13">
        <f>SUM(E22:E28)</f>
        <v>76065720.23</v>
      </c>
      <c r="F29" s="14"/>
      <c r="G29" s="14"/>
      <c r="H29" s="14"/>
      <c r="I29" s="13">
        <f>SUM(I22:I28)</f>
        <v>73326514.03</v>
      </c>
      <c r="J29" s="9"/>
      <c r="K29" s="9"/>
      <c r="L29" s="9"/>
    </row>
    <row r="30" spans="1:12" ht="16.5" thickTop="1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.75">
      <c r="A31" s="10" t="s">
        <v>30</v>
      </c>
      <c r="B31" s="9">
        <f>B20-B29</f>
        <v>62589416.76999998</v>
      </c>
      <c r="C31" s="9">
        <f>C20-C29</f>
        <v>-10673174.120000001</v>
      </c>
      <c r="D31" s="9">
        <f>D20-D29</f>
        <v>218333.08000000002</v>
      </c>
      <c r="E31" s="9">
        <f>SUM(B31:D31)</f>
        <v>52134575.729999974</v>
      </c>
      <c r="F31" s="9"/>
      <c r="G31" s="9"/>
      <c r="H31" s="9"/>
      <c r="I31" s="9">
        <f>I20-I29</f>
        <v>52134575.72999999</v>
      </c>
      <c r="J31" s="9"/>
      <c r="K31" s="9"/>
      <c r="L31" s="9"/>
    </row>
    <row r="32" spans="1:12" ht="15.75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6.5" thickBot="1">
      <c r="A33" s="10"/>
      <c r="B33" s="17">
        <f>B31+B7+B10</f>
        <v>161393608.27999997</v>
      </c>
      <c r="C33" s="17">
        <f>C31+C7+C8+C10</f>
        <v>6196801.84</v>
      </c>
      <c r="D33" s="17">
        <f>D31+D7+D8+D10</f>
        <v>255648.75</v>
      </c>
      <c r="E33" s="17">
        <f>SUM(B33:D33)</f>
        <v>167846058.86999997</v>
      </c>
      <c r="F33" s="9"/>
      <c r="G33" s="9"/>
      <c r="H33" s="9"/>
      <c r="I33" s="17">
        <f>I31+I7+I8</f>
        <v>160932908.45999998</v>
      </c>
      <c r="J33" s="9"/>
      <c r="K33" s="9"/>
      <c r="L33" s="9"/>
    </row>
    <row r="34" spans="1:12" ht="16.5" thickTop="1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.75">
      <c r="A35" s="18" t="s">
        <v>31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.75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.75">
      <c r="A37" s="12" t="s">
        <v>32</v>
      </c>
      <c r="B37" s="9">
        <v>39000000</v>
      </c>
      <c r="C37" s="9">
        <f>6000000</f>
        <v>6000000</v>
      </c>
      <c r="D37" s="9">
        <v>250003</v>
      </c>
      <c r="E37" s="9">
        <f>SUM(B37:D37)</f>
        <v>45250003</v>
      </c>
      <c r="F37" s="9">
        <f>6100003+150000</f>
        <v>6250003</v>
      </c>
      <c r="G37" s="9"/>
      <c r="H37" s="9"/>
      <c r="I37" s="14">
        <f>E37-F37+G37</f>
        <v>39000000</v>
      </c>
      <c r="J37" s="9"/>
      <c r="K37" s="9"/>
      <c r="L37" s="9"/>
    </row>
    <row r="38" spans="1:12" ht="15.75">
      <c r="A38" s="10" t="s">
        <v>33</v>
      </c>
      <c r="B38" s="9">
        <f>18779877.48</f>
        <v>18779877.48</v>
      </c>
      <c r="C38" s="9">
        <v>0</v>
      </c>
      <c r="D38" s="9">
        <v>0</v>
      </c>
      <c r="E38" s="9">
        <f>SUM(B38:D38)</f>
        <v>18779877.48</v>
      </c>
      <c r="F38" s="9"/>
      <c r="G38" s="9"/>
      <c r="H38" s="9"/>
      <c r="I38" s="14">
        <f>E38-F38+G38</f>
        <v>18779877.48</v>
      </c>
      <c r="J38" s="9"/>
      <c r="K38" s="9"/>
      <c r="L38" s="9"/>
    </row>
    <row r="39" spans="1:12" ht="15.75">
      <c r="A39" s="10" t="s">
        <v>34</v>
      </c>
      <c r="B39" s="9">
        <v>0</v>
      </c>
      <c r="C39" s="9">
        <v>0</v>
      </c>
      <c r="D39" s="9">
        <v>0</v>
      </c>
      <c r="E39" s="9">
        <f>SUM(B39:D39)</f>
        <v>0</v>
      </c>
      <c r="F39" s="9"/>
      <c r="G39" s="9">
        <v>139152</v>
      </c>
      <c r="H39" s="9"/>
      <c r="I39" s="14">
        <f>E39-F39+G39</f>
        <v>139152</v>
      </c>
      <c r="J39" s="9"/>
      <c r="K39" s="9"/>
      <c r="L39" s="9"/>
    </row>
    <row r="40" spans="1:12" ht="15.75">
      <c r="A40" s="10" t="s">
        <v>35</v>
      </c>
      <c r="B40" s="14">
        <f>88731785.32+16472730.29-2181200</f>
        <v>103023315.60999998</v>
      </c>
      <c r="C40" s="14">
        <f>53429.48+143372.36</f>
        <v>196801.84</v>
      </c>
      <c r="D40" s="14">
        <v>5645.75</v>
      </c>
      <c r="E40" s="14">
        <f>SUM(B40:D40)</f>
        <v>103225763.19999999</v>
      </c>
      <c r="F40" s="9">
        <f>299486+182841.24+182841.24+45710.31+45710.31+45710.31</f>
        <v>802299.4100000001</v>
      </c>
      <c r="G40" s="9"/>
      <c r="H40" s="9"/>
      <c r="I40" s="14">
        <f>E40-F40+G40</f>
        <v>102423463.78999999</v>
      </c>
      <c r="J40" s="9"/>
      <c r="K40" s="9"/>
      <c r="L40" s="9"/>
    </row>
    <row r="41" spans="1:12" ht="15.75">
      <c r="A41" s="10"/>
      <c r="B41" s="19"/>
      <c r="C41" s="19"/>
      <c r="D41" s="19"/>
      <c r="E41" s="19"/>
      <c r="F41" s="9"/>
      <c r="G41" s="9"/>
      <c r="H41" s="9"/>
      <c r="I41" s="19"/>
      <c r="J41" s="9"/>
      <c r="K41" s="9"/>
      <c r="L41" s="9"/>
    </row>
    <row r="42" spans="1:12" ht="15.75">
      <c r="A42" s="10" t="s">
        <v>36</v>
      </c>
      <c r="B42" s="9">
        <f>SUM(B37:B40)</f>
        <v>160803193.08999997</v>
      </c>
      <c r="C42" s="9">
        <f>SUM(C37:C40)</f>
        <v>6196801.84</v>
      </c>
      <c r="D42" s="9">
        <f>SUM(D37:D40)</f>
        <v>255648.75</v>
      </c>
      <c r="E42" s="14">
        <f>SUM(B42:D42)</f>
        <v>167255643.67999998</v>
      </c>
      <c r="F42" s="9"/>
      <c r="G42" s="9"/>
      <c r="H42" s="9"/>
      <c r="I42" s="14">
        <f>SUM(I37:I40)</f>
        <v>160342493.26999998</v>
      </c>
      <c r="J42" s="9"/>
      <c r="K42" s="9"/>
      <c r="L42" s="9"/>
    </row>
    <row r="43" spans="1:12" ht="15.75">
      <c r="A43" s="10"/>
      <c r="B43" s="9"/>
      <c r="C43" s="9"/>
      <c r="D43" s="9"/>
      <c r="E43" s="9"/>
      <c r="F43" s="9"/>
      <c r="G43" s="9"/>
      <c r="H43" s="9"/>
      <c r="I43" s="14"/>
      <c r="J43" s="9"/>
      <c r="K43" s="9"/>
      <c r="L43" s="9"/>
    </row>
    <row r="44" spans="1:12" ht="15.75">
      <c r="A44" s="10" t="s">
        <v>37</v>
      </c>
      <c r="B44" s="20">
        <v>590415.19</v>
      </c>
      <c r="C44" s="21">
        <v>0</v>
      </c>
      <c r="D44" s="9">
        <v>0</v>
      </c>
      <c r="E44" s="19">
        <f>SUM(B44:D44)</f>
        <v>590415.19</v>
      </c>
      <c r="F44" s="9"/>
      <c r="G44" s="9"/>
      <c r="H44" s="9"/>
      <c r="I44" s="14">
        <f>E44-F44+G44</f>
        <v>590415.19</v>
      </c>
      <c r="J44" s="9"/>
      <c r="K44" s="9"/>
      <c r="L44" s="9"/>
    </row>
    <row r="45" spans="1:12" ht="16.5" thickBot="1">
      <c r="A45" s="10"/>
      <c r="B45" s="13">
        <f>SUM(B42:B44)</f>
        <v>161393608.27999997</v>
      </c>
      <c r="C45" s="13">
        <f>SUM(C42:C44)</f>
        <v>6196801.84</v>
      </c>
      <c r="D45" s="13">
        <f>SUM(D42:D44)</f>
        <v>255648.75</v>
      </c>
      <c r="E45" s="13">
        <f>SUM(B45:D45)</f>
        <v>167846058.86999997</v>
      </c>
      <c r="F45" s="9"/>
      <c r="G45" s="9"/>
      <c r="H45" s="9"/>
      <c r="I45" s="13">
        <f>SUM(I42:I44)</f>
        <v>160932908.45999998</v>
      </c>
      <c r="J45" s="9"/>
      <c r="K45" s="9"/>
      <c r="L45" s="9"/>
    </row>
    <row r="46" spans="1:12" ht="16.5" thickTop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.75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5.75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5.75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.75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.75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.75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.75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.75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.75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5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ht="15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5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</sheetData>
  <printOptions/>
  <pageMargins left="0.35433070866141736" right="0.35433070866141736" top="0.3937007874015748" bottom="0.3937007874015748" header="0.11811023622047245" footer="0.11811023622047245"/>
  <pageSetup horizontalDpi="180" verticalDpi="18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Account</cp:lastModifiedBy>
  <dcterms:created xsi:type="dcterms:W3CDTF">2000-11-24T12:57:11Z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