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3"/>
  </bookViews>
  <sheets>
    <sheet name="KLSEPL" sheetId="1" r:id="rId1"/>
    <sheet name="KLSEBS" sheetId="2" r:id="rId2"/>
    <sheet name="Equity" sheetId="3" r:id="rId3"/>
    <sheet name="Cashflow" sheetId="4" r:id="rId4"/>
  </sheets>
  <externalReferences>
    <externalReference r:id="rId7"/>
    <externalReference r:id="rId8"/>
  </externalReferences>
  <definedNames>
    <definedName name="_xlnm.Print_Area" localSheetId="2">'Equity'!$A$1:$G$28</definedName>
  </definedNames>
  <calcPr fullCalcOnLoad="1"/>
</workbook>
</file>

<file path=xl/sharedStrings.xml><?xml version="1.0" encoding="utf-8"?>
<sst xmlns="http://schemas.openxmlformats.org/spreadsheetml/2006/main" count="154" uniqueCount="119">
  <si>
    <t>Total</t>
  </si>
  <si>
    <t>Short term borrowings</t>
  </si>
  <si>
    <t>Bank overdrafts</t>
  </si>
  <si>
    <t>Term loans</t>
  </si>
  <si>
    <t>B. I. G. INDUSTRIES BERHAD (195285-D)</t>
  </si>
  <si>
    <t>(Incorporated in Malaysia)</t>
  </si>
  <si>
    <t>31 December 2002</t>
  </si>
  <si>
    <t>31 December 2001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</si>
  <si>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</si>
  <si>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</si>
  <si>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</si>
  <si>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</si>
  <si>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</si>
  <si>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Investment in subsidiary companies</t>
  </si>
  <si>
    <t>Investment in associated company</t>
  </si>
  <si>
    <t>Other investments</t>
  </si>
  <si>
    <t>Current assets</t>
  </si>
  <si>
    <t>Inventories</t>
  </si>
  <si>
    <t>Trade receivables</t>
  </si>
  <si>
    <t>Other receivables, deposits and Prepayments</t>
  </si>
  <si>
    <t>Amount due from related companies</t>
  </si>
  <si>
    <t>Fixed deposits with licensed banks</t>
  </si>
  <si>
    <t>Cash and bank balances</t>
  </si>
  <si>
    <t>Current liabilities</t>
  </si>
  <si>
    <t>Trade payables</t>
  </si>
  <si>
    <t>Other payables and accruals</t>
  </si>
  <si>
    <t>Lease payables</t>
  </si>
  <si>
    <t>Land premium payable</t>
  </si>
  <si>
    <t>Tax payable</t>
  </si>
  <si>
    <t>Net current liabilities</t>
  </si>
  <si>
    <t>Financed by :</t>
  </si>
  <si>
    <t>Share capital</t>
  </si>
  <si>
    <t>Reserves</t>
  </si>
  <si>
    <t>Shareholders' equity</t>
  </si>
  <si>
    <t>Long term and deferred liabilities</t>
  </si>
  <si>
    <t>Deferred taxation</t>
  </si>
  <si>
    <t>Net tangible assets per share (sen)</t>
  </si>
  <si>
    <t>3 months ended 31 December</t>
  </si>
  <si>
    <t>12 months ended 31 December</t>
  </si>
  <si>
    <t>2002</t>
  </si>
  <si>
    <t>2001</t>
  </si>
  <si>
    <t>RM'000</t>
  </si>
  <si>
    <t>Revenue</t>
  </si>
  <si>
    <t>Cost of Sales</t>
  </si>
  <si>
    <t>Gross Profit</t>
  </si>
  <si>
    <t>Administrative expenses</t>
  </si>
  <si>
    <t>Depreciation</t>
  </si>
  <si>
    <t>Other operating income</t>
  </si>
  <si>
    <t>Operating Profit</t>
  </si>
  <si>
    <t>Finance costs</t>
  </si>
  <si>
    <t>Share of results of associated company</t>
  </si>
  <si>
    <t>Profit before tax</t>
  </si>
  <si>
    <t>Tax expense</t>
  </si>
  <si>
    <t>Profit after taxation</t>
  </si>
  <si>
    <t>Minority interests</t>
  </si>
  <si>
    <t>Net profit for the period</t>
  </si>
  <si>
    <t>Basic earnings per ordinary share(sen)</t>
  </si>
  <si>
    <t>Diluted earnings per ordinary share(sen)</t>
  </si>
  <si>
    <t>Non-distributable</t>
  </si>
  <si>
    <t>Distributable</t>
  </si>
  <si>
    <t>Reserve</t>
  </si>
  <si>
    <t>Share</t>
  </si>
  <si>
    <t>arising on</t>
  </si>
  <si>
    <t>Capital</t>
  </si>
  <si>
    <t>Premium</t>
  </si>
  <si>
    <t>consolidation</t>
  </si>
  <si>
    <t>At 1 January 2002</t>
  </si>
  <si>
    <t>Dividends</t>
  </si>
  <si>
    <t>At 31 December 2002</t>
  </si>
  <si>
    <t>At 1 January 2001</t>
  </si>
  <si>
    <t>Cash flows from operating activities</t>
  </si>
  <si>
    <t>Operating profit before taxation</t>
  </si>
  <si>
    <t>Adjustments for :</t>
  </si>
  <si>
    <t>Amortisation of quarry development expenses</t>
  </si>
  <si>
    <t>Bad debts written off</t>
  </si>
  <si>
    <t>Depreciation of property, plant and equipment</t>
  </si>
  <si>
    <t>Dividend income</t>
  </si>
  <si>
    <t>Gain on disposal of property, plant and equipment</t>
  </si>
  <si>
    <t>Interest expense</t>
  </si>
  <si>
    <t>Provision for diminution in value</t>
  </si>
  <si>
    <t>Operating profit/(loss) before working capital changes</t>
  </si>
  <si>
    <t>Changes in working capital:</t>
  </si>
  <si>
    <t>Receivables</t>
  </si>
  <si>
    <t>Payables</t>
  </si>
  <si>
    <t>Cash generated from/(used in) operations</t>
  </si>
  <si>
    <t>Interest paid</t>
  </si>
  <si>
    <t>Interest received</t>
  </si>
  <si>
    <t>Taxation paid net of refund</t>
  </si>
  <si>
    <t>Net cash generated from/(used in) operating activities</t>
  </si>
  <si>
    <t>Cash flows from investing activities</t>
  </si>
  <si>
    <t>Increase in fixed deposits pledged</t>
  </si>
  <si>
    <t>Purchase of property, plant and equipment</t>
  </si>
  <si>
    <t>Proceeds from disposal of property, plant and equipment</t>
  </si>
  <si>
    <t>Net cash generated from/(used in) investing activities</t>
  </si>
  <si>
    <t>Cash flows from financing activities</t>
  </si>
  <si>
    <t>Net cash generated from/(used in) financing activities</t>
  </si>
  <si>
    <t>Net increase/(decrease) in cash and cash equivalents</t>
  </si>
  <si>
    <t>Cash and cash equivalents at beginning of year</t>
  </si>
  <si>
    <t>Cash and cash equivalents at end of period</t>
  </si>
  <si>
    <t>Cash and cash equivalents comprise:</t>
  </si>
  <si>
    <t>Net profit for the 12 months</t>
  </si>
  <si>
    <t>Prior year adjustment</t>
  </si>
  <si>
    <t>Proceeds from hire purchase creditors</t>
  </si>
  <si>
    <t>Payment of hire purchase Instalment</t>
  </si>
  <si>
    <t>Addition to quarry development expenditure</t>
  </si>
  <si>
    <t>Proceeds from revolving credits, bills payable and term loans</t>
  </si>
  <si>
    <t>Repayment of revolving credits, bills payable and term loans</t>
  </si>
  <si>
    <t>(The Condensed Consolidated Income Statement should be read in conjunction with the Annual Financial</t>
  </si>
  <si>
    <t xml:space="preserve">  Report for the year ended 31 December 2001)</t>
  </si>
  <si>
    <t>CONDENSED CONSOLIDATED INCOME STATEMENTS</t>
  </si>
  <si>
    <t xml:space="preserve">CONDENSED CONSOLIDATED BALANCE SHEET </t>
  </si>
  <si>
    <t>CONDENSED CONSOLIDATED STATEMENT OF CHANGES IN EQUITY</t>
  </si>
  <si>
    <t xml:space="preserve">  with the Annual Financial Report for the year ended 31 December 2001)</t>
  </si>
  <si>
    <t xml:space="preserve">(The Condensed Consolidated Statement of Changes in Equity should be read in conjunction </t>
  </si>
  <si>
    <t xml:space="preserve">  Financial Report for the year ended 31 December 2001)</t>
  </si>
  <si>
    <t>(The Condensed Consolidated Balance Sheet should be read in conjunction with the Annual</t>
  </si>
  <si>
    <t>CONDENSED CONSOLIDATED CASH FLOW STATEMENT</t>
  </si>
  <si>
    <t>(The Condensed Consolidated Cash Flow Statement should be read in conjunction</t>
  </si>
  <si>
    <t>For the twelve months ended 31 December 2002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</si>
</sst>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5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172" fontId="2" fillId="0" borderId="0" xfId="15" applyNumberFormat="1" applyFont="1" applyAlignment="1">
      <alignment/>
    </xf>
    <xf numFmtId="172" fontId="2" fillId="0" borderId="0" xfId="15" applyNumberFormat="1" applyFont="1" applyBorder="1" applyAlignment="1">
      <alignment/>
    </xf>
    <xf numFmtId="172" fontId="2" fillId="0" borderId="1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172" fontId="2" fillId="0" borderId="5" xfId="15" applyNumberFormat="1" applyFont="1" applyBorder="1" applyAlignment="1">
      <alignment/>
    </xf>
    <xf numFmtId="172" fontId="2" fillId="0" borderId="6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172" fontId="2" fillId="0" borderId="8" xfId="15" applyNumberFormat="1" applyFont="1" applyBorder="1" applyAlignment="1">
      <alignment/>
    </xf>
    <xf numFmtId="172" fontId="2" fillId="0" borderId="9" xfId="15" applyNumberFormat="1" applyFont="1" applyBorder="1" applyAlignment="1">
      <alignment/>
    </xf>
    <xf numFmtId="171" fontId="2" fillId="0" borderId="0" xfId="15" applyFont="1" applyAlignment="1">
      <alignment/>
    </xf>
    <xf numFmtId="171" fontId="2" fillId="0" borderId="0" xfId="15" applyFont="1" applyBorder="1" applyAlignment="1">
      <alignment/>
    </xf>
    <xf numFmtId="0" fontId="3" fillId="0" borderId="0" xfId="0" applyFont="1" applyAlignment="1">
      <alignment/>
    </xf>
    <xf numFmtId="171" fontId="3" fillId="0" borderId="0" xfId="15" applyNumberFormat="1" applyFont="1" applyAlignment="1">
      <alignment/>
    </xf>
    <xf numFmtId="172" fontId="2" fillId="0" borderId="0" xfId="15" applyNumberFormat="1" applyFont="1" applyAlignment="1">
      <alignment horizontal="left"/>
    </xf>
    <xf numFmtId="172" fontId="2" fillId="0" borderId="0" xfId="15" applyNumberFormat="1" applyFont="1" applyAlignment="1" quotePrefix="1">
      <alignment horizontal="centerContinuous"/>
    </xf>
    <xf numFmtId="172" fontId="2" fillId="0" borderId="0" xfId="15" applyNumberFormat="1" applyFont="1" applyAlignment="1">
      <alignment horizontal="centerContinuous"/>
    </xf>
    <xf numFmtId="172" fontId="2" fillId="0" borderId="0" xfId="15" applyNumberFormat="1" applyFont="1" applyAlignment="1" quotePrefix="1">
      <alignment horizontal="center"/>
    </xf>
    <xf numFmtId="172" fontId="2" fillId="0" borderId="0" xfId="15" applyNumberFormat="1" applyFont="1" applyAlignment="1">
      <alignment horizontal="center"/>
    </xf>
    <xf numFmtId="172" fontId="2" fillId="0" borderId="10" xfId="15" applyNumberFormat="1" applyFont="1" applyBorder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171" fontId="2" fillId="0" borderId="11" xfId="15" applyFont="1" applyBorder="1" applyAlignment="1">
      <alignment/>
    </xf>
    <xf numFmtId="172" fontId="2" fillId="0" borderId="11" xfId="15" applyNumberFormat="1" applyFont="1" applyBorder="1" applyAlignment="1">
      <alignment/>
    </xf>
    <xf numFmtId="172" fontId="1" fillId="0" borderId="0" xfId="15" applyNumberFormat="1" applyFont="1" applyAlignment="1">
      <alignment horizontal="left"/>
    </xf>
    <xf numFmtId="172" fontId="2" fillId="0" borderId="0" xfId="0" applyNumberFormat="1" applyFont="1" applyAlignment="1">
      <alignment/>
    </xf>
    <xf numFmtId="172" fontId="4" fillId="0" borderId="0" xfId="15" applyNumberFormat="1" applyFont="1" applyAlignment="1">
      <alignment horizontal="centerContinuous"/>
    </xf>
    <xf numFmtId="172" fontId="4" fillId="0" borderId="0" xfId="15" applyNumberFormat="1" applyFont="1" applyAlignment="1">
      <alignment horizontal="center"/>
    </xf>
    <xf numFmtId="172" fontId="4" fillId="0" borderId="0" xfId="15" applyNumberFormat="1" applyFont="1" applyAlignment="1">
      <alignment/>
    </xf>
    <xf numFmtId="172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2" fontId="3" fillId="0" borderId="9" xfId="15" applyNumberFormat="1" applyFont="1" applyBorder="1" applyAlignment="1">
      <alignment/>
    </xf>
    <xf numFmtId="172" fontId="2" fillId="0" borderId="12" xfId="15" applyNumberFormat="1" applyFont="1" applyBorder="1" applyAlignment="1">
      <alignment/>
    </xf>
    <xf numFmtId="172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IG%20CONSO\BIG%20Consol-122002(KLS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ansl\sec%20(saikuan\WINDOWS\TEMP\KLSE-0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raft audited PL"/>
      <sheetName val="PL"/>
      <sheetName val="Hyper"/>
      <sheetName val="BS"/>
      <sheetName val="Interco Tran"/>
      <sheetName val="CJE2001"/>
      <sheetName val="Segmental (1)"/>
      <sheetName val="Segmental Info"/>
      <sheetName val="KLSEPL(1)"/>
      <sheetName val="KLSEPL(2)"/>
      <sheetName val="KLSEBS"/>
      <sheetName val="equity"/>
      <sheetName val="Cashflow"/>
      <sheetName val="bank"/>
    </sheetNames>
    <sheetDataSet>
      <sheetData sheetId="0">
        <row r="31">
          <cell r="GT31">
            <v>47432667</v>
          </cell>
        </row>
        <row r="61">
          <cell r="GT61">
            <v>33052183</v>
          </cell>
        </row>
        <row r="66">
          <cell r="GT66">
            <v>379590</v>
          </cell>
        </row>
        <row r="71">
          <cell r="GT71">
            <v>5577174</v>
          </cell>
        </row>
        <row r="74">
          <cell r="GT74">
            <v>2032857</v>
          </cell>
        </row>
        <row r="75">
          <cell r="GT75">
            <v>4487080</v>
          </cell>
        </row>
        <row r="88">
          <cell r="GT88">
            <v>327672</v>
          </cell>
        </row>
      </sheetData>
      <sheetData sheetId="1">
        <row r="75">
          <cell r="GT75">
            <v>4487057</v>
          </cell>
        </row>
      </sheetData>
      <sheetData sheetId="3">
        <row r="9">
          <cell r="GJ9">
            <v>3307346</v>
          </cell>
        </row>
        <row r="10">
          <cell r="GJ10">
            <v>1994467</v>
          </cell>
        </row>
        <row r="11">
          <cell r="GJ11">
            <v>20346904</v>
          </cell>
        </row>
        <row r="12">
          <cell r="GJ12">
            <v>8474483</v>
          </cell>
        </row>
        <row r="14">
          <cell r="GJ14">
            <v>0</v>
          </cell>
        </row>
        <row r="15">
          <cell r="GJ15">
            <v>0</v>
          </cell>
        </row>
        <row r="16">
          <cell r="GJ16">
            <v>0</v>
          </cell>
        </row>
        <row r="17">
          <cell r="GJ17">
            <v>0</v>
          </cell>
        </row>
        <row r="18">
          <cell r="GJ18">
            <v>0</v>
          </cell>
        </row>
        <row r="19">
          <cell r="GJ19">
            <v>0</v>
          </cell>
        </row>
        <row r="20">
          <cell r="GJ20">
            <v>0</v>
          </cell>
        </row>
        <row r="21">
          <cell r="GJ21">
            <v>0</v>
          </cell>
        </row>
        <row r="22">
          <cell r="GJ22">
            <v>0</v>
          </cell>
        </row>
        <row r="23">
          <cell r="GJ23">
            <v>0</v>
          </cell>
        </row>
        <row r="24">
          <cell r="GJ24">
            <v>0</v>
          </cell>
        </row>
        <row r="25">
          <cell r="GJ25">
            <v>298476</v>
          </cell>
        </row>
        <row r="26">
          <cell r="GJ26">
            <v>462577</v>
          </cell>
        </row>
        <row r="31">
          <cell r="GJ31">
            <v>26118324</v>
          </cell>
        </row>
        <row r="32">
          <cell r="GJ32">
            <v>8248450</v>
          </cell>
        </row>
        <row r="33">
          <cell r="GJ33">
            <v>2625585</v>
          </cell>
        </row>
        <row r="34">
          <cell r="GJ34">
            <v>685696</v>
          </cell>
        </row>
        <row r="35">
          <cell r="GJ35">
            <v>527652</v>
          </cell>
        </row>
        <row r="44">
          <cell r="GJ44">
            <v>0</v>
          </cell>
        </row>
        <row r="45">
          <cell r="GJ45">
            <v>0</v>
          </cell>
        </row>
        <row r="47">
          <cell r="GJ47">
            <v>568</v>
          </cell>
        </row>
        <row r="52">
          <cell r="GJ52">
            <v>-4423702</v>
          </cell>
        </row>
        <row r="53">
          <cell r="GJ53">
            <v>-931892</v>
          </cell>
        </row>
        <row r="54">
          <cell r="GJ54">
            <v>47886014</v>
          </cell>
        </row>
        <row r="56">
          <cell r="GJ56">
            <v>-791700</v>
          </cell>
        </row>
        <row r="57">
          <cell r="GJ57">
            <v>-313185</v>
          </cell>
        </row>
        <row r="58">
          <cell r="GJ58">
            <v>1137403</v>
          </cell>
        </row>
        <row r="60">
          <cell r="GJ60">
            <v>30000</v>
          </cell>
        </row>
        <row r="61">
          <cell r="GJ61">
            <v>408263</v>
          </cell>
        </row>
        <row r="62">
          <cell r="GJ62">
            <v>0</v>
          </cell>
        </row>
        <row r="66">
          <cell r="GJ66">
            <v>19218000</v>
          </cell>
        </row>
        <row r="67">
          <cell r="GJ67">
            <v>1891113</v>
          </cell>
        </row>
        <row r="68">
          <cell r="GJ68">
            <v>2495422</v>
          </cell>
        </row>
        <row r="69">
          <cell r="GJ69">
            <v>16074644</v>
          </cell>
        </row>
      </sheetData>
      <sheetData sheetId="9">
        <row r="18">
          <cell r="E18">
            <v>-2032.857</v>
          </cell>
        </row>
        <row r="20">
          <cell r="E20">
            <v>2662.963000000005</v>
          </cell>
        </row>
        <row r="21">
          <cell r="E21">
            <v>-327.672</v>
          </cell>
        </row>
        <row r="24">
          <cell r="E24">
            <v>2335.291000000005</v>
          </cell>
          <cell r="F24">
            <v>2375</v>
          </cell>
        </row>
      </sheetData>
      <sheetData sheetId="10">
        <row r="10">
          <cell r="D10">
            <v>47886.014</v>
          </cell>
          <cell r="F10">
            <v>48794</v>
          </cell>
        </row>
        <row r="11">
          <cell r="D11">
            <v>1137.403</v>
          </cell>
          <cell r="F11">
            <v>1036</v>
          </cell>
        </row>
        <row r="18">
          <cell r="D18">
            <v>5301.813</v>
          </cell>
          <cell r="F18">
            <v>4636</v>
          </cell>
        </row>
        <row r="19">
          <cell r="D19">
            <v>20346.904</v>
          </cell>
          <cell r="F19">
            <v>21178</v>
          </cell>
        </row>
        <row r="20">
          <cell r="D20">
            <v>8474.483</v>
          </cell>
          <cell r="F20">
            <v>8013</v>
          </cell>
        </row>
        <row r="21">
          <cell r="D21">
            <v>0</v>
          </cell>
          <cell r="F21">
            <v>111</v>
          </cell>
        </row>
        <row r="22">
          <cell r="D22">
            <v>298.476</v>
          </cell>
          <cell r="F22">
            <v>196</v>
          </cell>
        </row>
        <row r="23">
          <cell r="D23">
            <v>462.577</v>
          </cell>
          <cell r="F23">
            <v>773</v>
          </cell>
        </row>
        <row r="28">
          <cell r="D28">
            <v>8248.45</v>
          </cell>
          <cell r="F28">
            <v>9028</v>
          </cell>
        </row>
        <row r="29">
          <cell r="D29">
            <v>2625.585</v>
          </cell>
          <cell r="F29">
            <v>3886</v>
          </cell>
        </row>
        <row r="31">
          <cell r="D31">
            <v>685.696</v>
          </cell>
          <cell r="F31">
            <v>886</v>
          </cell>
        </row>
        <row r="32">
          <cell r="D32">
            <v>0.568</v>
          </cell>
          <cell r="F32">
            <v>24</v>
          </cell>
        </row>
        <row r="46">
          <cell r="D46">
            <v>313.185</v>
          </cell>
          <cell r="F46">
            <v>627</v>
          </cell>
        </row>
        <row r="48">
          <cell r="D48">
            <v>791.7</v>
          </cell>
          <cell r="F48">
            <v>479</v>
          </cell>
        </row>
      </sheetData>
      <sheetData sheetId="12">
        <row r="13">
          <cell r="C13">
            <v>63.653</v>
          </cell>
        </row>
        <row r="15">
          <cell r="C15">
            <v>4423.404</v>
          </cell>
        </row>
      </sheetData>
      <sheetData sheetId="13">
        <row r="9">
          <cell r="J9">
            <v>9853761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MS"/>
      <sheetName val="PL"/>
      <sheetName val="BS"/>
      <sheetName val="Equity"/>
      <sheetName val="CF"/>
    </sheetNames>
    <sheetDataSet>
      <sheetData sheetId="1">
        <row r="11">
          <cell r="E11">
            <v>34894.043</v>
          </cell>
          <cell r="F11">
            <v>34185.616</v>
          </cell>
        </row>
        <row r="12">
          <cell r="E12">
            <v>-24517.192</v>
          </cell>
          <cell r="F12">
            <v>-23997.908</v>
          </cell>
        </row>
        <row r="14">
          <cell r="E14">
            <v>-3961.158</v>
          </cell>
          <cell r="F14">
            <v>-3848</v>
          </cell>
        </row>
        <row r="15">
          <cell r="E15">
            <v>-3319.347</v>
          </cell>
          <cell r="F15">
            <v>-3465.42</v>
          </cell>
        </row>
        <row r="16">
          <cell r="E16">
            <v>184.356</v>
          </cell>
          <cell r="F16">
            <v>257.196</v>
          </cell>
        </row>
        <row r="18">
          <cell r="E18">
            <v>-1481.404</v>
          </cell>
          <cell r="F18">
            <v>-1632.223</v>
          </cell>
        </row>
        <row r="20">
          <cell r="E20">
            <v>-6.794880000000001</v>
          </cell>
          <cell r="F20">
            <v>-18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workbookViewId="0" topLeftCell="A1">
      <selection activeCell="A12" sqref="A12"/>
    </sheetView>
  </sheetViews>
  <sheetFormatPr defaultColWidth="9.140625" defaultRowHeight="12.75"/>
  <cols>
    <col min="1" max="1" width="38.57421875" style="3" customWidth="1"/>
    <col min="2" max="2" width="15.57421875" style="8" customWidth="1"/>
    <col min="3" max="3" width="15.28125" style="8" customWidth="1"/>
    <col min="4" max="4" width="4.57421875" style="8" customWidth="1"/>
    <col min="5" max="5" width="16.7109375" style="8" customWidth="1"/>
    <col min="6" max="6" width="15.57421875" style="8" customWidth="1"/>
    <col min="7" max="16384" width="9.140625" style="3" customWidth="1"/>
  </cols>
  <sheetData>
    <row r="1" spans="1:6" s="2" customFormat="1" ht="15">
      <c r="A1" s="42" t="s">
        <v>4</v>
      </c>
      <c r="B1" s="42"/>
      <c r="C1" s="42"/>
      <c r="D1" s="42"/>
      <c r="E1" s="42"/>
      <c r="F1" s="42"/>
    </row>
    <row r="2" spans="1:6" s="2" customFormat="1" ht="15">
      <c r="A2" s="43" t="s">
        <v>5</v>
      </c>
      <c r="B2" s="43"/>
      <c r="C2" s="43"/>
      <c r="D2" s="43"/>
      <c r="E2" s="43"/>
      <c r="F2" s="43"/>
    </row>
    <row r="3" spans="1:6" s="2" customFormat="1" ht="15">
      <c r="A3" s="42" t="s">
        <v>109</v>
      </c>
      <c r="B3" s="42"/>
      <c r="C3" s="42"/>
      <c r="D3" s="42"/>
      <c r="E3" s="42"/>
      <c r="F3" s="42"/>
    </row>
    <row r="4" spans="1:6" ht="15">
      <c r="A4" s="2" t="s">
        <v>118</v>
      </c>
      <c r="B4" s="23"/>
      <c r="C4" s="23"/>
      <c r="D4" s="23"/>
      <c r="E4" s="23"/>
      <c r="F4" s="23"/>
    </row>
    <row r="5" ht="15">
      <c r="A5" s="2"/>
    </row>
    <row r="6" spans="2:6" ht="15">
      <c r="B6" s="24" t="s">
        <v>37</v>
      </c>
      <c r="C6" s="25"/>
      <c r="E6" s="24" t="s">
        <v>38</v>
      </c>
      <c r="F6" s="25"/>
    </row>
    <row r="7" spans="2:6" ht="15">
      <c r="B7" s="26" t="s">
        <v>39</v>
      </c>
      <c r="C7" s="26" t="s">
        <v>40</v>
      </c>
      <c r="D7" s="27"/>
      <c r="E7" s="26" t="s">
        <v>39</v>
      </c>
      <c r="F7" s="26" t="s">
        <v>40</v>
      </c>
    </row>
    <row r="8" spans="2:6" ht="15.75" thickBot="1">
      <c r="B8" s="28" t="s">
        <v>41</v>
      </c>
      <c r="C8" s="28" t="s">
        <v>41</v>
      </c>
      <c r="E8" s="28" t="s">
        <v>41</v>
      </c>
      <c r="F8" s="28" t="s">
        <v>41</v>
      </c>
    </row>
    <row r="9" spans="2:6" ht="15">
      <c r="B9" s="29"/>
      <c r="C9" s="29"/>
      <c r="E9" s="29"/>
      <c r="F9" s="29"/>
    </row>
    <row r="11" spans="1:6" ht="15">
      <c r="A11" s="7" t="s">
        <v>42</v>
      </c>
      <c r="B11" s="8">
        <f>+E11-'[2]PL'!$E$11</f>
        <v>12538.624000000003</v>
      </c>
      <c r="C11" s="8">
        <f>+F11-'[2]PL'!$F$11</f>
        <v>17978.384</v>
      </c>
      <c r="E11" s="8">
        <f>+'[1]Draft audited PL'!GT31/1000</f>
        <v>47432.667</v>
      </c>
      <c r="F11" s="8">
        <v>52164</v>
      </c>
    </row>
    <row r="12" spans="1:6" ht="15">
      <c r="A12" s="3" t="s">
        <v>43</v>
      </c>
      <c r="B12" s="17">
        <f>+E12-'[2]PL'!$E$12</f>
        <v>-8534.990999999998</v>
      </c>
      <c r="C12" s="17">
        <f>+F12-'[2]PL'!$F$12</f>
        <v>-13644.092</v>
      </c>
      <c r="E12" s="17">
        <f>-'[1]Draft audited PL'!GT61/1000</f>
        <v>-33052.183</v>
      </c>
      <c r="F12" s="17">
        <f>-37860+218</f>
        <v>-37642</v>
      </c>
    </row>
    <row r="13" spans="1:6" ht="15">
      <c r="A13" s="7" t="s">
        <v>44</v>
      </c>
      <c r="B13" s="8">
        <f>+B11+B12</f>
        <v>4003.6330000000053</v>
      </c>
      <c r="C13" s="8">
        <f>+C11+C12</f>
        <v>4334.291999999998</v>
      </c>
      <c r="E13" s="8">
        <f>+E11+E12</f>
        <v>14380.484000000004</v>
      </c>
      <c r="F13" s="8">
        <f>+F11+F12</f>
        <v>14522</v>
      </c>
    </row>
    <row r="14" spans="1:6" ht="15">
      <c r="A14" s="3" t="s">
        <v>45</v>
      </c>
      <c r="B14" s="8">
        <f>+E14-'[2]PL'!$E$14</f>
        <v>-1616.016</v>
      </c>
      <c r="C14" s="8">
        <f>+F14-'[2]PL'!$F$14</f>
        <v>-1832</v>
      </c>
      <c r="E14" s="8">
        <f>-'[1]Draft audited PL'!GT71/1000</f>
        <v>-5577.174</v>
      </c>
      <c r="F14" s="8">
        <v>-5680</v>
      </c>
    </row>
    <row r="15" spans="1:6" ht="15">
      <c r="A15" s="3" t="s">
        <v>46</v>
      </c>
      <c r="B15" s="8">
        <f>+E15-'[2]PL'!$E$15</f>
        <v>-1167.7329999999997</v>
      </c>
      <c r="C15" s="8">
        <f>+F15-'[2]PL'!$F$15</f>
        <v>-1144.58</v>
      </c>
      <c r="E15" s="8">
        <f>-'[1]Draft audited PL'!GT75/1000</f>
        <v>-4487.08</v>
      </c>
      <c r="F15" s="8">
        <v>-4610</v>
      </c>
    </row>
    <row r="16" spans="1:6" ht="15">
      <c r="A16" s="3" t="s">
        <v>47</v>
      </c>
      <c r="B16" s="17">
        <f>+E16-'[2]PL'!$E$16+1</f>
        <v>196.23399999999998</v>
      </c>
      <c r="C16" s="17">
        <f>+F16-'[2]PL'!$F$16</f>
        <v>404.804</v>
      </c>
      <c r="E16" s="17">
        <f>+'[1]Draft audited PL'!GT66/1000</f>
        <v>379.59</v>
      </c>
      <c r="F16" s="17">
        <v>662</v>
      </c>
    </row>
    <row r="17" spans="1:6" ht="15">
      <c r="A17" s="7" t="s">
        <v>48</v>
      </c>
      <c r="B17" s="8">
        <f>SUM(B13:B16)</f>
        <v>1416.1180000000054</v>
      </c>
      <c r="C17" s="8">
        <f>SUM(C13:C16)-1</f>
        <v>1761.5159999999978</v>
      </c>
      <c r="E17" s="8">
        <f>SUM(E13:E16)</f>
        <v>4695.820000000005</v>
      </c>
      <c r="F17" s="8">
        <f>SUM(F13:F16)</f>
        <v>4894</v>
      </c>
    </row>
    <row r="18" spans="1:6" ht="15">
      <c r="A18" s="3" t="s">
        <v>49</v>
      </c>
      <c r="B18" s="9">
        <f>+E18-'[2]PL'!$E$18</f>
        <v>-551.453</v>
      </c>
      <c r="C18" s="9">
        <f>+F18-'[2]PL'!$F$18</f>
        <v>-820.777</v>
      </c>
      <c r="D18" s="9"/>
      <c r="E18" s="9">
        <f>-'[1]Draft audited PL'!GT74/1000</f>
        <v>-2032.857</v>
      </c>
      <c r="F18" s="9">
        <v>-2453</v>
      </c>
    </row>
    <row r="19" spans="1:6" ht="15">
      <c r="A19" s="3" t="s">
        <v>50</v>
      </c>
      <c r="B19" s="17"/>
      <c r="C19" s="17">
        <f>+F19-'[2]PL'!$F$22</f>
        <v>0</v>
      </c>
      <c r="E19" s="17"/>
      <c r="F19" s="17"/>
    </row>
    <row r="20" spans="1:6" ht="15">
      <c r="A20" s="7" t="s">
        <v>51</v>
      </c>
      <c r="B20" s="8">
        <f>+B17+B18+B19-1</f>
        <v>863.6650000000054</v>
      </c>
      <c r="C20" s="8">
        <f>+C17+C18+C19</f>
        <v>940.7389999999978</v>
      </c>
      <c r="E20" s="8">
        <f>+E17+E18+E19</f>
        <v>2662.963000000005</v>
      </c>
      <c r="F20" s="8">
        <f>+F17+F18+F19</f>
        <v>2441</v>
      </c>
    </row>
    <row r="21" spans="1:6" ht="15">
      <c r="A21" s="3" t="s">
        <v>52</v>
      </c>
      <c r="B21" s="17">
        <f>+E21-'[2]PL'!$E$20</f>
        <v>-320.87712000000005</v>
      </c>
      <c r="C21" s="17">
        <f>+F21-'[2]PL'!$F$20</f>
        <v>-48</v>
      </c>
      <c r="E21" s="17">
        <f>-'[1]Draft audited PL'!GT88/1000</f>
        <v>-327.672</v>
      </c>
      <c r="F21" s="17">
        <v>-66</v>
      </c>
    </row>
    <row r="22" spans="1:6" ht="15">
      <c r="A22" s="7" t="s">
        <v>53</v>
      </c>
      <c r="B22" s="8">
        <f>+B20+B21</f>
        <v>542.7878800000053</v>
      </c>
      <c r="C22" s="8">
        <f>+C20+C21</f>
        <v>892.7389999999978</v>
      </c>
      <c r="E22" s="8">
        <f>+E20+E21</f>
        <v>2335.291000000005</v>
      </c>
      <c r="F22" s="8">
        <f>+F20+F21</f>
        <v>2375</v>
      </c>
    </row>
    <row r="23" spans="1:6" ht="15">
      <c r="A23" s="3" t="s">
        <v>54</v>
      </c>
      <c r="F23" s="8">
        <v>0</v>
      </c>
    </row>
    <row r="24" spans="1:6" ht="15.75" thickBot="1">
      <c r="A24" s="7" t="s">
        <v>55</v>
      </c>
      <c r="B24" s="18">
        <f>+B22+B23</f>
        <v>542.7878800000053</v>
      </c>
      <c r="C24" s="18">
        <f>+C22+C23</f>
        <v>892.7389999999978</v>
      </c>
      <c r="E24" s="18">
        <f>+E22+E23</f>
        <v>2335.291000000005</v>
      </c>
      <c r="F24" s="18">
        <f>+F22+F23</f>
        <v>2375</v>
      </c>
    </row>
    <row r="25" ht="15.75" thickTop="1"/>
    <row r="26" spans="5:6" ht="15">
      <c r="E26" s="9"/>
      <c r="F26" s="9"/>
    </row>
    <row r="27" spans="1:6" ht="15.75" thickBot="1">
      <c r="A27" s="3" t="s">
        <v>56</v>
      </c>
      <c r="B27" s="30">
        <f>+B24/19218*100</f>
        <v>2.824372359246567</v>
      </c>
      <c r="C27" s="30">
        <f>+C24/19218*100</f>
        <v>4.645327297325412</v>
      </c>
      <c r="E27" s="30">
        <f>+E24/19218*100</f>
        <v>12.15158185034866</v>
      </c>
      <c r="F27" s="30">
        <f>+F24/19218*100</f>
        <v>12.358205848683527</v>
      </c>
    </row>
    <row r="28" ht="15.75" thickTop="1"/>
    <row r="30" spans="1:6" ht="15.75" thickBot="1">
      <c r="A30" s="3" t="s">
        <v>57</v>
      </c>
      <c r="B30" s="31"/>
      <c r="C30" s="31"/>
      <c r="E30" s="31"/>
      <c r="F30" s="31"/>
    </row>
    <row r="31" ht="15.75" thickTop="1"/>
    <row r="32" ht="15">
      <c r="A32" s="7" t="s">
        <v>107</v>
      </c>
    </row>
    <row r="33" ht="15">
      <c r="A33" s="7" t="s">
        <v>108</v>
      </c>
    </row>
  </sheetData>
  <mergeCells count="3">
    <mergeCell ref="A1:F1"/>
    <mergeCell ref="A2:F2"/>
    <mergeCell ref="A3:F3"/>
  </mergeCells>
  <printOptions/>
  <pageMargins left="0.75" right="0.75" top="0.56" bottom="0.54" header="0.5" footer="0.5"/>
  <pageSetup fitToHeight="1" fitToWidth="1" horizontalDpi="360" verticalDpi="36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workbookViewId="0" topLeftCell="A1">
      <selection activeCell="B15" sqref="B15"/>
    </sheetView>
  </sheetViews>
  <sheetFormatPr defaultColWidth="9.140625" defaultRowHeight="12.75"/>
  <cols>
    <col min="1" max="1" width="3.8515625" style="3" customWidth="1"/>
    <col min="2" max="2" width="44.140625" style="3" customWidth="1"/>
    <col min="3" max="3" width="4.8515625" style="3" customWidth="1"/>
    <col min="4" max="4" width="19.57421875" style="3" customWidth="1"/>
    <col min="5" max="5" width="4.57421875" style="3" customWidth="1"/>
    <col min="6" max="6" width="19.8515625" style="3" customWidth="1"/>
    <col min="7" max="7" width="2.7109375" style="3" customWidth="1"/>
    <col min="8" max="8" width="7.57421875" style="3" hidden="1" customWidth="1"/>
    <col min="9" max="16384" width="9.140625" style="3" customWidth="1"/>
  </cols>
  <sheetData>
    <row r="1" spans="1:8" s="2" customFormat="1" ht="15">
      <c r="A1" s="42" t="s">
        <v>4</v>
      </c>
      <c r="B1" s="42"/>
      <c r="C1" s="42"/>
      <c r="D1" s="42"/>
      <c r="E1" s="42"/>
      <c r="F1" s="42"/>
      <c r="G1" s="42"/>
      <c r="H1" s="42"/>
    </row>
    <row r="2" spans="1:8" s="2" customFormat="1" ht="15">
      <c r="A2" s="43" t="s">
        <v>5</v>
      </c>
      <c r="B2" s="43"/>
      <c r="C2" s="43"/>
      <c r="D2" s="43"/>
      <c r="E2" s="43"/>
      <c r="F2" s="43"/>
      <c r="G2" s="43"/>
      <c r="H2" s="43"/>
    </row>
    <row r="3" spans="1:8" s="2" customFormat="1" ht="15">
      <c r="A3" s="42" t="s">
        <v>110</v>
      </c>
      <c r="B3" s="42"/>
      <c r="C3" s="42"/>
      <c r="D3" s="42"/>
      <c r="E3" s="42"/>
      <c r="F3" s="42"/>
      <c r="G3" s="42"/>
      <c r="H3" s="42"/>
    </row>
    <row r="4" ht="15">
      <c r="A4" s="2" t="s">
        <v>118</v>
      </c>
    </row>
    <row r="5" ht="15">
      <c r="A5" s="2"/>
    </row>
    <row r="6" spans="4:8" ht="23.25" customHeight="1">
      <c r="D6" s="4" t="s">
        <v>6</v>
      </c>
      <c r="E6" s="5"/>
      <c r="F6" s="4" t="s">
        <v>7</v>
      </c>
      <c r="H6" s="5" t="s">
        <v>8</v>
      </c>
    </row>
    <row r="7" spans="4:8" ht="15">
      <c r="D7" s="6" t="s">
        <v>9</v>
      </c>
      <c r="E7" s="6"/>
      <c r="F7" s="6" t="s">
        <v>9</v>
      </c>
      <c r="H7" s="6" t="s">
        <v>9</v>
      </c>
    </row>
    <row r="8" spans="4:8" ht="15">
      <c r="D8" s="6"/>
      <c r="E8" s="6"/>
      <c r="F8" s="6"/>
      <c r="H8" s="6"/>
    </row>
    <row r="9" ht="15">
      <c r="B9" s="7" t="s">
        <v>10</v>
      </c>
    </row>
    <row r="10" spans="2:8" ht="15">
      <c r="B10" s="3" t="s">
        <v>11</v>
      </c>
      <c r="D10" s="8">
        <f>+'[1]BS'!GJ54/1000</f>
        <v>47886.014</v>
      </c>
      <c r="E10" s="8"/>
      <c r="F10" s="8">
        <v>48794</v>
      </c>
      <c r="H10" s="8">
        <v>52023</v>
      </c>
    </row>
    <row r="11" spans="2:8" ht="15">
      <c r="B11" s="3" t="s">
        <v>12</v>
      </c>
      <c r="D11" s="8">
        <f>+'[1]BS'!GJ58/1000</f>
        <v>1137.403</v>
      </c>
      <c r="E11" s="8"/>
      <c r="F11" s="8">
        <v>1036</v>
      </c>
      <c r="H11" s="8"/>
    </row>
    <row r="12" spans="2:8" ht="15">
      <c r="B12" s="3" t="s">
        <v>13</v>
      </c>
      <c r="D12" s="8">
        <f>+'[1]BS'!GJ62/1000</f>
        <v>0</v>
      </c>
      <c r="E12" s="8"/>
      <c r="F12" s="8">
        <v>0</v>
      </c>
      <c r="H12" s="8">
        <v>0</v>
      </c>
    </row>
    <row r="13" spans="2:8" ht="15">
      <c r="B13" s="3" t="s">
        <v>14</v>
      </c>
      <c r="D13" s="8">
        <f>+'[1]BS'!GJ60/1000</f>
        <v>30</v>
      </c>
      <c r="E13" s="8"/>
      <c r="F13" s="8">
        <v>30</v>
      </c>
      <c r="H13" s="8">
        <v>0</v>
      </c>
    </row>
    <row r="14" spans="2:8" ht="15">
      <c r="B14" s="3" t="s">
        <v>15</v>
      </c>
      <c r="D14" s="8">
        <f>+'[1]BS'!GJ61/1000</f>
        <v>408.263</v>
      </c>
      <c r="E14" s="8"/>
      <c r="F14" s="8">
        <v>688</v>
      </c>
      <c r="H14" s="8">
        <v>1150</v>
      </c>
    </row>
    <row r="16" spans="4:6" ht="15">
      <c r="D16" s="8"/>
      <c r="E16" s="8"/>
      <c r="F16" s="8"/>
    </row>
    <row r="17" spans="2:6" ht="15">
      <c r="B17" s="7" t="s">
        <v>16</v>
      </c>
      <c r="D17" s="8"/>
      <c r="E17" s="9"/>
      <c r="F17" s="8"/>
    </row>
    <row r="18" spans="2:8" ht="15">
      <c r="B18" s="3" t="s">
        <v>17</v>
      </c>
      <c r="D18" s="10">
        <f>+'[1]BS'!GJ9/1000+'[1]BS'!GJ10/1000</f>
        <v>5301.813</v>
      </c>
      <c r="E18" s="11"/>
      <c r="F18" s="10">
        <v>4636</v>
      </c>
      <c r="H18" s="10">
        <v>2931</v>
      </c>
    </row>
    <row r="19" spans="2:8" ht="15">
      <c r="B19" s="3" t="s">
        <v>18</v>
      </c>
      <c r="D19" s="11">
        <f>+'[1]BS'!GJ11/1000</f>
        <v>20346.904</v>
      </c>
      <c r="E19" s="11"/>
      <c r="F19" s="11">
        <v>21178</v>
      </c>
      <c r="H19" s="11">
        <v>13758</v>
      </c>
    </row>
    <row r="20" spans="2:8" ht="15">
      <c r="B20" s="3" t="s">
        <v>19</v>
      </c>
      <c r="D20" s="11">
        <f>+'[1]BS'!GJ12/1000</f>
        <v>8474.483</v>
      </c>
      <c r="E20" s="11"/>
      <c r="F20" s="11">
        <v>8013</v>
      </c>
      <c r="H20" s="11">
        <v>1793</v>
      </c>
    </row>
    <row r="21" spans="2:8" ht="15">
      <c r="B21" s="3" t="s">
        <v>20</v>
      </c>
      <c r="D21" s="11">
        <f>(+'[1]BS'!GJ14+'[1]BS'!GJ15+'[1]BS'!GJ16+'[1]BS'!GJ17+'[1]BS'!GJ18+'[1]BS'!GJ19+'[1]BS'!GJ20+'[1]BS'!GJ21+'[1]BS'!GJ22+'[1]BS'!GJ23+'[1]BS'!GJ24)/1000</f>
        <v>0</v>
      </c>
      <c r="E21" s="11"/>
      <c r="F21" s="11">
        <v>111</v>
      </c>
      <c r="H21" s="11">
        <v>200</v>
      </c>
    </row>
    <row r="22" spans="2:8" ht="15">
      <c r="B22" s="3" t="s">
        <v>21</v>
      </c>
      <c r="D22" s="11">
        <f>+'[1]BS'!GJ25/1000</f>
        <v>298.476</v>
      </c>
      <c r="E22" s="11"/>
      <c r="F22" s="11">
        <v>196</v>
      </c>
      <c r="H22" s="11">
        <v>649</v>
      </c>
    </row>
    <row r="23" spans="2:8" ht="15">
      <c r="B23" s="3" t="s">
        <v>22</v>
      </c>
      <c r="D23" s="12">
        <f>+'[1]BS'!GJ26/1000</f>
        <v>462.577</v>
      </c>
      <c r="E23" s="11"/>
      <c r="F23" s="11">
        <v>773</v>
      </c>
      <c r="H23" s="11"/>
    </row>
    <row r="24" spans="4:8" ht="15">
      <c r="D24" s="13">
        <f>SUM(D18:D23)</f>
        <v>34884.253</v>
      </c>
      <c r="E24" s="11"/>
      <c r="F24" s="14">
        <f>SUM(F18:F23)</f>
        <v>34907</v>
      </c>
      <c r="H24" s="14">
        <f>SUM(H18:H23)</f>
        <v>19331</v>
      </c>
    </row>
    <row r="25" spans="4:6" ht="15">
      <c r="D25" s="8"/>
      <c r="E25" s="9"/>
      <c r="F25" s="8"/>
    </row>
    <row r="26" spans="2:6" ht="15">
      <c r="B26" s="7" t="s">
        <v>23</v>
      </c>
      <c r="D26" s="8"/>
      <c r="E26" s="9"/>
      <c r="F26" s="8"/>
    </row>
    <row r="27" spans="2:8" ht="15">
      <c r="B27" s="3" t="s">
        <v>1</v>
      </c>
      <c r="D27" s="15">
        <f>+'[1]BS'!GJ31/1000</f>
        <v>26118.324</v>
      </c>
      <c r="E27" s="11"/>
      <c r="F27" s="10">
        <v>26060</v>
      </c>
      <c r="H27" s="10">
        <v>20606</v>
      </c>
    </row>
    <row r="28" spans="2:8" ht="15">
      <c r="B28" s="3" t="s">
        <v>24</v>
      </c>
      <c r="D28" s="12">
        <f>+'[1]BS'!GJ32/1000</f>
        <v>8248.45</v>
      </c>
      <c r="E28" s="11"/>
      <c r="F28" s="11">
        <v>9028</v>
      </c>
      <c r="H28" s="11">
        <v>4493</v>
      </c>
    </row>
    <row r="29" spans="2:8" ht="15">
      <c r="B29" s="3" t="s">
        <v>25</v>
      </c>
      <c r="D29" s="12">
        <f>+'[1]BS'!GJ33/1000+'[1]BS'!GJ44/1000+'[1]BS'!GJ45/1000</f>
        <v>2625.585</v>
      </c>
      <c r="E29" s="11"/>
      <c r="F29" s="11">
        <v>3886</v>
      </c>
      <c r="H29" s="11">
        <v>4898</v>
      </c>
    </row>
    <row r="30" spans="2:8" ht="15">
      <c r="B30" s="3" t="s">
        <v>26</v>
      </c>
      <c r="D30" s="12">
        <f>+'[1]BS'!GJ35/1000</f>
        <v>527.652</v>
      </c>
      <c r="E30" s="11"/>
      <c r="F30" s="11">
        <v>248</v>
      </c>
      <c r="H30" s="11">
        <v>0</v>
      </c>
    </row>
    <row r="31" spans="2:8" ht="15">
      <c r="B31" s="3" t="s">
        <v>27</v>
      </c>
      <c r="D31" s="12">
        <f>+'[1]BS'!GJ34/1000</f>
        <v>685.696</v>
      </c>
      <c r="E31" s="11"/>
      <c r="F31" s="11">
        <v>886</v>
      </c>
      <c r="H31" s="11"/>
    </row>
    <row r="32" spans="2:8" ht="15">
      <c r="B32" s="3" t="s">
        <v>28</v>
      </c>
      <c r="D32" s="12">
        <f>+'[1]BS'!GJ47/1000</f>
        <v>0.568</v>
      </c>
      <c r="E32" s="11"/>
      <c r="F32" s="11">
        <v>24</v>
      </c>
      <c r="H32" s="11"/>
    </row>
    <row r="33" spans="4:8" ht="15">
      <c r="D33" s="13">
        <f>SUM(D27:D32)</f>
        <v>38206.27500000001</v>
      </c>
      <c r="E33" s="11"/>
      <c r="F33" s="14">
        <f>SUM(F27:F32)</f>
        <v>40132</v>
      </c>
      <c r="H33" s="14">
        <f>SUM(H27:H31)</f>
        <v>29997</v>
      </c>
    </row>
    <row r="34" spans="4:8" ht="15">
      <c r="D34" s="8"/>
      <c r="E34" s="9"/>
      <c r="F34" s="8"/>
      <c r="H34" s="8"/>
    </row>
    <row r="35" spans="2:8" ht="15">
      <c r="B35" s="7" t="s">
        <v>29</v>
      </c>
      <c r="D35" s="8">
        <f>+D24-D33</f>
        <v>-3322.0220000000118</v>
      </c>
      <c r="E35" s="9"/>
      <c r="F35" s="8">
        <f>+F24-F33</f>
        <v>-5225</v>
      </c>
      <c r="H35" s="8">
        <f>+H24-H33</f>
        <v>-10666</v>
      </c>
    </row>
    <row r="36" spans="4:8" ht="15">
      <c r="D36" s="8"/>
      <c r="E36" s="9"/>
      <c r="F36" s="8"/>
      <c r="H36" s="8"/>
    </row>
    <row r="37" spans="4:8" ht="15.75" thickBot="1">
      <c r="D37" s="16">
        <f>+D10+D11+D12+D13+D14+D35</f>
        <v>46139.65799999999</v>
      </c>
      <c r="E37" s="9"/>
      <c r="F37" s="16">
        <f>+F10+F11+F12+F13+F14+F35</f>
        <v>45323</v>
      </c>
      <c r="H37" s="16">
        <f>+H35+H14+H10+H13</f>
        <v>42507</v>
      </c>
    </row>
    <row r="38" spans="4:8" ht="15">
      <c r="D38" s="8"/>
      <c r="E38" s="9"/>
      <c r="F38" s="8"/>
      <c r="H38" s="8"/>
    </row>
    <row r="39" spans="2:8" ht="15">
      <c r="B39" s="3" t="s">
        <v>30</v>
      </c>
      <c r="D39" s="8"/>
      <c r="E39" s="9"/>
      <c r="F39" s="8"/>
      <c r="H39" s="8"/>
    </row>
    <row r="40" spans="2:8" ht="15">
      <c r="B40" s="3" t="s">
        <v>31</v>
      </c>
      <c r="D40" s="8">
        <f>+'[1]BS'!GJ66/1000</f>
        <v>19218</v>
      </c>
      <c r="E40" s="9"/>
      <c r="F40" s="8">
        <v>19218</v>
      </c>
      <c r="H40" s="8"/>
    </row>
    <row r="41" spans="2:8" ht="15">
      <c r="B41" s="3" t="s">
        <v>32</v>
      </c>
      <c r="D41" s="17">
        <f>(+'[1]BS'!GJ67+'[1]BS'!GJ68+'[1]BS'!GJ69)/1000</f>
        <v>20461.179</v>
      </c>
      <c r="E41" s="9"/>
      <c r="F41" s="17">
        <v>17951</v>
      </c>
      <c r="H41" s="8">
        <v>19218</v>
      </c>
    </row>
    <row r="42" spans="2:8" ht="25.5" customHeight="1">
      <c r="B42" s="7" t="s">
        <v>33</v>
      </c>
      <c r="D42" s="8">
        <f>+D41+D40</f>
        <v>39679.179000000004</v>
      </c>
      <c r="E42" s="9"/>
      <c r="F42" s="8">
        <f>+F40+F41</f>
        <v>37169</v>
      </c>
      <c r="H42" s="8"/>
    </row>
    <row r="43" spans="4:8" ht="15">
      <c r="D43" s="8"/>
      <c r="E43" s="9"/>
      <c r="F43" s="8"/>
      <c r="H43" s="8"/>
    </row>
    <row r="44" spans="2:8" ht="15">
      <c r="B44" s="7" t="s">
        <v>34</v>
      </c>
      <c r="D44" s="8"/>
      <c r="E44" s="9"/>
      <c r="F44" s="8"/>
      <c r="H44" s="8"/>
    </row>
    <row r="45" spans="2:8" ht="15">
      <c r="B45" s="3" t="s">
        <v>26</v>
      </c>
      <c r="D45" s="8">
        <f>-'[1]BS'!GJ53/1000</f>
        <v>931.892</v>
      </c>
      <c r="E45" s="9"/>
      <c r="F45" s="8">
        <v>489</v>
      </c>
      <c r="H45" s="8">
        <v>1891</v>
      </c>
    </row>
    <row r="46" spans="2:8" ht="15">
      <c r="B46" s="3" t="s">
        <v>27</v>
      </c>
      <c r="D46" s="8">
        <f>-'[1]BS'!GJ57/1000</f>
        <v>313.185</v>
      </c>
      <c r="E46" s="9"/>
      <c r="F46" s="8">
        <v>627</v>
      </c>
      <c r="H46" s="8">
        <v>0</v>
      </c>
    </row>
    <row r="47" spans="2:8" ht="15">
      <c r="B47" s="3" t="s">
        <v>3</v>
      </c>
      <c r="D47" s="8">
        <f>-'[1]BS'!GJ52/1000</f>
        <v>4423.702</v>
      </c>
      <c r="E47" s="9"/>
      <c r="F47" s="8">
        <v>6559</v>
      </c>
      <c r="H47" s="8">
        <v>2419</v>
      </c>
    </row>
    <row r="48" spans="2:8" ht="15">
      <c r="B48" s="3" t="s">
        <v>35</v>
      </c>
      <c r="D48" s="8">
        <f>-'[1]BS'!GJ56/1000</f>
        <v>791.7</v>
      </c>
      <c r="E48" s="9"/>
      <c r="F48" s="8">
        <v>479</v>
      </c>
      <c r="H48" s="8">
        <v>0</v>
      </c>
    </row>
    <row r="49" spans="4:8" ht="15">
      <c r="D49" s="17"/>
      <c r="E49" s="9"/>
      <c r="F49" s="17"/>
      <c r="H49" s="17"/>
    </row>
    <row r="50" spans="4:8" ht="15.75" thickBot="1">
      <c r="D50" s="18">
        <f>SUM(D42:D49)</f>
        <v>46139.657999999996</v>
      </c>
      <c r="E50" s="9"/>
      <c r="F50" s="18">
        <f>+F42+F45+F46+F47+F48</f>
        <v>45323</v>
      </c>
      <c r="H50" s="8">
        <f>SUM(H41:H49)</f>
        <v>23528</v>
      </c>
    </row>
    <row r="51" spans="4:8" ht="15.75" thickTop="1">
      <c r="D51" s="8"/>
      <c r="E51" s="9"/>
      <c r="F51" s="8"/>
      <c r="H51" s="8"/>
    </row>
    <row r="52" spans="4:6" ht="15">
      <c r="D52" s="19"/>
      <c r="E52" s="20"/>
      <c r="F52" s="19">
        <f>+F37-F50</f>
        <v>0</v>
      </c>
    </row>
    <row r="53" spans="2:6" ht="15">
      <c r="B53" s="21" t="s">
        <v>36</v>
      </c>
      <c r="D53" s="22">
        <f>+((D42-D11)/D40)*100</f>
        <v>200.55040066604226</v>
      </c>
      <c r="E53" s="9"/>
      <c r="F53" s="22">
        <f>+((F42-F11)/F40)*100</f>
        <v>188.01644291809762</v>
      </c>
    </row>
    <row r="54" spans="4:6" ht="15">
      <c r="D54" s="8"/>
      <c r="E54" s="9"/>
      <c r="F54" s="8"/>
    </row>
    <row r="55" spans="2:6" ht="15">
      <c r="B55" s="7" t="s">
        <v>115</v>
      </c>
      <c r="D55" s="8"/>
      <c r="E55" s="9"/>
      <c r="F55" s="8"/>
    </row>
    <row r="56" spans="2:6" ht="15">
      <c r="B56" s="7" t="s">
        <v>114</v>
      </c>
      <c r="D56" s="8"/>
      <c r="E56" s="9"/>
      <c r="F56" s="8"/>
    </row>
    <row r="57" spans="4:6" ht="15">
      <c r="D57" s="8"/>
      <c r="E57" s="9"/>
      <c r="F57" s="8"/>
    </row>
    <row r="58" spans="4:6" ht="15">
      <c r="D58" s="8"/>
      <c r="E58" s="8"/>
      <c r="F58" s="8"/>
    </row>
    <row r="59" spans="4:6" ht="15">
      <c r="D59" s="8"/>
      <c r="E59" s="8"/>
      <c r="F59" s="8"/>
    </row>
    <row r="60" spans="4:6" ht="15">
      <c r="D60" s="8"/>
      <c r="E60" s="8"/>
      <c r="F60" s="8"/>
    </row>
    <row r="61" spans="4:6" ht="15">
      <c r="D61" s="19"/>
      <c r="E61" s="19"/>
      <c r="F61" s="19"/>
    </row>
  </sheetData>
  <mergeCells count="3">
    <mergeCell ref="A1:H1"/>
    <mergeCell ref="A2:H2"/>
    <mergeCell ref="A3:H3"/>
  </mergeCells>
  <printOptions/>
  <pageMargins left="0.75" right="0.75" top="0.52" bottom="0.67" header="0.5" footer="0.5"/>
  <pageSetup fitToHeight="1" fitToWidth="1" horizontalDpi="360" verticalDpi="36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8" sqref="A8"/>
    </sheetView>
  </sheetViews>
  <sheetFormatPr defaultColWidth="9.140625" defaultRowHeight="12.75"/>
  <cols>
    <col min="1" max="1" width="29.7109375" style="21" customWidth="1"/>
    <col min="2" max="2" width="11.57421875" style="37" customWidth="1"/>
    <col min="3" max="3" width="12.00390625" style="37" customWidth="1"/>
    <col min="4" max="4" width="15.140625" style="37" customWidth="1"/>
    <col min="5" max="5" width="13.57421875" style="37" customWidth="1"/>
    <col min="6" max="6" width="12.8515625" style="37" customWidth="1"/>
    <col min="7" max="16384" width="9.140625" style="21" customWidth="1"/>
  </cols>
  <sheetData>
    <row r="1" spans="1:6" s="1" customFormat="1" ht="14.25">
      <c r="A1" s="42" t="s">
        <v>4</v>
      </c>
      <c r="B1" s="42"/>
      <c r="C1" s="42"/>
      <c r="D1" s="42"/>
      <c r="E1" s="42"/>
      <c r="F1" s="42"/>
    </row>
    <row r="2" spans="1:6" s="1" customFormat="1" ht="14.25">
      <c r="A2" s="42" t="s">
        <v>5</v>
      </c>
      <c r="B2" s="42"/>
      <c r="C2" s="42"/>
      <c r="D2" s="42"/>
      <c r="E2" s="42"/>
      <c r="F2" s="42"/>
    </row>
    <row r="3" spans="1:6" s="1" customFormat="1" ht="14.25">
      <c r="A3" s="42" t="s">
        <v>111</v>
      </c>
      <c r="B3" s="42"/>
      <c r="C3" s="42"/>
      <c r="D3" s="42"/>
      <c r="E3" s="42"/>
      <c r="F3" s="42"/>
    </row>
    <row r="4" spans="1:6" s="2" customFormat="1" ht="15">
      <c r="A4" s="2" t="s">
        <v>118</v>
      </c>
      <c r="B4" s="1"/>
      <c r="C4" s="1"/>
      <c r="D4" s="1"/>
      <c r="E4" s="1"/>
      <c r="F4" s="1"/>
    </row>
    <row r="5" spans="1:6" s="2" customFormat="1" ht="15">
      <c r="A5" s="1"/>
      <c r="B5" s="32"/>
      <c r="C5" s="32"/>
      <c r="D5" s="32"/>
      <c r="E5" s="32"/>
      <c r="F5" s="32"/>
    </row>
    <row r="6" spans="2:6" ht="12.75">
      <c r="B6" s="34" t="s">
        <v>58</v>
      </c>
      <c r="C6" s="34"/>
      <c r="D6" s="34"/>
      <c r="E6" s="35" t="s">
        <v>59</v>
      </c>
      <c r="F6" s="36"/>
    </row>
    <row r="7" spans="2:6" ht="12.75">
      <c r="B7" s="35"/>
      <c r="C7" s="35"/>
      <c r="D7" s="35" t="s">
        <v>60</v>
      </c>
      <c r="E7" s="35"/>
      <c r="F7" s="35"/>
    </row>
    <row r="8" spans="2:6" ht="12.75">
      <c r="B8" s="35" t="s">
        <v>61</v>
      </c>
      <c r="C8" s="35" t="s">
        <v>61</v>
      </c>
      <c r="D8" s="35" t="s">
        <v>62</v>
      </c>
      <c r="E8" s="35" t="s">
        <v>42</v>
      </c>
      <c r="F8" s="35"/>
    </row>
    <row r="9" spans="2:6" ht="12.75">
      <c r="B9" s="35" t="s">
        <v>63</v>
      </c>
      <c r="C9" s="35" t="s">
        <v>64</v>
      </c>
      <c r="D9" s="35" t="s">
        <v>65</v>
      </c>
      <c r="E9" s="35" t="s">
        <v>60</v>
      </c>
      <c r="F9" s="35" t="s">
        <v>0</v>
      </c>
    </row>
    <row r="10" spans="2:6" ht="12.75">
      <c r="B10" s="35" t="s">
        <v>41</v>
      </c>
      <c r="C10" s="35" t="s">
        <v>41</v>
      </c>
      <c r="D10" s="35" t="s">
        <v>41</v>
      </c>
      <c r="E10" s="35" t="s">
        <v>41</v>
      </c>
      <c r="F10" s="35" t="s">
        <v>41</v>
      </c>
    </row>
    <row r="13" spans="1:6" ht="12.75">
      <c r="A13" s="38" t="s">
        <v>66</v>
      </c>
      <c r="B13" s="37">
        <v>19218</v>
      </c>
      <c r="C13" s="37">
        <v>1891</v>
      </c>
      <c r="D13" s="37">
        <v>2495</v>
      </c>
      <c r="E13" s="37">
        <v>13565</v>
      </c>
      <c r="F13" s="37">
        <f>SUM(B13:E13)</f>
        <v>37169</v>
      </c>
    </row>
    <row r="14" spans="1:6" ht="12.75">
      <c r="A14" s="21" t="s">
        <v>101</v>
      </c>
      <c r="B14" s="37">
        <v>0</v>
      </c>
      <c r="C14" s="37">
        <v>0</v>
      </c>
      <c r="D14" s="37">
        <v>0</v>
      </c>
      <c r="E14" s="37">
        <v>175</v>
      </c>
      <c r="F14" s="37">
        <f>SUM(B14:E14)</f>
        <v>175</v>
      </c>
    </row>
    <row r="15" spans="1:6" ht="12.75">
      <c r="A15" s="21" t="s">
        <v>100</v>
      </c>
      <c r="B15" s="37">
        <v>0</v>
      </c>
      <c r="C15" s="37">
        <v>0</v>
      </c>
      <c r="D15" s="37">
        <v>0</v>
      </c>
      <c r="E15" s="37">
        <f>+'[1]KLSEPL(2)'!E24</f>
        <v>2335.291000000005</v>
      </c>
      <c r="F15" s="37">
        <f>SUM(B15:E15)</f>
        <v>2335.291000000005</v>
      </c>
    </row>
    <row r="17" spans="1:7" ht="13.5" thickBot="1">
      <c r="A17" s="38" t="s">
        <v>68</v>
      </c>
      <c r="B17" s="39">
        <f>SUM(B13:B16)</f>
        <v>19218</v>
      </c>
      <c r="C17" s="39">
        <f>SUM(C13:C16)</f>
        <v>1891</v>
      </c>
      <c r="D17" s="39">
        <f>SUM(D13:D16)</f>
        <v>2495</v>
      </c>
      <c r="E17" s="39">
        <f>SUM(E13:E16)</f>
        <v>16075.291000000005</v>
      </c>
      <c r="F17" s="39">
        <f>SUM(F13:F16)</f>
        <v>39679.291000000005</v>
      </c>
      <c r="G17" s="41"/>
    </row>
    <row r="18" ht="13.5" thickTop="1"/>
    <row r="20" spans="1:6" ht="12.75">
      <c r="A20" s="38" t="s">
        <v>69</v>
      </c>
      <c r="B20" s="37">
        <v>19218</v>
      </c>
      <c r="C20" s="37">
        <v>1891</v>
      </c>
      <c r="D20" s="37">
        <v>2495</v>
      </c>
      <c r="E20" s="37">
        <v>11190</v>
      </c>
      <c r="F20" s="37">
        <f>SUM(B20:E20)</f>
        <v>34794</v>
      </c>
    </row>
    <row r="21" spans="1:6" ht="12.75">
      <c r="A21" s="21" t="s">
        <v>100</v>
      </c>
      <c r="B21" s="37">
        <v>0</v>
      </c>
      <c r="C21" s="37">
        <v>0</v>
      </c>
      <c r="D21" s="37">
        <v>0</v>
      </c>
      <c r="E21" s="37">
        <f>+'[1]KLSEPL(2)'!F24</f>
        <v>2375</v>
      </c>
      <c r="F21" s="37">
        <f>SUM(B21:E21)</f>
        <v>2375</v>
      </c>
    </row>
    <row r="22" ht="12.75">
      <c r="A22" s="21" t="s">
        <v>67</v>
      </c>
    </row>
    <row r="23" spans="1:6" ht="13.5" thickBot="1">
      <c r="A23" s="38" t="s">
        <v>68</v>
      </c>
      <c r="B23" s="39">
        <f>SUM(B20:B22)</f>
        <v>19218</v>
      </c>
      <c r="C23" s="39">
        <f>SUM(C20:C22)</f>
        <v>1891</v>
      </c>
      <c r="D23" s="39">
        <f>SUM(D20:D22)</f>
        <v>2495</v>
      </c>
      <c r="E23" s="39">
        <f>SUM(E20:E22)</f>
        <v>13565</v>
      </c>
      <c r="F23" s="39">
        <f>SUM(F20:F22)</f>
        <v>37169</v>
      </c>
    </row>
    <row r="24" ht="13.5" thickTop="1"/>
    <row r="25" ht="14.25">
      <c r="A25" s="7" t="s">
        <v>113</v>
      </c>
    </row>
    <row r="26" ht="14.25">
      <c r="A26" s="7" t="s">
        <v>112</v>
      </c>
    </row>
  </sheetData>
  <mergeCells count="3">
    <mergeCell ref="A1:F1"/>
    <mergeCell ref="A2:F2"/>
    <mergeCell ref="A3:F3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tabSelected="1" workbookViewId="0" topLeftCell="A1">
      <selection activeCell="B6" sqref="B6"/>
    </sheetView>
  </sheetViews>
  <sheetFormatPr defaultColWidth="9.140625" defaultRowHeight="12.75"/>
  <cols>
    <col min="1" max="1" width="2.8515625" style="3" customWidth="1"/>
    <col min="2" max="2" width="59.57421875" style="3" customWidth="1"/>
    <col min="3" max="3" width="19.8515625" style="8" customWidth="1"/>
    <col min="4" max="16384" width="9.140625" style="3" customWidth="1"/>
  </cols>
  <sheetData>
    <row r="1" spans="1:8" s="2" customFormat="1" ht="15">
      <c r="A1" s="1" t="s">
        <v>4</v>
      </c>
      <c r="B1" s="1"/>
      <c r="C1" s="1"/>
      <c r="D1" s="1"/>
      <c r="E1" s="1"/>
      <c r="F1" s="1"/>
      <c r="G1" s="1"/>
      <c r="H1" s="1"/>
    </row>
    <row r="2" s="2" customFormat="1" ht="15">
      <c r="A2" s="2" t="s">
        <v>5</v>
      </c>
    </row>
    <row r="3" spans="1:8" s="2" customFormat="1" ht="15">
      <c r="A3" s="1" t="s">
        <v>116</v>
      </c>
      <c r="B3" s="1"/>
      <c r="C3" s="1"/>
      <c r="D3" s="1"/>
      <c r="E3" s="1"/>
      <c r="F3" s="1"/>
      <c r="G3" s="1"/>
      <c r="H3" s="1"/>
    </row>
    <row r="4" spans="1:3" s="2" customFormat="1" ht="15">
      <c r="A4" s="2" t="s">
        <v>118</v>
      </c>
      <c r="C4" s="23"/>
    </row>
    <row r="5" ht="15">
      <c r="A5" s="2"/>
    </row>
    <row r="6" ht="15">
      <c r="C6" s="4" t="s">
        <v>6</v>
      </c>
    </row>
    <row r="7" ht="15">
      <c r="C7" s="27" t="s">
        <v>41</v>
      </c>
    </row>
    <row r="8" ht="15">
      <c r="A8" s="7" t="s">
        <v>70</v>
      </c>
    </row>
    <row r="10" spans="1:3" ht="15">
      <c r="A10" s="3" t="s">
        <v>71</v>
      </c>
      <c r="C10" s="8">
        <f>+'[1]KLSEPL(2)'!E20</f>
        <v>2662.963000000005</v>
      </c>
    </row>
    <row r="12" ht="15">
      <c r="A12" s="3" t="s">
        <v>72</v>
      </c>
    </row>
    <row r="13" spans="2:3" ht="15">
      <c r="B13" s="3" t="s">
        <v>73</v>
      </c>
      <c r="C13" s="8">
        <f>63653/1000</f>
        <v>63.653</v>
      </c>
    </row>
    <row r="14" spans="2:3" ht="15">
      <c r="B14" s="3" t="s">
        <v>74</v>
      </c>
      <c r="C14" s="8">
        <v>1.195</v>
      </c>
    </row>
    <row r="15" spans="2:3" ht="15">
      <c r="B15" s="3" t="s">
        <v>75</v>
      </c>
      <c r="C15" s="8">
        <f>(+'[1]PL'!GT75-63653)/1000</f>
        <v>4423.404</v>
      </c>
    </row>
    <row r="16" ht="15">
      <c r="B16" s="3" t="s">
        <v>76</v>
      </c>
    </row>
    <row r="17" spans="2:3" ht="15">
      <c r="B17" s="3" t="s">
        <v>77</v>
      </c>
      <c r="C17" s="8">
        <f>-73885/1000</f>
        <v>-73.885</v>
      </c>
    </row>
    <row r="18" spans="2:3" ht="15">
      <c r="B18" s="3" t="s">
        <v>78</v>
      </c>
      <c r="C18" s="8">
        <f>-'[1]KLSEPL(2)'!E18</f>
        <v>2032.857</v>
      </c>
    </row>
    <row r="19" spans="2:3" ht="15">
      <c r="B19" s="3" t="s">
        <v>101</v>
      </c>
      <c r="C19" s="8">
        <v>175</v>
      </c>
    </row>
    <row r="20" spans="2:3" ht="15">
      <c r="B20" s="3" t="s">
        <v>79</v>
      </c>
      <c r="C20" s="8">
        <f>280000/1000</f>
        <v>280</v>
      </c>
    </row>
    <row r="21" ht="15">
      <c r="C21" s="17"/>
    </row>
    <row r="22" spans="1:3" ht="15">
      <c r="A22" s="3" t="s">
        <v>80</v>
      </c>
      <c r="C22" s="8">
        <f>SUM(C10:C21)</f>
        <v>9565.187000000005</v>
      </c>
    </row>
    <row r="24" ht="15">
      <c r="A24" s="3" t="s">
        <v>81</v>
      </c>
    </row>
    <row r="26" spans="2:3" ht="15">
      <c r="B26" s="3" t="s">
        <v>17</v>
      </c>
      <c r="C26" s="8">
        <f>-(+'[1]KLSEBS'!D18-'[1]KLSEBS'!F18)</f>
        <v>-665.8130000000001</v>
      </c>
    </row>
    <row r="27" spans="2:3" ht="15">
      <c r="B27" s="3" t="s">
        <v>82</v>
      </c>
      <c r="C27" s="8">
        <f>-('[1]KLSEBS'!D19+'[1]KLSEBS'!D20+'[1]KLSEBS'!D21-'[1]KLSEBS'!F19-'[1]KLSEBS'!F20-'[1]KLSEBS'!F21)</f>
        <v>480.6130000000012</v>
      </c>
    </row>
    <row r="28" spans="2:3" ht="15">
      <c r="B28" s="3" t="s">
        <v>83</v>
      </c>
      <c r="C28" s="8">
        <f>('[1]KLSEBS'!D28+'[1]KLSEBS'!D29+'[1]KLSEBS'!D31-'[1]KLSEBS'!F28-'[1]KLSEBS'!F29-'[1]KLSEBS'!F31+'[1]KLSEBS'!D46-'[1]KLSEBS'!F46)</f>
        <v>-2554.0840000000003</v>
      </c>
    </row>
    <row r="29" ht="15">
      <c r="C29" s="17"/>
    </row>
    <row r="30" spans="1:3" ht="15">
      <c r="A30" s="3" t="s">
        <v>84</v>
      </c>
      <c r="C30" s="8">
        <f>SUM(C22:C29)</f>
        <v>6825.903000000006</v>
      </c>
    </row>
    <row r="32" spans="2:3" ht="15">
      <c r="B32" s="3" t="s">
        <v>85</v>
      </c>
      <c r="C32" s="8">
        <f>-C18</f>
        <v>-2032.857</v>
      </c>
    </row>
    <row r="33" ht="15">
      <c r="B33" s="3" t="s">
        <v>86</v>
      </c>
    </row>
    <row r="34" spans="2:3" ht="15">
      <c r="B34" s="3" t="s">
        <v>35</v>
      </c>
      <c r="C34" s="8">
        <f>(+'[1]KLSEBS'!D48-'[1]KLSEBS'!F48)</f>
        <v>312.70000000000005</v>
      </c>
    </row>
    <row r="35" spans="2:3" ht="15">
      <c r="B35" s="3" t="s">
        <v>87</v>
      </c>
      <c r="C35" s="8">
        <f>(+'[1]KLSEBS'!D32-'[1]KLSEBS'!F32)+'[1]KLSEPL(2)'!E21</f>
        <v>-351.10400000000004</v>
      </c>
    </row>
    <row r="36" ht="15">
      <c r="C36" s="17"/>
    </row>
    <row r="37" spans="1:3" ht="15">
      <c r="A37" s="7" t="s">
        <v>88</v>
      </c>
      <c r="C37" s="40">
        <f>SUM(C32:C36)</f>
        <v>-2071.261</v>
      </c>
    </row>
    <row r="39" ht="15">
      <c r="A39" s="7" t="s">
        <v>89</v>
      </c>
    </row>
    <row r="41" spans="1:3" ht="15">
      <c r="A41" s="3" t="s">
        <v>90</v>
      </c>
      <c r="C41" s="8">
        <f>-(+'[1]KLSEBS'!D22-'[1]KLSEBS'!F22)</f>
        <v>-102.476</v>
      </c>
    </row>
    <row r="42" spans="1:3" ht="15">
      <c r="A42" s="3" t="s">
        <v>91</v>
      </c>
      <c r="C42" s="8">
        <f>-(+'[1]KLSEBS'!D10-'[1]KLSEBS'!F10+'[1]Cashflow'!C15+C17+C44)</f>
        <v>-3780.3330000000033</v>
      </c>
    </row>
    <row r="43" spans="1:3" ht="15">
      <c r="A43" s="3" t="s">
        <v>104</v>
      </c>
      <c r="C43" s="8">
        <f>-(+'[1]KLSEBS'!D11-'[1]KLSEBS'!F11+'[1]Cashflow'!C13)</f>
        <v>-165.056</v>
      </c>
    </row>
    <row r="44" spans="1:3" ht="15">
      <c r="A44" s="3" t="s">
        <v>92</v>
      </c>
      <c r="C44" s="8">
        <f>338800/1000</f>
        <v>338.8</v>
      </c>
    </row>
    <row r="46" spans="1:3" ht="15">
      <c r="A46" s="7" t="s">
        <v>93</v>
      </c>
      <c r="C46" s="40">
        <f>SUM(C41:C45)</f>
        <v>-3709.0650000000032</v>
      </c>
    </row>
    <row r="48" ht="15">
      <c r="A48" s="7" t="s">
        <v>94</v>
      </c>
    </row>
    <row r="50" spans="1:3" ht="15">
      <c r="A50" s="3" t="s">
        <v>102</v>
      </c>
      <c r="C50" s="8">
        <f>756+403</f>
        <v>1159</v>
      </c>
    </row>
    <row r="51" spans="1:3" ht="15">
      <c r="A51" s="3" t="s">
        <v>103</v>
      </c>
      <c r="C51" s="8">
        <f>-35-3-259-139</f>
        <v>-436</v>
      </c>
    </row>
    <row r="52" spans="1:4" ht="15">
      <c r="A52" s="3" t="s">
        <v>105</v>
      </c>
      <c r="C52" s="8">
        <f>2446000/1000</f>
        <v>2446</v>
      </c>
      <c r="D52" s="33"/>
    </row>
    <row r="53" spans="1:3" ht="15">
      <c r="A53" s="3" t="s">
        <v>106</v>
      </c>
      <c r="C53" s="8">
        <f>-493090/1000-3694</f>
        <v>-4187.09</v>
      </c>
    </row>
    <row r="55" spans="1:3" ht="15">
      <c r="A55" s="7" t="s">
        <v>95</v>
      </c>
      <c r="C55" s="40">
        <f>SUM(C50:C53)</f>
        <v>-1018.0900000000001</v>
      </c>
    </row>
    <row r="57" spans="1:3" ht="15">
      <c r="A57" s="7" t="s">
        <v>96</v>
      </c>
      <c r="C57" s="8">
        <f>+C30+C37+C46+C55</f>
        <v>27.4870000000019</v>
      </c>
    </row>
    <row r="58" spans="1:3" ht="15">
      <c r="A58" s="7" t="s">
        <v>97</v>
      </c>
      <c r="C58" s="8">
        <f>+'[1]KLSEBS'!F23-10191</f>
        <v>-9418</v>
      </c>
    </row>
    <row r="59" spans="1:3" ht="15.75" thickBot="1">
      <c r="A59" s="7" t="s">
        <v>98</v>
      </c>
      <c r="C59" s="18">
        <f>SUM(C57:C58)</f>
        <v>-9390.512999999999</v>
      </c>
    </row>
    <row r="60" ht="15.75" thickTop="1"/>
    <row r="61" ht="15">
      <c r="A61" s="3" t="s">
        <v>99</v>
      </c>
    </row>
    <row r="62" spans="1:3" ht="15">
      <c r="A62" s="3" t="s">
        <v>2</v>
      </c>
      <c r="C62" s="8">
        <f>-'[1]bank'!J9/1000</f>
        <v>-9853.761</v>
      </c>
    </row>
    <row r="63" spans="1:3" ht="15">
      <c r="A63" s="3" t="s">
        <v>22</v>
      </c>
      <c r="C63" s="8">
        <f>+'[1]KLSEBS'!D23</f>
        <v>462.577</v>
      </c>
    </row>
    <row r="64" spans="3:4" ht="15.75" thickBot="1">
      <c r="C64" s="18">
        <f>+C62+C63</f>
        <v>-9391.184000000001</v>
      </c>
      <c r="D64" s="33"/>
    </row>
    <row r="65" ht="15.75" thickTop="1"/>
    <row r="66" ht="15">
      <c r="A66" s="7" t="s">
        <v>117</v>
      </c>
    </row>
    <row r="67" ht="15">
      <c r="A67" s="7" t="s">
        <v>112</v>
      </c>
    </row>
  </sheetData>
  <printOptions/>
  <pageMargins left="0.75" right="0.75" top="0.58" bottom="0.75" header="0.5" footer="0.5"/>
  <pageSetup fitToHeight="1" fitToWidth="1" horizontalDpi="360" verticalDpi="36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BIG INDUSTRIAL GAS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BIG INDUSTRIAL GAS SDN BHD</dc:creator>
  <cp:keywords/>
  <dc:description/>
  <cp:lastModifiedBy>LORRAINE</cp:lastModifiedBy>
  <cp:lastPrinted>2003-02-28T07:13:10Z</cp:lastPrinted>
  <dcterms:created xsi:type="dcterms:W3CDTF">2003-02-20T15:08:28Z</dcterms:created>
  <dcterms:modified xsi:type="dcterms:W3CDTF">2003-02-28T07:18:13Z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