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4"/>
  </bookViews>
  <sheets>
    <sheet name="EDMS" sheetId="1" r:id="rId1"/>
    <sheet name="PL" sheetId="2" r:id="rId2"/>
    <sheet name="BS" sheetId="3" r:id="rId3"/>
    <sheet name="Equity" sheetId="4" r:id="rId4"/>
    <sheet name="CF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'BS'!$A$1:$H$53</definedName>
    <definedName name="_xlnm.Print_Area" localSheetId="1">'PL'!$A$1:$F$26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<sst xmlns="http://schemas.openxmlformats.org/spreadsheetml/2006/main" count="169" uniqueCount="129">
  <si>
    <t>B. I. G. INDUSTRIES BERHAD (195285-D)</t>
  </si>
  <si>
    <t>(Incorporated in Malaysia)</t>
  </si>
  <si>
    <t>CONSOLIDATED INCOME STATEMENTS</t>
  </si>
  <si>
    <t>For the nine months ended 30 September 2002</t>
  </si>
  <si>
    <t>3 months ended 30 September</t>
  </si>
  <si>
    <t>9 months ended 30 September</t>
  </si>
  <si>
    <t>2002</t>
  </si>
  <si>
    <t>2001</t>
  </si>
  <si>
    <t>RM'000</t>
  </si>
  <si>
    <t>Revenue</t>
  </si>
  <si>
    <t>Cost of Sales</t>
  </si>
  <si>
    <t>Gross Profit</t>
  </si>
  <si>
    <t>Administrative expenses</t>
  </si>
  <si>
    <t>Depreciation</t>
  </si>
  <si>
    <t>Other operating income</t>
  </si>
  <si>
    <t>Operating Profit</t>
  </si>
  <si>
    <t>Finance costs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</si>
  <si>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</si>
  <si>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</si>
  <si>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</si>
  <si>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</si>
  <si>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</si>
  <si>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share(sen)</t>
  </si>
  <si>
    <t>Diluted earnings per ordinary share(sen)</t>
  </si>
  <si>
    <t xml:space="preserve">CONSOLIDATED BALANCE SHEET </t>
  </si>
  <si>
    <t>30 September 2002</t>
  </si>
  <si>
    <t>31 December 2001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</si>
  <si>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</si>
  <si>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</si>
  <si>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</si>
  <si>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</si>
  <si>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</si>
  <si>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Investment in subsidiary companies</t>
  </si>
  <si>
    <t>Investment in associated company</t>
  </si>
  <si>
    <t>Other investments</t>
  </si>
  <si>
    <t>Current assets</t>
  </si>
  <si>
    <t>Inventories</t>
  </si>
  <si>
    <t>Trade receivables</t>
  </si>
  <si>
    <t>Other receivables, deposits and Prepayments</t>
  </si>
  <si>
    <t>Amount due from related companies</t>
  </si>
  <si>
    <t>Fixed deposits with licensed banks</t>
  </si>
  <si>
    <t>Cash and bank balances</t>
  </si>
  <si>
    <t>Current liabilities</t>
  </si>
  <si>
    <t>Short term borrowings</t>
  </si>
  <si>
    <t>Trade payables</t>
  </si>
  <si>
    <t>Other payables and accruals</t>
  </si>
  <si>
    <t>Lease payables</t>
  </si>
  <si>
    <t>Land premium payable</t>
  </si>
  <si>
    <t>Tax payable</t>
  </si>
  <si>
    <t>Net current liabilities</t>
  </si>
  <si>
    <t>Financed by :</t>
  </si>
  <si>
    <t>Share capital</t>
  </si>
  <si>
    <t>Reserves</t>
  </si>
  <si>
    <t>Shareholders' equity</t>
  </si>
  <si>
    <t>Long term and deferred liabilities</t>
  </si>
  <si>
    <t>Term loans</t>
  </si>
  <si>
    <t>Deferred taxation</t>
  </si>
  <si>
    <t>Net tangible assets per share (sen)</t>
  </si>
  <si>
    <t>CONSOLIDATED STATEMENT OF CHANGES IN EQUITY</t>
  </si>
  <si>
    <t>Non-distributable</t>
  </si>
  <si>
    <t>Distributable</t>
  </si>
  <si>
    <t>Reserve</t>
  </si>
  <si>
    <t>Share</t>
  </si>
  <si>
    <t>arising on</t>
  </si>
  <si>
    <t>Capital</t>
  </si>
  <si>
    <t>Premium</t>
  </si>
  <si>
    <t>consolidation</t>
  </si>
  <si>
    <t>Total</t>
  </si>
  <si>
    <t>At 1 January 2002</t>
  </si>
  <si>
    <t>Net profit for the 9 months</t>
  </si>
  <si>
    <t>Dividends</t>
  </si>
  <si>
    <t>At 30 September 2002</t>
  </si>
  <si>
    <t>At 1 January 2001</t>
  </si>
  <si>
    <t>At 30 September 2001</t>
  </si>
  <si>
    <t>CONSOLIDATED CASH FLOW STATEMENT</t>
  </si>
  <si>
    <t>Cash flows from operating activities</t>
  </si>
  <si>
    <t>Operating profit before taxation</t>
  </si>
  <si>
    <t>Adjustments for :</t>
  </si>
  <si>
    <t>Amortisation of quarry development expenses</t>
  </si>
  <si>
    <t>Bad debts written off</t>
  </si>
  <si>
    <t>Depreciation of property, plant and equipment</t>
  </si>
  <si>
    <t>Dividend income</t>
  </si>
  <si>
    <t>Gain on disposal of property, plant and equipment</t>
  </si>
  <si>
    <t>Interest expense</t>
  </si>
  <si>
    <t>Property, plant and equipment written off</t>
  </si>
  <si>
    <t>Share of loss in an associated company</t>
  </si>
  <si>
    <t>Operating profit/(loss) before working capital changes</t>
  </si>
  <si>
    <t>Changes in working capital:</t>
  </si>
  <si>
    <t>Receivables</t>
  </si>
  <si>
    <t>Payables</t>
  </si>
  <si>
    <t>Cash generated from/(used in) operations</t>
  </si>
  <si>
    <t>Interest paid</t>
  </si>
  <si>
    <t>Interest received</t>
  </si>
  <si>
    <t>Taxation paid net of refund</t>
  </si>
  <si>
    <t>Net cash generated from/(used in) operating activities</t>
  </si>
  <si>
    <t>Cash flows from investing activities</t>
  </si>
  <si>
    <t>Increase in fixed deposits pledged</t>
  </si>
  <si>
    <t>Purchase of property, plant and equipment</t>
  </si>
  <si>
    <t>Proceeds from disposal of property, plant and equipment</t>
  </si>
  <si>
    <t>Investment in golf and country club membership</t>
  </si>
  <si>
    <t>Net cash generated from/(used in) investing activities</t>
  </si>
  <si>
    <t>Cash flows from financing activities</t>
  </si>
  <si>
    <t>Increase in bank borrowings</t>
  </si>
  <si>
    <t>(Repayment)/drawdown of term loans</t>
  </si>
  <si>
    <t>Repayment of lease payables</t>
  </si>
  <si>
    <t>Net cash generated from/(used in) financing activities</t>
  </si>
  <si>
    <t>Net increase/(decrease) in cash and cash equivalents</t>
  </si>
  <si>
    <t>Cash and cash equivalents at beginning of year</t>
  </si>
  <si>
    <t>Cash and cash equivalents at end of period</t>
  </si>
  <si>
    <t>Cash and cash equivalents comprise:</t>
  </si>
  <si>
    <t>Bank overdrafts</t>
  </si>
  <si>
    <t>Profit/(loss) Bef Tax</t>
  </si>
  <si>
    <t>Profit/(loss) after tax and minority interest</t>
  </si>
  <si>
    <t>Net Profit/(loss) for the period</t>
  </si>
  <si>
    <t>Basic Earnings/(loss) per share (sen)</t>
  </si>
  <si>
    <t>Dividend per share (sen)</t>
  </si>
  <si>
    <t>Net tangible assets per share (RM)</t>
  </si>
  <si>
    <t>ADDITIONAL INFORMATION</t>
  </si>
  <si>
    <t>Profit/(loss) from operations</t>
  </si>
  <si>
    <t>Gross Interest Income</t>
  </si>
  <si>
    <t>Gross Interest expenses</t>
  </si>
  <si>
    <t>Current Year Quarter</t>
  </si>
  <si>
    <t>Preceeding Year Corresponding Quarter</t>
  </si>
  <si>
    <t>Current Year To Date</t>
  </si>
  <si>
    <t>Preceeding Year Corresponding Year to Date</t>
  </si>
  <si>
    <t>INDIVIDUAL QUARTER</t>
  </si>
  <si>
    <t>CUMMULATIVE QUARTER</t>
  </si>
  <si>
    <t>30/09/2002</t>
  </si>
  <si>
    <t>30/09/2001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</si>
</sst>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</numFmts>
  <fonts count="5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2" fillId="0" borderId="0" xfId="15" applyNumberFormat="1" applyFont="1" applyAlignment="1">
      <alignment/>
    </xf>
    <xf numFmtId="0" fontId="2" fillId="0" borderId="0" xfId="0" applyFont="1" applyAlignment="1">
      <alignment/>
    </xf>
    <xf numFmtId="172" fontId="2" fillId="0" borderId="0" xfId="15" applyNumberFormat="1" applyFont="1" applyAlignment="1" quotePrefix="1">
      <alignment horizontal="centerContinuous"/>
    </xf>
    <xf numFmtId="172" fontId="2" fillId="0" borderId="0" xfId="15" applyNumberFormat="1" applyFont="1" applyAlignment="1">
      <alignment horizontal="centerContinuous"/>
    </xf>
    <xf numFmtId="172" fontId="2" fillId="0" borderId="0" xfId="15" applyNumberFormat="1" applyFont="1" applyAlignment="1" quotePrefix="1">
      <alignment horizontal="center"/>
    </xf>
    <xf numFmtId="172" fontId="2" fillId="0" borderId="0" xfId="15" applyNumberFormat="1" applyFont="1" applyAlignment="1">
      <alignment horizontal="center"/>
    </xf>
    <xf numFmtId="172" fontId="2" fillId="0" borderId="1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0" fontId="1" fillId="0" borderId="0" xfId="0" applyFont="1" applyAlignment="1">
      <alignment/>
    </xf>
    <xf numFmtId="172" fontId="2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43" fontId="2" fillId="0" borderId="4" xfId="15" applyFont="1" applyBorder="1" applyAlignment="1">
      <alignment/>
    </xf>
    <xf numFmtId="172" fontId="2" fillId="0" borderId="4" xfId="15" applyNumberFormat="1" applyFont="1" applyBorder="1" applyAlignment="1">
      <alignment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2" fontId="2" fillId="0" borderId="5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172" fontId="2" fillId="0" borderId="8" xfId="15" applyNumberFormat="1" applyFont="1" applyBorder="1" applyAlignment="1">
      <alignment/>
    </xf>
    <xf numFmtId="172" fontId="2" fillId="0" borderId="9" xfId="15" applyNumberFormat="1" applyFont="1" applyBorder="1" applyAlignment="1">
      <alignment/>
    </xf>
    <xf numFmtId="172" fontId="2" fillId="0" borderId="10" xfId="15" applyNumberFormat="1" applyFont="1" applyBorder="1" applyAlignment="1">
      <alignment/>
    </xf>
    <xf numFmtId="172" fontId="2" fillId="0" borderId="11" xfId="15" applyNumberFormat="1" applyFont="1" applyBorder="1" applyAlignment="1">
      <alignment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0" fontId="3" fillId="0" borderId="0" xfId="0" applyFont="1" applyAlignment="1">
      <alignment/>
    </xf>
    <xf numFmtId="43" fontId="3" fillId="0" borderId="0" xfId="15" applyNumberFormat="1" applyFont="1" applyAlignment="1">
      <alignment/>
    </xf>
    <xf numFmtId="172" fontId="1" fillId="0" borderId="0" xfId="15" applyNumberFormat="1" applyFont="1" applyAlignment="1">
      <alignment horizontal="left"/>
    </xf>
    <xf numFmtId="172" fontId="4" fillId="0" borderId="0" xfId="15" applyNumberFormat="1" applyFont="1" applyAlignment="1">
      <alignment horizontal="centerContinuous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2" fontId="3" fillId="0" borderId="3" xfId="15" applyNumberFormat="1" applyFont="1" applyBorder="1" applyAlignment="1">
      <alignment/>
    </xf>
    <xf numFmtId="172" fontId="2" fillId="0" borderId="0" xfId="15" applyNumberFormat="1" applyFont="1" applyAlignment="1">
      <alignment horizontal="left"/>
    </xf>
    <xf numFmtId="172" fontId="2" fillId="0" borderId="0" xfId="15" applyNumberFormat="1" applyFont="1" applyAlignment="1" quotePrefix="1">
      <alignment/>
    </xf>
    <xf numFmtId="172" fontId="2" fillId="0" borderId="12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B9XKUN0K\BIG%20Consol-06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G%20Consol-09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sol%20-%20June%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IG%20Consol-09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Segmental Info"/>
      <sheetName val="Sheet1"/>
      <sheetName val="KLSEPL"/>
      <sheetName val="KLSEBS"/>
      <sheetName val="bank"/>
    </sheetNames>
    <sheetDataSet>
      <sheetData sheetId="6">
        <row r="11">
          <cell r="E11">
            <v>23248.409</v>
          </cell>
        </row>
        <row r="12">
          <cell r="E12">
            <v>-16335.212</v>
          </cell>
        </row>
        <row r="14">
          <cell r="E14">
            <v>-2192.184</v>
          </cell>
        </row>
        <row r="15">
          <cell r="E15">
            <v>-2626.58</v>
          </cell>
        </row>
        <row r="16">
          <cell r="E16">
            <v>139.655</v>
          </cell>
        </row>
        <row r="18">
          <cell r="E18">
            <v>-975.502</v>
          </cell>
        </row>
        <row r="20">
          <cell r="E20">
            <v>-16.95204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Segmental Info"/>
      <sheetName val="KLSEPL"/>
      <sheetName val="KLSEBS"/>
      <sheetName val="bank"/>
    </sheetNames>
    <sheetDataSet>
      <sheetData sheetId="0">
        <row r="27">
          <cell r="FF27">
            <v>34185616</v>
          </cell>
        </row>
        <row r="55">
          <cell r="FF55">
            <v>24078908</v>
          </cell>
        </row>
        <row r="60">
          <cell r="FF60">
            <v>257196</v>
          </cell>
        </row>
        <row r="65">
          <cell r="FF65">
            <v>3847429</v>
          </cell>
        </row>
        <row r="68">
          <cell r="FF68">
            <v>1632223</v>
          </cell>
        </row>
        <row r="69">
          <cell r="FF69">
            <v>3465420</v>
          </cell>
        </row>
        <row r="82">
          <cell r="FF82">
            <v>17375.4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Segmental Info"/>
      <sheetName val="KLSEPL"/>
      <sheetName val="KLSEBS"/>
      <sheetName val="bank"/>
    </sheetNames>
    <sheetDataSet>
      <sheetData sheetId="0">
        <row r="27">
          <cell r="ES27">
            <v>21590405</v>
          </cell>
        </row>
        <row r="55">
          <cell r="ES55">
            <v>14912665</v>
          </cell>
        </row>
        <row r="60">
          <cell r="ES60">
            <v>225959</v>
          </cell>
        </row>
        <row r="65">
          <cell r="ES65">
            <v>2297620</v>
          </cell>
        </row>
        <row r="68">
          <cell r="ES68">
            <v>1076123</v>
          </cell>
        </row>
        <row r="69">
          <cell r="ES69">
            <v>2290212</v>
          </cell>
        </row>
        <row r="82">
          <cell r="ES82">
            <v>22552.600000000002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Segmental Info"/>
      <sheetName val="KLSEPL(1)"/>
      <sheetName val="KLSEBS"/>
      <sheetName val="equity"/>
      <sheetName val="Cashflow"/>
      <sheetName val="bank"/>
    </sheetNames>
    <sheetDataSet>
      <sheetData sheetId="0">
        <row r="31">
          <cell r="GI31">
            <v>34894043</v>
          </cell>
        </row>
        <row r="61">
          <cell r="GI61">
            <v>24517192</v>
          </cell>
        </row>
        <row r="66">
          <cell r="GI66">
            <v>184356</v>
          </cell>
        </row>
        <row r="71">
          <cell r="GI71">
            <v>3961158</v>
          </cell>
        </row>
        <row r="74">
          <cell r="GI74">
            <v>1481404</v>
          </cell>
        </row>
        <row r="75">
          <cell r="GI75">
            <v>3319347</v>
          </cell>
        </row>
        <row r="88">
          <cell r="GI88">
            <v>6794.880000000001</v>
          </cell>
        </row>
      </sheetData>
      <sheetData sheetId="2">
        <row r="9">
          <cell r="EK9">
            <v>3463492</v>
          </cell>
        </row>
        <row r="10">
          <cell r="EK10">
            <v>2142809</v>
          </cell>
        </row>
        <row r="11">
          <cell r="EK11">
            <v>20322294</v>
          </cell>
        </row>
        <row r="12">
          <cell r="EK12">
            <v>8408277</v>
          </cell>
        </row>
        <row r="14">
          <cell r="EK14">
            <v>0</v>
          </cell>
        </row>
        <row r="15">
          <cell r="EK15">
            <v>0</v>
          </cell>
        </row>
        <row r="16">
          <cell r="EK16">
            <v>0</v>
          </cell>
        </row>
        <row r="17">
          <cell r="EK17">
            <v>0</v>
          </cell>
        </row>
        <row r="18">
          <cell r="EK18">
            <v>0</v>
          </cell>
        </row>
        <row r="19">
          <cell r="EK19">
            <v>0</v>
          </cell>
        </row>
        <row r="20">
          <cell r="EK20">
            <v>0</v>
          </cell>
        </row>
        <row r="21">
          <cell r="EK21">
            <v>0</v>
          </cell>
        </row>
        <row r="22">
          <cell r="EK22">
            <v>0</v>
          </cell>
        </row>
        <row r="23">
          <cell r="EK23">
            <v>0</v>
          </cell>
        </row>
        <row r="24">
          <cell r="EK24">
            <v>0</v>
          </cell>
        </row>
        <row r="25">
          <cell r="EK25">
            <v>296369</v>
          </cell>
        </row>
        <row r="26">
          <cell r="EK26">
            <v>558383</v>
          </cell>
        </row>
        <row r="31">
          <cell r="EK31">
            <v>22471072</v>
          </cell>
        </row>
        <row r="32">
          <cell r="EK32">
            <v>9618015</v>
          </cell>
        </row>
        <row r="33">
          <cell r="EK33">
            <v>4350325</v>
          </cell>
        </row>
        <row r="34">
          <cell r="EK34">
            <v>685696</v>
          </cell>
        </row>
        <row r="35">
          <cell r="EK35">
            <v>211171</v>
          </cell>
        </row>
        <row r="43">
          <cell r="EK43">
            <v>0</v>
          </cell>
        </row>
        <row r="44">
          <cell r="EK44">
            <v>134500</v>
          </cell>
        </row>
        <row r="46">
          <cell r="EK46">
            <v>28951.88</v>
          </cell>
        </row>
        <row r="51">
          <cell r="EK51">
            <v>-6782611</v>
          </cell>
        </row>
        <row r="52">
          <cell r="EK52">
            <v>-1321776</v>
          </cell>
        </row>
        <row r="53">
          <cell r="EK53">
            <v>48424994</v>
          </cell>
        </row>
        <row r="55">
          <cell r="EK55">
            <v>-478885</v>
          </cell>
        </row>
        <row r="56">
          <cell r="EK56">
            <v>-313184</v>
          </cell>
        </row>
        <row r="57">
          <cell r="EK57">
            <v>1069890</v>
          </cell>
        </row>
        <row r="59">
          <cell r="EK59">
            <v>30000</v>
          </cell>
        </row>
        <row r="60">
          <cell r="EK60">
            <v>643263</v>
          </cell>
        </row>
        <row r="61">
          <cell r="EK61">
            <v>0</v>
          </cell>
        </row>
        <row r="65">
          <cell r="EK65">
            <v>19218000</v>
          </cell>
        </row>
        <row r="66">
          <cell r="EK66">
            <v>1891113</v>
          </cell>
        </row>
        <row r="67">
          <cell r="EK67">
            <v>2495422</v>
          </cell>
        </row>
        <row r="68">
          <cell r="EK68">
            <v>15357863.120000001</v>
          </cell>
        </row>
      </sheetData>
      <sheetData sheetId="6">
        <row r="18">
          <cell r="E18">
            <v>-1481.404</v>
          </cell>
        </row>
        <row r="20">
          <cell r="E20">
            <v>-6.794880000000001</v>
          </cell>
        </row>
        <row r="23">
          <cell r="E23">
            <v>1792.5031199999994</v>
          </cell>
          <cell r="F23">
            <v>1482.4566000000023</v>
          </cell>
        </row>
      </sheetData>
      <sheetData sheetId="7">
        <row r="10">
          <cell r="D10">
            <v>48424.994</v>
          </cell>
          <cell r="F10">
            <v>48794</v>
          </cell>
        </row>
        <row r="11">
          <cell r="D11">
            <v>1069.89</v>
          </cell>
          <cell r="F11">
            <v>1036</v>
          </cell>
        </row>
        <row r="14">
          <cell r="D14">
            <v>643.263</v>
          </cell>
          <cell r="F14">
            <v>688</v>
          </cell>
        </row>
        <row r="18">
          <cell r="D18">
            <v>5607.301</v>
          </cell>
          <cell r="F18">
            <v>4636</v>
          </cell>
        </row>
        <row r="19">
          <cell r="D19">
            <v>20322.294</v>
          </cell>
          <cell r="F19">
            <v>21178</v>
          </cell>
        </row>
        <row r="20">
          <cell r="D20">
            <v>8408.277</v>
          </cell>
          <cell r="F20">
            <v>8013</v>
          </cell>
        </row>
        <row r="21">
          <cell r="D21">
            <v>0</v>
          </cell>
          <cell r="F21">
            <v>111</v>
          </cell>
        </row>
        <row r="22">
          <cell r="D22">
            <v>296.369</v>
          </cell>
          <cell r="F22">
            <v>196</v>
          </cell>
        </row>
        <row r="23">
          <cell r="D23">
            <v>558.383</v>
          </cell>
          <cell r="F23">
            <v>773</v>
          </cell>
        </row>
        <row r="28">
          <cell r="D28">
            <v>9618.015</v>
          </cell>
          <cell r="F28">
            <v>9028</v>
          </cell>
        </row>
        <row r="29">
          <cell r="D29">
            <v>4485.825</v>
          </cell>
          <cell r="F29">
            <v>3886</v>
          </cell>
        </row>
        <row r="30">
          <cell r="D30">
            <v>211.171</v>
          </cell>
          <cell r="F30">
            <v>248</v>
          </cell>
        </row>
        <row r="31">
          <cell r="D31">
            <v>685.696</v>
          </cell>
          <cell r="F31">
            <v>886</v>
          </cell>
        </row>
        <row r="32">
          <cell r="D32">
            <v>28.951880000000003</v>
          </cell>
          <cell r="F32">
            <v>24</v>
          </cell>
        </row>
        <row r="45">
          <cell r="D45">
            <v>1321.776</v>
          </cell>
          <cell r="F45">
            <v>489</v>
          </cell>
        </row>
        <row r="46">
          <cell r="D46">
            <v>313.184</v>
          </cell>
          <cell r="F46">
            <v>627</v>
          </cell>
        </row>
      </sheetData>
      <sheetData sheetId="9">
        <row r="13">
          <cell r="C13">
            <v>48.235</v>
          </cell>
        </row>
        <row r="15">
          <cell r="C15">
            <v>3271.112</v>
          </cell>
        </row>
      </sheetData>
      <sheetData sheetId="10">
        <row r="9">
          <cell r="J9">
            <v>9616759</v>
          </cell>
        </row>
        <row r="11">
          <cell r="J11">
            <v>8704714</v>
          </cell>
        </row>
        <row r="12">
          <cell r="J12">
            <v>2321526</v>
          </cell>
        </row>
        <row r="53">
          <cell r="J53">
            <v>8610684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A6" sqref="A6"/>
    </sheetView>
  </sheetViews>
  <sheetFormatPr defaultColWidth="9.140625" defaultRowHeight="12.75"/>
  <cols>
    <col min="1" max="1" width="24.00390625" style="0" customWidth="1"/>
    <col min="2" max="6" width="13.140625" style="0" customWidth="1"/>
  </cols>
  <sheetData>
    <row r="2" spans="2:5" ht="12.75">
      <c r="B2" s="48" t="s">
        <v>125</v>
      </c>
      <c r="C2" s="48"/>
      <c r="D2" s="48" t="s">
        <v>126</v>
      </c>
      <c r="E2" s="48"/>
    </row>
    <row r="3" spans="2:6" ht="51">
      <c r="B3" s="43" t="s">
        <v>121</v>
      </c>
      <c r="C3" s="43" t="s">
        <v>122</v>
      </c>
      <c r="D3" s="43" t="s">
        <v>123</v>
      </c>
      <c r="E3" s="43" t="s">
        <v>124</v>
      </c>
      <c r="F3" s="42"/>
    </row>
    <row r="4" spans="2:6" ht="12.75">
      <c r="B4" s="43" t="s">
        <v>127</v>
      </c>
      <c r="C4" s="43" t="s">
        <v>128</v>
      </c>
      <c r="D4" s="43" t="s">
        <v>127</v>
      </c>
      <c r="E4" s="43" t="s">
        <v>128</v>
      </c>
      <c r="F4" s="42"/>
    </row>
    <row r="5" spans="2:6" ht="12.75">
      <c r="B5" s="43" t="s">
        <v>8</v>
      </c>
      <c r="C5" s="43" t="s">
        <v>8</v>
      </c>
      <c r="D5" s="43" t="s">
        <v>8</v>
      </c>
      <c r="E5" s="43" t="s">
        <v>8</v>
      </c>
      <c r="F5" s="42"/>
    </row>
    <row r="7" spans="1:5" ht="12.75">
      <c r="A7" s="42" t="s">
        <v>9</v>
      </c>
      <c r="B7" s="45">
        <f>PL!B11</f>
        <v>11645.633999999998</v>
      </c>
      <c r="C7" s="45">
        <f>PL!C11</f>
        <v>12595.211</v>
      </c>
      <c r="D7" s="45">
        <f>PL!E11</f>
        <v>34894.043</v>
      </c>
      <c r="E7" s="45">
        <f>PL!F11</f>
        <v>34185.616</v>
      </c>
    </row>
    <row r="8" spans="1:5" ht="12.75">
      <c r="A8" s="42"/>
      <c r="B8" s="45"/>
      <c r="C8" s="45"/>
      <c r="D8" s="45"/>
      <c r="E8" s="45"/>
    </row>
    <row r="9" spans="1:5" ht="12.75">
      <c r="A9" s="42" t="s">
        <v>111</v>
      </c>
      <c r="B9" s="45">
        <f>PL!B19</f>
        <v>540.7119999999986</v>
      </c>
      <c r="C9" s="45">
        <f>PL!C19</f>
        <v>260.33799999999883</v>
      </c>
      <c r="D9" s="45">
        <f>PL!E19</f>
        <v>1800</v>
      </c>
      <c r="E9" s="45">
        <f>PL!F19</f>
        <v>1499.777</v>
      </c>
    </row>
    <row r="10" spans="1:5" ht="12.75">
      <c r="A10" s="42"/>
      <c r="B10" s="45"/>
      <c r="C10" s="45"/>
      <c r="D10" s="45"/>
      <c r="E10" s="45"/>
    </row>
    <row r="11" spans="1:5" ht="25.5">
      <c r="A11" s="42" t="s">
        <v>112</v>
      </c>
      <c r="B11" s="45">
        <f>PL!B23</f>
        <v>550.8691599999986</v>
      </c>
      <c r="C11" s="45">
        <f>PL!C23</f>
        <v>265</v>
      </c>
      <c r="D11" s="45">
        <f>PL!E23</f>
        <v>1793.20512</v>
      </c>
      <c r="E11" s="45">
        <f>PL!F23</f>
        <v>1481.777</v>
      </c>
    </row>
    <row r="12" spans="1:5" ht="12.75">
      <c r="A12" s="42"/>
      <c r="B12" s="45"/>
      <c r="C12" s="45"/>
      <c r="D12" s="45"/>
      <c r="E12" s="45"/>
    </row>
    <row r="13" spans="1:5" ht="25.5">
      <c r="A13" s="42" t="s">
        <v>113</v>
      </c>
      <c r="B13" s="45">
        <f>B11</f>
        <v>550.8691599999986</v>
      </c>
      <c r="C13" s="45">
        <f>C11</f>
        <v>265</v>
      </c>
      <c r="D13" s="45">
        <f>D11</f>
        <v>1793.20512</v>
      </c>
      <c r="E13" s="45">
        <f>E11</f>
        <v>1481.777</v>
      </c>
    </row>
    <row r="14" spans="1:5" ht="12.75">
      <c r="A14" s="42"/>
      <c r="B14" s="44"/>
      <c r="C14" s="44"/>
      <c r="D14" s="44"/>
      <c r="E14" s="44"/>
    </row>
    <row r="15" spans="1:5" ht="25.5">
      <c r="A15" s="42" t="s">
        <v>114</v>
      </c>
      <c r="B15" s="44">
        <f>PL!B26</f>
        <v>2.866422936830048</v>
      </c>
      <c r="C15" s="44">
        <f>PL!C26</f>
        <v>1.3789155999583724</v>
      </c>
      <c r="D15" s="44">
        <f>PL!E26</f>
        <v>9.330862316578209</v>
      </c>
      <c r="E15" s="44">
        <f>PL!F26</f>
        <v>7.710360079092518</v>
      </c>
    </row>
    <row r="16" spans="1:5" ht="12.75">
      <c r="A16" s="42"/>
      <c r="B16" s="44"/>
      <c r="C16" s="44"/>
      <c r="D16" s="44"/>
      <c r="E16" s="44"/>
    </row>
    <row r="17" spans="1:5" ht="12.75">
      <c r="A17" s="42" t="s">
        <v>115</v>
      </c>
      <c r="B17" s="44">
        <v>0</v>
      </c>
      <c r="C17" s="44">
        <v>0</v>
      </c>
      <c r="D17" s="44">
        <v>0</v>
      </c>
      <c r="E17" s="44">
        <v>0</v>
      </c>
    </row>
    <row r="18" spans="1:5" ht="12.75">
      <c r="A18" s="42"/>
      <c r="B18" s="44"/>
      <c r="C18" s="44"/>
      <c r="D18" s="44"/>
      <c r="E18" s="44"/>
    </row>
    <row r="19" spans="1:5" ht="25.5">
      <c r="A19" s="42" t="s">
        <v>116</v>
      </c>
      <c r="D19" s="46">
        <f>'BS'!D53/100</f>
        <v>1.9717196440836715</v>
      </c>
      <c r="E19" s="46">
        <f>'BS'!F53/100</f>
        <v>1.8801644291809763</v>
      </c>
    </row>
    <row r="20" spans="2:5" ht="12.75">
      <c r="B20" s="44"/>
      <c r="C20" s="44"/>
      <c r="D20" s="44"/>
      <c r="E20" s="44"/>
    </row>
    <row r="23" ht="12.75">
      <c r="A23" t="s">
        <v>117</v>
      </c>
    </row>
    <row r="25" spans="1:5" ht="25.5">
      <c r="A25" s="42" t="s">
        <v>118</v>
      </c>
      <c r="B25" s="47">
        <f>B9</f>
        <v>540.7119999999986</v>
      </c>
      <c r="C25" s="47">
        <f>C9</f>
        <v>260.33799999999883</v>
      </c>
      <c r="D25" s="47">
        <f>D9</f>
        <v>1800</v>
      </c>
      <c r="E25" s="47">
        <f>E9</f>
        <v>1499.777</v>
      </c>
    </row>
    <row r="26" ht="12.75">
      <c r="A26" s="42"/>
    </row>
    <row r="27" spans="1:5" ht="12.75">
      <c r="A27" s="42" t="s">
        <v>119</v>
      </c>
      <c r="B27" s="44">
        <v>0</v>
      </c>
      <c r="C27" s="44">
        <v>0</v>
      </c>
      <c r="D27" s="44">
        <v>0</v>
      </c>
      <c r="E27" s="44">
        <v>0</v>
      </c>
    </row>
    <row r="28" ht="12.75">
      <c r="A28" s="42"/>
    </row>
    <row r="29" spans="1:5" ht="12.75">
      <c r="A29" s="42" t="s">
        <v>120</v>
      </c>
      <c r="B29" s="45">
        <v>506</v>
      </c>
      <c r="C29" s="45">
        <v>556</v>
      </c>
      <c r="D29" s="45">
        <v>1481</v>
      </c>
      <c r="E29" s="45">
        <v>1632</v>
      </c>
    </row>
    <row r="30" ht="12.75">
      <c r="A30" s="42"/>
    </row>
  </sheetData>
  <mergeCells count="2">
    <mergeCell ref="B2:C2"/>
    <mergeCell ref="D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 topLeftCell="A14">
      <selection activeCell="F26" sqref="F26"/>
    </sheetView>
  </sheetViews>
  <sheetFormatPr defaultColWidth="9.140625" defaultRowHeight="12.75"/>
  <cols>
    <col min="1" max="1" width="39.8515625" style="4" customWidth="1"/>
    <col min="2" max="3" width="15.28125" style="3" customWidth="1"/>
    <col min="4" max="4" width="4.57421875" style="3" customWidth="1"/>
    <col min="5" max="5" width="16.7109375" style="3" customWidth="1"/>
    <col min="6" max="6" width="15.57421875" style="3" customWidth="1"/>
    <col min="7" max="16384" width="9.140625" style="4" customWidth="1"/>
  </cols>
  <sheetData>
    <row r="1" spans="1:6" s="2" customFormat="1" ht="16.5">
      <c r="A1" s="49" t="s">
        <v>0</v>
      </c>
      <c r="B1" s="49"/>
      <c r="C1" s="49"/>
      <c r="D1" s="49"/>
      <c r="E1" s="49"/>
      <c r="F1" s="49"/>
    </row>
    <row r="2" spans="1:6" s="2" customFormat="1" ht="16.5">
      <c r="A2" s="50" t="s">
        <v>1</v>
      </c>
      <c r="B2" s="50"/>
      <c r="C2" s="50"/>
      <c r="D2" s="50"/>
      <c r="E2" s="50"/>
      <c r="F2" s="50"/>
    </row>
    <row r="3" spans="1:6" s="2" customFormat="1" ht="16.5">
      <c r="A3" s="49" t="s">
        <v>2</v>
      </c>
      <c r="B3" s="49"/>
      <c r="C3" s="49"/>
      <c r="D3" s="49"/>
      <c r="E3" s="49"/>
      <c r="F3" s="49"/>
    </row>
    <row r="4" ht="16.5">
      <c r="A4" s="2" t="s">
        <v>3</v>
      </c>
    </row>
    <row r="5" ht="16.5">
      <c r="A5" s="2"/>
    </row>
    <row r="6" spans="2:6" ht="16.5">
      <c r="B6" s="5" t="s">
        <v>4</v>
      </c>
      <c r="C6" s="6"/>
      <c r="E6" s="5" t="s">
        <v>5</v>
      </c>
      <c r="F6" s="6"/>
    </row>
    <row r="7" spans="2:6" ht="16.5">
      <c r="B7" s="7" t="s">
        <v>6</v>
      </c>
      <c r="C7" s="7" t="s">
        <v>7</v>
      </c>
      <c r="D7" s="8"/>
      <c r="E7" s="7" t="s">
        <v>6</v>
      </c>
      <c r="F7" s="7" t="s">
        <v>7</v>
      </c>
    </row>
    <row r="8" spans="2:6" ht="17.25" thickBot="1">
      <c r="B8" s="9" t="s">
        <v>8</v>
      </c>
      <c r="C8" s="9" t="s">
        <v>8</v>
      </c>
      <c r="E8" s="9" t="s">
        <v>8</v>
      </c>
      <c r="F8" s="9" t="s">
        <v>8</v>
      </c>
    </row>
    <row r="9" spans="2:6" ht="16.5">
      <c r="B9" s="10"/>
      <c r="C9" s="10"/>
      <c r="E9" s="10"/>
      <c r="F9" s="10"/>
    </row>
    <row r="11" spans="1:6" ht="16.5">
      <c r="A11" s="11" t="s">
        <v>9</v>
      </c>
      <c r="B11" s="3">
        <f>+E11-'[1]Sheet1'!$E$11</f>
        <v>11645.633999999998</v>
      </c>
      <c r="C11" s="3">
        <f>(+'[2]PL'!$FF$27-'[3]PL'!$ES$27)/1000</f>
        <v>12595.211</v>
      </c>
      <c r="E11" s="3">
        <f>+'[4]PL'!GI31/1000</f>
        <v>34894.043</v>
      </c>
      <c r="F11" s="3">
        <f>+'[2]PL'!$FF$27/1000</f>
        <v>34185.616</v>
      </c>
    </row>
    <row r="12" spans="1:6" ht="16.5">
      <c r="A12" s="4" t="s">
        <v>10</v>
      </c>
      <c r="B12" s="12">
        <f>+E12-'[1]Sheet1'!$E$12</f>
        <v>-8181.98</v>
      </c>
      <c r="C12" s="12">
        <f>(-'[2]PL'!$FF$55+81250+'[3]PL'!$ES$55)/1000</f>
        <v>-9084.993</v>
      </c>
      <c r="E12" s="12">
        <f>-'[4]PL'!GI61/1000</f>
        <v>-24517.192</v>
      </c>
      <c r="F12" s="12">
        <f>-'[2]PL'!$FF$55/1000+81</f>
        <v>-23997.908</v>
      </c>
    </row>
    <row r="13" spans="1:6" ht="16.5">
      <c r="A13" s="11" t="s">
        <v>11</v>
      </c>
      <c r="B13" s="3">
        <f>+B11+B12</f>
        <v>3463.6539999999986</v>
      </c>
      <c r="C13" s="3">
        <f>+C11+C12</f>
        <v>3510.217999999999</v>
      </c>
      <c r="E13" s="3">
        <f>+E11+E12</f>
        <v>10376.850999999999</v>
      </c>
      <c r="F13" s="3">
        <f>+F11+F12</f>
        <v>10187.708000000002</v>
      </c>
    </row>
    <row r="14" spans="1:6" ht="16.5">
      <c r="A14" s="4" t="s">
        <v>12</v>
      </c>
      <c r="B14" s="3">
        <f>+E14-'[1]Sheet1'!$E$15</f>
        <v>-1334.578</v>
      </c>
      <c r="C14" s="3">
        <f>(-'[2]PL'!$FF$65+'[3]PL'!$ES$65)/1000</f>
        <v>-1549.809</v>
      </c>
      <c r="E14" s="3">
        <f>-'[4]PL'!GI71/1000</f>
        <v>-3961.158</v>
      </c>
      <c r="F14" s="3">
        <v>-3848</v>
      </c>
    </row>
    <row r="15" spans="1:6" ht="16.5">
      <c r="A15" s="4" t="s">
        <v>13</v>
      </c>
      <c r="B15" s="3">
        <f>+E15-'[1]Sheet1'!$E$14</f>
        <v>-1127.163</v>
      </c>
      <c r="C15" s="3">
        <f>(-'[2]PL'!$FF$69+'[3]PL'!$ES$69)/1000</f>
        <v>-1175.208</v>
      </c>
      <c r="E15" s="3">
        <f>-'[4]PL'!GI75/1000</f>
        <v>-3319.347</v>
      </c>
      <c r="F15" s="3">
        <f>-'[2]PL'!$FF$69/1000</f>
        <v>-3465.42</v>
      </c>
    </row>
    <row r="16" spans="1:6" ht="16.5">
      <c r="A16" s="4" t="s">
        <v>14</v>
      </c>
      <c r="B16" s="12">
        <f>+E16-'[1]Sheet1'!$E$16</f>
        <v>44.70099999999999</v>
      </c>
      <c r="C16" s="12">
        <f>(+'[2]PL'!$FF$60-'[3]PL'!$ES$60)/1000</f>
        <v>31.237</v>
      </c>
      <c r="E16" s="12">
        <f>'[4]PL'!GI66/1000</f>
        <v>184.356</v>
      </c>
      <c r="F16" s="12">
        <f>+'[2]PL'!$FF$60/1000</f>
        <v>257.196</v>
      </c>
    </row>
    <row r="17" spans="1:6" ht="16.5">
      <c r="A17" s="11" t="s">
        <v>15</v>
      </c>
      <c r="B17" s="3">
        <f>SUM(B13:B16)</f>
        <v>1046.6139999999987</v>
      </c>
      <c r="C17" s="3">
        <f>SUM(C13:C16)</f>
        <v>816.4379999999989</v>
      </c>
      <c r="E17" s="3">
        <f>SUM(E13:E16)</f>
        <v>3280.7019999999993</v>
      </c>
      <c r="F17" s="3">
        <v>3132</v>
      </c>
    </row>
    <row r="18" spans="1:6" ht="16.5">
      <c r="A18" s="4" t="s">
        <v>16</v>
      </c>
      <c r="B18" s="12">
        <f>+E18-'[1]Sheet1'!$E$18</f>
        <v>-505.90200000000004</v>
      </c>
      <c r="C18" s="12">
        <f>(-'[2]PL'!$FF$68+'[3]PL'!$ES$68)/1000</f>
        <v>-556.1</v>
      </c>
      <c r="E18" s="12">
        <f>-'[4]PL'!GI74/1000</f>
        <v>-1481.404</v>
      </c>
      <c r="F18" s="12">
        <f>-'[2]PL'!$FF$68/1000</f>
        <v>-1632.223</v>
      </c>
    </row>
    <row r="19" spans="1:6" ht="16.5">
      <c r="A19" s="11" t="s">
        <v>17</v>
      </c>
      <c r="B19" s="3">
        <f>+B17+B18</f>
        <v>540.7119999999986</v>
      </c>
      <c r="C19" s="3">
        <f>+C17+C18</f>
        <v>260.33799999999883</v>
      </c>
      <c r="E19" s="3">
        <v>1800</v>
      </c>
      <c r="F19" s="3">
        <f>+F17+F18</f>
        <v>1499.777</v>
      </c>
    </row>
    <row r="20" spans="1:6" ht="16.5">
      <c r="A20" s="4" t="s">
        <v>18</v>
      </c>
      <c r="B20" s="12">
        <f>+E20-'[1]Sheet1'!$E$20</f>
        <v>10.15716</v>
      </c>
      <c r="C20" s="12">
        <f>(-'[2]PL'!$FF$82+'[3]PL'!$ES$82)/1000</f>
        <v>5.177200000000001</v>
      </c>
      <c r="E20" s="12">
        <f>-'[4]PL'!GI88/1000</f>
        <v>-6.794880000000001</v>
      </c>
      <c r="F20" s="12">
        <v>-18</v>
      </c>
    </row>
    <row r="21" spans="1:6" ht="16.5">
      <c r="A21" s="11" t="s">
        <v>19</v>
      </c>
      <c r="B21" s="3">
        <f>+B19+B20</f>
        <v>550.8691599999986</v>
      </c>
      <c r="C21" s="3">
        <v>265</v>
      </c>
      <c r="E21" s="3">
        <f>+E19+E20</f>
        <v>1793.20512</v>
      </c>
      <c r="F21" s="3">
        <f>+F19+F20</f>
        <v>1481.777</v>
      </c>
    </row>
    <row r="22" ht="16.5">
      <c r="A22" s="4" t="s">
        <v>20</v>
      </c>
    </row>
    <row r="23" spans="1:6" ht="17.25" thickBot="1">
      <c r="A23" s="11" t="s">
        <v>21</v>
      </c>
      <c r="B23" s="13">
        <f>+B21+B22</f>
        <v>550.8691599999986</v>
      </c>
      <c r="C23" s="13">
        <f>+C21+C22</f>
        <v>265</v>
      </c>
      <c r="E23" s="13">
        <f>+E21+E22</f>
        <v>1793.20512</v>
      </c>
      <c r="F23" s="13">
        <f>+F21+F22</f>
        <v>1481.777</v>
      </c>
    </row>
    <row r="24" ht="17.25" thickTop="1"/>
    <row r="25" spans="5:6" ht="16.5">
      <c r="E25" s="14"/>
      <c r="F25" s="14"/>
    </row>
    <row r="26" spans="1:6" ht="17.25" thickBot="1">
      <c r="A26" s="4" t="s">
        <v>22</v>
      </c>
      <c r="B26" s="15">
        <f>+B23/19218*100</f>
        <v>2.866422936830048</v>
      </c>
      <c r="C26" s="15">
        <f>+C23/19218*100</f>
        <v>1.3789155999583724</v>
      </c>
      <c r="E26" s="15">
        <f>+E23/19218*100</f>
        <v>9.330862316578209</v>
      </c>
      <c r="F26" s="15">
        <f>+F23/19218*100</f>
        <v>7.710360079092518</v>
      </c>
    </row>
    <row r="27" ht="17.25" thickTop="1"/>
    <row r="29" spans="1:6" ht="17.25" thickBot="1">
      <c r="A29" s="4" t="s">
        <v>23</v>
      </c>
      <c r="B29" s="16"/>
      <c r="C29" s="16"/>
      <c r="E29" s="16"/>
      <c r="F29" s="16"/>
    </row>
    <row r="30" ht="17.25" thickTop="1"/>
  </sheetData>
  <mergeCells count="3">
    <mergeCell ref="A1:F1"/>
    <mergeCell ref="A2:F2"/>
    <mergeCell ref="A3:F3"/>
  </mergeCells>
  <printOptions/>
  <pageMargins left="0.75" right="0.31" top="1" bottom="1" header="0.5" footer="0.5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C51">
      <selection activeCell="F48" sqref="F48"/>
    </sheetView>
  </sheetViews>
  <sheetFormatPr defaultColWidth="9.140625" defaultRowHeight="12.75"/>
  <cols>
    <col min="1" max="1" width="3.8515625" style="4" customWidth="1"/>
    <col min="2" max="2" width="44.140625" style="4" customWidth="1"/>
    <col min="3" max="3" width="4.8515625" style="4" customWidth="1"/>
    <col min="4" max="4" width="19.57421875" style="4" customWidth="1"/>
    <col min="5" max="5" width="4.57421875" style="4" customWidth="1"/>
    <col min="6" max="6" width="19.8515625" style="4" customWidth="1"/>
    <col min="7" max="7" width="2.7109375" style="4" customWidth="1"/>
    <col min="8" max="8" width="7.57421875" style="4" hidden="1" customWidth="1"/>
    <col min="9" max="16384" width="9.140625" style="4" customWidth="1"/>
  </cols>
  <sheetData>
    <row r="1" spans="1:8" s="2" customFormat="1" ht="16.5">
      <c r="A1" s="49" t="s">
        <v>0</v>
      </c>
      <c r="B1" s="49"/>
      <c r="C1" s="49"/>
      <c r="D1" s="49"/>
      <c r="E1" s="49"/>
      <c r="F1" s="49"/>
      <c r="G1" s="49"/>
      <c r="H1" s="49"/>
    </row>
    <row r="2" spans="1:8" s="2" customFormat="1" ht="16.5">
      <c r="A2" s="50" t="s">
        <v>1</v>
      </c>
      <c r="B2" s="50"/>
      <c r="C2" s="50"/>
      <c r="D2" s="50"/>
      <c r="E2" s="50"/>
      <c r="F2" s="50"/>
      <c r="G2" s="50"/>
      <c r="H2" s="50"/>
    </row>
    <row r="3" spans="1:8" s="2" customFormat="1" ht="16.5">
      <c r="A3" s="49" t="s">
        <v>24</v>
      </c>
      <c r="B3" s="49"/>
      <c r="C3" s="49"/>
      <c r="D3" s="49"/>
      <c r="E3" s="49"/>
      <c r="F3" s="49"/>
      <c r="G3" s="49"/>
      <c r="H3" s="49"/>
    </row>
    <row r="4" ht="16.5">
      <c r="A4" s="2" t="s">
        <v>3</v>
      </c>
    </row>
    <row r="5" ht="16.5">
      <c r="A5" s="2"/>
    </row>
    <row r="6" spans="4:8" ht="23.25" customHeight="1">
      <c r="D6" s="17" t="s">
        <v>25</v>
      </c>
      <c r="E6" s="18"/>
      <c r="F6" s="17" t="s">
        <v>26</v>
      </c>
      <c r="H6" s="18" t="s">
        <v>27</v>
      </c>
    </row>
    <row r="7" spans="4:8" ht="16.5">
      <c r="D7" s="19" t="s">
        <v>28</v>
      </c>
      <c r="E7" s="19"/>
      <c r="F7" s="19" t="s">
        <v>28</v>
      </c>
      <c r="H7" s="19" t="s">
        <v>28</v>
      </c>
    </row>
    <row r="8" spans="4:8" ht="16.5">
      <c r="D8" s="19"/>
      <c r="E8" s="19"/>
      <c r="F8" s="19"/>
      <c r="H8" s="19"/>
    </row>
    <row r="9" ht="16.5">
      <c r="B9" s="11" t="s">
        <v>29</v>
      </c>
    </row>
    <row r="10" spans="2:8" ht="16.5">
      <c r="B10" s="4" t="s">
        <v>30</v>
      </c>
      <c r="D10" s="3">
        <f>+'[4]BS'!EK53/1000</f>
        <v>48424.994</v>
      </c>
      <c r="E10" s="3"/>
      <c r="F10" s="3">
        <v>48794</v>
      </c>
      <c r="H10" s="3">
        <v>52023</v>
      </c>
    </row>
    <row r="11" spans="2:8" ht="16.5">
      <c r="B11" s="4" t="s">
        <v>31</v>
      </c>
      <c r="D11" s="3">
        <f>+'[4]BS'!EK57/1000</f>
        <v>1069.89</v>
      </c>
      <c r="E11" s="3"/>
      <c r="F11" s="3">
        <v>1036</v>
      </c>
      <c r="H11" s="3"/>
    </row>
    <row r="12" spans="2:8" ht="16.5">
      <c r="B12" s="4" t="s">
        <v>32</v>
      </c>
      <c r="D12" s="3">
        <f>+'[4]BS'!EK61/1000</f>
        <v>0</v>
      </c>
      <c r="E12" s="3"/>
      <c r="F12" s="3">
        <v>0</v>
      </c>
      <c r="H12" s="3">
        <v>0</v>
      </c>
    </row>
    <row r="13" spans="2:8" ht="16.5">
      <c r="B13" s="4" t="s">
        <v>33</v>
      </c>
      <c r="D13" s="3">
        <f>+'[4]BS'!EK59/1000</f>
        <v>30</v>
      </c>
      <c r="E13" s="3"/>
      <c r="F13" s="3">
        <v>30</v>
      </c>
      <c r="H13" s="3">
        <v>0</v>
      </c>
    </row>
    <row r="14" spans="2:8" ht="16.5">
      <c r="B14" s="4" t="s">
        <v>34</v>
      </c>
      <c r="D14" s="3">
        <f>+'[4]BS'!EK60/1000</f>
        <v>643.263</v>
      </c>
      <c r="E14" s="3"/>
      <c r="F14" s="3">
        <v>688</v>
      </c>
      <c r="H14" s="3">
        <v>1150</v>
      </c>
    </row>
    <row r="16" spans="4:6" ht="16.5">
      <c r="D16" s="3"/>
      <c r="E16" s="3"/>
      <c r="F16" s="3"/>
    </row>
    <row r="17" spans="2:6" ht="16.5">
      <c r="B17" s="11" t="s">
        <v>35</v>
      </c>
      <c r="D17" s="3"/>
      <c r="E17" s="14"/>
      <c r="F17" s="3"/>
    </row>
    <row r="18" spans="2:8" ht="16.5">
      <c r="B18" s="4" t="s">
        <v>36</v>
      </c>
      <c r="D18" s="20">
        <f>+'[4]BS'!EK9/1000+'[4]BS'!EK10/1000+1</f>
        <v>5607.301</v>
      </c>
      <c r="E18" s="21"/>
      <c r="F18" s="20">
        <v>4636</v>
      </c>
      <c r="H18" s="20">
        <v>2931</v>
      </c>
    </row>
    <row r="19" spans="2:8" ht="16.5">
      <c r="B19" s="4" t="s">
        <v>37</v>
      </c>
      <c r="D19" s="21">
        <f>+'[4]BS'!EK11/1000</f>
        <v>20322.294</v>
      </c>
      <c r="E19" s="21"/>
      <c r="F19" s="21">
        <v>21178</v>
      </c>
      <c r="H19" s="21">
        <v>13758</v>
      </c>
    </row>
    <row r="20" spans="2:8" ht="16.5">
      <c r="B20" s="4" t="s">
        <v>38</v>
      </c>
      <c r="D20" s="21">
        <f>+'[4]BS'!EK12/1000</f>
        <v>8408.277</v>
      </c>
      <c r="E20" s="21"/>
      <c r="F20" s="21">
        <v>8013</v>
      </c>
      <c r="H20" s="21">
        <v>1793</v>
      </c>
    </row>
    <row r="21" spans="2:8" ht="16.5">
      <c r="B21" s="4" t="s">
        <v>39</v>
      </c>
      <c r="D21" s="21">
        <f>(+'[4]BS'!EK14+'[4]BS'!EK15+'[4]BS'!EK16+'[4]BS'!EK17+'[4]BS'!EK18+'[4]BS'!EK19+'[4]BS'!EK20+'[4]BS'!EK21+'[4]BS'!EK22+'[4]BS'!EK23+'[4]BS'!EK24)/1000</f>
        <v>0</v>
      </c>
      <c r="E21" s="21"/>
      <c r="F21" s="21">
        <v>111</v>
      </c>
      <c r="H21" s="21">
        <v>200</v>
      </c>
    </row>
    <row r="22" spans="2:8" ht="16.5">
      <c r="B22" s="4" t="s">
        <v>40</v>
      </c>
      <c r="D22" s="21">
        <f>+'[4]BS'!EK25/1000</f>
        <v>296.369</v>
      </c>
      <c r="E22" s="21"/>
      <c r="F22" s="21">
        <v>196</v>
      </c>
      <c r="H22" s="21">
        <v>649</v>
      </c>
    </row>
    <row r="23" spans="2:8" ht="16.5">
      <c r="B23" s="4" t="s">
        <v>41</v>
      </c>
      <c r="D23" s="22">
        <f>+'[4]BS'!EK26/1000</f>
        <v>558.383</v>
      </c>
      <c r="E23" s="21"/>
      <c r="F23" s="21">
        <v>773</v>
      </c>
      <c r="H23" s="21"/>
    </row>
    <row r="24" spans="4:8" ht="16.5">
      <c r="D24" s="23">
        <f>SUM(D18:D23)-2</f>
        <v>35190.624</v>
      </c>
      <c r="E24" s="21"/>
      <c r="F24" s="24">
        <f>SUM(F18:F23)</f>
        <v>34907</v>
      </c>
      <c r="H24" s="24">
        <f>SUM(H18:H23)</f>
        <v>19331</v>
      </c>
    </row>
    <row r="25" spans="4:6" ht="16.5">
      <c r="D25" s="3"/>
      <c r="E25" s="14"/>
      <c r="F25" s="3"/>
    </row>
    <row r="26" spans="2:6" ht="16.5">
      <c r="B26" s="11" t="s">
        <v>42</v>
      </c>
      <c r="D26" s="3"/>
      <c r="E26" s="14"/>
      <c r="F26" s="3"/>
    </row>
    <row r="27" spans="2:8" ht="16.5">
      <c r="B27" s="4" t="s">
        <v>43</v>
      </c>
      <c r="D27" s="25">
        <f>+'[4]BS'!EK31/1000</f>
        <v>22471.072</v>
      </c>
      <c r="E27" s="21"/>
      <c r="F27" s="20">
        <v>26060</v>
      </c>
      <c r="H27" s="20">
        <v>20606</v>
      </c>
    </row>
    <row r="28" spans="2:8" ht="16.5">
      <c r="B28" s="4" t="s">
        <v>44</v>
      </c>
      <c r="D28" s="22">
        <f>+'[4]BS'!EK32/1000</f>
        <v>9618.015</v>
      </c>
      <c r="E28" s="21"/>
      <c r="F28" s="21">
        <v>9028</v>
      </c>
      <c r="H28" s="21">
        <v>4493</v>
      </c>
    </row>
    <row r="29" spans="2:8" ht="16.5">
      <c r="B29" s="4" t="s">
        <v>45</v>
      </c>
      <c r="D29" s="22">
        <f>+'[4]BS'!EK33/1000+'[4]BS'!EK43/1000+'[4]BS'!EK44/1000+1</f>
        <v>4485.825</v>
      </c>
      <c r="E29" s="21"/>
      <c r="F29" s="21">
        <v>3886</v>
      </c>
      <c r="H29" s="21">
        <v>4898</v>
      </c>
    </row>
    <row r="30" spans="2:8" ht="16.5">
      <c r="B30" s="4" t="s">
        <v>46</v>
      </c>
      <c r="D30" s="22">
        <f>+'[4]BS'!EK35/1000</f>
        <v>211.171</v>
      </c>
      <c r="E30" s="21"/>
      <c r="F30" s="21">
        <v>248</v>
      </c>
      <c r="H30" s="21">
        <v>0</v>
      </c>
    </row>
    <row r="31" spans="2:8" ht="16.5">
      <c r="B31" s="4" t="s">
        <v>47</v>
      </c>
      <c r="D31" s="22">
        <f>+'[4]BS'!EK34/1000</f>
        <v>685.696</v>
      </c>
      <c r="E31" s="21"/>
      <c r="F31" s="21">
        <v>886</v>
      </c>
      <c r="H31" s="21"/>
    </row>
    <row r="32" spans="2:8" ht="16.5">
      <c r="B32" s="4" t="s">
        <v>48</v>
      </c>
      <c r="D32" s="22">
        <f>+'[4]BS'!EK46/1000</f>
        <v>28.951880000000003</v>
      </c>
      <c r="E32" s="21"/>
      <c r="F32" s="21">
        <v>24</v>
      </c>
      <c r="H32" s="21"/>
    </row>
    <row r="33" spans="4:8" ht="16.5">
      <c r="D33" s="23">
        <f>SUM(D27:D32)</f>
        <v>37500.73088</v>
      </c>
      <c r="E33" s="21"/>
      <c r="F33" s="24">
        <f>SUM(F27:F32)</f>
        <v>40132</v>
      </c>
      <c r="H33" s="24">
        <f>SUM(H27:H31)</f>
        <v>29997</v>
      </c>
    </row>
    <row r="34" spans="4:8" ht="16.5">
      <c r="D34" s="3"/>
      <c r="E34" s="14"/>
      <c r="F34" s="3"/>
      <c r="H34" s="3"/>
    </row>
    <row r="35" spans="2:8" ht="16.5">
      <c r="B35" s="11" t="s">
        <v>49</v>
      </c>
      <c r="D35" s="3">
        <f>+D24-D33</f>
        <v>-2310.1068799999994</v>
      </c>
      <c r="E35" s="14"/>
      <c r="F35" s="3">
        <f>+F24-F33</f>
        <v>-5225</v>
      </c>
      <c r="H35" s="3">
        <f>+H24-H33</f>
        <v>-10666</v>
      </c>
    </row>
    <row r="36" spans="4:8" ht="16.5">
      <c r="D36" s="3"/>
      <c r="E36" s="14"/>
      <c r="F36" s="3"/>
      <c r="H36" s="3"/>
    </row>
    <row r="37" spans="4:8" ht="17.25" thickBot="1">
      <c r="D37" s="26">
        <f>+D10+D11+D12+D13+D14+D35</f>
        <v>47858.04012</v>
      </c>
      <c r="E37" s="14"/>
      <c r="F37" s="26">
        <f>+F10+F11+F12+F13+F14+F35</f>
        <v>45323</v>
      </c>
      <c r="H37" s="26">
        <f>+H35+H14+H10+H13</f>
        <v>42507</v>
      </c>
    </row>
    <row r="38" spans="4:8" ht="16.5">
      <c r="D38" s="3"/>
      <c r="E38" s="14"/>
      <c r="F38" s="3"/>
      <c r="H38" s="3"/>
    </row>
    <row r="39" spans="2:8" ht="16.5">
      <c r="B39" s="4" t="s">
        <v>50</v>
      </c>
      <c r="D39" s="3"/>
      <c r="E39" s="14"/>
      <c r="F39" s="3"/>
      <c r="H39" s="3"/>
    </row>
    <row r="40" spans="2:8" ht="16.5">
      <c r="B40" s="4" t="s">
        <v>51</v>
      </c>
      <c r="D40" s="3">
        <f>+'[4]BS'!EK65/1000</f>
        <v>19218</v>
      </c>
      <c r="E40" s="14"/>
      <c r="F40" s="3">
        <v>19218</v>
      </c>
      <c r="H40" s="3"/>
    </row>
    <row r="41" spans="2:8" ht="16.5">
      <c r="B41" s="4" t="s">
        <v>52</v>
      </c>
      <c r="D41" s="12">
        <f>(+'[4]BS'!EK66+'[4]BS'!EK67+'[4]BS'!EK68)/1000</f>
        <v>19744.39812</v>
      </c>
      <c r="E41" s="14"/>
      <c r="F41" s="12">
        <v>17951</v>
      </c>
      <c r="H41" s="3">
        <v>19218</v>
      </c>
    </row>
    <row r="42" spans="2:8" ht="25.5" customHeight="1">
      <c r="B42" s="11" t="s">
        <v>53</v>
      </c>
      <c r="D42" s="3">
        <f>+D41+D40</f>
        <v>38962.39812</v>
      </c>
      <c r="E42" s="14"/>
      <c r="F42" s="3">
        <f>+F40+F41</f>
        <v>37169</v>
      </c>
      <c r="H42" s="3"/>
    </row>
    <row r="43" spans="4:8" ht="16.5">
      <c r="D43" s="3"/>
      <c r="E43" s="14"/>
      <c r="F43" s="3"/>
      <c r="H43" s="3"/>
    </row>
    <row r="44" spans="2:8" ht="16.5">
      <c r="B44" s="11" t="s">
        <v>54</v>
      </c>
      <c r="D44" s="3"/>
      <c r="E44" s="14"/>
      <c r="F44" s="3"/>
      <c r="H44" s="3"/>
    </row>
    <row r="45" spans="2:8" ht="16.5">
      <c r="B45" s="4" t="s">
        <v>46</v>
      </c>
      <c r="D45" s="3">
        <f>-'[4]BS'!EK52/1000</f>
        <v>1321.776</v>
      </c>
      <c r="E45" s="14"/>
      <c r="F45" s="3">
        <v>489</v>
      </c>
      <c r="H45" s="3">
        <v>1891</v>
      </c>
    </row>
    <row r="46" spans="2:8" ht="16.5">
      <c r="B46" s="4" t="s">
        <v>47</v>
      </c>
      <c r="D46" s="3">
        <f>-'[4]BS'!EK56/1000</f>
        <v>313.184</v>
      </c>
      <c r="E46" s="14"/>
      <c r="F46" s="3">
        <v>627</v>
      </c>
      <c r="H46" s="3">
        <v>0</v>
      </c>
    </row>
    <row r="47" spans="2:8" ht="16.5">
      <c r="B47" s="4" t="s">
        <v>55</v>
      </c>
      <c r="D47" s="3">
        <f>-'[4]BS'!EK51/1000-1</f>
        <v>6781.611</v>
      </c>
      <c r="E47" s="14"/>
      <c r="F47" s="3">
        <v>6559</v>
      </c>
      <c r="H47" s="3">
        <v>2419</v>
      </c>
    </row>
    <row r="48" spans="2:8" ht="16.5">
      <c r="B48" s="4" t="s">
        <v>56</v>
      </c>
      <c r="D48" s="3">
        <f>-'[4]BS'!EK55/1000</f>
        <v>478.885</v>
      </c>
      <c r="E48" s="14"/>
      <c r="F48" s="3">
        <v>479</v>
      </c>
      <c r="H48" s="3">
        <v>0</v>
      </c>
    </row>
    <row r="49" spans="4:8" ht="16.5">
      <c r="D49" s="12"/>
      <c r="E49" s="14"/>
      <c r="F49" s="12"/>
      <c r="H49" s="12"/>
    </row>
    <row r="50" spans="4:8" ht="17.25" thickBot="1">
      <c r="D50" s="13">
        <f>SUM(D42:D49)</f>
        <v>47857.854119999996</v>
      </c>
      <c r="E50" s="14"/>
      <c r="F50" s="13">
        <f>+F42+F45+F46+F47+F48</f>
        <v>45323</v>
      </c>
      <c r="H50" s="3">
        <f>SUM(H41:H49)</f>
        <v>23528</v>
      </c>
    </row>
    <row r="51" spans="4:8" ht="17.25" thickTop="1">
      <c r="D51" s="3"/>
      <c r="E51" s="14"/>
      <c r="F51" s="3"/>
      <c r="H51" s="3"/>
    </row>
    <row r="52" spans="4:6" ht="16.5">
      <c r="D52" s="27"/>
      <c r="E52" s="28"/>
      <c r="F52" s="27">
        <f>+F37-F50</f>
        <v>0</v>
      </c>
    </row>
    <row r="53" spans="2:6" ht="16.5">
      <c r="B53" s="29" t="s">
        <v>57</v>
      </c>
      <c r="D53" s="30">
        <f>+((D42-D11)/D40)*100</f>
        <v>197.17196440836716</v>
      </c>
      <c r="E53" s="14"/>
      <c r="F53" s="30">
        <f>+((F42-F11)/F40)*100</f>
        <v>188.01644291809762</v>
      </c>
    </row>
    <row r="54" spans="4:6" ht="16.5">
      <c r="D54" s="3"/>
      <c r="E54" s="14"/>
      <c r="F54" s="3"/>
    </row>
    <row r="55" spans="4:6" ht="16.5">
      <c r="D55" s="3"/>
      <c r="E55" s="14"/>
      <c r="F55" s="3"/>
    </row>
    <row r="56" spans="4:6" ht="16.5">
      <c r="D56" s="3"/>
      <c r="E56" s="14"/>
      <c r="F56" s="3"/>
    </row>
    <row r="57" spans="4:6" ht="16.5">
      <c r="D57" s="3"/>
      <c r="E57" s="14"/>
      <c r="F57" s="3"/>
    </row>
    <row r="58" spans="4:6" ht="16.5">
      <c r="D58" s="3"/>
      <c r="E58" s="3"/>
      <c r="F58" s="3"/>
    </row>
    <row r="59" spans="4:6" ht="16.5">
      <c r="D59" s="3"/>
      <c r="E59" s="3"/>
      <c r="F59" s="3"/>
    </row>
    <row r="60" spans="4:6" ht="16.5">
      <c r="D60" s="3"/>
      <c r="E60" s="3"/>
      <c r="F60" s="3"/>
    </row>
    <row r="61" spans="4:6" ht="16.5">
      <c r="D61" s="27"/>
      <c r="E61" s="27"/>
      <c r="F61" s="27"/>
    </row>
  </sheetData>
  <mergeCells count="3">
    <mergeCell ref="A1:H1"/>
    <mergeCell ref="A2:H2"/>
    <mergeCell ref="A3:H3"/>
  </mergeCells>
  <printOptions/>
  <pageMargins left="0.75" right="0.28" top="0.72" bottom="0.84" header="0.5" footer="0.5"/>
  <pageSetup fitToHeight="1" fitToWidth="1" horizontalDpi="360" verticalDpi="36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0">
      <selection activeCell="K21" sqref="K14:N21"/>
    </sheetView>
  </sheetViews>
  <sheetFormatPr defaultColWidth="9.140625" defaultRowHeight="12.75"/>
  <cols>
    <col min="1" max="1" width="29.7109375" style="29" customWidth="1"/>
    <col min="2" max="2" width="11.57421875" style="35" customWidth="1"/>
    <col min="3" max="3" width="12.00390625" style="35" customWidth="1"/>
    <col min="4" max="4" width="15.140625" style="35" customWidth="1"/>
    <col min="5" max="5" width="13.57421875" style="35" customWidth="1"/>
    <col min="6" max="6" width="12.8515625" style="35" customWidth="1"/>
    <col min="7" max="16384" width="9.140625" style="29" customWidth="1"/>
  </cols>
  <sheetData>
    <row r="1" spans="1:6" s="1" customFormat="1" ht="15">
      <c r="A1" s="49" t="s">
        <v>0</v>
      </c>
      <c r="B1" s="49"/>
      <c r="C1" s="49"/>
      <c r="D1" s="49"/>
      <c r="E1" s="49"/>
      <c r="F1" s="49"/>
    </row>
    <row r="2" spans="1:6" s="1" customFormat="1" ht="15">
      <c r="A2" s="49" t="s">
        <v>1</v>
      </c>
      <c r="B2" s="49"/>
      <c r="C2" s="49"/>
      <c r="D2" s="49"/>
      <c r="E2" s="49"/>
      <c r="F2" s="49"/>
    </row>
    <row r="3" spans="1:6" s="1" customFormat="1" ht="15">
      <c r="A3" s="49" t="s">
        <v>58</v>
      </c>
      <c r="B3" s="49"/>
      <c r="C3" s="49"/>
      <c r="D3" s="49"/>
      <c r="E3" s="49"/>
      <c r="F3" s="49"/>
    </row>
    <row r="4" spans="1:6" s="2" customFormat="1" ht="16.5">
      <c r="A4" s="2" t="s">
        <v>3</v>
      </c>
      <c r="B4" s="1"/>
      <c r="C4" s="1"/>
      <c r="D4" s="1"/>
      <c r="E4" s="1"/>
      <c r="F4" s="1"/>
    </row>
    <row r="5" spans="1:6" s="2" customFormat="1" ht="16.5">
      <c r="A5" s="1"/>
      <c r="B5" s="31"/>
      <c r="C5" s="31"/>
      <c r="D5" s="31"/>
      <c r="E5" s="31"/>
      <c r="F5" s="31"/>
    </row>
    <row r="6" spans="2:6" ht="15">
      <c r="B6" s="32" t="s">
        <v>59</v>
      </c>
      <c r="C6" s="32"/>
      <c r="D6" s="32"/>
      <c r="E6" s="33" t="s">
        <v>60</v>
      </c>
      <c r="F6" s="34"/>
    </row>
    <row r="7" spans="2:6" ht="15">
      <c r="B7" s="33"/>
      <c r="C7" s="33"/>
      <c r="D7" s="33" t="s">
        <v>61</v>
      </c>
      <c r="E7" s="33"/>
      <c r="F7" s="33"/>
    </row>
    <row r="8" spans="2:6" ht="15">
      <c r="B8" s="33" t="s">
        <v>62</v>
      </c>
      <c r="C8" s="33" t="s">
        <v>62</v>
      </c>
      <c r="D8" s="33" t="s">
        <v>63</v>
      </c>
      <c r="E8" s="33" t="s">
        <v>9</v>
      </c>
      <c r="F8" s="33"/>
    </row>
    <row r="9" spans="2:6" ht="15">
      <c r="B9" s="33" t="s">
        <v>64</v>
      </c>
      <c r="C9" s="33" t="s">
        <v>65</v>
      </c>
      <c r="D9" s="33" t="s">
        <v>66</v>
      </c>
      <c r="E9" s="33" t="s">
        <v>61</v>
      </c>
      <c r="F9" s="33" t="s">
        <v>67</v>
      </c>
    </row>
    <row r="10" spans="2:6" ht="15">
      <c r="B10" s="33" t="s">
        <v>8</v>
      </c>
      <c r="C10" s="33" t="s">
        <v>8</v>
      </c>
      <c r="D10" s="33" t="s">
        <v>8</v>
      </c>
      <c r="E10" s="33" t="s">
        <v>8</v>
      </c>
      <c r="F10" s="33" t="s">
        <v>8</v>
      </c>
    </row>
    <row r="13" spans="1:6" ht="15">
      <c r="A13" s="36" t="s">
        <v>68</v>
      </c>
      <c r="B13" s="35">
        <v>19218</v>
      </c>
      <c r="C13" s="35">
        <v>1891</v>
      </c>
      <c r="D13" s="35">
        <v>2495</v>
      </c>
      <c r="E13" s="35">
        <v>13565</v>
      </c>
      <c r="F13" s="35">
        <f>SUM(B13:E13)</f>
        <v>37169</v>
      </c>
    </row>
    <row r="14" spans="1:6" ht="13.5">
      <c r="A14" s="29" t="s">
        <v>69</v>
      </c>
      <c r="B14" s="35">
        <v>0</v>
      </c>
      <c r="C14" s="35">
        <v>0</v>
      </c>
      <c r="D14" s="35">
        <v>0</v>
      </c>
      <c r="E14" s="35">
        <f>+'[4]KLSEPL(1)'!E23</f>
        <v>1792.5031199999994</v>
      </c>
      <c r="F14" s="35">
        <f>SUM(B14:E14)</f>
        <v>1792.5031199999994</v>
      </c>
    </row>
    <row r="15" ht="13.5">
      <c r="A15" s="29" t="s">
        <v>70</v>
      </c>
    </row>
    <row r="16" spans="1:6" ht="15.75" thickBot="1">
      <c r="A16" s="36" t="s">
        <v>71</v>
      </c>
      <c r="B16" s="37">
        <f>SUM(B13:B15)</f>
        <v>19218</v>
      </c>
      <c r="C16" s="37">
        <f>SUM(C13:C15)</f>
        <v>1891</v>
      </c>
      <c r="D16" s="37">
        <f>SUM(D13:D15)</f>
        <v>2495</v>
      </c>
      <c r="E16" s="37">
        <f>SUM(E13:E15)</f>
        <v>15357.50312</v>
      </c>
      <c r="F16" s="37">
        <f>SUM(F13:F15)</f>
        <v>38961.50312</v>
      </c>
    </row>
    <row r="17" ht="14.25" thickTop="1"/>
    <row r="19" spans="1:6" ht="15">
      <c r="A19" s="36" t="s">
        <v>72</v>
      </c>
      <c r="B19" s="35">
        <v>19218</v>
      </c>
      <c r="C19" s="35">
        <v>1891</v>
      </c>
      <c r="D19" s="35">
        <v>2495</v>
      </c>
      <c r="E19" s="35">
        <v>11190</v>
      </c>
      <c r="F19" s="35">
        <f>SUM(B19:E19)</f>
        <v>34794</v>
      </c>
    </row>
    <row r="20" spans="1:6" ht="13.5">
      <c r="A20" s="29" t="s">
        <v>69</v>
      </c>
      <c r="B20" s="35">
        <v>0</v>
      </c>
      <c r="C20" s="35">
        <v>0</v>
      </c>
      <c r="D20" s="35">
        <v>0</v>
      </c>
      <c r="E20" s="35">
        <f>+'[4]KLSEPL(1)'!F23</f>
        <v>1482.4566000000023</v>
      </c>
      <c r="F20" s="35">
        <f>SUM(B20:E20)</f>
        <v>1482.4566000000023</v>
      </c>
    </row>
    <row r="21" ht="13.5">
      <c r="A21" s="29" t="s">
        <v>70</v>
      </c>
    </row>
    <row r="22" spans="1:6" ht="15.75" thickBot="1">
      <c r="A22" s="36" t="s">
        <v>73</v>
      </c>
      <c r="B22" s="37">
        <f>SUM(B19:B21)</f>
        <v>19218</v>
      </c>
      <c r="C22" s="37">
        <f>SUM(C19:C21)</f>
        <v>1891</v>
      </c>
      <c r="D22" s="37">
        <f>SUM(D19:D21)</f>
        <v>2495</v>
      </c>
      <c r="E22" s="37">
        <f>SUM(E19:E21)</f>
        <v>12672.456600000001</v>
      </c>
      <c r="F22" s="37">
        <f>SUM(F19:F21)</f>
        <v>36276.456600000005</v>
      </c>
    </row>
    <row r="23" ht="14.25" thickTop="1"/>
  </sheetData>
  <mergeCells count="3">
    <mergeCell ref="A1:F1"/>
    <mergeCell ref="A2:F2"/>
    <mergeCell ref="A3:F3"/>
  </mergeCells>
  <printOptions/>
  <pageMargins left="0.75" right="0.31" top="1" bottom="1" header="0.5" footer="0.5"/>
  <pageSetup fitToHeight="1" fitToWidth="1" horizontalDpi="360" verticalDpi="36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workbookViewId="0" topLeftCell="A10">
      <selection activeCell="B18" sqref="B18"/>
    </sheetView>
  </sheetViews>
  <sheetFormatPr defaultColWidth="9.140625" defaultRowHeight="12.75"/>
  <cols>
    <col min="1" max="1" width="2.8515625" style="4" customWidth="1"/>
    <col min="2" max="2" width="59.57421875" style="4" customWidth="1"/>
    <col min="3" max="3" width="19.8515625" style="3" customWidth="1"/>
    <col min="4" max="16384" width="9.140625" style="4" customWidth="1"/>
  </cols>
  <sheetData>
    <row r="1" spans="1:8" s="2" customFormat="1" ht="16.5">
      <c r="A1" s="1" t="s">
        <v>0</v>
      </c>
      <c r="B1" s="1"/>
      <c r="C1" s="1"/>
      <c r="D1" s="1"/>
      <c r="E1" s="1"/>
      <c r="F1" s="1"/>
      <c r="G1" s="1"/>
      <c r="H1" s="1"/>
    </row>
    <row r="2" s="2" customFormat="1" ht="16.5">
      <c r="A2" s="2" t="s">
        <v>1</v>
      </c>
    </row>
    <row r="3" spans="1:8" s="2" customFormat="1" ht="16.5">
      <c r="A3" s="1" t="s">
        <v>74</v>
      </c>
      <c r="B3" s="1"/>
      <c r="C3" s="1"/>
      <c r="D3" s="1"/>
      <c r="E3" s="1"/>
      <c r="F3" s="1"/>
      <c r="G3" s="1"/>
      <c r="H3" s="1"/>
    </row>
    <row r="4" spans="1:3" s="2" customFormat="1" ht="16.5">
      <c r="A4" s="2" t="s">
        <v>3</v>
      </c>
      <c r="C4" s="38"/>
    </row>
    <row r="5" ht="15" customHeight="1">
      <c r="A5" s="2"/>
    </row>
    <row r="6" ht="15" customHeight="1">
      <c r="C6" s="39" t="s">
        <v>25</v>
      </c>
    </row>
    <row r="7" ht="15" customHeight="1">
      <c r="C7" s="8" t="s">
        <v>8</v>
      </c>
    </row>
    <row r="8" ht="15" customHeight="1">
      <c r="A8" s="11" t="s">
        <v>75</v>
      </c>
    </row>
    <row r="9" ht="15" customHeight="1"/>
    <row r="10" spans="1:3" ht="15" customHeight="1">
      <c r="A10" s="4" t="s">
        <v>76</v>
      </c>
      <c r="C10" s="3">
        <v>1800</v>
      </c>
    </row>
    <row r="11" ht="15" customHeight="1"/>
    <row r="12" ht="15" customHeight="1">
      <c r="A12" s="4" t="s">
        <v>77</v>
      </c>
    </row>
    <row r="13" spans="2:3" ht="15" customHeight="1">
      <c r="B13" s="4" t="s">
        <v>78</v>
      </c>
      <c r="C13" s="3">
        <f>48235/1000</f>
        <v>48.235</v>
      </c>
    </row>
    <row r="14" spans="2:3" ht="15" customHeight="1">
      <c r="B14" s="4" t="s">
        <v>79</v>
      </c>
      <c r="C14" s="3">
        <v>1.195</v>
      </c>
    </row>
    <row r="15" spans="2:3" ht="15" customHeight="1">
      <c r="B15" s="4" t="s">
        <v>80</v>
      </c>
      <c r="C15" s="3">
        <f>3271112/1000</f>
        <v>3271.112</v>
      </c>
    </row>
    <row r="16" ht="15" customHeight="1">
      <c r="B16" s="4" t="s">
        <v>81</v>
      </c>
    </row>
    <row r="17" spans="2:3" ht="15" customHeight="1">
      <c r="B17" s="4" t="s">
        <v>82</v>
      </c>
      <c r="C17" s="3">
        <f>(-19759-8271-10870-11839-700)/1000</f>
        <v>-51.439</v>
      </c>
    </row>
    <row r="18" spans="2:3" ht="15" customHeight="1">
      <c r="B18" s="4" t="s">
        <v>83</v>
      </c>
      <c r="C18" s="3">
        <f>-'[4]KLSEPL(1)'!E18</f>
        <v>1481.404</v>
      </c>
    </row>
    <row r="19" ht="15" customHeight="1">
      <c r="B19" s="4" t="s">
        <v>84</v>
      </c>
    </row>
    <row r="20" ht="15" customHeight="1">
      <c r="B20" s="4" t="s">
        <v>85</v>
      </c>
    </row>
    <row r="21" ht="15" customHeight="1">
      <c r="C21" s="12"/>
    </row>
    <row r="22" spans="1:3" ht="15" customHeight="1">
      <c r="A22" s="4" t="s">
        <v>86</v>
      </c>
      <c r="C22" s="3">
        <f>SUM(C10:C21)</f>
        <v>6550.507</v>
      </c>
    </row>
    <row r="23" ht="15" customHeight="1"/>
    <row r="24" ht="15" customHeight="1">
      <c r="A24" s="4" t="s">
        <v>87</v>
      </c>
    </row>
    <row r="25" ht="15" customHeight="1"/>
    <row r="26" spans="2:3" ht="15" customHeight="1">
      <c r="B26" s="4" t="s">
        <v>36</v>
      </c>
      <c r="C26" s="3">
        <f>-(+'[4]KLSEBS'!D18-'[4]KLSEBS'!F18)</f>
        <v>-971.3010000000004</v>
      </c>
    </row>
    <row r="27" spans="2:3" ht="15" customHeight="1">
      <c r="B27" s="4" t="s">
        <v>88</v>
      </c>
      <c r="C27" s="3">
        <f>-('[4]KLSEBS'!D19+'[4]KLSEBS'!D20+'[4]KLSEBS'!D21-'[4]KLSEBS'!F19-'[4]KLSEBS'!F20-'[4]KLSEBS'!F21)</f>
        <v>571.4289999999964</v>
      </c>
    </row>
    <row r="28" spans="2:3" ht="15" customHeight="1">
      <c r="B28" s="4" t="s">
        <v>89</v>
      </c>
      <c r="C28" s="3">
        <f>('[4]KLSEBS'!D28+'[4]KLSEBS'!D29+'[4]KLSEBS'!D31-'[4]KLSEBS'!F28-'[4]KLSEBS'!F29-'[4]KLSEBS'!F31+'[4]KLSEBS'!D46-'[4]KLSEBS'!F46)</f>
        <v>675.72</v>
      </c>
    </row>
    <row r="29" ht="15" customHeight="1">
      <c r="C29" s="12"/>
    </row>
    <row r="30" spans="1:3" ht="15" customHeight="1">
      <c r="A30" s="4" t="s">
        <v>90</v>
      </c>
      <c r="C30" s="3">
        <f>SUM(C22:C29)</f>
        <v>6826.354999999996</v>
      </c>
    </row>
    <row r="31" ht="15" customHeight="1"/>
    <row r="32" spans="2:3" ht="15" customHeight="1">
      <c r="B32" s="4" t="s">
        <v>91</v>
      </c>
      <c r="C32" s="3">
        <f>-C18</f>
        <v>-1481.404</v>
      </c>
    </row>
    <row r="33" ht="15" customHeight="1">
      <c r="B33" s="4" t="s">
        <v>92</v>
      </c>
    </row>
    <row r="34" spans="2:3" ht="15" customHeight="1">
      <c r="B34" s="4" t="s">
        <v>93</v>
      </c>
      <c r="C34" s="3">
        <f>(+'[4]KLSEBS'!D32-'[4]KLSEBS'!F32)+'[4]KLSEPL(1)'!E20</f>
        <v>-1.8429999999999982</v>
      </c>
    </row>
    <row r="35" ht="15" customHeight="1">
      <c r="C35" s="12"/>
    </row>
    <row r="36" spans="1:3" ht="15" customHeight="1">
      <c r="A36" s="11" t="s">
        <v>94</v>
      </c>
      <c r="C36" s="40">
        <f>SUM(C32:C35)</f>
        <v>-1483.247</v>
      </c>
    </row>
    <row r="37" ht="15" customHeight="1"/>
    <row r="38" ht="15" customHeight="1">
      <c r="A38" s="11" t="s">
        <v>95</v>
      </c>
    </row>
    <row r="39" ht="15" customHeight="1"/>
    <row r="40" spans="1:3" ht="15" customHeight="1">
      <c r="A40" s="4" t="s">
        <v>96</v>
      </c>
      <c r="C40" s="3">
        <f>-(+'[4]KLSEBS'!D22-'[4]KLSEBS'!F22)</f>
        <v>-100.36900000000003</v>
      </c>
    </row>
    <row r="41" spans="1:3" ht="15" customHeight="1">
      <c r="A41" s="4" t="s">
        <v>97</v>
      </c>
      <c r="C41" s="3">
        <f>-(+'[4]KLSEBS'!D10+'[4]KLSEBS'!D11-'[4]KLSEBS'!F10-'[4]KLSEBS'!F11+'[4]Cashflow'!C15+'[4]Cashflow'!C13+C17+C42)</f>
        <v>-2945.2719999999986</v>
      </c>
    </row>
    <row r="42" spans="1:3" ht="15" customHeight="1">
      <c r="A42" s="4" t="s">
        <v>98</v>
      </c>
      <c r="C42" s="3">
        <f>12480/1000</f>
        <v>12.48</v>
      </c>
    </row>
    <row r="43" spans="1:3" ht="15" customHeight="1">
      <c r="A43" s="4" t="s">
        <v>99</v>
      </c>
      <c r="C43" s="3">
        <f>-(+'[4]KLSEBS'!D14-'[4]KLSEBS'!F14)</f>
        <v>44.736999999999966</v>
      </c>
    </row>
    <row r="44" ht="15" customHeight="1"/>
    <row r="45" spans="1:3" ht="15" customHeight="1">
      <c r="A45" s="11" t="s">
        <v>100</v>
      </c>
      <c r="C45" s="40">
        <f>SUM(C40:C44)</f>
        <v>-2988.4239999999986</v>
      </c>
    </row>
    <row r="46" ht="15" customHeight="1"/>
    <row r="47" ht="15" customHeight="1">
      <c r="A47" s="11" t="s">
        <v>101</v>
      </c>
    </row>
    <row r="48" ht="15" customHeight="1"/>
    <row r="49" ht="15" customHeight="1">
      <c r="A49" s="4" t="s">
        <v>91</v>
      </c>
    </row>
    <row r="50" ht="15" customHeight="1">
      <c r="A50" s="4" t="s">
        <v>102</v>
      </c>
    </row>
    <row r="51" spans="1:3" ht="15" customHeight="1">
      <c r="A51" s="41" t="s">
        <v>103</v>
      </c>
      <c r="C51" s="3">
        <f>(+'[4]bank'!J53-9744233+'[4]bank'!J11-8010000+'[4]bank'!J12-4674597)/1000</f>
        <v>-2791.906</v>
      </c>
    </row>
    <row r="52" spans="1:3" ht="15" customHeight="1">
      <c r="A52" s="4" t="s">
        <v>104</v>
      </c>
      <c r="C52" s="3">
        <f>(+'[4]KLSEBS'!D30+'[4]KLSEBS'!D45-'[4]KLSEBS'!F45-'[4]KLSEBS'!F30)</f>
        <v>795.9470000000001</v>
      </c>
    </row>
    <row r="53" ht="15" customHeight="1"/>
    <row r="54" spans="1:3" ht="15" customHeight="1">
      <c r="A54" s="11" t="s">
        <v>105</v>
      </c>
      <c r="C54" s="40">
        <f>SUM(C49:C52)</f>
        <v>-1995.9589999999998</v>
      </c>
    </row>
    <row r="55" ht="15" customHeight="1"/>
    <row r="56" spans="1:3" ht="15" customHeight="1">
      <c r="A56" s="11" t="s">
        <v>106</v>
      </c>
      <c r="C56" s="3">
        <f>+C30+C36+C45+C54</f>
        <v>358.7249999999972</v>
      </c>
    </row>
    <row r="57" spans="1:3" ht="15" customHeight="1">
      <c r="A57" s="11" t="s">
        <v>107</v>
      </c>
      <c r="C57" s="3">
        <f>+'[4]KLSEBS'!F23-10191</f>
        <v>-9418</v>
      </c>
    </row>
    <row r="58" spans="1:3" ht="15" customHeight="1" thickBot="1">
      <c r="A58" s="11" t="s">
        <v>108</v>
      </c>
      <c r="C58" s="13">
        <f>SUM(C56:C57)</f>
        <v>-9059.275000000003</v>
      </c>
    </row>
    <row r="59" ht="15" customHeight="1" thickTop="1"/>
    <row r="60" ht="15" customHeight="1">
      <c r="A60" s="4" t="s">
        <v>109</v>
      </c>
    </row>
    <row r="61" spans="1:3" ht="15" customHeight="1">
      <c r="A61" s="4" t="s">
        <v>110</v>
      </c>
      <c r="C61" s="3">
        <f>-'[4]bank'!J9/1000</f>
        <v>-9616.759</v>
      </c>
    </row>
    <row r="62" spans="1:3" ht="15" customHeight="1">
      <c r="A62" s="4" t="s">
        <v>41</v>
      </c>
      <c r="C62" s="3">
        <f>+'[4]KLSEBS'!D23</f>
        <v>558.383</v>
      </c>
    </row>
    <row r="63" ht="15" customHeight="1" thickBot="1">
      <c r="C63" s="13">
        <f>+C61+C62-1</f>
        <v>-9059.376</v>
      </c>
    </row>
    <row r="64" ht="17.25" thickTop="1"/>
  </sheetData>
  <printOptions/>
  <pageMargins left="0.75" right="0.49" top="0.46" bottom="0.84" header="0.5" footer="0.5"/>
  <pageSetup fitToHeight="1" fitToWidth="1" horizontalDpi="360" verticalDpi="36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COMPANY SEC</cp:lastModifiedBy>
  <cp:lastPrinted>2002-11-29T01:46:25Z</cp:lastPrinted>
  <dcterms:created xsi:type="dcterms:W3CDTF">2002-11-14T05:16:32Z</dcterms:created>
  <dcterms:modified xsi:type="dcterms:W3CDTF">2002-11-29T02:12:57Z</dcterms:modified>
  <cp:category/>
  <cp:version/>
  <cp:contentType/>
  <cp:contentStatus/>
</cp:coreProperties>
</file>