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Income" sheetId="1" r:id="rId1"/>
    <sheet name="bal.sheet" sheetId="2" r:id="rId2"/>
    <sheet name="depr" sheetId="3" r:id="rId3"/>
    <sheet name="earningshare" sheetId="4" r:id="rId4"/>
    <sheet name="taxation" sheetId="5" r:id="rId5"/>
  </sheets>
  <definedNames/>
  <calcPr fullCalcOnLoad="1"/>
</workbook>
</file>

<file path=xl/sharedStrings.xml><?xml version="1.0" encoding="utf-8"?>
<sst xmlns="http://schemas.openxmlformats.org/spreadsheetml/2006/main" count="311" uniqueCount="177">
  <si>
    <t>CONSOLIDATED INCOME STATEMENT</t>
  </si>
  <si>
    <t>Current Year</t>
  </si>
  <si>
    <t>Quarter</t>
  </si>
  <si>
    <t>Preceding Year</t>
  </si>
  <si>
    <t>Corresponding</t>
  </si>
  <si>
    <t>To Date</t>
  </si>
  <si>
    <t>DD/MM/YY</t>
  </si>
  <si>
    <t>Period</t>
  </si>
  <si>
    <t>RM '000</t>
  </si>
  <si>
    <t>1 (a) Turnover</t>
  </si>
  <si>
    <t xml:space="preserve">       </t>
  </si>
  <si>
    <t xml:space="preserve">   (h) Taxation</t>
  </si>
  <si>
    <t>CONSOLIDATED BALANCE SHEET</t>
  </si>
  <si>
    <t>Current Quarter</t>
  </si>
  <si>
    <t>As At End Of</t>
  </si>
  <si>
    <t xml:space="preserve">As At End Of </t>
  </si>
  <si>
    <t xml:space="preserve">Preceding </t>
  </si>
  <si>
    <t>Financial Year End</t>
  </si>
  <si>
    <t xml:space="preserve">        Trade Debtors</t>
  </si>
  <si>
    <t xml:space="preserve">        Cash</t>
  </si>
  <si>
    <t xml:space="preserve">        Short Term Borrowings</t>
  </si>
  <si>
    <t xml:space="preserve">        Trade Creditors</t>
  </si>
  <si>
    <t xml:space="preserve">        Other Creditors</t>
  </si>
  <si>
    <t xml:space="preserve">        Provision for Taxation</t>
  </si>
  <si>
    <t xml:space="preserve">         Share Premium </t>
  </si>
  <si>
    <t xml:space="preserve">         Retained Profit</t>
  </si>
  <si>
    <t>10  Long Term Borrowings</t>
  </si>
  <si>
    <t xml:space="preserve"> 9   Minority Interests</t>
  </si>
  <si>
    <t xml:space="preserve"> 8  Shareholder's Funds</t>
  </si>
  <si>
    <t xml:space="preserve">     Share Capital</t>
  </si>
  <si>
    <t xml:space="preserve"> 7  Net Current Assets or Current Liabilities</t>
  </si>
  <si>
    <t xml:space="preserve"> 6  Current Liabilities</t>
  </si>
  <si>
    <t xml:space="preserve"> 5  Current Assets</t>
  </si>
  <si>
    <t xml:space="preserve"> 4  Intangible Assets</t>
  </si>
  <si>
    <t xml:space="preserve"> 1  Fixed Assets</t>
  </si>
  <si>
    <t>11  Other Long Term Liabilities</t>
  </si>
  <si>
    <t>12  Net Tangible Assets Per Share (sen)</t>
  </si>
  <si>
    <t xml:space="preserve"> 2  Investment </t>
  </si>
  <si>
    <t xml:space="preserve"> 3  Long Term Receivables</t>
  </si>
  <si>
    <t xml:space="preserve">        Short Term Investments</t>
  </si>
  <si>
    <t xml:space="preserve">        Stocks</t>
  </si>
  <si>
    <t xml:space="preserve">        Deposits</t>
  </si>
  <si>
    <t xml:space="preserve">        Proposed Dividend</t>
  </si>
  <si>
    <t xml:space="preserve">     Reserves</t>
  </si>
  <si>
    <t xml:space="preserve">         Revaluation Reserve</t>
  </si>
  <si>
    <t xml:space="preserve">         Capital Reserve</t>
  </si>
  <si>
    <t xml:space="preserve">         Statutory Reserve</t>
  </si>
  <si>
    <t xml:space="preserve">        Other Debtors</t>
  </si>
  <si>
    <t>UNAUDITED QUARTERLY REPORT ON CONSOLIDATED RESULTS</t>
  </si>
  <si>
    <t>FOR THE FINANCIAL QUARTER ENDED 30TH SEPTEMBER 1999</t>
  </si>
  <si>
    <t>N/A</t>
  </si>
  <si>
    <t xml:space="preserve">   (b) Investment income</t>
  </si>
  <si>
    <t xml:space="preserve">   (c) Other income including  </t>
  </si>
  <si>
    <t xml:space="preserve">         interest income</t>
  </si>
  <si>
    <t>2 (a) Operating profit before interest</t>
  </si>
  <si>
    <t xml:space="preserve">   (b) Interest on borrowings</t>
  </si>
  <si>
    <t xml:space="preserve">   (d) Exceptional items</t>
  </si>
  <si>
    <t xml:space="preserve">   (e) Operating profit after interest on</t>
  </si>
  <si>
    <t xml:space="preserve">   (f)  Share in the results of </t>
  </si>
  <si>
    <t xml:space="preserve">   (g) Profit before taxation, minority </t>
  </si>
  <si>
    <t xml:space="preserve">         interests and extraordinary items</t>
  </si>
  <si>
    <t xml:space="preserve">   (i)  (i) Profit after taxation before</t>
  </si>
  <si>
    <t xml:space="preserve">  (j)  Profit after taxation attributable</t>
  </si>
  <si>
    <t xml:space="preserve">       to members of the company</t>
  </si>
  <si>
    <t xml:space="preserve">  (k) (i)  Extraordinary items</t>
  </si>
  <si>
    <t xml:space="preserve">         and amortisation, exceptional</t>
  </si>
  <si>
    <t xml:space="preserve">         on borrowings, depreciation</t>
  </si>
  <si>
    <t>3(a) Earnings per share based on 2(j)</t>
  </si>
  <si>
    <t xml:space="preserve">       extraordinary items attributable</t>
  </si>
  <si>
    <t xml:space="preserve">          ordinary share) (sen)</t>
  </si>
  <si>
    <t xml:space="preserve">     (ii) Fully diluted (based on</t>
  </si>
  <si>
    <t>30/6/1999</t>
  </si>
  <si>
    <t xml:space="preserve"> 1  Fixed assets</t>
  </si>
  <si>
    <t xml:space="preserve"> 4  Intangible assets</t>
  </si>
  <si>
    <t xml:space="preserve"> 3  Long term receivables</t>
  </si>
  <si>
    <t xml:space="preserve">        Trade debtors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</si>
  <si>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</si>
  <si>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</si>
  <si>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</si>
  <si>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Trade creditors</t>
  </si>
  <si>
    <t xml:space="preserve">        Other creditors</t>
  </si>
  <si>
    <t xml:space="preserve">        Provision for taxation</t>
  </si>
  <si>
    <t xml:space="preserve">        Proposed dividend</t>
  </si>
  <si>
    <t xml:space="preserve"> 7  Net Current Assets 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</si>
  <si>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</si>
  <si>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</si>
  <si>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</si>
  <si>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</si>
  <si>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</si>
  <si>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</si>
  <si>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 xml:space="preserve"> 9   Minority interests</t>
  </si>
  <si>
    <t>12  Other long term liabilities</t>
  </si>
  <si>
    <t>10  Long term borrowings</t>
  </si>
  <si>
    <t>11  Deferred taxation</t>
  </si>
  <si>
    <t>Notes :</t>
  </si>
  <si>
    <t xml:space="preserve">        Current year</t>
  </si>
  <si>
    <t xml:space="preserve">        Deferred tax</t>
  </si>
  <si>
    <t>12.    Group borrowings</t>
  </si>
  <si>
    <t xml:space="preserve">         Short term - secured</t>
  </si>
  <si>
    <t xml:space="preserve">         Long term - secured </t>
  </si>
  <si>
    <t xml:space="preserve">                           - unsecured</t>
  </si>
  <si>
    <t xml:space="preserve">         There were no foreign borrowings as at the date of this report.</t>
  </si>
  <si>
    <t>13.    Contingent liabilities ( Company)</t>
  </si>
  <si>
    <t xml:space="preserve">        given to a leasing company in</t>
  </si>
  <si>
    <t xml:space="preserve">        respect of hire purchase facilities</t>
  </si>
  <si>
    <t xml:space="preserve">        granted to subsidiary companies</t>
  </si>
  <si>
    <t xml:space="preserve">       Guarantees and indemnities</t>
  </si>
  <si>
    <t xml:space="preserve">       given to financial institutions in</t>
  </si>
  <si>
    <t xml:space="preserve">       respect of term loan facilities</t>
  </si>
  <si>
    <t xml:space="preserve">       granted to subsidiary companies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</si>
  <si>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</si>
  <si>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 5  </t>
    </r>
    <r>
      <rPr>
        <i/>
        <sz val="9"/>
        <rFont val="Century Gothic"/>
        <family val="2"/>
      </rPr>
      <t>Current Assets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</si>
  <si>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</si>
  <si>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r>
      <t xml:space="preserve"> 6  </t>
    </r>
    <r>
      <rPr>
        <i/>
        <sz val="9"/>
        <rFont val="Century Gothic"/>
        <family val="2"/>
      </rPr>
      <t>Current Liabilities</t>
    </r>
  </si>
  <si>
    <t xml:space="preserve">   (c) Depreciation and amortisation</t>
  </si>
  <si>
    <t xml:space="preserve">         borrowings, depreciation and </t>
  </si>
  <si>
    <t xml:space="preserve">             deducting minority interest</t>
  </si>
  <si>
    <t xml:space="preserve">        to members of the company</t>
  </si>
  <si>
    <t xml:space="preserve">        above after deducting any </t>
  </si>
  <si>
    <t xml:space="preserve">        provision for preference dividend,</t>
  </si>
  <si>
    <t xml:space="preserve">        if any:-</t>
  </si>
  <si>
    <t xml:space="preserve">        (ii) Less Minority interests</t>
  </si>
  <si>
    <t xml:space="preserve">      (i) Basic (based on 53,280,000</t>
  </si>
  <si>
    <t xml:space="preserve">          items,income tax, minority </t>
  </si>
  <si>
    <t xml:space="preserve">          interests and extraordinary items</t>
  </si>
  <si>
    <t xml:space="preserve">         amortisation, exceptional items</t>
  </si>
  <si>
    <t xml:space="preserve">         but before income tax, minority </t>
  </si>
  <si>
    <t xml:space="preserve">         associated companies</t>
  </si>
  <si>
    <t xml:space="preserve">       (ii)  Less minority interests</t>
  </si>
  <si>
    <t xml:space="preserve">      (iii)  Extraordinary items attributable</t>
  </si>
  <si>
    <t xml:space="preserve">              to members of the company</t>
  </si>
  <si>
    <t xml:space="preserve">  (l)  Profit after taxation and </t>
  </si>
  <si>
    <r>
      <t xml:space="preserve"> 8  </t>
    </r>
    <r>
      <rPr>
        <i/>
        <sz val="9"/>
        <rFont val="Century Gothic"/>
        <family val="2"/>
      </rPr>
      <t>Shareholders'  Funds</t>
    </r>
  </si>
  <si>
    <t xml:space="preserve">        Guarantees and indemnities</t>
  </si>
  <si>
    <t xml:space="preserve">    (b) Dividend description</t>
  </si>
  <si>
    <t>4  (a) Dividend per share (sen)</t>
  </si>
  <si>
    <t>13  Net tangible assets per share (RM)</t>
  </si>
  <si>
    <t>FOR THE FINANCIAL QUARTER ENDED 31ST DECEMBER 1999</t>
  </si>
  <si>
    <t>2nd Quarter</t>
  </si>
  <si>
    <t>31/12/1999</t>
  </si>
  <si>
    <t>Depn : 31/12/1999</t>
  </si>
  <si>
    <t>YTD</t>
  </si>
  <si>
    <t>PISB</t>
  </si>
  <si>
    <t>PESB</t>
  </si>
  <si>
    <t>PASB</t>
  </si>
  <si>
    <t>BWE</t>
  </si>
  <si>
    <t>MPSB</t>
  </si>
  <si>
    <t>AVM</t>
  </si>
  <si>
    <t>PPCSB</t>
  </si>
  <si>
    <t>PCTSB</t>
  </si>
  <si>
    <t>UPSB</t>
  </si>
  <si>
    <t>THBI</t>
  </si>
  <si>
    <t>DEPN -ADMIN</t>
  </si>
  <si>
    <t>DEPN -PROD</t>
  </si>
  <si>
    <t>AMORT.</t>
  </si>
  <si>
    <t>TOTAL</t>
  </si>
  <si>
    <t>31/12/1998</t>
  </si>
  <si>
    <t>taxation - 31/12/1999</t>
  </si>
  <si>
    <t>CURRENT</t>
  </si>
  <si>
    <t>OVER/(UNDER)</t>
  </si>
  <si>
    <t>DEFERRED</t>
  </si>
  <si>
    <t xml:space="preserve">       Under/(over) provision in priors years</t>
  </si>
  <si>
    <t>INDIVIDUAL PERIOD</t>
  </si>
  <si>
    <t>CUMULATIVE PERIOD</t>
  </si>
  <si>
    <t xml:space="preserve">9.      Status of corporate proposals </t>
  </si>
  <si>
    <t xml:space="preserve">          58,608,000 ordinary share) (sen)</t>
  </si>
  <si>
    <t>Remark :</t>
  </si>
  <si>
    <t>total share</t>
  </si>
  <si>
    <t>1st</t>
  </si>
  <si>
    <t>2nd</t>
  </si>
  <si>
    <t>3rd</t>
  </si>
  <si>
    <t>4th</t>
  </si>
  <si>
    <t>5th</t>
  </si>
  <si>
    <t xml:space="preserve">assumption that the maximum number of 5,328,000 new shares under the Employees Share </t>
  </si>
  <si>
    <t>Option Scheme had been exercised on the first day of the period.</t>
  </si>
  <si>
    <t>THB INDUSTRIES BHD.</t>
  </si>
  <si>
    <t xml:space="preserve">The fully diluted earning per share was calculated based on a total of 58,608,000 ordinary shares on the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</si>
</sst>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</numFmts>
  <fonts count="10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b/>
      <sz val="16"/>
      <name val="Century Goth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3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1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0" xfId="15" applyNumberFormat="1" applyFont="1" applyBorder="1" applyAlignment="1">
      <alignment/>
    </xf>
    <xf numFmtId="165" fontId="3" fillId="0" borderId="13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8" fillId="0" borderId="0" xfId="15" applyNumberFormat="1" applyFont="1" applyAlignment="1">
      <alignment horizontal="right"/>
    </xf>
    <xf numFmtId="165" fontId="8" fillId="0" borderId="0" xfId="15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165" fontId="3" fillId="0" borderId="13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165" fontId="3" fillId="0" borderId="0" xfId="15" applyNumberFormat="1" applyFont="1" applyBorder="1" applyAlignment="1">
      <alignment horizontal="right"/>
    </xf>
    <xf numFmtId="165" fontId="3" fillId="0" borderId="1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5" fontId="7" fillId="0" borderId="0" xfId="15" applyNumberFormat="1" applyFont="1" applyFill="1" applyAlignment="1">
      <alignment horizontal="right"/>
    </xf>
    <xf numFmtId="165" fontId="3" fillId="0" borderId="0" xfId="15" applyNumberFormat="1" applyFont="1" applyFill="1" applyAlignment="1">
      <alignment/>
    </xf>
    <xf numFmtId="165" fontId="3" fillId="0" borderId="14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165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3.emf" /><Relationship Id="rId13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view="pageBreakPreview" zoomScaleSheetLayoutView="100" workbookViewId="0" topLeftCell="A267">
      <selection activeCell="F234" sqref="F234"/>
    </sheetView>
  </sheetViews>
  <sheetFormatPr defaultColWidth="9.140625" defaultRowHeight="13.5"/>
  <cols>
    <col min="1" max="1" width="33.421875" style="0" customWidth="1"/>
    <col min="2" max="2" width="10.7109375" style="0" customWidth="1"/>
    <col min="3" max="3" width="0.5625" style="0" customWidth="1"/>
    <col min="4" max="4" width="11.8515625" style="0" customWidth="1"/>
    <col min="5" max="5" width="0.85546875" style="0" customWidth="1"/>
    <col min="6" max="6" width="10.57421875" style="0" customWidth="1"/>
    <col min="7" max="7" width="0.42578125" style="0" customWidth="1"/>
    <col min="8" max="8" width="11.8515625" style="0" customWidth="1"/>
  </cols>
  <sheetData>
    <row r="1" spans="1:9" ht="24" customHeight="1">
      <c r="A1" s="67" t="s">
        <v>175</v>
      </c>
      <c r="B1" s="67"/>
      <c r="C1" s="67"/>
      <c r="D1" s="67"/>
      <c r="E1" s="67"/>
      <c r="F1" s="67"/>
      <c r="G1" s="67"/>
      <c r="H1" s="67"/>
      <c r="I1" s="67"/>
    </row>
    <row r="3" spans="1:8" ht="13.5">
      <c r="A3" s="65" t="s">
        <v>48</v>
      </c>
      <c r="B3" s="65"/>
      <c r="C3" s="65"/>
      <c r="D3" s="65"/>
      <c r="E3" s="65"/>
      <c r="F3" s="65"/>
      <c r="G3" s="65"/>
      <c r="H3" s="65"/>
    </row>
    <row r="4" spans="1:8" ht="13.5">
      <c r="A4" s="65" t="s">
        <v>137</v>
      </c>
      <c r="B4" s="65"/>
      <c r="C4" s="65"/>
      <c r="D4" s="65"/>
      <c r="E4" s="65"/>
      <c r="F4" s="65"/>
      <c r="G4" s="65"/>
      <c r="H4" s="65"/>
    </row>
    <row r="6" ht="13.5">
      <c r="A6" s="19" t="s">
        <v>0</v>
      </c>
    </row>
    <row r="8" spans="1:8" ht="14.25">
      <c r="A8" s="20"/>
      <c r="B8" s="66" t="s">
        <v>162</v>
      </c>
      <c r="C8" s="66"/>
      <c r="D8" s="66"/>
      <c r="E8" s="37"/>
      <c r="F8" s="66" t="s">
        <v>163</v>
      </c>
      <c r="G8" s="66"/>
      <c r="H8" s="66"/>
    </row>
    <row r="9" spans="1:8" ht="14.25">
      <c r="A9" s="20"/>
      <c r="B9" s="36"/>
      <c r="C9" s="36"/>
      <c r="D9" s="36" t="s">
        <v>3</v>
      </c>
      <c r="E9" s="36"/>
      <c r="F9" s="36"/>
      <c r="G9" s="36"/>
      <c r="H9" s="36" t="s">
        <v>3</v>
      </c>
    </row>
    <row r="10" spans="1:8" ht="14.25">
      <c r="A10" s="20"/>
      <c r="B10" s="36" t="s">
        <v>1</v>
      </c>
      <c r="C10" s="36"/>
      <c r="D10" s="36" t="s">
        <v>4</v>
      </c>
      <c r="E10" s="36"/>
      <c r="F10" s="36" t="s">
        <v>1</v>
      </c>
      <c r="G10" s="36"/>
      <c r="H10" s="36" t="s">
        <v>4</v>
      </c>
    </row>
    <row r="11" spans="1:8" ht="14.25">
      <c r="A11" s="20"/>
      <c r="B11" s="36" t="s">
        <v>138</v>
      </c>
      <c r="C11" s="36"/>
      <c r="D11" s="36" t="s">
        <v>2</v>
      </c>
      <c r="E11" s="36"/>
      <c r="F11" s="36" t="s">
        <v>5</v>
      </c>
      <c r="G11" s="36"/>
      <c r="H11" s="36" t="s">
        <v>7</v>
      </c>
    </row>
    <row r="12" spans="1:8" ht="14.25">
      <c r="A12" s="20"/>
      <c r="B12" s="36" t="s">
        <v>139</v>
      </c>
      <c r="C12" s="36"/>
      <c r="D12" s="36" t="s">
        <v>156</v>
      </c>
      <c r="E12" s="36"/>
      <c r="F12" s="36" t="s">
        <v>139</v>
      </c>
      <c r="G12" s="36"/>
      <c r="H12" s="36" t="s">
        <v>156</v>
      </c>
    </row>
    <row r="13" spans="1:8" ht="14.25">
      <c r="A13" s="20"/>
      <c r="B13" s="36" t="s">
        <v>8</v>
      </c>
      <c r="C13" s="36"/>
      <c r="D13" s="36" t="s">
        <v>8</v>
      </c>
      <c r="E13" s="36"/>
      <c r="F13" s="36" t="s">
        <v>8</v>
      </c>
      <c r="G13" s="36"/>
      <c r="H13" s="36" t="s">
        <v>8</v>
      </c>
    </row>
    <row r="14" spans="1:8" ht="14.25">
      <c r="A14" s="20"/>
      <c r="B14" s="22"/>
      <c r="C14" s="22"/>
      <c r="D14" s="22"/>
      <c r="E14" s="22"/>
      <c r="F14" s="22"/>
      <c r="G14" s="22"/>
      <c r="H14" s="22"/>
    </row>
    <row r="15" spans="1:8" ht="14.25">
      <c r="A15" s="20" t="s">
        <v>9</v>
      </c>
      <c r="B15" s="40">
        <f>28492+174-16-13802</f>
        <v>14848</v>
      </c>
      <c r="C15" s="22"/>
      <c r="D15" s="22" t="s">
        <v>50</v>
      </c>
      <c r="E15" s="22"/>
      <c r="F15" s="40">
        <f>B15+13802</f>
        <v>28650</v>
      </c>
      <c r="G15" s="22"/>
      <c r="H15" s="40">
        <v>22137</v>
      </c>
    </row>
    <row r="16" spans="1:8" ht="14.25">
      <c r="A16" s="20"/>
      <c r="B16" s="23"/>
      <c r="C16" s="23"/>
      <c r="D16" s="23"/>
      <c r="E16" s="23"/>
      <c r="F16" s="22"/>
      <c r="G16" s="23"/>
      <c r="H16" s="22"/>
    </row>
    <row r="17" spans="1:8" ht="14.25">
      <c r="A17" s="20" t="s">
        <v>51</v>
      </c>
      <c r="B17" s="41">
        <v>0</v>
      </c>
      <c r="C17" s="23"/>
      <c r="D17" s="22" t="s">
        <v>50</v>
      </c>
      <c r="E17" s="23"/>
      <c r="F17" s="40">
        <f>B17+165</f>
        <v>165</v>
      </c>
      <c r="G17" s="23"/>
      <c r="H17" s="40">
        <f>514</f>
        <v>514</v>
      </c>
    </row>
    <row r="18" spans="1:8" ht="14.25">
      <c r="A18" s="20"/>
      <c r="B18" s="23"/>
      <c r="C18" s="23"/>
      <c r="D18" s="22"/>
      <c r="E18" s="23"/>
      <c r="F18" s="22"/>
      <c r="G18" s="23"/>
      <c r="H18" s="22"/>
    </row>
    <row r="19" spans="1:8" ht="14.25">
      <c r="A19" s="20" t="s">
        <v>52</v>
      </c>
      <c r="B19" s="23"/>
      <c r="C19" s="23"/>
      <c r="D19" s="22"/>
      <c r="E19" s="23"/>
      <c r="F19" s="22"/>
      <c r="G19" s="23"/>
      <c r="H19" s="22"/>
    </row>
    <row r="20" spans="1:8" ht="14.25">
      <c r="A20" s="20" t="s">
        <v>53</v>
      </c>
      <c r="B20" s="41">
        <f>1059-391-174+17-7-11</f>
        <v>493</v>
      </c>
      <c r="C20" s="23"/>
      <c r="D20" s="22" t="s">
        <v>50</v>
      </c>
      <c r="E20" s="23"/>
      <c r="F20" s="40">
        <f>B20+391</f>
        <v>884</v>
      </c>
      <c r="G20" s="23"/>
      <c r="H20" s="40">
        <f>359</f>
        <v>359</v>
      </c>
    </row>
    <row r="21" spans="1:8" ht="14.25">
      <c r="A21" s="20"/>
      <c r="B21" s="23"/>
      <c r="C21" s="23"/>
      <c r="D21" s="22"/>
      <c r="E21" s="23"/>
      <c r="F21" s="22"/>
      <c r="G21" s="23"/>
      <c r="H21" s="22"/>
    </row>
    <row r="22" spans="1:8" ht="14.25">
      <c r="A22" s="20" t="s">
        <v>54</v>
      </c>
      <c r="B22" s="23"/>
      <c r="C22" s="23"/>
      <c r="D22" s="22"/>
      <c r="E22" s="23"/>
      <c r="F22" s="22"/>
      <c r="G22" s="23"/>
      <c r="H22" s="22"/>
    </row>
    <row r="23" spans="1:8" ht="14.25">
      <c r="A23" s="20" t="s">
        <v>66</v>
      </c>
      <c r="B23" s="23"/>
      <c r="C23" s="23"/>
      <c r="D23" s="22"/>
      <c r="E23" s="23"/>
      <c r="F23" s="22"/>
      <c r="G23" s="23"/>
      <c r="H23" s="22"/>
    </row>
    <row r="24" spans="1:8" ht="14.25">
      <c r="A24" s="20" t="s">
        <v>65</v>
      </c>
      <c r="B24" s="23"/>
      <c r="C24" s="23"/>
      <c r="D24" s="22"/>
      <c r="E24" s="23"/>
      <c r="F24" s="22"/>
      <c r="G24" s="23"/>
      <c r="H24" s="22"/>
    </row>
    <row r="25" spans="1:8" ht="14.25">
      <c r="A25" s="20" t="s">
        <v>123</v>
      </c>
      <c r="B25" s="23"/>
      <c r="C25" s="23"/>
      <c r="D25" s="22"/>
      <c r="E25" s="23"/>
      <c r="F25" s="22"/>
      <c r="G25" s="23"/>
      <c r="H25" s="22"/>
    </row>
    <row r="26" spans="1:8" ht="14.25">
      <c r="A26" s="20" t="s">
        <v>124</v>
      </c>
      <c r="B26" s="23">
        <f>6470-B28-B30-2835</f>
        <v>4754.94728123834</v>
      </c>
      <c r="C26" s="23"/>
      <c r="D26" s="22" t="s">
        <v>50</v>
      </c>
      <c r="E26" s="23"/>
      <c r="F26" s="22">
        <f>B26+3954</f>
        <v>8708.94728123834</v>
      </c>
      <c r="G26" s="23"/>
      <c r="H26" s="40">
        <f>5639+128+1968</f>
        <v>7735</v>
      </c>
    </row>
    <row r="27" spans="1:8" ht="14.25">
      <c r="A27" s="20"/>
      <c r="B27" s="23"/>
      <c r="C27" s="23"/>
      <c r="D27" s="22"/>
      <c r="E27" s="23"/>
      <c r="F27" s="22"/>
      <c r="G27" s="23"/>
      <c r="H27" s="22"/>
    </row>
    <row r="28" spans="1:8" ht="14.25">
      <c r="A28" s="20" t="s">
        <v>55</v>
      </c>
      <c r="B28" s="23">
        <f>-131+83-11</f>
        <v>-59</v>
      </c>
      <c r="C28" s="23"/>
      <c r="D28" s="22" t="s">
        <v>50</v>
      </c>
      <c r="E28" s="23"/>
      <c r="F28" s="22">
        <f>B28-83</f>
        <v>-142</v>
      </c>
      <c r="G28" s="23"/>
      <c r="H28" s="40">
        <v>-128</v>
      </c>
    </row>
    <row r="29" spans="1:8" ht="14.25">
      <c r="A29" s="20"/>
      <c r="B29" s="23"/>
      <c r="C29" s="23"/>
      <c r="D29" s="22"/>
      <c r="E29" s="23"/>
      <c r="F29" s="22"/>
      <c r="G29" s="23"/>
      <c r="H29" s="22"/>
    </row>
    <row r="30" spans="1:8" ht="14.25">
      <c r="A30" s="20" t="s">
        <v>114</v>
      </c>
      <c r="B30" s="23">
        <f>-depr!L7/1000+1036</f>
        <v>-1060.94728123834</v>
      </c>
      <c r="C30" s="23"/>
      <c r="D30" s="22" t="s">
        <v>50</v>
      </c>
      <c r="E30" s="23"/>
      <c r="F30" s="22">
        <f>B30-1036</f>
        <v>-2096.94728123834</v>
      </c>
      <c r="G30" s="23"/>
      <c r="H30" s="40">
        <v>-1968</v>
      </c>
    </row>
    <row r="31" spans="1:8" ht="14.25">
      <c r="A31" s="20" t="s">
        <v>10</v>
      </c>
      <c r="B31" s="23"/>
      <c r="C31" s="23"/>
      <c r="D31" s="22"/>
      <c r="E31" s="23"/>
      <c r="F31" s="22"/>
      <c r="G31" s="23"/>
      <c r="H31" s="22"/>
    </row>
    <row r="32" spans="1:8" ht="14.25">
      <c r="A32" s="20" t="s">
        <v>56</v>
      </c>
      <c r="B32" s="23">
        <v>0</v>
      </c>
      <c r="C32" s="23"/>
      <c r="D32" s="22" t="s">
        <v>50</v>
      </c>
      <c r="E32" s="23"/>
      <c r="F32" s="22">
        <f>B32</f>
        <v>0</v>
      </c>
      <c r="G32" s="23"/>
      <c r="H32" s="22">
        <v>0</v>
      </c>
    </row>
    <row r="33" spans="1:8" ht="14.25">
      <c r="A33" s="20"/>
      <c r="B33" s="23"/>
      <c r="C33" s="23"/>
      <c r="D33" s="22"/>
      <c r="E33" s="23"/>
      <c r="F33" s="22"/>
      <c r="G33" s="23"/>
      <c r="H33" s="22"/>
    </row>
    <row r="34" spans="1:8" ht="14.25">
      <c r="A34" s="20" t="s">
        <v>57</v>
      </c>
      <c r="B34" s="23"/>
      <c r="C34" s="23"/>
      <c r="D34" s="22"/>
      <c r="E34" s="23"/>
      <c r="F34" s="22"/>
      <c r="G34" s="23"/>
      <c r="H34" s="22"/>
    </row>
    <row r="35" spans="1:8" ht="14.25">
      <c r="A35" s="20" t="s">
        <v>115</v>
      </c>
      <c r="B35" s="23"/>
      <c r="C35" s="23"/>
      <c r="D35" s="22"/>
      <c r="E35" s="23"/>
      <c r="F35" s="22"/>
      <c r="G35" s="23"/>
      <c r="H35" s="22"/>
    </row>
    <row r="36" spans="1:8" ht="14.25">
      <c r="A36" s="20" t="s">
        <v>125</v>
      </c>
      <c r="B36" s="23"/>
      <c r="C36" s="23"/>
      <c r="D36" s="22"/>
      <c r="E36" s="23"/>
      <c r="F36" s="22"/>
      <c r="G36" s="23"/>
      <c r="H36" s="22"/>
    </row>
    <row r="37" spans="1:8" ht="14.25">
      <c r="A37" s="20" t="s">
        <v>126</v>
      </c>
      <c r="B37" s="23"/>
      <c r="C37" s="23"/>
      <c r="D37" s="22"/>
      <c r="E37" s="23"/>
      <c r="F37" s="22"/>
      <c r="G37" s="23"/>
      <c r="H37" s="22"/>
    </row>
    <row r="38" spans="1:8" ht="14.25">
      <c r="A38" s="20" t="s">
        <v>60</v>
      </c>
      <c r="B38" s="23">
        <f>B26+B28+B30+B32</f>
        <v>3635</v>
      </c>
      <c r="C38" s="23"/>
      <c r="D38" s="22" t="s">
        <v>50</v>
      </c>
      <c r="E38" s="23"/>
      <c r="F38" s="22">
        <f>B38+2835</f>
        <v>6470</v>
      </c>
      <c r="G38" s="23"/>
      <c r="H38" s="41">
        <f>H26+H28+H30+H32</f>
        <v>5639</v>
      </c>
    </row>
    <row r="39" spans="1:8" ht="14.25">
      <c r="A39" s="20"/>
      <c r="B39" s="23"/>
      <c r="C39" s="23"/>
      <c r="D39" s="22"/>
      <c r="E39" s="23"/>
      <c r="F39" s="22"/>
      <c r="G39" s="23"/>
      <c r="H39" s="22"/>
    </row>
    <row r="40" spans="1:8" ht="14.25">
      <c r="A40" s="20" t="s">
        <v>58</v>
      </c>
      <c r="B40" s="23"/>
      <c r="C40" s="23"/>
      <c r="D40" s="22"/>
      <c r="E40" s="23"/>
      <c r="F40" s="22"/>
      <c r="G40" s="23"/>
      <c r="H40" s="22"/>
    </row>
    <row r="41" spans="1:8" ht="14.25">
      <c r="A41" s="20" t="s">
        <v>127</v>
      </c>
      <c r="B41" s="23">
        <v>0</v>
      </c>
      <c r="C41" s="23"/>
      <c r="D41" s="22" t="s">
        <v>50</v>
      </c>
      <c r="E41" s="23"/>
      <c r="F41" s="22">
        <f>B41</f>
        <v>0</v>
      </c>
      <c r="G41" s="23"/>
      <c r="H41" s="22">
        <v>0</v>
      </c>
    </row>
    <row r="42" spans="1:8" ht="14.25">
      <c r="A42" s="20"/>
      <c r="B42" s="23"/>
      <c r="C42" s="23"/>
      <c r="D42" s="22"/>
      <c r="E42" s="23"/>
      <c r="F42" s="22"/>
      <c r="G42" s="23"/>
      <c r="H42" s="22"/>
    </row>
    <row r="43" spans="1:8" ht="14.25">
      <c r="A43" s="20" t="s">
        <v>59</v>
      </c>
      <c r="B43" s="23"/>
      <c r="C43" s="23"/>
      <c r="D43" s="22"/>
      <c r="E43" s="23"/>
      <c r="F43" s="22"/>
      <c r="G43" s="23"/>
      <c r="H43" s="22"/>
    </row>
    <row r="44" spans="1:8" ht="14.25">
      <c r="A44" s="20" t="s">
        <v>60</v>
      </c>
      <c r="B44" s="23">
        <f>B38+B41</f>
        <v>3635</v>
      </c>
      <c r="C44" s="23"/>
      <c r="D44" s="22" t="s">
        <v>50</v>
      </c>
      <c r="E44" s="23"/>
      <c r="F44" s="22">
        <f>B44+2835</f>
        <v>6470</v>
      </c>
      <c r="G44" s="23"/>
      <c r="H44" s="41">
        <f>H38+H41</f>
        <v>5639</v>
      </c>
    </row>
    <row r="45" spans="1:8" ht="14.25">
      <c r="A45" s="20"/>
      <c r="B45" s="23"/>
      <c r="C45" s="23"/>
      <c r="D45" s="22"/>
      <c r="E45" s="23"/>
      <c r="F45" s="22"/>
      <c r="G45" s="23"/>
      <c r="H45" s="22"/>
    </row>
    <row r="46" spans="1:8" ht="14.25">
      <c r="A46" s="20" t="s">
        <v>11</v>
      </c>
      <c r="B46" s="41">
        <f>-1500+622</f>
        <v>-878</v>
      </c>
      <c r="C46" s="23"/>
      <c r="D46" s="22" t="s">
        <v>50</v>
      </c>
      <c r="E46" s="23"/>
      <c r="F46" s="40">
        <f>B46-622</f>
        <v>-1500</v>
      </c>
      <c r="G46" s="23"/>
      <c r="H46" s="40">
        <v>-409</v>
      </c>
    </row>
    <row r="47" spans="1:8" ht="14.25">
      <c r="A47" s="20"/>
      <c r="B47" s="23"/>
      <c r="C47" s="23"/>
      <c r="D47" s="22"/>
      <c r="E47" s="23"/>
      <c r="F47" s="22"/>
      <c r="G47" s="23"/>
      <c r="H47" s="22"/>
    </row>
    <row r="48" spans="1:8" ht="14.25">
      <c r="A48" s="20" t="s">
        <v>61</v>
      </c>
      <c r="B48" s="23"/>
      <c r="C48" s="23"/>
      <c r="D48" s="22"/>
      <c r="E48" s="23"/>
      <c r="F48" s="22"/>
      <c r="G48" s="23"/>
      <c r="H48" s="22"/>
    </row>
    <row r="49" spans="1:8" ht="14.25">
      <c r="A49" s="20" t="s">
        <v>116</v>
      </c>
      <c r="B49" s="23">
        <f>B44+B46</f>
        <v>2757</v>
      </c>
      <c r="C49" s="23"/>
      <c r="D49" s="22" t="s">
        <v>50</v>
      </c>
      <c r="E49" s="23"/>
      <c r="F49" s="22">
        <f>B49+2213</f>
        <v>4970</v>
      </c>
      <c r="G49" s="23"/>
      <c r="H49" s="41">
        <f>H44+H46</f>
        <v>5230</v>
      </c>
    </row>
    <row r="50" spans="1:8" ht="14.25">
      <c r="A50" s="20"/>
      <c r="B50" s="23"/>
      <c r="C50" s="23"/>
      <c r="D50" s="22"/>
      <c r="E50" s="23"/>
      <c r="F50" s="22"/>
      <c r="G50" s="23"/>
      <c r="H50" s="22"/>
    </row>
    <row r="51" spans="1:8" ht="14.25">
      <c r="A51" s="20" t="s">
        <v>121</v>
      </c>
      <c r="B51" s="41">
        <f>-258+60</f>
        <v>-198</v>
      </c>
      <c r="C51" s="23"/>
      <c r="D51" s="22" t="s">
        <v>50</v>
      </c>
      <c r="E51" s="23"/>
      <c r="F51" s="40">
        <f>B51-60</f>
        <v>-258</v>
      </c>
      <c r="G51" s="23"/>
      <c r="H51" s="40">
        <v>-240</v>
      </c>
    </row>
    <row r="52" spans="1:8" ht="14.25">
      <c r="A52" s="20"/>
      <c r="B52" s="23"/>
      <c r="C52" s="23"/>
      <c r="D52" s="22"/>
      <c r="E52" s="23"/>
      <c r="F52" s="22"/>
      <c r="G52" s="23"/>
      <c r="H52" s="22"/>
    </row>
    <row r="53" spans="1:8" ht="14.25">
      <c r="A53" s="20" t="s">
        <v>62</v>
      </c>
      <c r="B53" s="23"/>
      <c r="C53" s="23"/>
      <c r="D53" s="22"/>
      <c r="E53" s="23"/>
      <c r="F53" s="22"/>
      <c r="G53" s="23"/>
      <c r="H53" s="22"/>
    </row>
    <row r="54" spans="1:8" ht="14.25">
      <c r="A54" s="20" t="s">
        <v>117</v>
      </c>
      <c r="B54" s="23">
        <f>B49+B51</f>
        <v>2559</v>
      </c>
      <c r="C54" s="23"/>
      <c r="D54" s="22" t="s">
        <v>50</v>
      </c>
      <c r="E54" s="23"/>
      <c r="F54" s="22">
        <f>B54+2153</f>
        <v>4712</v>
      </c>
      <c r="G54" s="23"/>
      <c r="H54" s="41">
        <f>H49+H51</f>
        <v>4990</v>
      </c>
    </row>
    <row r="55" spans="1:8" ht="14.25">
      <c r="A55" s="20"/>
      <c r="B55" s="23"/>
      <c r="C55" s="23"/>
      <c r="D55" s="22"/>
      <c r="E55" s="23"/>
      <c r="F55" s="22"/>
      <c r="G55" s="23"/>
      <c r="H55" s="22"/>
    </row>
    <row r="56" spans="1:8" ht="14.25">
      <c r="A56" s="24" t="s">
        <v>110</v>
      </c>
      <c r="B56" s="23"/>
      <c r="C56" s="23"/>
      <c r="D56" s="22"/>
      <c r="E56" s="23"/>
      <c r="F56" s="22"/>
      <c r="G56" s="23"/>
      <c r="H56" s="22"/>
    </row>
    <row r="57" spans="1:8" ht="14.25">
      <c r="A57" s="24"/>
      <c r="B57" s="23"/>
      <c r="C57" s="23"/>
      <c r="D57" s="22"/>
      <c r="E57" s="23"/>
      <c r="F57" s="22"/>
      <c r="G57" s="23"/>
      <c r="H57" s="22"/>
    </row>
    <row r="58" spans="1:8" ht="14.25">
      <c r="A58" s="20"/>
      <c r="B58" s="66" t="s">
        <v>162</v>
      </c>
      <c r="C58" s="66"/>
      <c r="D58" s="66"/>
      <c r="E58" s="37"/>
      <c r="F58" s="66" t="s">
        <v>163</v>
      </c>
      <c r="G58" s="66"/>
      <c r="H58" s="66"/>
    </row>
    <row r="59" spans="1:8" ht="14.25">
      <c r="A59" s="20"/>
      <c r="B59" s="36"/>
      <c r="C59" s="36"/>
      <c r="D59" s="36" t="s">
        <v>3</v>
      </c>
      <c r="E59" s="36"/>
      <c r="F59" s="36"/>
      <c r="G59" s="36"/>
      <c r="H59" s="36" t="s">
        <v>3</v>
      </c>
    </row>
    <row r="60" spans="1:8" ht="14.25">
      <c r="A60" s="20"/>
      <c r="B60" s="36" t="s">
        <v>1</v>
      </c>
      <c r="C60" s="36"/>
      <c r="D60" s="36" t="s">
        <v>4</v>
      </c>
      <c r="E60" s="36"/>
      <c r="F60" s="36" t="s">
        <v>1</v>
      </c>
      <c r="G60" s="36"/>
      <c r="H60" s="36" t="s">
        <v>4</v>
      </c>
    </row>
    <row r="61" spans="1:8" ht="14.25">
      <c r="A61" s="20"/>
      <c r="B61" s="36" t="s">
        <v>138</v>
      </c>
      <c r="C61" s="36"/>
      <c r="D61" s="36" t="s">
        <v>2</v>
      </c>
      <c r="E61" s="36"/>
      <c r="F61" s="36" t="s">
        <v>5</v>
      </c>
      <c r="G61" s="36"/>
      <c r="H61" s="36" t="s">
        <v>7</v>
      </c>
    </row>
    <row r="62" spans="1:8" ht="14.25">
      <c r="A62" s="20"/>
      <c r="B62" s="36" t="s">
        <v>139</v>
      </c>
      <c r="C62" s="36"/>
      <c r="D62" s="36" t="s">
        <v>156</v>
      </c>
      <c r="E62" s="36"/>
      <c r="F62" s="36" t="s">
        <v>139</v>
      </c>
      <c r="G62" s="36"/>
      <c r="H62" s="36" t="s">
        <v>156</v>
      </c>
    </row>
    <row r="63" spans="1:8" ht="14.25">
      <c r="A63" s="20"/>
      <c r="B63" s="36" t="s">
        <v>8</v>
      </c>
      <c r="C63" s="36"/>
      <c r="D63" s="36" t="s">
        <v>8</v>
      </c>
      <c r="E63" s="36"/>
      <c r="F63" s="36" t="s">
        <v>8</v>
      </c>
      <c r="G63" s="36"/>
      <c r="H63" s="36" t="s">
        <v>8</v>
      </c>
    </row>
    <row r="64" spans="1:8" ht="14.25">
      <c r="A64" s="20"/>
      <c r="B64" s="21"/>
      <c r="C64" s="21"/>
      <c r="D64" s="21"/>
      <c r="E64" s="21"/>
      <c r="F64" s="21"/>
      <c r="G64" s="21"/>
      <c r="H64" s="21"/>
    </row>
    <row r="65" spans="1:8" ht="14.25">
      <c r="A65" s="20" t="s">
        <v>64</v>
      </c>
      <c r="B65" s="23">
        <v>0</v>
      </c>
      <c r="C65" s="23"/>
      <c r="D65" s="22" t="s">
        <v>50</v>
      </c>
      <c r="E65" s="23"/>
      <c r="F65" s="22">
        <f>B65</f>
        <v>0</v>
      </c>
      <c r="G65" s="23"/>
      <c r="H65" s="22">
        <v>0</v>
      </c>
    </row>
    <row r="66" spans="1:8" ht="14.25">
      <c r="A66" s="20" t="s">
        <v>128</v>
      </c>
      <c r="B66" s="23">
        <v>0</v>
      </c>
      <c r="C66" s="23"/>
      <c r="D66" s="22" t="s">
        <v>50</v>
      </c>
      <c r="E66" s="23"/>
      <c r="F66" s="22">
        <f>B66</f>
        <v>0</v>
      </c>
      <c r="G66" s="23"/>
      <c r="H66" s="22">
        <v>0</v>
      </c>
    </row>
    <row r="67" spans="1:8" ht="14.25">
      <c r="A67" s="20" t="s">
        <v>129</v>
      </c>
      <c r="B67" s="23"/>
      <c r="C67" s="23"/>
      <c r="D67" s="22"/>
      <c r="E67" s="23"/>
      <c r="F67" s="22"/>
      <c r="G67" s="23"/>
      <c r="H67" s="22"/>
    </row>
    <row r="68" spans="1:8" ht="14.25">
      <c r="A68" s="20" t="s">
        <v>130</v>
      </c>
      <c r="B68" s="23">
        <v>0</v>
      </c>
      <c r="C68" s="23"/>
      <c r="D68" s="22" t="s">
        <v>50</v>
      </c>
      <c r="E68" s="23"/>
      <c r="F68" s="22">
        <f>B68</f>
        <v>0</v>
      </c>
      <c r="G68" s="23"/>
      <c r="H68" s="22">
        <v>0</v>
      </c>
    </row>
    <row r="69" spans="1:8" ht="14.25">
      <c r="A69" s="20"/>
      <c r="B69" s="23"/>
      <c r="C69" s="23"/>
      <c r="D69" s="22"/>
      <c r="E69" s="23"/>
      <c r="F69" s="22"/>
      <c r="G69" s="23"/>
      <c r="H69" s="22"/>
    </row>
    <row r="70" spans="1:8" ht="14.25">
      <c r="A70" s="20" t="s">
        <v>131</v>
      </c>
      <c r="B70" s="23"/>
      <c r="C70" s="23"/>
      <c r="D70" s="22"/>
      <c r="E70" s="23"/>
      <c r="F70" s="22"/>
      <c r="G70" s="23"/>
      <c r="H70" s="22"/>
    </row>
    <row r="71" spans="1:8" ht="14.25">
      <c r="A71" s="20" t="s">
        <v>68</v>
      </c>
      <c r="B71" s="23"/>
      <c r="C71" s="23"/>
      <c r="D71" s="22"/>
      <c r="E71" s="23"/>
      <c r="F71" s="22"/>
      <c r="G71" s="23"/>
      <c r="H71" s="22"/>
    </row>
    <row r="72" spans="1:8" ht="14.25">
      <c r="A72" s="20" t="s">
        <v>63</v>
      </c>
      <c r="B72" s="23">
        <f>B54+B65+B66+B68</f>
        <v>2559</v>
      </c>
      <c r="C72" s="23"/>
      <c r="D72" s="22" t="s">
        <v>50</v>
      </c>
      <c r="E72" s="23"/>
      <c r="F72" s="22">
        <f>B72+2153</f>
        <v>4712</v>
      </c>
      <c r="G72" s="23"/>
      <c r="H72" s="22">
        <f>H54</f>
        <v>4990</v>
      </c>
    </row>
    <row r="73" spans="1:8" ht="14.25">
      <c r="A73" s="20"/>
      <c r="B73" s="23"/>
      <c r="C73" s="23"/>
      <c r="D73" s="22"/>
      <c r="E73" s="23"/>
      <c r="F73" s="22"/>
      <c r="G73" s="23"/>
      <c r="H73" s="22"/>
    </row>
    <row r="74" spans="1:8" ht="14.25">
      <c r="A74" s="20" t="s">
        <v>67</v>
      </c>
      <c r="B74" s="23"/>
      <c r="C74" s="23"/>
      <c r="D74" s="22"/>
      <c r="E74" s="23"/>
      <c r="F74" s="22"/>
      <c r="G74" s="23"/>
      <c r="H74" s="22"/>
    </row>
    <row r="75" spans="1:8" ht="14.25">
      <c r="A75" s="20" t="s">
        <v>118</v>
      </c>
      <c r="B75" s="23"/>
      <c r="C75" s="23"/>
      <c r="D75" s="22"/>
      <c r="E75" s="23"/>
      <c r="F75" s="22"/>
      <c r="G75" s="23"/>
      <c r="H75" s="22"/>
    </row>
    <row r="76" spans="1:8" ht="14.25">
      <c r="A76" s="20" t="s">
        <v>119</v>
      </c>
      <c r="B76" s="23"/>
      <c r="C76" s="23"/>
      <c r="D76" s="22"/>
      <c r="E76" s="23"/>
      <c r="F76" s="22"/>
      <c r="G76" s="23"/>
      <c r="H76" s="22"/>
    </row>
    <row r="77" spans="1:8" ht="14.25">
      <c r="A77" s="20" t="s">
        <v>120</v>
      </c>
      <c r="B77" s="23"/>
      <c r="C77" s="23"/>
      <c r="D77" s="22"/>
      <c r="E77" s="23"/>
      <c r="F77" s="22"/>
      <c r="G77" s="23"/>
      <c r="H77" s="22"/>
    </row>
    <row r="78" spans="1:8" ht="14.25">
      <c r="A78" s="20"/>
      <c r="B78" s="23"/>
      <c r="C78" s="23"/>
      <c r="D78" s="22"/>
      <c r="E78" s="23"/>
      <c r="F78" s="22"/>
      <c r="G78" s="23"/>
      <c r="H78" s="22"/>
    </row>
    <row r="79" spans="1:8" ht="14.25">
      <c r="A79" s="20" t="s">
        <v>122</v>
      </c>
      <c r="B79" s="23"/>
      <c r="C79" s="23"/>
      <c r="D79" s="22"/>
      <c r="E79" s="23"/>
      <c r="F79" s="22"/>
      <c r="G79" s="23"/>
      <c r="H79" s="22"/>
    </row>
    <row r="80" spans="1:8" ht="14.25">
      <c r="A80" s="20" t="s">
        <v>69</v>
      </c>
      <c r="B80" s="25">
        <f>B54/53280*100</f>
        <v>4.802927927927928</v>
      </c>
      <c r="C80" s="23"/>
      <c r="D80" s="22" t="s">
        <v>50</v>
      </c>
      <c r="E80" s="23"/>
      <c r="F80" s="26">
        <f>F72/53280*100</f>
        <v>8.843843843843842</v>
      </c>
      <c r="G80" s="23"/>
      <c r="H80" s="26">
        <f>H72/53280*100</f>
        <v>9.365615615615615</v>
      </c>
    </row>
    <row r="81" spans="1:8" ht="14.25">
      <c r="A81" s="20"/>
      <c r="B81" s="25"/>
      <c r="C81" s="23"/>
      <c r="D81" s="22"/>
      <c r="E81" s="23"/>
      <c r="F81" s="26"/>
      <c r="G81" s="23"/>
      <c r="H81" s="22"/>
    </row>
    <row r="82" spans="1:8" ht="14.25">
      <c r="A82" s="20" t="s">
        <v>70</v>
      </c>
      <c r="B82" s="23"/>
      <c r="C82" s="23"/>
      <c r="D82" s="22"/>
      <c r="E82" s="23"/>
      <c r="F82" s="22"/>
      <c r="G82" s="23"/>
      <c r="H82" s="22"/>
    </row>
    <row r="83" spans="1:8" ht="14.25">
      <c r="A83" s="20" t="s">
        <v>165</v>
      </c>
      <c r="B83" s="25">
        <f>B54/58608*100</f>
        <v>4.366298116298116</v>
      </c>
      <c r="C83" s="23"/>
      <c r="D83" s="22" t="s">
        <v>50</v>
      </c>
      <c r="E83" s="23"/>
      <c r="F83" s="26">
        <f>F72/58608*100</f>
        <v>8.039858039858041</v>
      </c>
      <c r="G83" s="23"/>
      <c r="H83" s="26">
        <f>H72/58608*100</f>
        <v>8.514196014196013</v>
      </c>
    </row>
    <row r="84" spans="1:8" ht="14.25">
      <c r="A84" s="20"/>
      <c r="B84" s="25"/>
      <c r="C84" s="23"/>
      <c r="D84" s="22"/>
      <c r="E84" s="23"/>
      <c r="F84" s="26"/>
      <c r="G84" s="23"/>
      <c r="H84" s="22"/>
    </row>
    <row r="85" spans="1:8" ht="14.25">
      <c r="A85" s="20" t="s">
        <v>135</v>
      </c>
      <c r="B85" s="25">
        <v>0</v>
      </c>
      <c r="C85" s="23"/>
      <c r="D85" s="22" t="s">
        <v>50</v>
      </c>
      <c r="E85" s="23"/>
      <c r="F85" s="26">
        <f>B85</f>
        <v>0</v>
      </c>
      <c r="G85" s="23"/>
      <c r="H85" s="22">
        <v>0</v>
      </c>
    </row>
    <row r="86" spans="1:8" ht="14.25">
      <c r="A86" s="20"/>
      <c r="B86" s="25"/>
      <c r="C86" s="23"/>
      <c r="D86" s="22"/>
      <c r="E86" s="23"/>
      <c r="F86" s="26"/>
      <c r="G86" s="23"/>
      <c r="H86" s="22"/>
    </row>
    <row r="87" spans="1:8" ht="14.25">
      <c r="A87" s="20" t="s">
        <v>134</v>
      </c>
      <c r="B87" s="26" t="s">
        <v>50</v>
      </c>
      <c r="C87" s="23"/>
      <c r="D87" s="22" t="s">
        <v>50</v>
      </c>
      <c r="E87" s="23"/>
      <c r="F87" s="22" t="s">
        <v>50</v>
      </c>
      <c r="G87" s="23"/>
      <c r="H87" s="22" t="s">
        <v>50</v>
      </c>
    </row>
    <row r="88" spans="1:8" ht="14.25">
      <c r="A88" s="20"/>
      <c r="B88" s="26"/>
      <c r="C88" s="23"/>
      <c r="D88" s="22"/>
      <c r="E88" s="23"/>
      <c r="F88" s="22"/>
      <c r="G88" s="23"/>
      <c r="H88" s="22"/>
    </row>
    <row r="89" spans="1:8" ht="14.25">
      <c r="A89" s="20" t="s">
        <v>166</v>
      </c>
      <c r="B89" s="26"/>
      <c r="C89" s="23"/>
      <c r="D89" s="22"/>
      <c r="E89" s="23"/>
      <c r="F89" s="22"/>
      <c r="G89" s="23"/>
      <c r="H89" s="22"/>
    </row>
    <row r="90" spans="1:8" ht="14.25">
      <c r="A90" s="20" t="s">
        <v>176</v>
      </c>
      <c r="B90" s="25"/>
      <c r="C90" s="23"/>
      <c r="D90" s="22"/>
      <c r="E90" s="23"/>
      <c r="F90" s="26"/>
      <c r="G90" s="23"/>
      <c r="H90" s="22"/>
    </row>
    <row r="91" spans="1:8" ht="14.25">
      <c r="A91" s="20" t="s">
        <v>173</v>
      </c>
      <c r="B91" s="25"/>
      <c r="C91" s="23"/>
      <c r="D91" s="22"/>
      <c r="E91" s="23"/>
      <c r="F91" s="26"/>
      <c r="G91" s="23"/>
      <c r="H91" s="22"/>
    </row>
    <row r="92" spans="1:8" ht="14.25">
      <c r="A92" s="20" t="s">
        <v>174</v>
      </c>
      <c r="B92" s="25"/>
      <c r="C92" s="23"/>
      <c r="D92" s="22"/>
      <c r="E92" s="23"/>
      <c r="F92" s="26"/>
      <c r="G92" s="23"/>
      <c r="H92" s="22"/>
    </row>
    <row r="93" spans="1:8" ht="14.25">
      <c r="A93" s="20"/>
      <c r="B93" s="25"/>
      <c r="C93" s="23"/>
      <c r="D93" s="22"/>
      <c r="E93" s="23"/>
      <c r="F93" s="26"/>
      <c r="G93" s="23"/>
      <c r="H93" s="22"/>
    </row>
    <row r="94" spans="1:8" ht="14.25">
      <c r="A94" s="20"/>
      <c r="B94" s="25"/>
      <c r="C94" s="23"/>
      <c r="D94" s="22"/>
      <c r="E94" s="23"/>
      <c r="F94" s="26"/>
      <c r="G94" s="23"/>
      <c r="H94" s="22"/>
    </row>
    <row r="95" spans="1:8" ht="14.25">
      <c r="A95" s="24" t="s">
        <v>12</v>
      </c>
      <c r="B95" s="20"/>
      <c r="C95" s="20"/>
      <c r="D95" s="22"/>
      <c r="E95" s="23"/>
      <c r="F95" s="26"/>
      <c r="G95" s="23"/>
      <c r="H95" s="22"/>
    </row>
    <row r="96" spans="1:8" ht="14.25">
      <c r="A96" s="20"/>
      <c r="B96" s="20"/>
      <c r="C96" s="20"/>
      <c r="D96" s="22"/>
      <c r="E96" s="23"/>
      <c r="F96" s="26"/>
      <c r="G96" s="23"/>
      <c r="H96" s="22"/>
    </row>
    <row r="97" spans="1:8" ht="14.25">
      <c r="A97" s="20"/>
      <c r="B97" s="36"/>
      <c r="C97" s="36"/>
      <c r="D97" s="38"/>
      <c r="E97" s="38"/>
      <c r="F97" s="36" t="s">
        <v>14</v>
      </c>
      <c r="G97" s="23"/>
      <c r="H97" s="22"/>
    </row>
    <row r="98" spans="1:8" ht="14.25">
      <c r="A98" s="20"/>
      <c r="B98" s="36" t="s">
        <v>15</v>
      </c>
      <c r="C98" s="36"/>
      <c r="D98" s="38"/>
      <c r="E98" s="38"/>
      <c r="F98" s="36" t="s">
        <v>16</v>
      </c>
      <c r="G98" s="22"/>
      <c r="H98" s="22"/>
    </row>
    <row r="99" spans="1:8" ht="14.25">
      <c r="A99" s="20"/>
      <c r="B99" s="36" t="s">
        <v>13</v>
      </c>
      <c r="C99" s="36"/>
      <c r="D99" s="38"/>
      <c r="E99" s="38"/>
      <c r="F99" s="36" t="s">
        <v>17</v>
      </c>
      <c r="G99" s="22"/>
      <c r="H99" s="22"/>
    </row>
    <row r="100" spans="1:8" ht="14.25">
      <c r="A100" s="20"/>
      <c r="B100" s="36" t="s">
        <v>139</v>
      </c>
      <c r="C100" s="36"/>
      <c r="D100" s="38"/>
      <c r="E100" s="38"/>
      <c r="F100" s="36" t="s">
        <v>71</v>
      </c>
      <c r="G100" s="22"/>
      <c r="H100" s="22"/>
    </row>
    <row r="101" spans="1:8" ht="14.25">
      <c r="A101" s="20"/>
      <c r="B101" s="36" t="s">
        <v>8</v>
      </c>
      <c r="C101" s="36"/>
      <c r="D101" s="38"/>
      <c r="E101" s="38"/>
      <c r="F101" s="36" t="s">
        <v>8</v>
      </c>
      <c r="G101" s="22"/>
      <c r="H101" s="22"/>
    </row>
    <row r="102" spans="1:8" ht="14.25">
      <c r="A102" s="20"/>
      <c r="B102" s="20"/>
      <c r="C102" s="20"/>
      <c r="D102" s="22"/>
      <c r="E102" s="23"/>
      <c r="F102" s="20"/>
      <c r="G102" s="22"/>
      <c r="H102" s="22"/>
    </row>
    <row r="103" spans="1:8" ht="14.25">
      <c r="A103" s="20" t="s">
        <v>72</v>
      </c>
      <c r="B103" s="23">
        <f>48398781/1000</f>
        <v>48398.781</v>
      </c>
      <c r="C103" s="23">
        <f>43875838/1000</f>
        <v>43875.838</v>
      </c>
      <c r="D103" s="22"/>
      <c r="E103" s="23"/>
      <c r="F103" s="23">
        <f>43875838/1000</f>
        <v>43875.838</v>
      </c>
      <c r="G103" s="22"/>
      <c r="H103" s="22"/>
    </row>
    <row r="104" spans="1:8" ht="14.25">
      <c r="A104" s="20" t="s">
        <v>37</v>
      </c>
      <c r="B104" s="23">
        <f>5971383/1000</f>
        <v>5971.383</v>
      </c>
      <c r="C104" s="23">
        <f>5963696/1000</f>
        <v>5963.696</v>
      </c>
      <c r="D104" s="22"/>
      <c r="E104" s="23"/>
      <c r="F104" s="23">
        <f>5963696/1000</f>
        <v>5963.696</v>
      </c>
      <c r="G104" s="22"/>
      <c r="H104" s="22"/>
    </row>
    <row r="105" spans="1:8" ht="14.25">
      <c r="A105" s="20" t="s">
        <v>74</v>
      </c>
      <c r="B105" s="23">
        <f>2841000/1000</f>
        <v>2841</v>
      </c>
      <c r="C105" s="23">
        <f>3341000/1000</f>
        <v>3341</v>
      </c>
      <c r="D105" s="22"/>
      <c r="E105" s="23"/>
      <c r="F105" s="23">
        <f>3341000/1000</f>
        <v>3341</v>
      </c>
      <c r="G105" s="22"/>
      <c r="H105" s="22"/>
    </row>
    <row r="106" spans="1:8" ht="14.25">
      <c r="A106" s="20" t="s">
        <v>73</v>
      </c>
      <c r="B106" s="23">
        <f>3396171/1000</f>
        <v>3396.171</v>
      </c>
      <c r="C106" s="23">
        <f>3447203/1000+(22293/1000)</f>
        <v>3469.496</v>
      </c>
      <c r="D106" s="22"/>
      <c r="E106" s="23"/>
      <c r="F106" s="23">
        <f>3447203/1000+(22293/1000)</f>
        <v>3469.496</v>
      </c>
      <c r="G106" s="22"/>
      <c r="H106" s="22"/>
    </row>
    <row r="107" spans="1:8" ht="14.25">
      <c r="A107" s="20"/>
      <c r="B107" s="23"/>
      <c r="C107" s="23"/>
      <c r="D107" s="22"/>
      <c r="E107" s="23"/>
      <c r="F107" s="23"/>
      <c r="G107" s="22"/>
      <c r="H107" s="22"/>
    </row>
    <row r="108" spans="1:8" ht="14.25">
      <c r="A108" s="20"/>
      <c r="B108" s="23"/>
      <c r="C108" s="23"/>
      <c r="D108" s="22"/>
      <c r="E108" s="23"/>
      <c r="F108" s="23"/>
      <c r="G108" s="22"/>
      <c r="H108" s="22"/>
    </row>
    <row r="109" spans="7:8" ht="14.25">
      <c r="G109" s="22"/>
      <c r="H109" s="22"/>
    </row>
    <row r="110" spans="7:8" ht="14.25">
      <c r="G110" s="22"/>
      <c r="H110" s="22"/>
    </row>
    <row r="111" spans="1:8" ht="14.25">
      <c r="A111" s="24" t="s">
        <v>112</v>
      </c>
      <c r="B111" s="28"/>
      <c r="C111" s="28"/>
      <c r="D111" s="23"/>
      <c r="E111" s="23"/>
      <c r="F111" s="28"/>
      <c r="G111" s="22"/>
      <c r="H111" s="22"/>
    </row>
    <row r="112" spans="1:8" ht="14.25">
      <c r="A112" s="32"/>
      <c r="B112" s="36"/>
      <c r="C112" s="36"/>
      <c r="D112" s="38"/>
      <c r="E112" s="38"/>
      <c r="F112" s="36" t="s">
        <v>14</v>
      </c>
      <c r="G112" s="22"/>
      <c r="H112" s="22"/>
    </row>
    <row r="113" spans="1:8" ht="14.25">
      <c r="A113" s="32"/>
      <c r="B113" s="36" t="s">
        <v>15</v>
      </c>
      <c r="C113" s="36"/>
      <c r="D113" s="38"/>
      <c r="E113" s="38"/>
      <c r="F113" s="36" t="s">
        <v>16</v>
      </c>
      <c r="G113" s="22"/>
      <c r="H113" s="22"/>
    </row>
    <row r="114" spans="1:8" ht="14.25">
      <c r="A114" s="32"/>
      <c r="B114" s="36" t="s">
        <v>13</v>
      </c>
      <c r="C114" s="36"/>
      <c r="D114" s="38"/>
      <c r="E114" s="38"/>
      <c r="F114" s="36" t="s">
        <v>17</v>
      </c>
      <c r="G114" s="22"/>
      <c r="H114" s="22"/>
    </row>
    <row r="115" spans="1:8" ht="14.25">
      <c r="A115" s="32"/>
      <c r="B115" s="36" t="s">
        <v>139</v>
      </c>
      <c r="C115" s="36"/>
      <c r="D115" s="38"/>
      <c r="E115" s="38"/>
      <c r="F115" s="36" t="s">
        <v>71</v>
      </c>
      <c r="G115" s="22"/>
      <c r="H115" s="22"/>
    </row>
    <row r="116" spans="1:8" ht="14.25">
      <c r="A116" s="32"/>
      <c r="B116" s="36" t="s">
        <v>8</v>
      </c>
      <c r="C116" s="36"/>
      <c r="D116" s="38"/>
      <c r="E116" s="38"/>
      <c r="F116" s="36" t="s">
        <v>8</v>
      </c>
      <c r="G116" s="22"/>
      <c r="H116" s="22"/>
    </row>
    <row r="117" spans="1:8" ht="14.25">
      <c r="A117" s="32"/>
      <c r="B117" s="36"/>
      <c r="C117" s="36"/>
      <c r="D117" s="38"/>
      <c r="E117" s="38"/>
      <c r="F117" s="36"/>
      <c r="G117" s="22"/>
      <c r="H117" s="22"/>
    </row>
    <row r="118" spans="1:8" ht="14.25">
      <c r="A118" s="20" t="s">
        <v>111</v>
      </c>
      <c r="B118" s="23"/>
      <c r="C118" s="23"/>
      <c r="D118" s="22"/>
      <c r="E118" s="23"/>
      <c r="F118" s="23"/>
      <c r="G118" s="22"/>
      <c r="H118" s="22"/>
    </row>
    <row r="119" spans="1:8" ht="14.25">
      <c r="A119" s="20" t="s">
        <v>40</v>
      </c>
      <c r="B119" s="27">
        <f>10180535/1000</f>
        <v>10180.535</v>
      </c>
      <c r="C119" s="28">
        <f>9803092/1000</f>
        <v>9803.092</v>
      </c>
      <c r="D119" s="22"/>
      <c r="E119" s="23"/>
      <c r="F119" s="27">
        <f>9803092/1000</f>
        <v>9803.092</v>
      </c>
      <c r="G119" s="22"/>
      <c r="H119" s="22"/>
    </row>
    <row r="120" spans="1:8" ht="14.25">
      <c r="A120" s="20" t="s">
        <v>75</v>
      </c>
      <c r="B120" s="29">
        <f>12713414/1000</f>
        <v>12713.414</v>
      </c>
      <c r="C120" s="28">
        <f>10364600/1000</f>
        <v>10364.6</v>
      </c>
      <c r="D120" s="22"/>
      <c r="E120" s="23"/>
      <c r="F120" s="29">
        <f>10364600/1000</f>
        <v>10364.6</v>
      </c>
      <c r="G120" s="22" t="s">
        <v>50</v>
      </c>
      <c r="H120" s="22"/>
    </row>
    <row r="121" spans="1:8" ht="14.25">
      <c r="A121" s="20" t="s">
        <v>76</v>
      </c>
      <c r="B121" s="29">
        <f>(2825473+2598243+9767779+70458+127164)/1000</f>
        <v>15389.117</v>
      </c>
      <c r="C121" s="28">
        <f>14260853/1000</f>
        <v>14260.853</v>
      </c>
      <c r="D121" s="20"/>
      <c r="E121" s="20"/>
      <c r="F121" s="29">
        <f>14260853/1000</f>
        <v>14260.853</v>
      </c>
      <c r="G121" s="20"/>
      <c r="H121" s="20"/>
    </row>
    <row r="122" spans="1:8" ht="14.25">
      <c r="A122" s="20" t="s">
        <v>77</v>
      </c>
      <c r="B122" s="29">
        <v>0</v>
      </c>
      <c r="C122" s="28">
        <v>0</v>
      </c>
      <c r="D122" s="23"/>
      <c r="E122" s="23"/>
      <c r="F122" s="29">
        <v>0</v>
      </c>
      <c r="G122" s="23"/>
      <c r="H122" s="22"/>
    </row>
    <row r="123" spans="1:8" ht="14.25">
      <c r="A123" s="20" t="s">
        <v>41</v>
      </c>
      <c r="B123" s="29">
        <f>6834384/1000</f>
        <v>6834.384</v>
      </c>
      <c r="C123" s="28">
        <f>6605957/1000</f>
        <v>6605.957</v>
      </c>
      <c r="D123" s="23"/>
      <c r="E123" s="23"/>
      <c r="F123" s="29">
        <f>6605957/1000</f>
        <v>6605.957</v>
      </c>
      <c r="G123" s="23"/>
      <c r="H123" s="22"/>
    </row>
    <row r="124" spans="1:8" ht="14.25">
      <c r="A124" s="20" t="s">
        <v>19</v>
      </c>
      <c r="B124" s="30">
        <f>1774310/1000</f>
        <v>1774.31</v>
      </c>
      <c r="C124" s="28">
        <f>1110736/1000</f>
        <v>1110.736</v>
      </c>
      <c r="D124" s="23"/>
      <c r="E124" s="23"/>
      <c r="F124" s="30">
        <f>1110736/1000</f>
        <v>1110.736</v>
      </c>
      <c r="G124" s="23"/>
      <c r="H124" s="23"/>
    </row>
    <row r="125" spans="1:8" ht="14.25">
      <c r="A125" s="20"/>
      <c r="B125" s="31">
        <f>SUM(B119:B124)-1</f>
        <v>46890.759999999995</v>
      </c>
      <c r="C125" s="28">
        <f>SUM(C119:C124)</f>
        <v>42145.238</v>
      </c>
      <c r="D125" s="23"/>
      <c r="E125" s="23"/>
      <c r="F125" s="31">
        <f>SUM(F119:F124)+1</f>
        <v>42146.238</v>
      </c>
      <c r="G125" s="23"/>
      <c r="H125" s="23"/>
    </row>
    <row r="126" spans="1:8" ht="14.25">
      <c r="A126" s="32"/>
      <c r="B126" s="28"/>
      <c r="C126" s="28"/>
      <c r="D126" s="23"/>
      <c r="E126" s="23"/>
      <c r="F126" s="28"/>
      <c r="G126" s="23"/>
      <c r="H126" s="23"/>
    </row>
    <row r="127" spans="1:8" ht="14.25">
      <c r="A127" s="20" t="s">
        <v>113</v>
      </c>
      <c r="B127" s="23"/>
      <c r="C127" s="23"/>
      <c r="D127" s="23"/>
      <c r="E127" s="23"/>
      <c r="F127" s="23"/>
      <c r="G127" s="23"/>
      <c r="H127" s="23"/>
    </row>
    <row r="128" spans="1:8" ht="14.25">
      <c r="A128" s="20" t="s">
        <v>78</v>
      </c>
      <c r="B128" s="27">
        <f>(415126+640167)/1000</f>
        <v>1055.293</v>
      </c>
      <c r="C128" s="28">
        <f>(1054660+752431)/1000</f>
        <v>1807.091</v>
      </c>
      <c r="D128" s="28"/>
      <c r="E128" s="28"/>
      <c r="F128" s="27">
        <f>1055000/1000</f>
        <v>1055</v>
      </c>
      <c r="G128" s="23"/>
      <c r="H128" s="23"/>
    </row>
    <row r="129" spans="1:8" ht="14.25">
      <c r="A129" s="20" t="s">
        <v>79</v>
      </c>
      <c r="B129" s="29">
        <f>3919938/1000</f>
        <v>3919.938</v>
      </c>
      <c r="C129" s="28">
        <f>2858584/1000</f>
        <v>2858.584</v>
      </c>
      <c r="D129" s="28"/>
      <c r="E129" s="28"/>
      <c r="F129" s="29">
        <f>2858584/1000</f>
        <v>2858.584</v>
      </c>
      <c r="G129" s="23"/>
      <c r="H129" s="23"/>
    </row>
    <row r="130" spans="1:8" ht="14.25">
      <c r="A130" s="20" t="s">
        <v>80</v>
      </c>
      <c r="B130" s="29">
        <f>(2600414+1964283+809692)/1000</f>
        <v>5374.389</v>
      </c>
      <c r="C130" s="28">
        <f>(3261722)/1000</f>
        <v>3261.722</v>
      </c>
      <c r="D130" s="28"/>
      <c r="E130" s="28"/>
      <c r="F130" s="29">
        <f>4014000/1000</f>
        <v>4014</v>
      </c>
      <c r="G130" s="23"/>
      <c r="H130" s="23"/>
    </row>
    <row r="131" spans="1:8" ht="14.25">
      <c r="A131" s="20" t="s">
        <v>81</v>
      </c>
      <c r="B131" s="29">
        <f>(3711070+127164)/1000</f>
        <v>3838.234</v>
      </c>
      <c r="C131" s="28">
        <f>3377707/1000</f>
        <v>3377.707</v>
      </c>
      <c r="D131" s="28"/>
      <c r="E131" s="28"/>
      <c r="F131" s="29">
        <f>3377707/1000</f>
        <v>3377.707</v>
      </c>
      <c r="G131" s="23"/>
      <c r="H131" s="23"/>
    </row>
    <row r="132" spans="1:8" ht="14.25">
      <c r="A132" s="20" t="s">
        <v>82</v>
      </c>
      <c r="B132" s="30">
        <v>0</v>
      </c>
      <c r="C132" s="28">
        <f>532800/1000</f>
        <v>532.8</v>
      </c>
      <c r="D132" s="28"/>
      <c r="E132" s="28"/>
      <c r="F132" s="30">
        <f>532800/1000</f>
        <v>532.8</v>
      </c>
      <c r="G132" s="23"/>
      <c r="H132" s="23"/>
    </row>
    <row r="133" spans="1:8" ht="14.25">
      <c r="A133" s="20"/>
      <c r="B133" s="31">
        <f>SUM(B128:B132)</f>
        <v>14187.854</v>
      </c>
      <c r="C133" s="28">
        <f>SUM(C128:C132)</f>
        <v>11837.903999999999</v>
      </c>
      <c r="D133" s="28"/>
      <c r="E133" s="28"/>
      <c r="F133" s="31">
        <f>SUM(F128:F132)+1</f>
        <v>11839.090999999999</v>
      </c>
      <c r="G133" s="23"/>
      <c r="H133" s="23"/>
    </row>
    <row r="134" spans="1:8" ht="14.25">
      <c r="A134" s="20"/>
      <c r="B134" s="23"/>
      <c r="C134" s="23"/>
      <c r="D134" s="23"/>
      <c r="E134" s="23"/>
      <c r="F134" s="23"/>
      <c r="G134" s="23"/>
      <c r="H134" s="23"/>
    </row>
    <row r="135" spans="1:8" ht="14.25">
      <c r="A135" s="20" t="s">
        <v>83</v>
      </c>
      <c r="B135" s="23">
        <f>B125-B133+1</f>
        <v>32703.905999999995</v>
      </c>
      <c r="C135" s="23">
        <f>C125-C133</f>
        <v>30307.334</v>
      </c>
      <c r="D135" s="23"/>
      <c r="E135" s="23"/>
      <c r="F135" s="23">
        <f>F125-F133</f>
        <v>30307.146999999997</v>
      </c>
      <c r="G135" s="23"/>
      <c r="H135" s="23"/>
    </row>
    <row r="136" spans="1:8" ht="14.25">
      <c r="A136" s="20"/>
      <c r="B136" s="23"/>
      <c r="C136" s="23"/>
      <c r="D136" s="23"/>
      <c r="E136" s="23"/>
      <c r="F136" s="23"/>
      <c r="G136" s="23"/>
      <c r="H136" s="23"/>
    </row>
    <row r="137" spans="1:8" ht="15" thickBot="1">
      <c r="A137" s="20"/>
      <c r="B137" s="33">
        <f>B135+B103+B104+B105+B106</f>
        <v>93311.24100000001</v>
      </c>
      <c r="C137" s="28">
        <f>C135+C103+C104+C105+C106</f>
        <v>86957.364</v>
      </c>
      <c r="D137" s="28"/>
      <c r="E137" s="23"/>
      <c r="F137" s="33">
        <f>F135+F103+F104+F105+F106</f>
        <v>86957.177</v>
      </c>
      <c r="G137" s="23"/>
      <c r="H137" s="23"/>
    </row>
    <row r="138" spans="1:8" ht="15" thickTop="1">
      <c r="A138" s="20"/>
      <c r="B138" s="23"/>
      <c r="C138" s="23"/>
      <c r="D138" s="23"/>
      <c r="E138" s="23"/>
      <c r="F138" s="23"/>
      <c r="G138" s="23"/>
      <c r="H138" s="23"/>
    </row>
    <row r="139" spans="1:8" ht="14.25">
      <c r="A139" s="20" t="s">
        <v>84</v>
      </c>
      <c r="B139" s="23">
        <f>53280000/1000</f>
        <v>53280</v>
      </c>
      <c r="C139" s="23">
        <f>53280000/1000</f>
        <v>53280</v>
      </c>
      <c r="D139" s="23"/>
      <c r="E139" s="23"/>
      <c r="F139" s="23">
        <f>53280000/1000</f>
        <v>53280</v>
      </c>
      <c r="G139" s="23"/>
      <c r="H139" s="23"/>
    </row>
    <row r="140" spans="1:8" ht="14.25">
      <c r="A140" s="20" t="s">
        <v>43</v>
      </c>
      <c r="B140" s="23"/>
      <c r="C140" s="23"/>
      <c r="D140" s="20"/>
      <c r="E140" s="20"/>
      <c r="F140" s="23"/>
      <c r="G140" s="20"/>
      <c r="H140" s="20"/>
    </row>
    <row r="141" spans="1:8" ht="14.25">
      <c r="A141" s="20" t="s">
        <v>85</v>
      </c>
      <c r="B141" s="27">
        <v>0</v>
      </c>
      <c r="C141" s="28">
        <v>0</v>
      </c>
      <c r="D141" s="32"/>
      <c r="E141" s="32"/>
      <c r="F141" s="27">
        <v>0</v>
      </c>
      <c r="G141" s="20"/>
      <c r="H141" s="20"/>
    </row>
    <row r="142" spans="1:8" ht="14.25">
      <c r="A142" s="20" t="s">
        <v>86</v>
      </c>
      <c r="B142" s="29">
        <v>0</v>
      </c>
      <c r="C142" s="28"/>
      <c r="D142" s="32"/>
      <c r="E142" s="32"/>
      <c r="F142" s="29"/>
      <c r="G142" s="20"/>
      <c r="H142" s="20"/>
    </row>
    <row r="143" spans="1:8" ht="14.25">
      <c r="A143" s="20" t="s">
        <v>87</v>
      </c>
      <c r="B143" s="29">
        <f>1504000/1000</f>
        <v>1504</v>
      </c>
      <c r="C143" s="28">
        <f>1503623/1000</f>
        <v>1503.623</v>
      </c>
      <c r="D143" s="32"/>
      <c r="E143" s="32"/>
      <c r="F143" s="29">
        <f>1503623/1000</f>
        <v>1503.623</v>
      </c>
      <c r="G143" s="20"/>
      <c r="H143" s="20"/>
    </row>
    <row r="144" spans="1:8" ht="14.25">
      <c r="A144" s="20" t="s">
        <v>88</v>
      </c>
      <c r="B144" s="29">
        <v>0</v>
      </c>
      <c r="C144" s="28">
        <v>0</v>
      </c>
      <c r="D144" s="32"/>
      <c r="E144" s="32"/>
      <c r="F144" s="29">
        <v>0</v>
      </c>
      <c r="G144" s="20"/>
      <c r="H144" s="20"/>
    </row>
    <row r="145" spans="1:8" ht="14.25">
      <c r="A145" s="20" t="s">
        <v>89</v>
      </c>
      <c r="B145" s="30">
        <f>29690377/1000</f>
        <v>29690.377</v>
      </c>
      <c r="C145" s="28">
        <f>24978297/1000</f>
        <v>24978.297</v>
      </c>
      <c r="D145" s="32"/>
      <c r="E145" s="32"/>
      <c r="F145" s="30">
        <f>24978297/1000</f>
        <v>24978.297</v>
      </c>
      <c r="G145" s="20"/>
      <c r="H145" s="20"/>
    </row>
    <row r="146" spans="1:8" ht="14.25">
      <c r="A146" s="20"/>
      <c r="B146" s="23">
        <f>SUM(B141:B145)</f>
        <v>31194.377</v>
      </c>
      <c r="C146" s="23">
        <f>SUM(C141:C145)</f>
        <v>26481.92</v>
      </c>
      <c r="D146" s="20"/>
      <c r="E146" s="20"/>
      <c r="F146" s="23">
        <f>SUM(F141:F145)</f>
        <v>26481.92</v>
      </c>
      <c r="G146" s="20"/>
      <c r="H146" s="20"/>
    </row>
    <row r="147" spans="1:8" ht="14.25">
      <c r="A147" s="20"/>
      <c r="B147" s="34"/>
      <c r="C147" s="23"/>
      <c r="D147" s="20"/>
      <c r="E147" s="20"/>
      <c r="F147" s="34"/>
      <c r="G147" s="20"/>
      <c r="H147" s="20"/>
    </row>
    <row r="148" spans="1:8" ht="14.25">
      <c r="A148" s="20" t="s">
        <v>132</v>
      </c>
      <c r="B148" s="23">
        <f>B139+B146</f>
        <v>84474.37700000001</v>
      </c>
      <c r="C148" s="23"/>
      <c r="D148" s="20"/>
      <c r="E148" s="20"/>
      <c r="F148" s="23">
        <f>F139+F146</f>
        <v>79761.92</v>
      </c>
      <c r="G148" s="20"/>
      <c r="H148" s="20"/>
    </row>
    <row r="149" spans="1:8" ht="14.25">
      <c r="A149" s="20"/>
      <c r="B149" s="23"/>
      <c r="C149" s="23"/>
      <c r="D149" s="20"/>
      <c r="E149" s="20"/>
      <c r="F149" s="23"/>
      <c r="G149" s="20"/>
      <c r="H149" s="20"/>
    </row>
    <row r="150" spans="1:8" ht="14.25">
      <c r="A150" s="20" t="s">
        <v>90</v>
      </c>
      <c r="B150" s="23">
        <f>3537006/1000</f>
        <v>3537.006</v>
      </c>
      <c r="C150" s="23">
        <f>2779150/1000</f>
        <v>2779.15</v>
      </c>
      <c r="D150" s="20"/>
      <c r="E150" s="20"/>
      <c r="F150" s="23">
        <f>2778000/1000</f>
        <v>2778</v>
      </c>
      <c r="G150" s="20"/>
      <c r="H150" s="20"/>
    </row>
    <row r="151" spans="1:8" ht="14.25">
      <c r="A151" s="20" t="s">
        <v>92</v>
      </c>
      <c r="B151" s="23">
        <f>(3128531-788227-425000)/1000+1</f>
        <v>1916.304</v>
      </c>
      <c r="C151" s="23">
        <f>2340304/1000</f>
        <v>2340.304</v>
      </c>
      <c r="D151" s="20"/>
      <c r="E151" s="20"/>
      <c r="F151" s="23">
        <f>1916000/1000</f>
        <v>1916</v>
      </c>
      <c r="G151" s="20"/>
      <c r="H151" s="20"/>
    </row>
    <row r="152" spans="1:8" ht="14.25">
      <c r="A152" s="20" t="s">
        <v>93</v>
      </c>
      <c r="B152" s="23">
        <f>2171705/1000</f>
        <v>2171.705</v>
      </c>
      <c r="C152" s="23">
        <f>2075990/1000</f>
        <v>2075.99</v>
      </c>
      <c r="D152" s="20"/>
      <c r="E152" s="20"/>
      <c r="F152" s="23">
        <f>2075990/1000</f>
        <v>2075.99</v>
      </c>
      <c r="G152" s="20"/>
      <c r="H152" s="20"/>
    </row>
    <row r="153" spans="1:8" ht="14.25">
      <c r="A153" s="20" t="s">
        <v>91</v>
      </c>
      <c r="B153" s="23">
        <f>(425000+788227)/1000-1</f>
        <v>1212.227</v>
      </c>
      <c r="C153" s="23"/>
      <c r="D153" s="20"/>
      <c r="E153" s="20"/>
      <c r="F153" s="23">
        <f>425000/1000</f>
        <v>425</v>
      </c>
      <c r="G153" s="20"/>
      <c r="H153" s="20"/>
    </row>
    <row r="154" spans="1:8" ht="14.25">
      <c r="A154" s="20"/>
      <c r="B154" s="23"/>
      <c r="C154" s="23"/>
      <c r="D154" s="20"/>
      <c r="E154" s="20"/>
      <c r="F154" s="23"/>
      <c r="G154" s="20"/>
      <c r="H154" s="20"/>
    </row>
    <row r="155" spans="1:8" ht="15" thickBot="1">
      <c r="A155" s="20"/>
      <c r="B155" s="33">
        <f>SUM(B148:B153)-1</f>
        <v>93310.619</v>
      </c>
      <c r="C155" s="28">
        <f>C152+C151+C150+C146+C139</f>
        <v>86957.364</v>
      </c>
      <c r="D155" s="20"/>
      <c r="E155" s="20"/>
      <c r="F155" s="33">
        <f>SUM(F148:F153)</f>
        <v>86956.91</v>
      </c>
      <c r="G155" s="20"/>
      <c r="H155" s="20"/>
    </row>
    <row r="156" spans="1:8" ht="15" thickTop="1">
      <c r="A156" s="20"/>
      <c r="B156" s="28"/>
      <c r="C156" s="28"/>
      <c r="D156" s="20"/>
      <c r="E156" s="20"/>
      <c r="F156" s="28"/>
      <c r="G156" s="20"/>
      <c r="H156" s="20"/>
    </row>
    <row r="157" spans="1:8" ht="14.25">
      <c r="A157" s="20" t="s">
        <v>136</v>
      </c>
      <c r="B157" s="25">
        <f>(B148-B106)/B139</f>
        <v>1.5217381006006008</v>
      </c>
      <c r="C157" s="25">
        <f>(C146-C106)/C139*100</f>
        <v>43.19148648648648</v>
      </c>
      <c r="D157" s="20"/>
      <c r="E157" s="20"/>
      <c r="F157" s="25">
        <f>(F148-F106)/F139</f>
        <v>1.4319148648648647</v>
      </c>
      <c r="G157" s="20"/>
      <c r="H157" s="20"/>
    </row>
    <row r="158" spans="1:8" ht="14.25">
      <c r="A158" s="20"/>
      <c r="B158" s="23"/>
      <c r="C158" s="23"/>
      <c r="D158" s="20"/>
      <c r="E158" s="20"/>
      <c r="F158" s="20"/>
      <c r="G158" s="20"/>
      <c r="H158" s="20"/>
    </row>
    <row r="159" spans="1:8" ht="14.25">
      <c r="A159" s="20"/>
      <c r="B159" s="23"/>
      <c r="C159" s="23"/>
      <c r="D159" s="20"/>
      <c r="E159" s="20"/>
      <c r="F159" s="20"/>
      <c r="G159" s="20"/>
      <c r="H159" s="20"/>
    </row>
    <row r="160" spans="1:8" ht="14.25">
      <c r="A160" s="20"/>
      <c r="B160" s="23"/>
      <c r="C160" s="23"/>
      <c r="D160" s="20"/>
      <c r="E160" s="20"/>
      <c r="F160" s="20"/>
      <c r="G160" s="20"/>
      <c r="H160" s="20"/>
    </row>
    <row r="161" spans="1:8" ht="14.25">
      <c r="A161" s="20"/>
      <c r="B161" s="23"/>
      <c r="C161" s="23"/>
      <c r="D161" s="20"/>
      <c r="E161" s="20"/>
      <c r="F161" s="20"/>
      <c r="G161" s="20"/>
      <c r="H161" s="20"/>
    </row>
    <row r="162" spans="1:8" ht="14.25">
      <c r="A162" s="20"/>
      <c r="B162" s="23"/>
      <c r="C162" s="23"/>
      <c r="D162" s="20"/>
      <c r="E162" s="20"/>
      <c r="F162" s="20"/>
      <c r="G162" s="20"/>
      <c r="H162" s="20"/>
    </row>
    <row r="163" spans="1:8" ht="14.25">
      <c r="A163" s="20"/>
      <c r="B163" s="23"/>
      <c r="C163" s="23"/>
      <c r="D163" s="20"/>
      <c r="E163" s="20"/>
      <c r="F163" s="20"/>
      <c r="G163" s="20"/>
      <c r="H163" s="20"/>
    </row>
    <row r="164" spans="1:8" ht="14.25">
      <c r="A164" s="20"/>
      <c r="B164" s="23"/>
      <c r="C164" s="23"/>
      <c r="D164" s="20"/>
      <c r="E164" s="20"/>
      <c r="F164" s="20"/>
      <c r="G164" s="20"/>
      <c r="H164" s="20"/>
    </row>
    <row r="165" spans="1:8" ht="14.25">
      <c r="A165" s="35" t="s">
        <v>94</v>
      </c>
      <c r="B165" s="20"/>
      <c r="C165" s="20"/>
      <c r="D165" s="20"/>
      <c r="E165" s="20"/>
      <c r="F165" s="20"/>
      <c r="G165" s="20"/>
      <c r="H165" s="20"/>
    </row>
    <row r="166" spans="1:8" ht="14.25">
      <c r="A166" s="20"/>
      <c r="B166" s="20"/>
      <c r="C166" s="20"/>
      <c r="D166" s="20"/>
      <c r="E166" s="20"/>
      <c r="F166" s="20"/>
      <c r="G166" s="20"/>
      <c r="H166" s="20"/>
    </row>
    <row r="167" spans="1:8" ht="14.25">
      <c r="A167" s="20"/>
      <c r="B167" s="20"/>
      <c r="C167" s="20"/>
      <c r="D167" s="20"/>
      <c r="E167" s="20"/>
      <c r="F167" s="20"/>
      <c r="G167" s="20"/>
      <c r="H167" s="20"/>
    </row>
    <row r="168" spans="1:8" ht="14.25">
      <c r="A168" s="20"/>
      <c r="B168" s="20"/>
      <c r="C168" s="20"/>
      <c r="D168" s="20"/>
      <c r="E168" s="20"/>
      <c r="F168" s="20"/>
      <c r="G168" s="20"/>
      <c r="H168" s="20"/>
    </row>
    <row r="169" spans="1:8" ht="14.25">
      <c r="A169" s="20"/>
      <c r="B169" s="20"/>
      <c r="C169" s="20"/>
      <c r="D169" s="20"/>
      <c r="E169" s="20"/>
      <c r="F169" s="20"/>
      <c r="G169" s="20"/>
      <c r="H169" s="20"/>
    </row>
    <row r="170" spans="1:8" ht="14.25">
      <c r="A170" s="20"/>
      <c r="B170" s="20"/>
      <c r="C170" s="20"/>
      <c r="D170" s="20"/>
      <c r="E170" s="20"/>
      <c r="F170" s="20"/>
      <c r="G170" s="20"/>
      <c r="H170" s="20"/>
    </row>
    <row r="171" spans="1:8" ht="14.25">
      <c r="A171" s="20"/>
      <c r="B171" s="20"/>
      <c r="C171" s="20"/>
      <c r="D171" s="20"/>
      <c r="E171" s="20"/>
      <c r="F171" s="20"/>
      <c r="G171" s="20"/>
      <c r="H171" s="20"/>
    </row>
    <row r="172" spans="1:8" ht="14.25">
      <c r="A172" s="20"/>
      <c r="B172" s="20"/>
      <c r="C172" s="20"/>
      <c r="D172" s="20"/>
      <c r="E172" s="20"/>
      <c r="F172" s="20"/>
      <c r="G172" s="20"/>
      <c r="H172" s="20"/>
    </row>
    <row r="173" spans="1:8" ht="14.25">
      <c r="A173" s="20"/>
      <c r="B173" s="20"/>
      <c r="C173" s="20"/>
      <c r="D173" s="20"/>
      <c r="E173" s="20"/>
      <c r="F173" s="20"/>
      <c r="G173" s="20"/>
      <c r="H173" s="20"/>
    </row>
    <row r="174" spans="1:8" ht="14.25">
      <c r="A174" s="20"/>
      <c r="B174" s="20"/>
      <c r="C174" s="20"/>
      <c r="D174" s="20"/>
      <c r="E174" s="20"/>
      <c r="F174" s="20"/>
      <c r="G174" s="20"/>
      <c r="H174" s="20"/>
    </row>
    <row r="175" spans="1:8" ht="14.25">
      <c r="A175" s="20"/>
      <c r="B175" s="20"/>
      <c r="C175" s="20"/>
      <c r="D175" s="20"/>
      <c r="E175" s="20"/>
      <c r="F175" s="20"/>
      <c r="G175" s="20"/>
      <c r="H175" s="20"/>
    </row>
    <row r="176" spans="1:8" ht="14.25">
      <c r="A176" s="20"/>
      <c r="B176" s="20"/>
      <c r="C176" s="20"/>
      <c r="D176" s="20"/>
      <c r="E176" s="20"/>
      <c r="F176" s="20"/>
      <c r="G176" s="20"/>
      <c r="H176" s="20"/>
    </row>
    <row r="177" spans="1:8" ht="14.25">
      <c r="A177" s="20"/>
      <c r="B177" s="20"/>
      <c r="C177" s="20"/>
      <c r="D177" s="20"/>
      <c r="E177" s="20"/>
      <c r="F177" s="20"/>
      <c r="G177" s="20"/>
      <c r="H177" s="20"/>
    </row>
    <row r="178" spans="1:8" ht="14.25">
      <c r="A178" s="20"/>
      <c r="B178" s="66" t="s">
        <v>162</v>
      </c>
      <c r="C178" s="66"/>
      <c r="D178" s="66"/>
      <c r="E178" s="37"/>
      <c r="F178" s="66" t="s">
        <v>163</v>
      </c>
      <c r="G178" s="66"/>
      <c r="H178" s="66"/>
    </row>
    <row r="179" spans="1:8" ht="14.25">
      <c r="A179" s="20"/>
      <c r="B179" s="36"/>
      <c r="C179" s="36"/>
      <c r="D179" s="36" t="s">
        <v>3</v>
      </c>
      <c r="E179" s="36"/>
      <c r="F179" s="36"/>
      <c r="G179" s="36"/>
      <c r="H179" s="36" t="s">
        <v>3</v>
      </c>
    </row>
    <row r="180" spans="1:8" ht="14.25">
      <c r="A180" s="20"/>
      <c r="B180" s="36" t="s">
        <v>1</v>
      </c>
      <c r="C180" s="36"/>
      <c r="D180" s="36" t="s">
        <v>4</v>
      </c>
      <c r="E180" s="36"/>
      <c r="F180" s="36" t="s">
        <v>1</v>
      </c>
      <c r="G180" s="36"/>
      <c r="H180" s="36" t="s">
        <v>4</v>
      </c>
    </row>
    <row r="181" spans="1:8" ht="14.25">
      <c r="A181" s="20"/>
      <c r="B181" s="36" t="s">
        <v>138</v>
      </c>
      <c r="C181" s="36"/>
      <c r="D181" s="36" t="s">
        <v>2</v>
      </c>
      <c r="E181" s="36"/>
      <c r="F181" s="36" t="s">
        <v>5</v>
      </c>
      <c r="G181" s="36"/>
      <c r="H181" s="36" t="s">
        <v>7</v>
      </c>
    </row>
    <row r="182" spans="1:8" ht="14.25">
      <c r="A182" s="20"/>
      <c r="B182" s="36" t="s">
        <v>139</v>
      </c>
      <c r="C182" s="36"/>
      <c r="D182" s="36" t="s">
        <v>156</v>
      </c>
      <c r="E182" s="36"/>
      <c r="F182" s="36" t="s">
        <v>139</v>
      </c>
      <c r="G182" s="36"/>
      <c r="H182" s="36" t="s">
        <v>156</v>
      </c>
    </row>
    <row r="183" spans="1:8" ht="14.25">
      <c r="A183" s="20"/>
      <c r="B183" s="36" t="s">
        <v>8</v>
      </c>
      <c r="C183" s="36"/>
      <c r="D183" s="36" t="s">
        <v>8</v>
      </c>
      <c r="E183" s="36"/>
      <c r="F183" s="36" t="s">
        <v>8</v>
      </c>
      <c r="G183" s="36"/>
      <c r="H183" s="36" t="s">
        <v>8</v>
      </c>
    </row>
    <row r="184" spans="1:8" ht="14.25">
      <c r="A184" s="20"/>
      <c r="B184" s="23"/>
      <c r="C184" s="23"/>
      <c r="D184" s="23"/>
      <c r="E184" s="23"/>
      <c r="F184" s="23"/>
      <c r="G184" s="23"/>
      <c r="H184" s="23"/>
    </row>
    <row r="185" spans="1:8" ht="14.25">
      <c r="A185" s="20" t="s">
        <v>95</v>
      </c>
      <c r="B185" s="23">
        <f>F185-616</f>
        <v>788.32906</v>
      </c>
      <c r="C185" s="23"/>
      <c r="D185" s="22" t="s">
        <v>50</v>
      </c>
      <c r="E185" s="23"/>
      <c r="F185" s="23">
        <f>-taxation!K4/1000</f>
        <v>1404.32906</v>
      </c>
      <c r="G185" s="23"/>
      <c r="H185" s="22">
        <v>41</v>
      </c>
    </row>
    <row r="186" spans="1:8" ht="14.25">
      <c r="A186" s="20" t="s">
        <v>96</v>
      </c>
      <c r="B186" s="34">
        <f>F186-6</f>
        <v>89.715</v>
      </c>
      <c r="C186" s="23"/>
      <c r="D186" s="46" t="s">
        <v>50</v>
      </c>
      <c r="E186" s="23"/>
      <c r="F186" s="34">
        <f>-taxation!K6/1000</f>
        <v>95.715</v>
      </c>
      <c r="G186" s="23"/>
      <c r="H186" s="46">
        <v>0</v>
      </c>
    </row>
    <row r="187" spans="1:8" ht="14.25">
      <c r="A187" s="20"/>
      <c r="B187" s="28">
        <f>SUM(B185:B186)</f>
        <v>878.0440600000001</v>
      </c>
      <c r="C187" s="23"/>
      <c r="D187" s="48" t="s">
        <v>50</v>
      </c>
      <c r="E187" s="28"/>
      <c r="F187" s="28">
        <f>SUM(F185:F186)</f>
        <v>1500.04406</v>
      </c>
      <c r="G187" s="28"/>
      <c r="H187" s="28">
        <f>SUM(H185:H186)</f>
        <v>41</v>
      </c>
    </row>
    <row r="188" spans="1:8" ht="14.25">
      <c r="A188" s="37" t="s">
        <v>161</v>
      </c>
      <c r="B188" s="28">
        <f>F188-0</f>
        <v>0.40665000000000145</v>
      </c>
      <c r="C188" s="23"/>
      <c r="D188" s="48" t="s">
        <v>50</v>
      </c>
      <c r="E188" s="23"/>
      <c r="F188" s="28">
        <f>taxation!K5/1000</f>
        <v>0.40665000000000145</v>
      </c>
      <c r="G188" s="23"/>
      <c r="H188" s="28">
        <f>368</f>
        <v>368</v>
      </c>
    </row>
    <row r="189" spans="1:8" ht="15" thickBot="1">
      <c r="A189" s="37"/>
      <c r="B189" s="33">
        <f>SUM(B187:B188)</f>
        <v>878.4507100000001</v>
      </c>
      <c r="C189" s="23"/>
      <c r="D189" s="49" t="s">
        <v>50</v>
      </c>
      <c r="E189" s="23"/>
      <c r="F189" s="33">
        <f>SUM(F187:F188)</f>
        <v>1500.4507099999998</v>
      </c>
      <c r="G189" s="23"/>
      <c r="H189" s="33">
        <f>SUM(H187:H188)</f>
        <v>409</v>
      </c>
    </row>
    <row r="190" spans="1:8" ht="15" thickTop="1">
      <c r="A190" s="20"/>
      <c r="B190" s="23"/>
      <c r="C190" s="23"/>
      <c r="D190" s="23"/>
      <c r="E190" s="23"/>
      <c r="F190" s="23"/>
      <c r="G190" s="23"/>
      <c r="H190" s="23"/>
    </row>
    <row r="191" spans="1:8" ht="14.25">
      <c r="A191" s="20"/>
      <c r="B191" s="20"/>
      <c r="C191" s="20"/>
      <c r="D191" s="20"/>
      <c r="E191" s="20"/>
      <c r="F191" s="20"/>
      <c r="G191" s="20"/>
      <c r="H191" s="20"/>
    </row>
    <row r="192" spans="1:8" ht="14.25">
      <c r="A192" s="20"/>
      <c r="B192" s="20"/>
      <c r="C192" s="20"/>
      <c r="D192" s="20"/>
      <c r="E192" s="20"/>
      <c r="F192" s="20"/>
      <c r="G192" s="20"/>
      <c r="H192" s="20"/>
    </row>
    <row r="193" spans="1:8" ht="14.25">
      <c r="A193" s="20"/>
      <c r="B193" s="20"/>
      <c r="C193" s="20"/>
      <c r="D193" s="20"/>
      <c r="E193" s="20"/>
      <c r="F193" s="20"/>
      <c r="G193" s="20"/>
      <c r="H193" s="20"/>
    </row>
    <row r="194" spans="1:8" ht="14.25">
      <c r="A194" s="20"/>
      <c r="B194" s="20"/>
      <c r="C194" s="20"/>
      <c r="D194" s="20"/>
      <c r="E194" s="20"/>
      <c r="F194" s="20"/>
      <c r="G194" s="20"/>
      <c r="H194" s="20"/>
    </row>
    <row r="195" spans="1:8" ht="14.25">
      <c r="A195" s="20"/>
      <c r="B195" s="20"/>
      <c r="C195" s="20"/>
      <c r="D195" s="20"/>
      <c r="E195" s="20"/>
      <c r="F195" s="20"/>
      <c r="G195" s="20"/>
      <c r="H195" s="20"/>
    </row>
    <row r="196" spans="1:8" ht="14.25">
      <c r="A196" s="20"/>
      <c r="B196" s="20"/>
      <c r="C196" s="20"/>
      <c r="D196" s="20"/>
      <c r="E196" s="20"/>
      <c r="F196" s="20"/>
      <c r="G196" s="20"/>
      <c r="H196" s="20"/>
    </row>
    <row r="197" spans="1:8" ht="14.25">
      <c r="A197" s="20"/>
      <c r="B197" s="20"/>
      <c r="C197" s="20"/>
      <c r="D197" s="20"/>
      <c r="E197" s="20"/>
      <c r="F197" s="20"/>
      <c r="G197" s="20"/>
      <c r="H197" s="20"/>
    </row>
    <row r="198" spans="1:8" ht="14.25">
      <c r="A198" s="20"/>
      <c r="B198" s="20"/>
      <c r="C198" s="20"/>
      <c r="D198" s="20"/>
      <c r="E198" s="20"/>
      <c r="F198" s="20"/>
      <c r="G198" s="20"/>
      <c r="H198" s="20"/>
    </row>
    <row r="199" spans="1:8" ht="14.25">
      <c r="A199" s="20"/>
      <c r="B199" s="20"/>
      <c r="C199" s="20"/>
      <c r="D199" s="20"/>
      <c r="E199" s="20"/>
      <c r="F199" s="20"/>
      <c r="G199" s="20"/>
      <c r="H199" s="20"/>
    </row>
    <row r="200" spans="1:8" ht="14.25">
      <c r="A200" s="20"/>
      <c r="B200" s="20"/>
      <c r="C200" s="20"/>
      <c r="D200" s="20"/>
      <c r="E200" s="20"/>
      <c r="F200" s="20"/>
      <c r="G200" s="20"/>
      <c r="H200" s="20"/>
    </row>
    <row r="201" spans="1:8" ht="14.25">
      <c r="A201" s="20"/>
      <c r="B201" s="20"/>
      <c r="C201" s="20"/>
      <c r="D201" s="20"/>
      <c r="E201" s="20"/>
      <c r="F201" s="20"/>
      <c r="G201" s="20"/>
      <c r="H201" s="20"/>
    </row>
    <row r="202" spans="1:8" ht="14.25">
      <c r="A202" s="20"/>
      <c r="B202" s="20"/>
      <c r="C202" s="20"/>
      <c r="D202" s="20"/>
      <c r="E202" s="20"/>
      <c r="F202" s="20"/>
      <c r="G202" s="20"/>
      <c r="H202" s="20"/>
    </row>
    <row r="203" spans="1:8" ht="14.25">
      <c r="A203" s="20"/>
      <c r="B203" s="20"/>
      <c r="C203" s="20"/>
      <c r="D203" s="20"/>
      <c r="E203" s="20"/>
      <c r="F203" s="20"/>
      <c r="G203" s="20"/>
      <c r="H203" s="20"/>
    </row>
    <row r="204" spans="1:8" ht="14.25">
      <c r="A204" s="20"/>
      <c r="B204" s="20"/>
      <c r="C204" s="20"/>
      <c r="D204" s="20"/>
      <c r="E204" s="20"/>
      <c r="F204" s="20"/>
      <c r="G204" s="20"/>
      <c r="H204" s="20"/>
    </row>
    <row r="205" spans="1:8" ht="14.25">
      <c r="A205" s="20"/>
      <c r="B205" s="20"/>
      <c r="C205" s="20"/>
      <c r="D205" s="20"/>
      <c r="E205" s="20"/>
      <c r="F205" s="20"/>
      <c r="G205" s="20"/>
      <c r="H205" s="20"/>
    </row>
    <row r="206" spans="1:8" ht="14.25">
      <c r="A206" s="20"/>
      <c r="B206" s="20"/>
      <c r="C206" s="20"/>
      <c r="D206" s="20"/>
      <c r="E206" s="20"/>
      <c r="F206" s="20"/>
      <c r="G206" s="20"/>
      <c r="H206" s="20"/>
    </row>
    <row r="207" spans="1:8" ht="14.25">
      <c r="A207" s="20"/>
      <c r="B207" s="20"/>
      <c r="C207" s="20"/>
      <c r="D207" s="20"/>
      <c r="E207" s="20"/>
      <c r="F207" s="20"/>
      <c r="G207" s="20"/>
      <c r="H207" s="20"/>
    </row>
    <row r="208" spans="1:8" ht="14.25">
      <c r="A208" s="20"/>
      <c r="B208" s="20"/>
      <c r="C208" s="20"/>
      <c r="D208" s="20"/>
      <c r="E208" s="20"/>
      <c r="F208" s="20"/>
      <c r="G208" s="20"/>
      <c r="H208" s="20"/>
    </row>
    <row r="209" spans="1:8" ht="14.25">
      <c r="A209" s="20"/>
      <c r="B209" s="20"/>
      <c r="C209" s="20"/>
      <c r="D209" s="20"/>
      <c r="E209" s="20"/>
      <c r="F209" s="20"/>
      <c r="G209" s="20"/>
      <c r="H209" s="20"/>
    </row>
    <row r="210" spans="1:8" ht="14.25">
      <c r="A210" s="20"/>
      <c r="B210" s="20"/>
      <c r="C210" s="20"/>
      <c r="D210" s="20"/>
      <c r="E210" s="20"/>
      <c r="F210" s="20"/>
      <c r="G210" s="20"/>
      <c r="H210" s="20"/>
    </row>
    <row r="211" spans="1:8" ht="14.25">
      <c r="A211" s="20"/>
      <c r="B211" s="20"/>
      <c r="C211" s="20"/>
      <c r="D211" s="20"/>
      <c r="E211" s="20"/>
      <c r="F211" s="20"/>
      <c r="G211" s="20"/>
      <c r="H211" s="20"/>
    </row>
    <row r="212" spans="1:8" ht="14.25">
      <c r="A212" s="20"/>
      <c r="B212" s="20"/>
      <c r="C212" s="20"/>
      <c r="D212" s="20"/>
      <c r="E212" s="20"/>
      <c r="F212" s="20"/>
      <c r="G212" s="20"/>
      <c r="H212" s="20"/>
    </row>
    <row r="213" spans="1:8" ht="14.25">
      <c r="A213" s="20"/>
      <c r="B213" s="20"/>
      <c r="C213" s="20"/>
      <c r="D213" s="20"/>
      <c r="E213" s="20"/>
      <c r="F213" s="20"/>
      <c r="G213" s="20"/>
      <c r="H213" s="20"/>
    </row>
    <row r="214" spans="1:8" ht="14.25">
      <c r="A214" s="20"/>
      <c r="B214" s="20"/>
      <c r="C214" s="20"/>
      <c r="D214" s="20"/>
      <c r="E214" s="20"/>
      <c r="F214" s="20"/>
      <c r="G214" s="20"/>
      <c r="H214" s="20"/>
    </row>
    <row r="215" spans="1:8" ht="14.25">
      <c r="A215" s="20"/>
      <c r="B215" s="20"/>
      <c r="C215" s="20"/>
      <c r="D215" s="20"/>
      <c r="E215" s="20"/>
      <c r="F215" s="20"/>
      <c r="G215" s="20"/>
      <c r="H215" s="20"/>
    </row>
    <row r="216" spans="1:8" ht="14.25">
      <c r="A216" s="20"/>
      <c r="B216" s="20"/>
      <c r="C216" s="20"/>
      <c r="D216" s="20"/>
      <c r="E216" s="20"/>
      <c r="F216" s="20"/>
      <c r="G216" s="20"/>
      <c r="H216" s="20"/>
    </row>
    <row r="217" spans="1:8" ht="14.25">
      <c r="A217" s="20"/>
      <c r="B217" s="20"/>
      <c r="C217" s="20"/>
      <c r="D217" s="20"/>
      <c r="E217" s="20"/>
      <c r="F217" s="20"/>
      <c r="G217" s="20"/>
      <c r="H217" s="20"/>
    </row>
    <row r="218" spans="1:8" ht="14.25">
      <c r="A218" s="20"/>
      <c r="B218" s="20"/>
      <c r="C218" s="20"/>
      <c r="D218" s="20"/>
      <c r="E218" s="20"/>
      <c r="F218" s="20"/>
      <c r="G218" s="20"/>
      <c r="H218" s="20"/>
    </row>
    <row r="219" spans="1:8" ht="14.25">
      <c r="A219" s="24" t="s">
        <v>164</v>
      </c>
      <c r="B219" s="20"/>
      <c r="C219" s="20"/>
      <c r="D219" s="20"/>
      <c r="E219" s="20"/>
      <c r="F219" s="20"/>
      <c r="G219" s="20"/>
      <c r="H219" s="20"/>
    </row>
    <row r="220" spans="1:8" ht="14.25">
      <c r="A220" s="20"/>
      <c r="B220" s="20"/>
      <c r="C220" s="20"/>
      <c r="D220" s="20"/>
      <c r="E220" s="20"/>
      <c r="F220" s="20"/>
      <c r="G220" s="20"/>
      <c r="H220" s="20"/>
    </row>
    <row r="221" spans="1:8" ht="14.25">
      <c r="A221" s="20"/>
      <c r="B221" s="20"/>
      <c r="C221" s="20"/>
      <c r="D221" s="20"/>
      <c r="E221" s="20"/>
      <c r="F221" s="20"/>
      <c r="G221" s="20"/>
      <c r="H221" s="20"/>
    </row>
    <row r="222" spans="1:8" ht="14.25">
      <c r="A222" s="20"/>
      <c r="B222" s="20"/>
      <c r="C222" s="20"/>
      <c r="D222" s="20"/>
      <c r="E222" s="20"/>
      <c r="F222" s="20"/>
      <c r="G222" s="20"/>
      <c r="H222" s="20"/>
    </row>
    <row r="223" spans="1:8" ht="14.25">
      <c r="A223" s="20"/>
      <c r="B223" s="20"/>
      <c r="C223" s="20"/>
      <c r="D223" s="20"/>
      <c r="E223" s="20"/>
      <c r="F223" s="20"/>
      <c r="G223" s="20"/>
      <c r="H223" s="20"/>
    </row>
    <row r="224" spans="1:8" ht="14.25">
      <c r="A224" s="20"/>
      <c r="B224" s="20"/>
      <c r="C224" s="20"/>
      <c r="D224" s="20"/>
      <c r="E224" s="20"/>
      <c r="F224" s="20"/>
      <c r="G224" s="20"/>
      <c r="H224" s="20"/>
    </row>
    <row r="225" spans="1:8" ht="14.25">
      <c r="A225" s="20"/>
      <c r="B225" s="20"/>
      <c r="C225" s="20"/>
      <c r="D225" s="20"/>
      <c r="E225" s="20"/>
      <c r="F225" s="20"/>
      <c r="G225" s="20"/>
      <c r="H225" s="20"/>
    </row>
    <row r="226" spans="1:8" ht="14.25">
      <c r="A226" s="20"/>
      <c r="B226" s="20"/>
      <c r="C226" s="20"/>
      <c r="D226" s="20"/>
      <c r="E226" s="20"/>
      <c r="F226" s="20"/>
      <c r="G226" s="20"/>
      <c r="H226" s="20"/>
    </row>
    <row r="227" spans="1:8" ht="14.25">
      <c r="A227" s="20"/>
      <c r="B227" s="20"/>
      <c r="C227" s="20"/>
      <c r="D227" s="20"/>
      <c r="E227" s="20"/>
      <c r="F227" s="20"/>
      <c r="G227" s="20"/>
      <c r="H227" s="20"/>
    </row>
    <row r="228" spans="1:8" ht="14.25">
      <c r="A228" s="20"/>
      <c r="B228" s="20"/>
      <c r="C228" s="20"/>
      <c r="D228" s="20"/>
      <c r="E228" s="20"/>
      <c r="F228" s="20"/>
      <c r="G228" s="20"/>
      <c r="H228" s="20"/>
    </row>
    <row r="229" spans="1:8" ht="14.25">
      <c r="A229" s="20"/>
      <c r="B229" s="20"/>
      <c r="C229" s="20"/>
      <c r="D229" s="20"/>
      <c r="E229" s="20"/>
      <c r="F229" s="20"/>
      <c r="G229" s="20"/>
      <c r="H229" s="20"/>
    </row>
    <row r="230" spans="1:8" ht="14.25">
      <c r="A230" s="20"/>
      <c r="B230" s="20"/>
      <c r="C230" s="20"/>
      <c r="D230" s="20"/>
      <c r="E230" s="20"/>
      <c r="F230" s="20"/>
      <c r="G230" s="20"/>
      <c r="H230" s="20"/>
    </row>
    <row r="231" spans="1:8" ht="14.25">
      <c r="A231" s="20"/>
      <c r="B231" s="20"/>
      <c r="C231" s="20"/>
      <c r="D231" s="20"/>
      <c r="E231" s="20"/>
      <c r="F231" s="20"/>
      <c r="G231" s="20"/>
      <c r="H231" s="20"/>
    </row>
    <row r="232" spans="1:8" ht="14.25">
      <c r="A232" s="20"/>
      <c r="B232" s="20"/>
      <c r="C232" s="20"/>
      <c r="D232" s="20"/>
      <c r="E232" s="20"/>
      <c r="F232" s="20"/>
      <c r="G232" s="20"/>
      <c r="H232" s="20"/>
    </row>
    <row r="233" spans="1:8" ht="5.25" customHeight="1">
      <c r="A233" s="20"/>
      <c r="B233" s="20"/>
      <c r="C233" s="20"/>
      <c r="D233" s="20"/>
      <c r="E233" s="20"/>
      <c r="F233" s="20"/>
      <c r="G233" s="20"/>
      <c r="H233" s="20"/>
    </row>
    <row r="234" spans="1:8" ht="14.25">
      <c r="A234" s="24" t="s">
        <v>97</v>
      </c>
      <c r="B234" s="20"/>
      <c r="C234" s="20"/>
      <c r="D234" s="20"/>
      <c r="E234" s="20"/>
      <c r="F234" s="20"/>
      <c r="G234" s="20"/>
      <c r="H234" s="20"/>
    </row>
    <row r="235" spans="1:8" ht="14.25">
      <c r="A235" s="50"/>
      <c r="B235" s="51"/>
      <c r="C235" s="51"/>
      <c r="D235" s="52"/>
      <c r="E235" s="52"/>
      <c r="F235" s="51" t="s">
        <v>14</v>
      </c>
      <c r="G235" s="51"/>
      <c r="H235" s="56"/>
    </row>
    <row r="236" spans="1:8" ht="14.25">
      <c r="A236" s="50"/>
      <c r="B236" s="51" t="s">
        <v>15</v>
      </c>
      <c r="C236" s="51"/>
      <c r="D236" s="52"/>
      <c r="E236" s="52"/>
      <c r="F236" s="51" t="s">
        <v>16</v>
      </c>
      <c r="G236" s="51"/>
      <c r="H236" s="56"/>
    </row>
    <row r="237" spans="1:8" ht="14.25">
      <c r="A237" s="50"/>
      <c r="B237" s="51" t="s">
        <v>13</v>
      </c>
      <c r="C237" s="51"/>
      <c r="D237" s="52"/>
      <c r="E237" s="52"/>
      <c r="F237" s="51" t="s">
        <v>17</v>
      </c>
      <c r="G237" s="51"/>
      <c r="H237" s="56"/>
    </row>
    <row r="238" spans="1:8" ht="14.25">
      <c r="A238" s="50"/>
      <c r="B238" s="51" t="s">
        <v>139</v>
      </c>
      <c r="C238" s="51"/>
      <c r="D238" s="52"/>
      <c r="E238" s="52"/>
      <c r="F238" s="51" t="s">
        <v>71</v>
      </c>
      <c r="G238" s="51"/>
      <c r="H238" s="56"/>
    </row>
    <row r="239" spans="1:8" ht="14.25">
      <c r="A239" s="50"/>
      <c r="B239" s="51" t="s">
        <v>8</v>
      </c>
      <c r="C239" s="51"/>
      <c r="D239" s="52"/>
      <c r="E239" s="52"/>
      <c r="F239" s="51" t="s">
        <v>8</v>
      </c>
      <c r="G239" s="51"/>
      <c r="H239" s="56"/>
    </row>
    <row r="240" spans="1:8" ht="14.25">
      <c r="A240" s="50"/>
      <c r="B240" s="50"/>
      <c r="C240" s="50"/>
      <c r="D240" s="57"/>
      <c r="E240" s="50"/>
      <c r="F240" s="50"/>
      <c r="G240" s="50"/>
      <c r="H240" s="57"/>
    </row>
    <row r="241" spans="1:8" ht="14.25">
      <c r="A241" s="50" t="s">
        <v>98</v>
      </c>
      <c r="B241" s="53">
        <f>B128</f>
        <v>1055.293</v>
      </c>
      <c r="C241" s="53"/>
      <c r="D241" s="58"/>
      <c r="E241" s="53"/>
      <c r="F241" s="53">
        <f>B128</f>
        <v>1055.293</v>
      </c>
      <c r="G241" s="53"/>
      <c r="H241" s="58"/>
    </row>
    <row r="242" spans="1:8" ht="14.25">
      <c r="A242" s="50" t="s">
        <v>99</v>
      </c>
      <c r="B242" s="53">
        <f>B151-B243</f>
        <v>1237.304</v>
      </c>
      <c r="C242" s="53"/>
      <c r="D242" s="58"/>
      <c r="E242" s="53"/>
      <c r="F242" s="53">
        <f>1916-F243</f>
        <v>1237</v>
      </c>
      <c r="G242" s="53"/>
      <c r="H242" s="58"/>
    </row>
    <row r="243" spans="1:8" ht="14.25">
      <c r="A243" s="50" t="s">
        <v>100</v>
      </c>
      <c r="B243" s="53">
        <f>679</f>
        <v>679</v>
      </c>
      <c r="C243" s="53"/>
      <c r="D243" s="58"/>
      <c r="E243" s="53"/>
      <c r="F243" s="53">
        <v>679</v>
      </c>
      <c r="G243" s="53"/>
      <c r="H243" s="58"/>
    </row>
    <row r="244" spans="1:8" ht="14.25">
      <c r="A244" s="50"/>
      <c r="B244" s="54">
        <f>SUM(B241:B243)-1</f>
        <v>2970.5969999999998</v>
      </c>
      <c r="C244" s="53"/>
      <c r="D244" s="59"/>
      <c r="E244" s="53"/>
      <c r="F244" s="54">
        <f>SUM(F241:F243)</f>
        <v>2971.2929999999997</v>
      </c>
      <c r="G244" s="53"/>
      <c r="H244" s="59"/>
    </row>
    <row r="245" spans="1:8" ht="14.25">
      <c r="A245" s="20"/>
      <c r="B245" s="23"/>
      <c r="C245" s="23"/>
      <c r="D245" s="23"/>
      <c r="E245" s="23"/>
      <c r="F245" s="23"/>
      <c r="G245" s="23"/>
      <c r="H245" s="28"/>
    </row>
    <row r="246" spans="1:8" ht="14.25">
      <c r="A246" s="20" t="s">
        <v>101</v>
      </c>
      <c r="B246" s="23"/>
      <c r="C246" s="23"/>
      <c r="D246" s="23"/>
      <c r="E246" s="23"/>
      <c r="F246" s="23"/>
      <c r="G246" s="23"/>
      <c r="H246" s="23"/>
    </row>
    <row r="247" spans="1:8" ht="14.25">
      <c r="A247" s="20"/>
      <c r="B247" s="23"/>
      <c r="C247" s="23"/>
      <c r="D247" s="23"/>
      <c r="E247" s="23"/>
      <c r="F247" s="23"/>
      <c r="G247" s="23"/>
      <c r="H247" s="23"/>
    </row>
    <row r="248" spans="1:8" ht="14.25">
      <c r="A248" s="24" t="s">
        <v>102</v>
      </c>
      <c r="B248" s="23"/>
      <c r="C248" s="23"/>
      <c r="D248" s="23"/>
      <c r="E248" s="23"/>
      <c r="F248" s="23"/>
      <c r="G248" s="23"/>
      <c r="H248" s="23"/>
    </row>
    <row r="249" spans="1:8" ht="14.25">
      <c r="A249" s="20"/>
      <c r="B249" s="51"/>
      <c r="C249" s="51"/>
      <c r="D249" s="52"/>
      <c r="E249" s="52"/>
      <c r="F249" s="51" t="s">
        <v>14</v>
      </c>
      <c r="G249" s="20"/>
      <c r="H249" s="20"/>
    </row>
    <row r="250" spans="1:8" ht="14.25">
      <c r="A250" s="50"/>
      <c r="B250" s="51" t="s">
        <v>15</v>
      </c>
      <c r="C250" s="51"/>
      <c r="D250" s="52"/>
      <c r="E250" s="52"/>
      <c r="F250" s="51" t="s">
        <v>16</v>
      </c>
      <c r="G250" s="63"/>
      <c r="H250" s="55"/>
    </row>
    <row r="251" spans="1:8" ht="14.25">
      <c r="A251" s="50"/>
      <c r="B251" s="51" t="s">
        <v>13</v>
      </c>
      <c r="C251" s="51"/>
      <c r="D251" s="52"/>
      <c r="E251" s="52"/>
      <c r="F251" s="51" t="s">
        <v>17</v>
      </c>
      <c r="G251" s="51"/>
      <c r="H251" s="56"/>
    </row>
    <row r="252" spans="1:8" ht="14.25">
      <c r="A252" s="50"/>
      <c r="B252" s="51" t="s">
        <v>139</v>
      </c>
      <c r="C252" s="51"/>
      <c r="D252" s="52"/>
      <c r="E252" s="52"/>
      <c r="F252" s="51" t="s">
        <v>71</v>
      </c>
      <c r="G252" s="51"/>
      <c r="H252" s="51"/>
    </row>
    <row r="253" spans="1:8" ht="14.25">
      <c r="A253" s="50"/>
      <c r="B253" s="51" t="s">
        <v>8</v>
      </c>
      <c r="C253" s="51"/>
      <c r="D253" s="52"/>
      <c r="E253" s="52"/>
      <c r="F253" s="51" t="s">
        <v>8</v>
      </c>
      <c r="G253" s="51"/>
      <c r="H253" s="51"/>
    </row>
    <row r="254" spans="1:8" ht="14.25">
      <c r="A254" s="50"/>
      <c r="B254" s="51"/>
      <c r="C254" s="51"/>
      <c r="D254" s="51"/>
      <c r="E254" s="51"/>
      <c r="F254" s="51"/>
      <c r="G254" s="51"/>
      <c r="H254" s="51"/>
    </row>
    <row r="255" spans="1:8" ht="14.25">
      <c r="A255" s="50" t="s">
        <v>133</v>
      </c>
      <c r="B255" s="60"/>
      <c r="C255" s="60"/>
      <c r="D255" s="60"/>
      <c r="E255" s="60"/>
      <c r="F255" s="60"/>
      <c r="G255" s="60"/>
      <c r="H255" s="60"/>
    </row>
    <row r="256" spans="1:8" ht="14.25">
      <c r="A256" s="50" t="s">
        <v>103</v>
      </c>
      <c r="B256" s="60"/>
      <c r="C256" s="60"/>
      <c r="D256" s="60"/>
      <c r="E256" s="60"/>
      <c r="F256" s="60"/>
      <c r="G256" s="60"/>
      <c r="H256" s="60"/>
    </row>
    <row r="257" spans="1:8" ht="14.25">
      <c r="A257" s="50" t="s">
        <v>104</v>
      </c>
      <c r="B257" s="60"/>
      <c r="C257" s="60"/>
      <c r="D257" s="60"/>
      <c r="E257" s="60"/>
      <c r="F257" s="60"/>
      <c r="G257" s="60"/>
      <c r="H257" s="64"/>
    </row>
    <row r="258" spans="1:8" ht="15" thickBot="1">
      <c r="A258" s="50" t="s">
        <v>105</v>
      </c>
      <c r="B258" s="61">
        <f>996+919+961</f>
        <v>2876</v>
      </c>
      <c r="C258" s="60"/>
      <c r="D258" s="64"/>
      <c r="E258" s="60"/>
      <c r="F258" s="61">
        <v>996</v>
      </c>
      <c r="G258" s="60"/>
      <c r="H258" s="64"/>
    </row>
    <row r="259" spans="1:8" ht="15" thickTop="1">
      <c r="A259" s="50"/>
      <c r="B259" s="50"/>
      <c r="C259" s="50"/>
      <c r="D259" s="57"/>
      <c r="E259" s="50"/>
      <c r="F259" s="50"/>
      <c r="G259" s="50"/>
      <c r="H259" s="57"/>
    </row>
    <row r="260" spans="1:8" ht="14.25">
      <c r="A260" s="50" t="s">
        <v>106</v>
      </c>
      <c r="B260" s="50"/>
      <c r="C260" s="50"/>
      <c r="D260" s="57"/>
      <c r="E260" s="50"/>
      <c r="F260" s="50"/>
      <c r="G260" s="50"/>
      <c r="H260" s="57"/>
    </row>
    <row r="261" spans="1:8" ht="14.25">
      <c r="A261" s="50" t="s">
        <v>107</v>
      </c>
      <c r="B261" s="50"/>
      <c r="C261" s="50"/>
      <c r="D261" s="57"/>
      <c r="E261" s="50"/>
      <c r="F261" s="50"/>
      <c r="G261" s="50"/>
      <c r="H261" s="57"/>
    </row>
    <row r="262" spans="1:8" ht="14.25">
      <c r="A262" s="50" t="s">
        <v>108</v>
      </c>
      <c r="B262" s="50"/>
      <c r="C262" s="50"/>
      <c r="D262" s="57"/>
      <c r="E262" s="50"/>
      <c r="F262" s="50"/>
      <c r="G262" s="50"/>
      <c r="H262" s="57"/>
    </row>
    <row r="263" spans="1:8" ht="15" thickBot="1">
      <c r="A263" s="50" t="s">
        <v>109</v>
      </c>
      <c r="B263" s="62">
        <f>1750+1500+259+3000</f>
        <v>6509</v>
      </c>
      <c r="C263" s="50"/>
      <c r="D263" s="64"/>
      <c r="E263" s="50"/>
      <c r="F263" s="62">
        <v>937</v>
      </c>
      <c r="G263" s="50"/>
      <c r="H263" s="64"/>
    </row>
    <row r="264" spans="1:8" ht="15" thickTop="1">
      <c r="A264" s="50"/>
      <c r="B264" s="50"/>
      <c r="C264" s="50"/>
      <c r="D264" s="50"/>
      <c r="E264" s="50"/>
      <c r="F264" s="50"/>
      <c r="G264" s="50"/>
      <c r="H264" s="57"/>
    </row>
    <row r="265" spans="1:8" ht="14.25">
      <c r="A265" s="20"/>
      <c r="B265" s="20"/>
      <c r="C265" s="20"/>
      <c r="D265" s="20"/>
      <c r="E265" s="20"/>
      <c r="F265" s="20"/>
      <c r="G265" s="20"/>
      <c r="H265" s="20"/>
    </row>
    <row r="266" spans="1:8" ht="14.25">
      <c r="A266" s="20"/>
      <c r="B266" s="20"/>
      <c r="C266" s="20"/>
      <c r="D266" s="20"/>
      <c r="E266" s="20"/>
      <c r="F266" s="20"/>
      <c r="G266" s="20"/>
      <c r="H266" s="20"/>
    </row>
    <row r="267" spans="1:8" ht="14.25">
      <c r="A267" s="20"/>
      <c r="B267" s="20"/>
      <c r="C267" s="20"/>
      <c r="D267" s="20"/>
      <c r="E267" s="20"/>
      <c r="F267" s="20"/>
      <c r="G267" s="20"/>
      <c r="H267" s="20"/>
    </row>
    <row r="268" spans="1:8" ht="14.25">
      <c r="A268" s="20"/>
      <c r="B268" s="20"/>
      <c r="C268" s="20"/>
      <c r="D268" s="20"/>
      <c r="E268" s="20"/>
      <c r="F268" s="20"/>
      <c r="G268" s="20"/>
      <c r="H268" s="20"/>
    </row>
    <row r="269" spans="1:8" ht="14.25">
      <c r="A269" s="20"/>
      <c r="B269" s="20"/>
      <c r="C269" s="20"/>
      <c r="D269" s="20"/>
      <c r="E269" s="20"/>
      <c r="F269" s="20"/>
      <c r="G269" s="20"/>
      <c r="H269" s="20"/>
    </row>
    <row r="270" spans="1:8" ht="14.25">
      <c r="A270" s="20"/>
      <c r="B270" s="20"/>
      <c r="C270" s="20"/>
      <c r="D270" s="20"/>
      <c r="E270" s="20"/>
      <c r="F270" s="20"/>
      <c r="G270" s="20"/>
      <c r="H270" s="20"/>
    </row>
    <row r="271" spans="1:8" ht="14.25">
      <c r="A271" s="20"/>
      <c r="B271" s="20"/>
      <c r="C271" s="20"/>
      <c r="D271" s="20"/>
      <c r="E271" s="20"/>
      <c r="F271" s="20"/>
      <c r="G271" s="20"/>
      <c r="H271" s="20"/>
    </row>
    <row r="272" spans="1:8" ht="14.25">
      <c r="A272" s="20"/>
      <c r="B272" s="20"/>
      <c r="C272" s="20"/>
      <c r="D272" s="20"/>
      <c r="E272" s="20"/>
      <c r="F272" s="20"/>
      <c r="G272" s="20"/>
      <c r="H272" s="20"/>
    </row>
    <row r="273" spans="1:8" ht="14.25">
      <c r="A273" s="20"/>
      <c r="B273" s="20"/>
      <c r="C273" s="20"/>
      <c r="D273" s="20"/>
      <c r="E273" s="20"/>
      <c r="F273" s="20"/>
      <c r="G273" s="20"/>
      <c r="H273" s="20"/>
    </row>
    <row r="274" spans="1:8" ht="14.25">
      <c r="A274" s="20"/>
      <c r="B274" s="20"/>
      <c r="C274" s="20"/>
      <c r="D274" s="20"/>
      <c r="E274" s="20"/>
      <c r="F274" s="20"/>
      <c r="G274" s="20"/>
      <c r="H274" s="20"/>
    </row>
    <row r="275" spans="1:8" ht="15.75" customHeight="1">
      <c r="A275" s="20"/>
      <c r="B275" s="20"/>
      <c r="C275" s="20"/>
      <c r="D275" s="20"/>
      <c r="E275" s="20"/>
      <c r="F275" s="20"/>
      <c r="G275" s="20"/>
      <c r="H275" s="20"/>
    </row>
    <row r="276" spans="1:8" ht="15.75" customHeight="1">
      <c r="A276" s="20"/>
      <c r="B276" s="20"/>
      <c r="C276" s="20"/>
      <c r="D276" s="20"/>
      <c r="E276" s="20"/>
      <c r="F276" s="20"/>
      <c r="G276" s="20"/>
      <c r="H276" s="20"/>
    </row>
    <row r="277" spans="1:8" ht="15.75" customHeight="1">
      <c r="A277" s="20"/>
      <c r="B277" s="20"/>
      <c r="C277" s="20"/>
      <c r="D277" s="20"/>
      <c r="E277" s="20"/>
      <c r="F277" s="20"/>
      <c r="G277" s="20"/>
      <c r="H277" s="20"/>
    </row>
    <row r="278" spans="1:8" ht="15.75" customHeight="1">
      <c r="A278" s="20"/>
      <c r="B278" s="20"/>
      <c r="C278" s="20"/>
      <c r="D278" s="20"/>
      <c r="E278" s="20"/>
      <c r="F278" s="20"/>
      <c r="G278" s="20"/>
      <c r="H278" s="20"/>
    </row>
    <row r="279" spans="1:8" ht="15.75" customHeight="1">
      <c r="A279" s="20"/>
      <c r="B279" s="20"/>
      <c r="C279" s="20"/>
      <c r="D279" s="20"/>
      <c r="E279" s="20"/>
      <c r="F279" s="20"/>
      <c r="G279" s="20"/>
      <c r="H279" s="20"/>
    </row>
    <row r="280" spans="1:8" ht="15.75" customHeight="1">
      <c r="A280" s="20"/>
      <c r="B280" s="20"/>
      <c r="C280" s="20"/>
      <c r="D280" s="20"/>
      <c r="E280" s="20"/>
      <c r="F280" s="20"/>
      <c r="G280" s="20"/>
      <c r="H280" s="20"/>
    </row>
    <row r="281" spans="1:8" ht="15.75" customHeight="1">
      <c r="A281" s="20"/>
      <c r="B281" s="20"/>
      <c r="C281" s="20"/>
      <c r="D281" s="20"/>
      <c r="E281" s="20"/>
      <c r="F281" s="20"/>
      <c r="G281" s="20"/>
      <c r="H281" s="20"/>
    </row>
    <row r="282" spans="1:8" ht="13.5" customHeight="1">
      <c r="A282" s="20"/>
      <c r="B282" s="20"/>
      <c r="C282" s="20"/>
      <c r="D282" s="20"/>
      <c r="E282" s="20"/>
      <c r="F282" s="20"/>
      <c r="G282" s="20"/>
      <c r="H282" s="20"/>
    </row>
    <row r="283" spans="1:8" ht="15" customHeight="1">
      <c r="A283" s="20"/>
      <c r="B283" s="20"/>
      <c r="C283" s="20"/>
      <c r="D283" s="20"/>
      <c r="E283" s="20"/>
      <c r="F283" s="20"/>
      <c r="G283" s="20"/>
      <c r="H283" s="20"/>
    </row>
    <row r="284" spans="1:8" ht="15" customHeight="1">
      <c r="A284" s="20"/>
      <c r="B284" s="20"/>
      <c r="C284" s="20"/>
      <c r="D284" s="20"/>
      <c r="E284" s="20"/>
      <c r="F284" s="20"/>
      <c r="G284" s="20"/>
      <c r="H284" s="20"/>
    </row>
    <row r="285" spans="1:8" ht="15" customHeight="1">
      <c r="A285" s="20"/>
      <c r="B285" s="20"/>
      <c r="C285" s="20"/>
      <c r="D285" s="20"/>
      <c r="E285" s="20"/>
      <c r="F285" s="20"/>
      <c r="G285" s="20"/>
      <c r="H285" s="20"/>
    </row>
    <row r="286" spans="1:8" ht="14.25">
      <c r="A286" s="20"/>
      <c r="B286" s="20"/>
      <c r="C286" s="20"/>
      <c r="D286" s="20"/>
      <c r="E286" s="20"/>
      <c r="F286" s="20"/>
      <c r="G286" s="20"/>
      <c r="H286" s="20"/>
    </row>
    <row r="287" spans="1:8" ht="14.25">
      <c r="A287" s="20"/>
      <c r="B287" s="20"/>
      <c r="C287" s="20"/>
      <c r="D287" s="20"/>
      <c r="E287" s="20"/>
      <c r="F287" s="20"/>
      <c r="G287" s="20"/>
      <c r="H287" s="20"/>
    </row>
    <row r="288" spans="1:8" ht="14.25">
      <c r="A288" s="20"/>
      <c r="B288" s="20"/>
      <c r="C288" s="20"/>
      <c r="D288" s="20"/>
      <c r="E288" s="20"/>
      <c r="F288" s="20"/>
      <c r="G288" s="20"/>
      <c r="H288" s="20"/>
    </row>
    <row r="289" spans="1:8" ht="14.25">
      <c r="A289" s="20"/>
      <c r="B289" s="20"/>
      <c r="C289" s="20"/>
      <c r="D289" s="20"/>
      <c r="E289" s="20"/>
      <c r="F289" s="20"/>
      <c r="G289" s="20"/>
      <c r="H289" s="20"/>
    </row>
    <row r="290" spans="1:8" ht="14.25">
      <c r="A290" s="20"/>
      <c r="B290" s="20"/>
      <c r="C290" s="20"/>
      <c r="D290" s="20"/>
      <c r="E290" s="20"/>
      <c r="F290" s="20"/>
      <c r="G290" s="20"/>
      <c r="H290" s="20"/>
    </row>
    <row r="291" spans="1:8" ht="14.25">
      <c r="A291" s="20"/>
      <c r="B291" s="20"/>
      <c r="C291" s="20"/>
      <c r="D291" s="20"/>
      <c r="E291" s="20"/>
      <c r="F291" s="20"/>
      <c r="G291" s="20"/>
      <c r="H291" s="20"/>
    </row>
    <row r="292" spans="1:8" ht="14.25">
      <c r="A292" s="20"/>
      <c r="B292" s="20"/>
      <c r="C292" s="20"/>
      <c r="D292" s="20"/>
      <c r="E292" s="20"/>
      <c r="F292" s="20"/>
      <c r="G292" s="20"/>
      <c r="H292" s="20"/>
    </row>
    <row r="293" spans="1:8" ht="14.25">
      <c r="A293" s="20"/>
      <c r="B293" s="20"/>
      <c r="C293" s="20"/>
      <c r="D293" s="20"/>
      <c r="E293" s="20"/>
      <c r="F293" s="20"/>
      <c r="G293" s="20"/>
      <c r="H293" s="20"/>
    </row>
    <row r="294" spans="1:8" ht="14.25">
      <c r="A294" s="20"/>
      <c r="B294" s="20"/>
      <c r="C294" s="20"/>
      <c r="D294" s="20"/>
      <c r="E294" s="20"/>
      <c r="F294" s="20"/>
      <c r="G294" s="20"/>
      <c r="H294" s="20"/>
    </row>
    <row r="295" spans="1:8" ht="14.25">
      <c r="A295" s="20"/>
      <c r="B295" s="20"/>
      <c r="C295" s="20"/>
      <c r="D295" s="20"/>
      <c r="E295" s="20"/>
      <c r="F295" s="20"/>
      <c r="G295" s="20"/>
      <c r="H295" s="20"/>
    </row>
    <row r="296" spans="1:8" ht="14.25">
      <c r="A296" s="20"/>
      <c r="B296" s="20"/>
      <c r="C296" s="20"/>
      <c r="D296" s="20"/>
      <c r="E296" s="20"/>
      <c r="F296" s="20"/>
      <c r="G296" s="20"/>
      <c r="H296" s="20"/>
    </row>
    <row r="297" spans="1:8" ht="14.25">
      <c r="A297" s="20"/>
      <c r="B297" s="20"/>
      <c r="C297" s="20"/>
      <c r="D297" s="20"/>
      <c r="E297" s="20"/>
      <c r="F297" s="20"/>
      <c r="G297" s="20"/>
      <c r="H297" s="20"/>
    </row>
    <row r="298" spans="1:8" ht="14.25">
      <c r="A298" s="20"/>
      <c r="B298" s="20"/>
      <c r="C298" s="20"/>
      <c r="D298" s="20"/>
      <c r="E298" s="20"/>
      <c r="F298" s="20"/>
      <c r="G298" s="20"/>
      <c r="H298" s="20"/>
    </row>
    <row r="299" spans="1:8" ht="14.25">
      <c r="A299" s="20"/>
      <c r="B299" s="20"/>
      <c r="C299" s="20"/>
      <c r="D299" s="20"/>
      <c r="E299" s="20"/>
      <c r="F299" s="20"/>
      <c r="G299" s="20"/>
      <c r="H299" s="20"/>
    </row>
    <row r="300" spans="1:8" ht="14.25">
      <c r="A300" s="20"/>
      <c r="B300" s="20"/>
      <c r="C300" s="20"/>
      <c r="D300" s="20"/>
      <c r="E300" s="20"/>
      <c r="F300" s="20"/>
      <c r="G300" s="20"/>
      <c r="H300" s="20"/>
    </row>
    <row r="301" spans="1:8" ht="14.25">
      <c r="A301" s="20"/>
      <c r="B301" s="20"/>
      <c r="C301" s="20"/>
      <c r="D301" s="20"/>
      <c r="E301" s="20"/>
      <c r="F301" s="20"/>
      <c r="G301" s="20"/>
      <c r="H301" s="20"/>
    </row>
    <row r="302" spans="1:8" ht="14.25">
      <c r="A302" s="20"/>
      <c r="B302" s="20"/>
      <c r="C302" s="20"/>
      <c r="D302" s="20"/>
      <c r="E302" s="20"/>
      <c r="F302" s="20"/>
      <c r="G302" s="20"/>
      <c r="H302" s="20"/>
    </row>
    <row r="303" spans="1:8" ht="14.25">
      <c r="A303" s="20"/>
      <c r="B303" s="20"/>
      <c r="C303" s="20"/>
      <c r="D303" s="20"/>
      <c r="E303" s="20"/>
      <c r="F303" s="20"/>
      <c r="G303" s="20"/>
      <c r="H303" s="20"/>
    </row>
    <row r="304" spans="1:8" ht="14.25">
      <c r="A304" s="20"/>
      <c r="B304" s="20"/>
      <c r="C304" s="20"/>
      <c r="D304" s="20"/>
      <c r="E304" s="20"/>
      <c r="F304" s="20"/>
      <c r="G304" s="20"/>
      <c r="H304" s="20"/>
    </row>
    <row r="305" spans="1:8" ht="14.25">
      <c r="A305" s="20"/>
      <c r="B305" s="20"/>
      <c r="C305" s="20"/>
      <c r="D305" s="20"/>
      <c r="E305" s="20"/>
      <c r="F305" s="20"/>
      <c r="G305" s="20"/>
      <c r="H305" s="20"/>
    </row>
    <row r="306" spans="1:8" ht="14.25">
      <c r="A306" s="20"/>
      <c r="B306" s="20"/>
      <c r="C306" s="20"/>
      <c r="D306" s="20"/>
      <c r="E306" s="20"/>
      <c r="F306" s="20"/>
      <c r="G306" s="20"/>
      <c r="H306" s="20"/>
    </row>
    <row r="307" spans="1:8" ht="14.25">
      <c r="A307" s="20"/>
      <c r="B307" s="20"/>
      <c r="C307" s="20"/>
      <c r="D307" s="20"/>
      <c r="E307" s="20"/>
      <c r="F307" s="20"/>
      <c r="G307" s="20"/>
      <c r="H307" s="20"/>
    </row>
    <row r="308" spans="1:8" ht="14.25">
      <c r="A308" s="20"/>
      <c r="B308" s="20"/>
      <c r="C308" s="20"/>
      <c r="D308" s="20"/>
      <c r="E308" s="20"/>
      <c r="F308" s="20"/>
      <c r="G308" s="20"/>
      <c r="H308" s="20"/>
    </row>
    <row r="309" spans="1:8" ht="14.25">
      <c r="A309" s="20"/>
      <c r="B309" s="20"/>
      <c r="C309" s="20"/>
      <c r="D309" s="20"/>
      <c r="E309" s="20"/>
      <c r="F309" s="20"/>
      <c r="G309" s="20"/>
      <c r="H309" s="20"/>
    </row>
    <row r="310" spans="1:8" ht="14.25">
      <c r="A310" s="20"/>
      <c r="B310" s="20"/>
      <c r="C310" s="20"/>
      <c r="D310" s="20"/>
      <c r="E310" s="20"/>
      <c r="F310" s="20"/>
      <c r="G310" s="20"/>
      <c r="H310" s="20"/>
    </row>
    <row r="311" spans="1:8" ht="14.25">
      <c r="A311" s="20"/>
      <c r="B311" s="20"/>
      <c r="C311" s="20"/>
      <c r="D311" s="20"/>
      <c r="E311" s="20"/>
      <c r="F311" s="20"/>
      <c r="G311" s="20"/>
      <c r="H311" s="20"/>
    </row>
    <row r="312" spans="1:8" ht="14.25">
      <c r="A312" s="20"/>
      <c r="B312" s="20"/>
      <c r="C312" s="20"/>
      <c r="D312" s="20"/>
      <c r="E312" s="20"/>
      <c r="F312" s="20"/>
      <c r="G312" s="20"/>
      <c r="H312" s="20"/>
    </row>
    <row r="313" spans="1:8" ht="14.25">
      <c r="A313" s="20"/>
      <c r="B313" s="20"/>
      <c r="C313" s="20"/>
      <c r="D313" s="20"/>
      <c r="E313" s="20"/>
      <c r="F313" s="20"/>
      <c r="G313" s="20"/>
      <c r="H313" s="20"/>
    </row>
    <row r="314" spans="1:8" ht="14.25">
      <c r="A314" s="20"/>
      <c r="B314" s="20"/>
      <c r="C314" s="20"/>
      <c r="D314" s="20"/>
      <c r="E314" s="20"/>
      <c r="F314" s="20"/>
      <c r="G314" s="20"/>
      <c r="H314" s="20"/>
    </row>
    <row r="315" spans="1:8" ht="14.25">
      <c r="A315" s="20"/>
      <c r="B315" s="20"/>
      <c r="C315" s="20"/>
      <c r="D315" s="20"/>
      <c r="E315" s="20"/>
      <c r="F315" s="20"/>
      <c r="G315" s="20"/>
      <c r="H315" s="20"/>
    </row>
    <row r="316" spans="1:8" ht="14.25">
      <c r="A316" s="20"/>
      <c r="B316" s="20"/>
      <c r="C316" s="20"/>
      <c r="D316" s="20"/>
      <c r="E316" s="20"/>
      <c r="F316" s="20"/>
      <c r="G316" s="20"/>
      <c r="H316" s="20"/>
    </row>
    <row r="317" spans="1:8" ht="14.25">
      <c r="A317" s="20"/>
      <c r="B317" s="20"/>
      <c r="C317" s="20"/>
      <c r="D317" s="20"/>
      <c r="E317" s="20"/>
      <c r="F317" s="20"/>
      <c r="G317" s="20"/>
      <c r="H317" s="20"/>
    </row>
    <row r="318" spans="1:8" ht="14.25">
      <c r="A318" s="20"/>
      <c r="B318" s="20"/>
      <c r="C318" s="20"/>
      <c r="D318" s="20"/>
      <c r="E318" s="20"/>
      <c r="F318" s="20"/>
      <c r="G318" s="20"/>
      <c r="H318" s="20"/>
    </row>
    <row r="319" spans="1:8" ht="14.25">
      <c r="A319" s="20"/>
      <c r="B319" s="20"/>
      <c r="C319" s="20"/>
      <c r="D319" s="20"/>
      <c r="E319" s="20"/>
      <c r="F319" s="20"/>
      <c r="G319" s="20"/>
      <c r="H319" s="20"/>
    </row>
    <row r="320" spans="1:8" ht="14.25">
      <c r="A320" s="20"/>
      <c r="B320" s="20"/>
      <c r="C320" s="20"/>
      <c r="D320" s="20"/>
      <c r="E320" s="20"/>
      <c r="F320" s="20"/>
      <c r="G320" s="20"/>
      <c r="H320" s="20"/>
    </row>
    <row r="321" spans="1:8" ht="14.25">
      <c r="A321" s="20"/>
      <c r="B321" s="20"/>
      <c r="C321" s="20"/>
      <c r="D321" s="20"/>
      <c r="E321" s="20"/>
      <c r="F321" s="20"/>
      <c r="G321" s="20"/>
      <c r="H321" s="20"/>
    </row>
    <row r="322" spans="1:8" ht="14.25">
      <c r="A322" s="20"/>
      <c r="B322" s="20"/>
      <c r="C322" s="20"/>
      <c r="D322" s="20"/>
      <c r="E322" s="20"/>
      <c r="F322" s="20"/>
      <c r="G322" s="20"/>
      <c r="H322" s="20"/>
    </row>
    <row r="323" spans="1:8" ht="14.25">
      <c r="A323" s="20"/>
      <c r="B323" s="20"/>
      <c r="C323" s="20"/>
      <c r="D323" s="20"/>
      <c r="E323" s="20"/>
      <c r="F323" s="20"/>
      <c r="G323" s="20"/>
      <c r="H323" s="20"/>
    </row>
    <row r="324" spans="1:8" ht="14.25">
      <c r="A324" s="20"/>
      <c r="B324" s="20"/>
      <c r="C324" s="20"/>
      <c r="D324" s="20"/>
      <c r="E324" s="20"/>
      <c r="F324" s="20"/>
      <c r="G324" s="20"/>
      <c r="H324" s="20"/>
    </row>
    <row r="325" spans="1:8" ht="14.25">
      <c r="A325" s="20"/>
      <c r="B325" s="20"/>
      <c r="C325" s="20"/>
      <c r="D325" s="20"/>
      <c r="E325" s="20"/>
      <c r="F325" s="20"/>
      <c r="G325" s="20"/>
      <c r="H325" s="20"/>
    </row>
  </sheetData>
  <mergeCells count="9">
    <mergeCell ref="A1:I1"/>
    <mergeCell ref="A3:H3"/>
    <mergeCell ref="A4:H4"/>
    <mergeCell ref="B178:D178"/>
    <mergeCell ref="F178:H178"/>
    <mergeCell ref="F8:H8"/>
    <mergeCell ref="B8:D8"/>
    <mergeCell ref="B58:D58"/>
    <mergeCell ref="F58:H58"/>
  </mergeCells>
  <printOptions horizontalCentered="1"/>
  <pageMargins left="0.75" right="0.5" top="0.75" bottom="0.5" header="0.5" footer="0.25"/>
  <pageSetup horizontalDpi="600" verticalDpi="600" orientation="portrait" paperSize="9" r:id="rId15"/>
  <headerFooter alignWithMargins="0">
    <oddFooter>&amp;C&amp;P</oddFooter>
  </headerFooter>
  <legacyDrawing r:id="rId14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28085" r:id="rId5"/>
    <oleObject progId="Word.Document.8" shapeId="1081070" r:id="rId6"/>
    <oleObject progId="Word.Document.8" shapeId="1111227" r:id="rId7"/>
    <oleObject progId="Word.Document.8" shapeId="1137396" r:id="rId8"/>
    <oleObject progId="Word.Document.8" shapeId="1154575" r:id="rId9"/>
    <oleObject progId="Word.Document.8" shapeId="1675698" r:id="rId10"/>
    <oleObject progId="Word.Document.8" shapeId="1290252" r:id="rId11"/>
    <oleObject progId="Word.Document.8" shapeId="561760" r:id="rId12"/>
    <oleObject progId="Word.Document.8" shapeId="1600999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3"/>
  <sheetViews>
    <sheetView workbookViewId="0" topLeftCell="A1">
      <selection activeCell="C11" sqref="C11"/>
    </sheetView>
  </sheetViews>
  <sheetFormatPr defaultColWidth="9.140625" defaultRowHeight="13.5"/>
  <cols>
    <col min="1" max="1" width="38.57421875" style="0" customWidth="1"/>
    <col min="2" max="3" width="17.7109375" style="0" customWidth="1"/>
  </cols>
  <sheetData>
    <row r="2" ht="13.5">
      <c r="A2" t="s">
        <v>48</v>
      </c>
    </row>
    <row r="3" ht="13.5">
      <c r="A3" t="s">
        <v>49</v>
      </c>
    </row>
    <row r="7" ht="13.5">
      <c r="A7" s="19" t="s">
        <v>12</v>
      </c>
    </row>
    <row r="9" spans="2:3" ht="13.5">
      <c r="B9" s="1"/>
      <c r="C9" s="1" t="s">
        <v>14</v>
      </c>
    </row>
    <row r="10" spans="2:3" ht="13.5">
      <c r="B10" s="1" t="s">
        <v>15</v>
      </c>
      <c r="C10" s="1" t="s">
        <v>16</v>
      </c>
    </row>
    <row r="11" spans="2:3" ht="13.5">
      <c r="B11" s="1" t="s">
        <v>13</v>
      </c>
      <c r="C11" s="1" t="s">
        <v>17</v>
      </c>
    </row>
    <row r="12" spans="2:3" ht="13.5">
      <c r="B12" s="1" t="s">
        <v>6</v>
      </c>
      <c r="C12" s="1" t="s">
        <v>6</v>
      </c>
    </row>
    <row r="13" spans="2:3" ht="13.5">
      <c r="B13" s="1" t="s">
        <v>8</v>
      </c>
      <c r="C13" s="1" t="s">
        <v>8</v>
      </c>
    </row>
    <row r="15" spans="1:13" ht="13.5">
      <c r="A15" t="s">
        <v>34</v>
      </c>
      <c r="B15" s="2">
        <f>45441491/1000</f>
        <v>45441.491</v>
      </c>
      <c r="C15" s="2">
        <f>43875838/1000</f>
        <v>43875.838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t="s">
        <v>37</v>
      </c>
      <c r="B16" s="2">
        <f>5963696/1000</f>
        <v>5963.696</v>
      </c>
      <c r="C16" s="2">
        <f>5963696/1000</f>
        <v>5963.696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t="s">
        <v>38</v>
      </c>
      <c r="B17" s="2">
        <f>3341000/1000</f>
        <v>3341</v>
      </c>
      <c r="C17" s="2">
        <f>3341000/1000</f>
        <v>3341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t="s">
        <v>33</v>
      </c>
      <c r="B18" s="2">
        <f>(3432747/1000)</f>
        <v>3432.747</v>
      </c>
      <c r="C18" s="2">
        <f>3447203/1000+(22293/1000)</f>
        <v>3469.496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>
      <c r="A21" t="s">
        <v>40</v>
      </c>
      <c r="B21" s="3">
        <f>9790330/1000</f>
        <v>9790.33</v>
      </c>
      <c r="C21" s="3">
        <f>9803092/1000</f>
        <v>9803.092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>
      <c r="A22" t="s">
        <v>18</v>
      </c>
      <c r="B22" s="4">
        <f>(12451146)/1000</f>
        <v>12451.146</v>
      </c>
      <c r="C22" s="4">
        <f>10364600/1000</f>
        <v>10364.6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>
      <c r="A23" t="s">
        <v>47</v>
      </c>
      <c r="B23" s="4">
        <f>(2665489+1181925+63158)/1000</f>
        <v>3910.572</v>
      </c>
      <c r="C23" s="4">
        <f>14260853/1000</f>
        <v>14260.853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>
      <c r="A24" t="s">
        <v>39</v>
      </c>
      <c r="B24" s="4">
        <v>0</v>
      </c>
      <c r="C24" s="4"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t="s">
        <v>41</v>
      </c>
      <c r="B25" s="4">
        <f>5329945/1000</f>
        <v>5329.945</v>
      </c>
      <c r="C25" s="4">
        <f>6605957/1000</f>
        <v>6605.957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t="s">
        <v>19</v>
      </c>
      <c r="B26" s="4">
        <f>1616372/1000</f>
        <v>1616.372</v>
      </c>
      <c r="C26" s="4">
        <f>1110736/1000</f>
        <v>1110.736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5">
        <f>SUM(B21:B26)</f>
        <v>33098.365000000005</v>
      </c>
      <c r="C27" s="5">
        <f>SUM(C21:C26)</f>
        <v>42145.238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s="6" customFormat="1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>
      <c r="A29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>
      <c r="A30" t="s">
        <v>20</v>
      </c>
      <c r="B30" s="9">
        <f>(459299+529188+511686)/1000</f>
        <v>1500.173</v>
      </c>
      <c r="C30" s="10">
        <f>(1054660+752431)/1000</f>
        <v>1807.091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>
      <c r="A31" t="s">
        <v>21</v>
      </c>
      <c r="B31" s="11">
        <f>2993745/1000</f>
        <v>2993.745</v>
      </c>
      <c r="C31" s="12">
        <f>2858584/1000</f>
        <v>2858.584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t="s">
        <v>22</v>
      </c>
      <c r="B32" s="11">
        <f>(1767947+2003531)/1000</f>
        <v>3771.478</v>
      </c>
      <c r="C32" s="12">
        <f>(3261722)/1000</f>
        <v>3261.722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t="s">
        <v>23</v>
      </c>
      <c r="B33" s="11">
        <f>(3511148+146800)/1000</f>
        <v>3657.948</v>
      </c>
      <c r="C33" s="12">
        <f>3377707/1000</f>
        <v>3377.707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t="s">
        <v>42</v>
      </c>
      <c r="B34" s="11"/>
      <c r="C34" s="13">
        <f>532800/1000</f>
        <v>532.8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15">
        <f>SUM(B30:B34)</f>
        <v>11923.344000000001</v>
      </c>
      <c r="C35" s="15">
        <f>SUM(C30:C34)</f>
        <v>11837.903999999999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4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3.5">
      <c r="A37" t="s">
        <v>30</v>
      </c>
      <c r="B37" s="2">
        <f>B27-B35</f>
        <v>21175.021000000004</v>
      </c>
      <c r="C37" s="2">
        <f>C27-C35</f>
        <v>30307.334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4.25" thickBot="1">
      <c r="B39" s="16"/>
      <c r="C39" s="16">
        <f>C37+C15+C16+C17+C18</f>
        <v>86957.364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4.25" thickTop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3.5">
      <c r="A42" t="s">
        <v>29</v>
      </c>
      <c r="B42" s="2"/>
      <c r="C42" s="8">
        <f>53280000/1000</f>
        <v>53280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t="s">
        <v>24</v>
      </c>
      <c r="B44" s="9"/>
      <c r="C44" s="10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3.5">
      <c r="A45" t="s">
        <v>44</v>
      </c>
      <c r="B45" s="11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3.5">
      <c r="A46" t="s">
        <v>45</v>
      </c>
      <c r="B46" s="11"/>
      <c r="C46" s="12">
        <f>1503623/1000</f>
        <v>1503.623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>
      <c r="A47" t="s">
        <v>46</v>
      </c>
      <c r="B47" s="11"/>
      <c r="C47" s="12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>
      <c r="A48" t="s">
        <v>25</v>
      </c>
      <c r="B48" s="14"/>
      <c r="C48" s="17">
        <f>24978297/1000</f>
        <v>24978.297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>
        <f>SUM(B44:B48)</f>
        <v>0</v>
      </c>
      <c r="C49" s="2">
        <f>SUM(C44:C48)</f>
        <v>26481.92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t="s">
        <v>27</v>
      </c>
      <c r="B51" s="2"/>
      <c r="C51" s="2">
        <f>2779150/1000</f>
        <v>2779.15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t="s">
        <v>26</v>
      </c>
      <c r="B52" s="2"/>
      <c r="C52" s="2">
        <f>2340304/1000</f>
        <v>2340.304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t="s">
        <v>35</v>
      </c>
      <c r="B53" s="2"/>
      <c r="C53" s="2">
        <f>2075990/1000</f>
        <v>2075.99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4.25" thickBot="1">
      <c r="B55" s="16"/>
      <c r="C55" s="16">
        <f>C53+C52+C51+C49+C42</f>
        <v>86957.364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4.25" thickTop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t="s">
        <v>36</v>
      </c>
      <c r="B57" s="18" t="e">
        <f>(B49-B18)/B42*100</f>
        <v>#DIV/0!</v>
      </c>
      <c r="C57" s="18">
        <f>(C49-C18)/C42*100</f>
        <v>43.19148648648648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L9"/>
    </sheetView>
  </sheetViews>
  <sheetFormatPr defaultColWidth="9.140625" defaultRowHeight="13.5"/>
  <cols>
    <col min="1" max="1" width="16.140625" style="0" customWidth="1"/>
    <col min="2" max="2" width="9.7109375" style="0" bestFit="1" customWidth="1"/>
    <col min="3" max="3" width="9.57421875" style="0" bestFit="1" customWidth="1"/>
    <col min="4" max="4" width="9.28125" style="0" bestFit="1" customWidth="1"/>
    <col min="5" max="6" width="9.57421875" style="0" bestFit="1" customWidth="1"/>
    <col min="7" max="7" width="9.28125" style="0" bestFit="1" customWidth="1"/>
    <col min="8" max="9" width="9.57421875" style="0" bestFit="1" customWidth="1"/>
    <col min="10" max="11" width="9.28125" style="0" bestFit="1" customWidth="1"/>
    <col min="12" max="12" width="13.00390625" style="0" bestFit="1" customWidth="1"/>
  </cols>
  <sheetData>
    <row r="1" ht="13.5">
      <c r="A1" s="19" t="s">
        <v>140</v>
      </c>
    </row>
    <row r="3" spans="1:12" ht="13.5">
      <c r="A3" s="19" t="s">
        <v>141</v>
      </c>
      <c r="B3" s="39" t="s">
        <v>142</v>
      </c>
      <c r="C3" s="39" t="s">
        <v>143</v>
      </c>
      <c r="D3" s="39" t="s">
        <v>144</v>
      </c>
      <c r="E3" s="39" t="s">
        <v>145</v>
      </c>
      <c r="F3" s="39" t="s">
        <v>146</v>
      </c>
      <c r="G3" s="39" t="s">
        <v>147</v>
      </c>
      <c r="H3" s="39" t="s">
        <v>148</v>
      </c>
      <c r="I3" s="39" t="s">
        <v>149</v>
      </c>
      <c r="J3" s="39" t="s">
        <v>150</v>
      </c>
      <c r="K3" s="39" t="s">
        <v>151</v>
      </c>
      <c r="L3" s="39" t="s">
        <v>155</v>
      </c>
    </row>
    <row r="4" spans="1:12" ht="13.5">
      <c r="A4" t="s">
        <v>152</v>
      </c>
      <c r="B4" s="42">
        <f>6775.98+9729.93+5601.11+4987.81</f>
        <v>27094.83</v>
      </c>
      <c r="C4" s="42">
        <v>13911.24</v>
      </c>
      <c r="D4" s="42">
        <f>13528</f>
        <v>13528</v>
      </c>
      <c r="E4" s="42">
        <f>1057.14+3567.48+5412+1159.56+3534.96+187.5+1810.8+5954.52+1283.76+5242.14+280.02+2082.66</f>
        <v>31572.539999999997</v>
      </c>
      <c r="F4" s="42">
        <f>8800.36+1863.89</f>
        <v>10664.25</v>
      </c>
      <c r="G4" s="42">
        <v>8609.03</v>
      </c>
      <c r="H4" s="42">
        <f>40050.35</f>
        <v>40050.35</v>
      </c>
      <c r="I4" s="42">
        <f>5385.99+1476.7+1415.33+5421.3+5696.52</f>
        <v>19395.84</v>
      </c>
      <c r="J4" s="42">
        <v>0</v>
      </c>
      <c r="K4" s="42">
        <f>49105.34</f>
        <v>49105.34</v>
      </c>
      <c r="L4" s="44">
        <f>SUM(B4:K4)</f>
        <v>213931.41999999998</v>
      </c>
    </row>
    <row r="5" spans="1:12" ht="13.5">
      <c r="A5" t="s">
        <v>153</v>
      </c>
      <c r="B5" s="42">
        <f>293424.28+13462.05+11190.88+1684.44+13965.31</f>
        <v>333726.96</v>
      </c>
      <c r="C5" s="42">
        <v>48106.66</v>
      </c>
      <c r="D5" s="42">
        <f>325.98+4553.76</f>
        <v>4879.74</v>
      </c>
      <c r="E5" s="42">
        <f>17326.06+124293.25+1425</f>
        <v>143044.31</v>
      </c>
      <c r="F5" s="42">
        <f>168310.14+31839.4+8679.07+16717.22</f>
        <v>225545.83000000002</v>
      </c>
      <c r="G5" s="42">
        <f>73060.02+61.81123834+5084.33+418.38</f>
        <v>78624.54123834001</v>
      </c>
      <c r="H5" s="42">
        <f>454727.5+27078.24+39197.73+9658.28</f>
        <v>530661.75</v>
      </c>
      <c r="I5" s="42">
        <v>373571.8</v>
      </c>
      <c r="J5" s="42">
        <v>0</v>
      </c>
      <c r="K5" s="42">
        <v>0</v>
      </c>
      <c r="L5" s="44">
        <f>SUM(B5:K5)</f>
        <v>1738161.5912383401</v>
      </c>
    </row>
    <row r="6" spans="1:12" ht="13.5">
      <c r="A6" t="s">
        <v>154</v>
      </c>
      <c r="B6" s="42">
        <f>7509.17</f>
        <v>7509.17</v>
      </c>
      <c r="C6" s="42">
        <v>123208.74</v>
      </c>
      <c r="D6" s="42">
        <v>0</v>
      </c>
      <c r="E6" s="42">
        <f>14136.36</f>
        <v>14136.36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4">
        <f>SUM(B6:K6)</f>
        <v>144854.27000000002</v>
      </c>
    </row>
    <row r="7" spans="2:12" ht="14.25" thickBot="1">
      <c r="B7" s="43">
        <f>SUM(B4:B6)</f>
        <v>368330.96</v>
      </c>
      <c r="C7" s="43">
        <f aca="true" t="shared" si="0" ref="C7:K7">SUM(C4:C6)</f>
        <v>185226.64</v>
      </c>
      <c r="D7" s="43">
        <f t="shared" si="0"/>
        <v>18407.739999999998</v>
      </c>
      <c r="E7" s="43">
        <f t="shared" si="0"/>
        <v>188753.21000000002</v>
      </c>
      <c r="F7" s="43">
        <f t="shared" si="0"/>
        <v>236210.08000000002</v>
      </c>
      <c r="G7" s="43">
        <f t="shared" si="0"/>
        <v>87233.57123834001</v>
      </c>
      <c r="H7" s="43">
        <f t="shared" si="0"/>
        <v>570712.1</v>
      </c>
      <c r="I7" s="43">
        <f t="shared" si="0"/>
        <v>392967.64</v>
      </c>
      <c r="J7" s="43">
        <f t="shared" si="0"/>
        <v>0</v>
      </c>
      <c r="K7" s="43">
        <f t="shared" si="0"/>
        <v>49105.34</v>
      </c>
      <c r="L7" s="45">
        <f>SUM(L4:L6)</f>
        <v>2096947.28123834</v>
      </c>
    </row>
    <row r="8" spans="2:12" ht="14.25" thickTop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2" sqref="A2:B8"/>
    </sheetView>
  </sheetViews>
  <sheetFormatPr defaultColWidth="9.140625" defaultRowHeight="13.5"/>
  <cols>
    <col min="1" max="1" width="13.8515625" style="0" customWidth="1"/>
    <col min="2" max="2" width="13.00390625" style="0" bestFit="1" customWidth="1"/>
    <col min="4" max="4" width="12.28125" style="0" customWidth="1"/>
  </cols>
  <sheetData>
    <row r="2" spans="1:4" ht="13.5">
      <c r="A2" t="s">
        <v>167</v>
      </c>
      <c r="B2" s="2">
        <f>53280000*10%</f>
        <v>5328000</v>
      </c>
      <c r="C2" s="2"/>
      <c r="D2" s="2">
        <f>53280000*10%</f>
        <v>5328000</v>
      </c>
    </row>
    <row r="3" spans="1:4" ht="13.5">
      <c r="A3" t="s">
        <v>168</v>
      </c>
      <c r="B3" s="2">
        <f>B2*30%*3.24*3.5%*72%</f>
        <v>130506.16320000001</v>
      </c>
      <c r="D3" s="2">
        <f>D2*30%*3.24*3.5%*72%</f>
        <v>130506.16320000001</v>
      </c>
    </row>
    <row r="4" spans="1:4" ht="13.5">
      <c r="A4" t="s">
        <v>169</v>
      </c>
      <c r="B4" s="2">
        <f>((B2*60%*3.24)+B3)*3.5%*72%</f>
        <v>264301.08171264</v>
      </c>
      <c r="D4" s="2">
        <f>((D2*60%*3.24)+D3)*3.5%*72%</f>
        <v>264301.08171264</v>
      </c>
    </row>
    <row r="5" spans="1:4" ht="13.5">
      <c r="A5" t="s">
        <v>170</v>
      </c>
      <c r="B5" s="2">
        <f>((B2*100%*3.24)+B4+B3)*3.5%*72%</f>
        <v>444969.6865717985</v>
      </c>
      <c r="D5" s="2">
        <f>((D2*100%*3.24)+D4+D3)*3.5%*72%</f>
        <v>444969.6865717985</v>
      </c>
    </row>
    <row r="6" spans="1:4" ht="13.5">
      <c r="A6" t="s">
        <v>171</v>
      </c>
      <c r="B6" s="2">
        <f>((B2*100%*3.24)+B3+B4+B5)*3.5%*72%</f>
        <v>456182.9226734079</v>
      </c>
      <c r="D6" s="2">
        <f>((D2*100%*3.24)+D3+D4+D5)*3.5%*72%</f>
        <v>456182.9226734079</v>
      </c>
    </row>
    <row r="7" spans="1:4" ht="13.5">
      <c r="A7" t="s">
        <v>172</v>
      </c>
      <c r="B7" s="2">
        <f>((B2*3.24*100%)+B6+B5+B4+B3)*3.5%*72%</f>
        <v>467678.7323247778</v>
      </c>
      <c r="D7" s="2">
        <f>((D2*3.24*100%)+D6+D5+D4+D3)*3.5%*72%</f>
        <v>467678.7323247778</v>
      </c>
    </row>
    <row r="8" spans="2:4" ht="13.5">
      <c r="B8" s="2">
        <f>SUM(B3:B7)</f>
        <v>1763638.5864826243</v>
      </c>
      <c r="D8" s="2">
        <f>SUM(D3:D7)</f>
        <v>1763638.5864826243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C1">
      <selection activeCell="C10" sqref="C10"/>
    </sheetView>
  </sheetViews>
  <sheetFormatPr defaultColWidth="9.140625" defaultRowHeight="13.5"/>
  <cols>
    <col min="1" max="1" width="15.7109375" style="0" customWidth="1"/>
  </cols>
  <sheetData>
    <row r="1" ht="13.5">
      <c r="A1" t="s">
        <v>157</v>
      </c>
    </row>
    <row r="3" spans="2:11" ht="13.5">
      <c r="B3" s="19" t="s">
        <v>142</v>
      </c>
      <c r="C3" s="19" t="s">
        <v>143</v>
      </c>
      <c r="D3" s="19" t="s">
        <v>147</v>
      </c>
      <c r="E3" s="19" t="s">
        <v>144</v>
      </c>
      <c r="F3" s="19" t="s">
        <v>145</v>
      </c>
      <c r="G3" s="19" t="s">
        <v>146</v>
      </c>
      <c r="H3" s="19" t="s">
        <v>150</v>
      </c>
      <c r="I3" s="19" t="s">
        <v>148</v>
      </c>
      <c r="J3" s="19" t="s">
        <v>149</v>
      </c>
      <c r="K3" s="19" t="s">
        <v>155</v>
      </c>
    </row>
    <row r="4" spans="1:11" ht="13.5">
      <c r="A4" t="s">
        <v>158</v>
      </c>
      <c r="B4">
        <v>-612000</v>
      </c>
      <c r="C4">
        <v>-240000</v>
      </c>
      <c r="D4">
        <v>-23011</v>
      </c>
      <c r="E4">
        <v>-35000</v>
      </c>
      <c r="F4">
        <v>-62000</v>
      </c>
      <c r="G4">
        <v>-175030</v>
      </c>
      <c r="H4">
        <v>-1066</v>
      </c>
      <c r="I4">
        <v>-131430</v>
      </c>
      <c r="J4">
        <v>-124792.06</v>
      </c>
      <c r="K4">
        <f>SUM(B4:J4)</f>
        <v>-1404329.06</v>
      </c>
    </row>
    <row r="5" spans="1:11" ht="13.5">
      <c r="A5" t="s">
        <v>159</v>
      </c>
      <c r="B5">
        <v>12455.88</v>
      </c>
      <c r="C5">
        <v>25688.52</v>
      </c>
      <c r="D5">
        <v>0</v>
      </c>
      <c r="E5">
        <v>0</v>
      </c>
      <c r="F5">
        <v>1572.48</v>
      </c>
      <c r="G5">
        <v>-16.51</v>
      </c>
      <c r="H5">
        <v>0</v>
      </c>
      <c r="I5">
        <v>-39293.72</v>
      </c>
      <c r="J5">
        <v>0</v>
      </c>
      <c r="K5">
        <f>SUM(B5:J5)</f>
        <v>406.65000000000146</v>
      </c>
    </row>
    <row r="6" spans="1:11" ht="13.5">
      <c r="A6" t="s">
        <v>160</v>
      </c>
      <c r="B6">
        <v>-53000</v>
      </c>
      <c r="C6">
        <v>25000</v>
      </c>
      <c r="D6">
        <v>0</v>
      </c>
      <c r="E6">
        <v>-20500</v>
      </c>
      <c r="F6">
        <v>-18000</v>
      </c>
      <c r="G6">
        <v>-29215</v>
      </c>
      <c r="H6">
        <v>0</v>
      </c>
      <c r="I6">
        <v>0</v>
      </c>
      <c r="J6">
        <v>0</v>
      </c>
      <c r="K6">
        <f>SUM(B6:J6)</f>
        <v>-95715</v>
      </c>
    </row>
    <row r="7" spans="2:11" ht="14.25" thickBot="1">
      <c r="B7" s="47">
        <f>SUM(B4:B6)</f>
        <v>-652544.12</v>
      </c>
      <c r="C7" s="47">
        <f aca="true" t="shared" si="0" ref="C7:J7">SUM(C4:C6)</f>
        <v>-189311.48</v>
      </c>
      <c r="D7" s="47">
        <f t="shared" si="0"/>
        <v>-23011</v>
      </c>
      <c r="E7" s="47">
        <f t="shared" si="0"/>
        <v>-55500</v>
      </c>
      <c r="F7" s="47">
        <f t="shared" si="0"/>
        <v>-78427.51999999999</v>
      </c>
      <c r="G7" s="47">
        <f t="shared" si="0"/>
        <v>-204261.51</v>
      </c>
      <c r="H7" s="47">
        <f t="shared" si="0"/>
        <v>-1066</v>
      </c>
      <c r="I7" s="47">
        <f t="shared" si="0"/>
        <v>-170723.72</v>
      </c>
      <c r="J7" s="47">
        <f t="shared" si="0"/>
        <v>-124792.06</v>
      </c>
      <c r="K7" s="47">
        <f>SUM(K4:K6)</f>
        <v>-1499637.4100000001</v>
      </c>
    </row>
    <row r="8" ht="14.2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 Industries Bhd.</cp:lastModifiedBy>
  <cp:lastPrinted>2000-02-22T08:29:38Z</cp:lastPrinted>
  <dcterms:created xsi:type="dcterms:W3CDTF">1999-07-02T04:15:30Z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