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521" windowWidth="9375" windowHeight="6795" firstSheet="3" activeTab="4"/>
  </bookViews>
  <sheets>
    <sheet name="Group" sheetId="1" state="hidden" r:id="rId1"/>
    <sheet name="ConsoJL" sheetId="2" state="hidden" r:id="rId2"/>
    <sheet name="CF Sum" sheetId="3" state="hidden" r:id="rId3"/>
    <sheet name="PL" sheetId="4" r:id="rId4"/>
    <sheet name="BS" sheetId="5" r:id="rId5"/>
    <sheet name="EQTY" sheetId="6" r:id="rId6"/>
    <sheet name="CF" sheetId="7" r:id="rId7"/>
    <sheet name="Notes" sheetId="8" state="hidden" r:id="rId8"/>
  </sheets>
  <externalReferences>
    <externalReference r:id="rId11"/>
    <externalReference r:id="rId12"/>
  </externalReferences>
  <definedNames>
    <definedName name="_xlnm.Print_Area" localSheetId="6">'CF'!$A$1:$J$117</definedName>
    <definedName name="_xlnm.Print_Area" localSheetId="3">'PL'!$A$1:$I$52</definedName>
    <definedName name="_xlnm.Print_Titles" localSheetId="4">'BS'!$1:$6</definedName>
    <definedName name="_xlnm.Print_Titles" localSheetId="6">'CF'!$1:$6</definedName>
  </definedNames>
  <calcPr fullCalcOnLoad="1"/>
</workbook>
</file>

<file path=xl/comments1.xml><?xml version="1.0" encoding="utf-8"?>
<comments xmlns="http://schemas.openxmlformats.org/spreadsheetml/2006/main">
  <authors>
    <author>encorp</author>
    <author>glsim</author>
    <author>NTV7</author>
  </authors>
  <commentList>
    <comment ref="I14" authorId="0">
      <text>
        <r>
          <rPr>
            <b/>
            <sz val="8"/>
            <rFont val="Tahoma"/>
            <family val="0"/>
          </rPr>
          <t>encorp:</t>
        </r>
        <r>
          <rPr>
            <sz val="8"/>
            <rFont val="Tahoma"/>
            <family val="0"/>
          </rPr>
          <t xml:space="preserve">
Interest on EOT</t>
        </r>
      </text>
    </comment>
    <comment ref="J43" authorId="0">
      <text>
        <r>
          <rPr>
            <b/>
            <sz val="8"/>
            <rFont val="Tahoma"/>
            <family val="0"/>
          </rPr>
          <t>MEDSB:</t>
        </r>
        <r>
          <rPr>
            <sz val="8"/>
            <rFont val="Tahoma"/>
            <family val="0"/>
          </rPr>
          <t xml:space="preserve">
Reclassified as per audit report 2004</t>
        </r>
      </text>
    </comment>
    <comment ref="M46" authorId="0">
      <text>
        <r>
          <rPr>
            <b/>
            <sz val="8"/>
            <rFont val="Tahoma"/>
            <family val="0"/>
          </rPr>
          <t>encorp:</t>
        </r>
        <r>
          <rPr>
            <sz val="8"/>
            <rFont val="Tahoma"/>
            <family val="0"/>
          </rPr>
          <t xml:space="preserve">
Additional Goodwill from purchase of EMSB </t>
        </r>
      </text>
    </comment>
    <comment ref="J54" authorId="0">
      <text>
        <r>
          <rPr>
            <b/>
            <sz val="8"/>
            <rFont val="Tahoma"/>
            <family val="0"/>
          </rPr>
          <t>MEDSB:</t>
        </r>
        <r>
          <rPr>
            <sz val="8"/>
            <rFont val="Tahoma"/>
            <family val="0"/>
          </rPr>
          <t xml:space="preserve">
Reclassified as per audit report 2004</t>
        </r>
      </text>
    </comment>
    <comment ref="G56" authorId="0">
      <text>
        <r>
          <rPr>
            <b/>
            <sz val="8"/>
            <rFont val="Tahoma"/>
            <family val="0"/>
          </rPr>
          <t xml:space="preserve">ECSB:
</t>
        </r>
        <r>
          <rPr>
            <sz val="8"/>
            <rFont val="Tahoma"/>
            <family val="2"/>
          </rPr>
          <t>adj the progress billing 4.65m. Ref Ara &amp; Seow
-reclassified</t>
        </r>
        <r>
          <rPr>
            <sz val="8"/>
            <rFont val="Tahoma"/>
            <family val="0"/>
          </rPr>
          <t xml:space="preserve">
</t>
        </r>
      </text>
    </comment>
    <comment ref="G67" authorId="0">
      <text>
        <r>
          <rPr>
            <b/>
            <sz val="8"/>
            <rFont val="Tahoma"/>
            <family val="0"/>
          </rPr>
          <t>ECSB:</t>
        </r>
        <r>
          <rPr>
            <sz val="8"/>
            <rFont val="Tahoma"/>
            <family val="0"/>
          </rPr>
          <t xml:space="preserve">
adj the progress billing 4.65m. Ref Ara &amp; Seow
-reclassified</t>
        </r>
      </text>
    </comment>
    <comment ref="N85" authorId="0">
      <text>
        <r>
          <rPr>
            <b/>
            <sz val="8"/>
            <rFont val="Tahoma"/>
            <family val="0"/>
          </rPr>
          <t>encorp:</t>
        </r>
        <r>
          <rPr>
            <sz val="8"/>
            <rFont val="Tahoma"/>
            <family val="0"/>
          </rPr>
          <t xml:space="preserve">
Changes due to change in P&amp;L as above</t>
        </r>
      </text>
    </comment>
    <comment ref="N90" authorId="0">
      <text>
        <r>
          <rPr>
            <b/>
            <sz val="8"/>
            <rFont val="Tahoma"/>
            <family val="0"/>
          </rPr>
          <t>encorp:</t>
        </r>
        <r>
          <rPr>
            <sz val="8"/>
            <rFont val="Tahoma"/>
            <family val="0"/>
          </rPr>
          <t xml:space="preserve">
Remove revaluation of land cost, hence no deferred tax</t>
        </r>
      </text>
    </comment>
    <comment ref="N93" authorId="0">
      <text>
        <r>
          <rPr>
            <b/>
            <sz val="8"/>
            <rFont val="Tahoma"/>
            <family val="0"/>
          </rPr>
          <t>encorp:</t>
        </r>
        <r>
          <rPr>
            <sz val="8"/>
            <rFont val="Tahoma"/>
            <family val="0"/>
          </rPr>
          <t xml:space="preserve">
Remove corporate exercise not complete</t>
        </r>
      </text>
    </comment>
    <comment ref="B193" authorId="1">
      <text>
        <r>
          <rPr>
            <b/>
            <sz val="8"/>
            <rFont val="Tahoma"/>
            <family val="0"/>
          </rPr>
          <t>glsim:</t>
        </r>
        <r>
          <rPr>
            <sz val="8"/>
            <rFont val="Tahoma"/>
            <family val="0"/>
          </rPr>
          <t xml:space="preserve">
Disclosure for elimination purpose</t>
        </r>
      </text>
    </comment>
    <comment ref="D206" authorId="0">
      <text>
        <r>
          <rPr>
            <b/>
            <sz val="8"/>
            <rFont val="Tahoma"/>
            <family val="0"/>
          </rPr>
          <t>encorp:</t>
        </r>
        <r>
          <rPr>
            <sz val="8"/>
            <rFont val="Tahoma"/>
            <family val="0"/>
          </rPr>
          <t xml:space="preserve">
should 87242
mohd resigned 20,000 adj in Mar'05</t>
        </r>
      </text>
    </comment>
    <comment ref="D528" authorId="0">
      <text>
        <r>
          <rPr>
            <b/>
            <sz val="8"/>
            <rFont val="Tahoma"/>
            <family val="0"/>
          </rPr>
          <t>encorp:</t>
        </r>
        <r>
          <rPr>
            <sz val="8"/>
            <rFont val="Tahoma"/>
            <family val="0"/>
          </rPr>
          <t xml:space="preserve">
Provision for audit fees, provision for director fees, provision for secretarial fees
</t>
        </r>
      </text>
    </comment>
    <comment ref="I528" authorId="0">
      <text>
        <r>
          <rPr>
            <b/>
            <sz val="8"/>
            <rFont val="Tahoma"/>
            <family val="0"/>
          </rPr>
          <t>encorp:</t>
        </r>
        <r>
          <rPr>
            <sz val="8"/>
            <rFont val="Tahoma"/>
            <family val="0"/>
          </rPr>
          <t xml:space="preserve">
included provision for interest on advance of RM1,875,000</t>
        </r>
      </text>
    </comment>
    <comment ref="F550" authorId="2">
      <text>
        <r>
          <rPr>
            <b/>
            <sz val="8"/>
            <rFont val="Tahoma"/>
            <family val="0"/>
          </rPr>
          <t>NTV7:</t>
        </r>
        <r>
          <rPr>
            <sz val="8"/>
            <rFont val="Tahoma"/>
            <family val="0"/>
          </rPr>
          <t xml:space="preserve">
ESSB treated as prov &amp; since Encorp yet to p/u, do not reclass to interco bal.  However, elimination still need to be made.</t>
        </r>
      </text>
    </comment>
    <comment ref="E641" authorId="1">
      <text>
        <r>
          <rPr>
            <b/>
            <sz val="8"/>
            <rFont val="Tahoma"/>
            <family val="0"/>
          </rPr>
          <t>glsim:</t>
        </r>
        <r>
          <rPr>
            <sz val="8"/>
            <rFont val="Tahoma"/>
            <family val="0"/>
          </rPr>
          <t xml:space="preserve">
CG to Leighton</t>
        </r>
      </text>
    </comment>
    <comment ref="M641" authorId="1">
      <text>
        <r>
          <rPr>
            <b/>
            <sz val="8"/>
            <rFont val="Tahoma"/>
            <family val="0"/>
          </rPr>
          <t>glsim:</t>
        </r>
        <r>
          <rPr>
            <sz val="8"/>
            <rFont val="Tahoma"/>
            <family val="0"/>
          </rPr>
          <t xml:space="preserve">
Amt fully provided at ECSB level</t>
        </r>
      </text>
    </comment>
    <comment ref="D701" authorId="1">
      <text>
        <r>
          <rPr>
            <b/>
            <sz val="8"/>
            <rFont val="Tahoma"/>
            <family val="0"/>
          </rPr>
          <t>glsim:</t>
        </r>
        <r>
          <rPr>
            <sz val="8"/>
            <rFont val="Tahoma"/>
            <family val="0"/>
          </rPr>
          <t xml:space="preserve">
annual report + Logo design fee.</t>
        </r>
      </text>
    </comment>
  </commentList>
</comments>
</file>

<file path=xl/comments2.xml><?xml version="1.0" encoding="utf-8"?>
<comments xmlns="http://schemas.openxmlformats.org/spreadsheetml/2006/main">
  <authors>
    <author>encorp</author>
    <author>jessy</author>
  </authors>
  <commentList>
    <comment ref="F64" authorId="0">
      <text>
        <r>
          <rPr>
            <b/>
            <sz val="8"/>
            <rFont val="Tahoma"/>
            <family val="0"/>
          </rPr>
          <t>ey:</t>
        </r>
        <r>
          <rPr>
            <sz val="8"/>
            <rFont val="Tahoma"/>
            <family val="0"/>
          </rPr>
          <t xml:space="preserve">
being absoprtion of acc loss from the acquisition of medsb. MI cant absorb the losses
</t>
        </r>
      </text>
    </comment>
    <comment ref="A93" authorId="1">
      <text>
        <r>
          <rPr>
            <b/>
            <sz val="8"/>
            <rFont val="Tahoma"/>
            <family val="0"/>
          </rPr>
          <t xml:space="preserve">jessy: JL 9 and 10  to be adj every year for interest charges on ytd basis (reversal) of interest charges
</t>
        </r>
        <r>
          <rPr>
            <sz val="8"/>
            <rFont val="Tahoma"/>
            <family val="0"/>
          </rPr>
          <t xml:space="preserve">
</t>
        </r>
      </text>
    </comment>
    <comment ref="G141" authorId="0">
      <text>
        <r>
          <rPr>
            <b/>
            <sz val="8"/>
            <rFont val="Tahoma"/>
            <family val="0"/>
          </rPr>
          <t>encorp:</t>
        </r>
        <r>
          <rPr>
            <sz val="8"/>
            <rFont val="Tahoma"/>
            <family val="0"/>
          </rPr>
          <t xml:space="preserve">
1346k relating to 51% sold
1293k relating to 49% not sold
</t>
        </r>
      </text>
    </comment>
    <comment ref="F244" authorId="0">
      <text>
        <r>
          <rPr>
            <b/>
            <sz val="8"/>
            <rFont val="Tahoma"/>
            <family val="0"/>
          </rPr>
          <t>encorp:</t>
        </r>
        <r>
          <rPr>
            <sz val="8"/>
            <rFont val="Tahoma"/>
            <family val="0"/>
          </rPr>
          <t xml:space="preserve">
51% knock off against gain
</t>
        </r>
      </text>
    </comment>
    <comment ref="F245" authorId="0">
      <text>
        <r>
          <rPr>
            <b/>
            <sz val="8"/>
            <rFont val="Tahoma"/>
            <family val="0"/>
          </rPr>
          <t>encorp:</t>
        </r>
        <r>
          <rPr>
            <sz val="8"/>
            <rFont val="Tahoma"/>
            <family val="0"/>
          </rPr>
          <t xml:space="preserve">
49% retain as investment in associate </t>
        </r>
      </text>
    </comment>
    <comment ref="G248" authorId="0">
      <text>
        <r>
          <rPr>
            <b/>
            <sz val="8"/>
            <rFont val="Tahoma"/>
            <family val="0"/>
          </rPr>
          <t>encorp:</t>
        </r>
        <r>
          <rPr>
            <sz val="8"/>
            <rFont val="Tahoma"/>
            <family val="0"/>
          </rPr>
          <t xml:space="preserve">
This is the entire portion of retained earnings when GWPI was still a 100% subsidiary</t>
        </r>
      </text>
    </comment>
    <comment ref="F279" authorId="0">
      <text>
        <r>
          <rPr>
            <b/>
            <sz val="8"/>
            <rFont val="Tahoma"/>
            <family val="0"/>
          </rPr>
          <t>MEDSB:</t>
        </r>
        <r>
          <rPr>
            <sz val="8"/>
            <rFont val="Tahoma"/>
            <family val="0"/>
          </rPr>
          <t xml:space="preserve">
Marketing cost   (271,458)
Marketing cost   (538,486)
Sales from land disposal   1,698,000
Addistional cost of land disposal   (1,232,434)
Land cost overdeducted   84,766
Deferred tax overprovided to tax exp   (205,000)
Provision for unutilised leave   (24,638)
Other creditors unreconciled diff   (35,789)
Net : (525,039) x 30%MI = (157,512) Profit addded back</t>
        </r>
      </text>
    </comment>
    <comment ref="F306" authorId="0">
      <text>
        <r>
          <rPr>
            <b/>
            <sz val="8"/>
            <rFont val="Tahoma"/>
            <family val="0"/>
          </rPr>
          <t>encorp:</t>
        </r>
        <r>
          <rPr>
            <sz val="8"/>
            <rFont val="Tahoma"/>
            <family val="0"/>
          </rPr>
          <t xml:space="preserve">
Balancing</t>
        </r>
      </text>
    </comment>
    <comment ref="M442" authorId="0">
      <text>
        <r>
          <rPr>
            <b/>
            <sz val="8"/>
            <rFont val="Tahoma"/>
            <family val="0"/>
          </rPr>
          <t>encorp:</t>
        </r>
        <r>
          <rPr>
            <sz val="8"/>
            <rFont val="Tahoma"/>
            <family val="0"/>
          </rPr>
          <t xml:space="preserve">
0 as its placed in retained profits as GWPI is now an associate
</t>
        </r>
      </text>
    </comment>
  </commentList>
</comments>
</file>

<file path=xl/sharedStrings.xml><?xml version="1.0" encoding="utf-8"?>
<sst xmlns="http://schemas.openxmlformats.org/spreadsheetml/2006/main" count="1739" uniqueCount="944">
  <si>
    <t>31 March 2005</t>
  </si>
  <si>
    <t>Date Check</t>
  </si>
  <si>
    <t>31 Dec 04</t>
  </si>
  <si>
    <t>Nil</t>
  </si>
  <si>
    <t xml:space="preserve">   Share of profit in associate company</t>
  </si>
  <si>
    <t>Development cost</t>
  </si>
  <si>
    <t>At 31 Dec 2004</t>
  </si>
  <si>
    <t>Share of Profit from Associate Company</t>
  </si>
  <si>
    <t>LAND AND DEVELOPMENT COST</t>
  </si>
  <si>
    <t>INVESTMENT IN ASSOCIATE COMPANY</t>
  </si>
  <si>
    <t>Amount due to corporate shareholder</t>
  </si>
  <si>
    <t>Amount due to associate company</t>
  </si>
  <si>
    <t>Encorp Berhad</t>
  </si>
  <si>
    <t>(Company No.: 506836-X)</t>
  </si>
  <si>
    <t>(Incorporated in Malaysia)</t>
  </si>
  <si>
    <t>CONDENSED CONSOLIDATED BALANCE SHEET</t>
  </si>
  <si>
    <t>(Unaudited)</t>
  </si>
  <si>
    <t>(Audited)</t>
  </si>
  <si>
    <t>As at end of current quarter</t>
  </si>
  <si>
    <t>As at preceding financial year end</t>
  </si>
  <si>
    <t>RM'000</t>
  </si>
  <si>
    <t>PROPERTY, PLANT AND EQUIPMENT</t>
  </si>
  <si>
    <t>GOODWILL</t>
  </si>
  <si>
    <t>CONCESSION INCOME RECEIVABLE</t>
  </si>
  <si>
    <t>CURRENT ASSETS</t>
  </si>
  <si>
    <t>Trade receivable</t>
  </si>
  <si>
    <t>Other receivables</t>
  </si>
  <si>
    <t xml:space="preserve"> </t>
  </si>
  <si>
    <t>Tax recoverable</t>
  </si>
  <si>
    <t>Deposit, cash and bank balances</t>
  </si>
  <si>
    <t>CURRENT LIABILITIES</t>
  </si>
  <si>
    <t>Trade payables</t>
  </si>
  <si>
    <t>Other payables</t>
  </si>
  <si>
    <t>Short term borrowings</t>
  </si>
  <si>
    <t>Hire purchase payables</t>
  </si>
  <si>
    <t>Provision for taxation</t>
  </si>
  <si>
    <t>FUNDS EMPLOYED:-</t>
  </si>
  <si>
    <t>SHARE CAPITAL</t>
  </si>
  <si>
    <t>SHARE PREMIUM</t>
  </si>
  <si>
    <t>RETAINED PROFIT</t>
  </si>
  <si>
    <t>SHAREHOLDERS' FUNDS</t>
  </si>
  <si>
    <t>DEFERRED AND LONG TERM</t>
  </si>
  <si>
    <t>LIABILITIES</t>
  </si>
  <si>
    <t>Long term borrowings</t>
  </si>
  <si>
    <t>Deferred taxation</t>
  </si>
  <si>
    <t>NET TANGIBLE ASSETS PER SHARE (RM)</t>
  </si>
  <si>
    <t>Non-distributable</t>
  </si>
  <si>
    <t>Distributable</t>
  </si>
  <si>
    <t>Share</t>
  </si>
  <si>
    <t>Reserve on</t>
  </si>
  <si>
    <t>Retained</t>
  </si>
  <si>
    <t>Total</t>
  </si>
  <si>
    <t>Capital</t>
  </si>
  <si>
    <t>Premium</t>
  </si>
  <si>
    <t>Consolidation</t>
  </si>
  <si>
    <t>Profits</t>
  </si>
  <si>
    <t>( RM'000 )</t>
  </si>
  <si>
    <t>At 1 January 2003</t>
  </si>
  <si>
    <t>As previously stated</t>
  </si>
  <si>
    <t>Prior year adjustment</t>
  </si>
  <si>
    <t>At 1 January 2003 (restated)</t>
  </si>
  <si>
    <t>Net profit for the year</t>
  </si>
  <si>
    <t>At 31 December 2003</t>
  </si>
  <si>
    <t>Net loss for the period</t>
  </si>
  <si>
    <t>RM '000</t>
  </si>
  <si>
    <t>Cash Flows From Operating Activities</t>
  </si>
  <si>
    <t>(Loss)/profit before taxation</t>
  </si>
  <si>
    <t>Adjustments for:</t>
  </si>
  <si>
    <t xml:space="preserve">   Depreciation</t>
  </si>
  <si>
    <t xml:space="preserve">   Interest expenses</t>
  </si>
  <si>
    <t xml:space="preserve">   Provision for doubtful debts</t>
  </si>
  <si>
    <t xml:space="preserve">   Amortisation of concession expenditure</t>
  </si>
  <si>
    <t xml:space="preserve">   Interest income</t>
  </si>
  <si>
    <t xml:space="preserve">   Amortisation of goodwill on consolidation</t>
  </si>
  <si>
    <t>Operating profit before working capital changes</t>
  </si>
  <si>
    <t>Changes in working capital:</t>
  </si>
  <si>
    <t>Net change in current assets</t>
  </si>
  <si>
    <t>Net change in current liabilities</t>
  </si>
  <si>
    <t>Cash generated from operations</t>
  </si>
  <si>
    <t>Interest paid</t>
  </si>
  <si>
    <t>Income taxes paid</t>
  </si>
  <si>
    <t>Net cash flow generated from operating activities</t>
  </si>
  <si>
    <t>Cash Flows From Investing Activities</t>
  </si>
  <si>
    <t>Purchase of property, plant and equipment</t>
  </si>
  <si>
    <t>Proceeds from disposal of fixed asset</t>
  </si>
  <si>
    <t>Interest received</t>
  </si>
  <si>
    <t>Cash Flows From Financing Activities</t>
  </si>
  <si>
    <t>Proceeds from borrowings</t>
  </si>
  <si>
    <t>Repayment of  borrowings</t>
  </si>
  <si>
    <t>Release of deposits pledged</t>
  </si>
  <si>
    <t>Repayment of hire purchase and lease payables</t>
  </si>
  <si>
    <t>Net cash used in  financing activities</t>
  </si>
  <si>
    <t>Cash and Cash Equivalents At Beginning Of Period</t>
  </si>
  <si>
    <t>Cash and Cash Equivalents At End Of Period</t>
  </si>
  <si>
    <t>Cash and cash equivalents included in the cash flows comprise the following balance sheet amounts:-</t>
  </si>
  <si>
    <t>Deposits</t>
  </si>
  <si>
    <t>Cash and bank balances</t>
  </si>
  <si>
    <t>Bank overdrafts</t>
  </si>
  <si>
    <t>Less: Cash and bank balances and deposits pledged</t>
  </si>
  <si>
    <t>CONDENSED CONSOLIDATED INCOME STATEMENTS</t>
  </si>
  <si>
    <t>Individual Quarter</t>
  </si>
  <si>
    <t>Cumulative Quarter</t>
  </si>
  <si>
    <t>Current year quarter</t>
  </si>
  <si>
    <t>Preceding year corresponding quarter</t>
  </si>
  <si>
    <t>Current Year to date</t>
  </si>
  <si>
    <t>Preceding year  corresponding period</t>
  </si>
  <si>
    <t>30 Sep 04</t>
  </si>
  <si>
    <t>Revenue</t>
  </si>
  <si>
    <t>Operating Expenses</t>
  </si>
  <si>
    <t>Profit from Operations</t>
  </si>
  <si>
    <t>Other Operating Income</t>
  </si>
  <si>
    <t>Finance Cost</t>
  </si>
  <si>
    <t>Taxation</t>
  </si>
  <si>
    <t>Loss after tax</t>
  </si>
  <si>
    <t>Loss per share (Sen)</t>
  </si>
  <si>
    <t xml:space="preserve">   -Basic (223,508,536)</t>
  </si>
  <si>
    <t>Disposal of subsidiary</t>
  </si>
  <si>
    <t>Preference shares</t>
  </si>
  <si>
    <t>Minority interest</t>
  </si>
  <si>
    <t>Purchase of subsidiaries</t>
  </si>
  <si>
    <t>Net cash used in investing activities</t>
  </si>
  <si>
    <t>Net Decrease In Cash and Cash Equivalents</t>
  </si>
  <si>
    <t>31 Mar 04</t>
  </si>
  <si>
    <t>31 Mar 05</t>
  </si>
  <si>
    <t>Property development cost</t>
  </si>
  <si>
    <t xml:space="preserve">Disposal of subsidiary </t>
  </si>
  <si>
    <t>Loss for the period</t>
  </si>
  <si>
    <t>31 MARCH 2005</t>
  </si>
  <si>
    <t xml:space="preserve">   Loss on disposal of subsidiary</t>
  </si>
  <si>
    <t xml:space="preserve">   Concession expenditure written off</t>
  </si>
  <si>
    <t>Dividend income</t>
  </si>
  <si>
    <t>Redemption of ABBA Notes</t>
  </si>
  <si>
    <t>Advance received</t>
  </si>
  <si>
    <t>3  Months ended</t>
  </si>
  <si>
    <t>The Condensed Income Statements should be read in conjunction with the Audited Financial Statements for the year ended 31 December 2004 and the accompanying explanatory notes attached to the interim financial statements.</t>
  </si>
  <si>
    <t>The Condensed Consolidated Balance Sheet should be read in conjunction with the Audited Financial Statements  for the year ended 31 December 2004 and the accompanying explanatory notes attached to the interim financial statements.</t>
  </si>
  <si>
    <t>CONDENSED CONSOLIDATED CASH FLOW STATEMENT FOR THE QUARTER ENDED</t>
  </si>
  <si>
    <t>CONDENSED CONSOLIDATED STATEMENT OF CHANGES IN EQUITY FOR THE QUARTER ENDED</t>
  </si>
  <si>
    <t>The Condensed Consolidated Statement of Changes in Equity should be read in conjunction with the Audited Financial Statements  for the year ended 31 December 2004 and the accompanying explanatory notes attached to the interim financial statements.</t>
  </si>
  <si>
    <t>The Condensed Consolidated Cashflow Statements should be read in conjunction with the Audited Financial Statements for the year ended 31 December 2004 and the accompanying explanatory notes attached to the interim financial statements.</t>
  </si>
  <si>
    <t>Filename : Ebc0503.xls</t>
  </si>
  <si>
    <t>Encorp Berhad Group</t>
  </si>
  <si>
    <t>Consolidated Financial Statement (all expressed in RM)</t>
  </si>
  <si>
    <t>Encorp</t>
  </si>
  <si>
    <t xml:space="preserve">Encorp </t>
  </si>
  <si>
    <t>Signage adj</t>
  </si>
  <si>
    <t xml:space="preserve">       Consol. Adjs</t>
  </si>
  <si>
    <t>Encorp Group</t>
  </si>
  <si>
    <t>Note</t>
  </si>
  <si>
    <t>Bhd</t>
  </si>
  <si>
    <t>Enfari</t>
  </si>
  <si>
    <t>ESSB</t>
  </si>
  <si>
    <t>ECSB</t>
  </si>
  <si>
    <t>L&amp;M Precast</t>
  </si>
  <si>
    <t>EMSB</t>
  </si>
  <si>
    <t>MEDSB</t>
  </si>
  <si>
    <t>Debit</t>
  </si>
  <si>
    <t>(Credit)</t>
  </si>
  <si>
    <t>YTD Mar 05</t>
  </si>
  <si>
    <t>1st Quarter 05</t>
  </si>
  <si>
    <t>Jan 05</t>
  </si>
  <si>
    <t>Consolidated Income Statement</t>
  </si>
  <si>
    <t>Costs of sales</t>
  </si>
  <si>
    <t>Gross profit</t>
  </si>
  <si>
    <t>Selling &amp; marketing expenses</t>
  </si>
  <si>
    <t>&gt;&gt;</t>
  </si>
  <si>
    <t>Administrative expenses</t>
  </si>
  <si>
    <t>Other operating expenses</t>
  </si>
  <si>
    <t>Profit / (loss) from operations</t>
  </si>
  <si>
    <t>Other operating income</t>
  </si>
  <si>
    <t>Gain / (Loss) on disposal of subsidiary</t>
  </si>
  <si>
    <t>Share of profit in associate</t>
  </si>
  <si>
    <t>Finance costs</t>
  </si>
  <si>
    <t>Profit / (loss) before tax</t>
  </si>
  <si>
    <t>Profit / (loss) after tax</t>
  </si>
  <si>
    <t>Minority interests</t>
  </si>
  <si>
    <t>Net profit / (loss) attributable to shareholders</t>
  </si>
  <si>
    <t>Earning per share (sen)</t>
  </si>
  <si>
    <t xml:space="preserve">  - Basic (223,508,536)</t>
  </si>
  <si>
    <t xml:space="preserve">  - Diluted (anti-diluitive)</t>
  </si>
  <si>
    <t>Effective Tax rate (%)</t>
  </si>
  <si>
    <t>Dividend per share (sen)</t>
  </si>
  <si>
    <t>Consolidated Balance Sheet</t>
  </si>
  <si>
    <t>Property, plant and equipment</t>
  </si>
  <si>
    <t>Land held for property development</t>
  </si>
  <si>
    <t>Subsidiary companies</t>
  </si>
  <si>
    <t>Investment in associate company</t>
  </si>
  <si>
    <t>Goodwill</t>
  </si>
  <si>
    <t>Deferred Tax Assets</t>
  </si>
  <si>
    <t>ABBA notes - ESSB</t>
  </si>
  <si>
    <t>Concession expenditure</t>
  </si>
  <si>
    <t>Concession income receivables</t>
  </si>
  <si>
    <t>Current Assets</t>
  </si>
  <si>
    <t>Inventories</t>
  </si>
  <si>
    <t>Trade receivables</t>
  </si>
  <si>
    <t>Amount due from associate company - GWPI</t>
  </si>
  <si>
    <t>Amount due from corporate Shareholder - Lavista</t>
  </si>
  <si>
    <t xml:space="preserve">Amount due from Encorp Bhd group of companies </t>
  </si>
  <si>
    <t>Current Liabilities</t>
  </si>
  <si>
    <t>Amount due to corporate Shareholder - Lavista</t>
  </si>
  <si>
    <t xml:space="preserve">Amount due to Encorp Bhd group of companies </t>
  </si>
  <si>
    <t>Amount due to associate company - GWPI</t>
  </si>
  <si>
    <t>Hire purchase and lease payables</t>
  </si>
  <si>
    <t>Deposit from house buyers</t>
  </si>
  <si>
    <t>Net current assets / (liabilities)</t>
  </si>
  <si>
    <t>Financed by :</t>
  </si>
  <si>
    <t>Share capital</t>
  </si>
  <si>
    <t>Share premium</t>
  </si>
  <si>
    <t>Revaluation reserve</t>
  </si>
  <si>
    <t>Reserve on consolidation</t>
  </si>
  <si>
    <t>Retained profit / (Accumulated losses)</t>
  </si>
  <si>
    <t>Shareholders' Funds</t>
  </si>
  <si>
    <t>Deferred and long term liabilities</t>
  </si>
  <si>
    <t>Deferred income</t>
  </si>
  <si>
    <t>Net Tangible Assets (RM)</t>
  </si>
  <si>
    <t>Control</t>
  </si>
  <si>
    <t>Notes to the Financial Statements</t>
  </si>
  <si>
    <t>Note 1</t>
  </si>
  <si>
    <t>Concession income from the teacher quarters</t>
  </si>
  <si>
    <t>Contract revenue - Intercompany</t>
  </si>
  <si>
    <t>Interest income from concession</t>
  </si>
  <si>
    <t>Invoiced value of goods sold less returns &amp;</t>
  </si>
  <si>
    <t xml:space="preserve">  discounts allowed</t>
  </si>
  <si>
    <t xml:space="preserve">Dividends: </t>
  </si>
  <si>
    <t xml:space="preserve">   - unquoted investment in associate company</t>
  </si>
  <si>
    <t xml:space="preserve">   - other quoted investments in Malaysia</t>
  </si>
  <si>
    <t>Management fee income:</t>
  </si>
  <si>
    <t xml:space="preserve">   - Encorp Bhd group of companies</t>
  </si>
  <si>
    <t xml:space="preserve">   - Other related companies </t>
  </si>
  <si>
    <t>Others (Please specify)</t>
  </si>
  <si>
    <t>Note 2</t>
  </si>
  <si>
    <t>Cost of sales</t>
  </si>
  <si>
    <t>Concession expenditure - Others</t>
  </si>
  <si>
    <t>Concession expenditure - Interest on ABBA notes</t>
  </si>
  <si>
    <t>Contract costs - Intercompany</t>
  </si>
  <si>
    <t>Costs of goods sold</t>
  </si>
  <si>
    <t>Note 3</t>
  </si>
  <si>
    <t>Interest income:</t>
  </si>
  <si>
    <t xml:space="preserve">  - Deposits with financial institutions</t>
  </si>
  <si>
    <t xml:space="preserve">  - Encorp Bhd group of companies</t>
  </si>
  <si>
    <t xml:space="preserve">  - Related companies</t>
  </si>
  <si>
    <t xml:space="preserve">  - Others-interest on ABBA notes</t>
  </si>
  <si>
    <t xml:space="preserve">Rental income </t>
  </si>
  <si>
    <t>Gain on disposal of property,plant &amp; equipment</t>
  </si>
  <si>
    <t>Others-Tax credit</t>
  </si>
  <si>
    <t>Net compensation for Land taken over by JKR</t>
  </si>
  <si>
    <t>Others - Enai exp add back</t>
  </si>
  <si>
    <t>Others-bad debt write back</t>
  </si>
  <si>
    <t>Note 4</t>
  </si>
  <si>
    <t>Interest expenses:</t>
  </si>
  <si>
    <t xml:space="preserve"> - Bank overdraft</t>
  </si>
  <si>
    <t xml:space="preserve"> - Term loan</t>
  </si>
  <si>
    <t xml:space="preserve"> - ABBA notes</t>
  </si>
  <si>
    <t xml:space="preserve"> - Hire purchases</t>
  </si>
  <si>
    <t xml:space="preserve"> - Finance lease</t>
  </si>
  <si>
    <t xml:space="preserve"> - Encorp Bhd group of companies</t>
  </si>
  <si>
    <t xml:space="preserve"> - Related companies</t>
  </si>
  <si>
    <t xml:space="preserve"> - T4 Issuance Cost</t>
  </si>
  <si>
    <t>Financing charge</t>
  </si>
  <si>
    <t>Note 5</t>
  </si>
  <si>
    <t>Profit/(loss) is stated after charging / (crediting):</t>
  </si>
  <si>
    <t>Auditor remuneration:</t>
  </si>
  <si>
    <t xml:space="preserve">   - current year</t>
  </si>
  <si>
    <t xml:space="preserve">   - under / (over) provision in prior year</t>
  </si>
  <si>
    <t>Allowance for doubtful debts</t>
  </si>
  <si>
    <t>Amortisation of concession expenditure</t>
  </si>
  <si>
    <t>Amortisation of goodwill</t>
  </si>
  <si>
    <t>Bad debts written Back</t>
  </si>
  <si>
    <t>Bad debts written Off</t>
  </si>
  <si>
    <t>Depreciation of property,plant and equipment</t>
  </si>
  <si>
    <r>
      <t xml:space="preserve">Director remuneration </t>
    </r>
    <r>
      <rPr>
        <b/>
        <sz val="11"/>
        <rFont val="Arial"/>
        <family val="2"/>
      </rPr>
      <t>(Note 6)</t>
    </r>
  </si>
  <si>
    <t>(Gain) / loss on disposal of property, plant &amp; equipment</t>
  </si>
  <si>
    <t>Exchange (gain) / loss:</t>
  </si>
  <si>
    <t xml:space="preserve">  - realised</t>
  </si>
  <si>
    <t xml:space="preserve">  - unrealised</t>
  </si>
  <si>
    <t>Inventory write down</t>
  </si>
  <si>
    <t>Hire of plant &amp; machinery</t>
  </si>
  <si>
    <t>Property, plant &amp; equipment written off</t>
  </si>
  <si>
    <t>Rental of premises</t>
  </si>
  <si>
    <t>Rental of Motor Vehicle</t>
  </si>
  <si>
    <t>Rental of office equipments</t>
  </si>
  <si>
    <t>Retrenchment benefits</t>
  </si>
  <si>
    <t>Repair &amp; Maintenance - Building</t>
  </si>
  <si>
    <t>Repair &amp; Maintenance - Motor vehicles</t>
  </si>
  <si>
    <t>Repair&amp; Maintenance - Office Equipment</t>
  </si>
  <si>
    <t>Staff costs (Exclude Directors' emoluments) :</t>
  </si>
  <si>
    <t xml:space="preserve">  - Direct</t>
  </si>
  <si>
    <t xml:space="preserve">  - Indirect</t>
  </si>
  <si>
    <t>Management fee:</t>
  </si>
  <si>
    <t xml:space="preserve"> - Others</t>
  </si>
  <si>
    <t>Non-audit fee paid/payable to auditors</t>
  </si>
  <si>
    <t>Penalty charge</t>
  </si>
  <si>
    <t>Travelling &amp; parking</t>
  </si>
  <si>
    <t>Others (Please specify)design guarantee cost</t>
  </si>
  <si>
    <t>.</t>
  </si>
  <si>
    <t>Note 6</t>
  </si>
  <si>
    <t>Directors' remuneration paid / payable to:</t>
  </si>
  <si>
    <t>a) Directors of Encorp Berhad</t>
  </si>
  <si>
    <t xml:space="preserve">   - fees</t>
  </si>
  <si>
    <t xml:space="preserve">   - emoluments</t>
  </si>
  <si>
    <t xml:space="preserve">   - benefits in kind</t>
  </si>
  <si>
    <t>b) Other Directors</t>
  </si>
  <si>
    <t>Note 7</t>
  </si>
  <si>
    <t>Malaysian tax - current</t>
  </si>
  <si>
    <t>Malaysian tax - prior years</t>
  </si>
  <si>
    <t>Note 8</t>
  </si>
  <si>
    <t>Property, plant &amp; equipment</t>
  </si>
  <si>
    <t>Costs at 1 January</t>
  </si>
  <si>
    <t>Freehold land</t>
  </si>
  <si>
    <t>Factory buildings and warehouse</t>
  </si>
  <si>
    <t>Commercial office space</t>
  </si>
  <si>
    <t>Plant, machinery and equipment</t>
  </si>
  <si>
    <t>Motor vehicles</t>
  </si>
  <si>
    <t>Office equipment, furniture and fittings</t>
  </si>
  <si>
    <t>Office renovation</t>
  </si>
  <si>
    <t>Costs - Additions</t>
  </si>
  <si>
    <t>Costs - Disposal</t>
  </si>
  <si>
    <t>Costs - Write-off</t>
  </si>
  <si>
    <t>Costs at end of the period</t>
  </si>
  <si>
    <t>Accumulated Depreciation</t>
  </si>
  <si>
    <t>At 1 January</t>
  </si>
  <si>
    <t>Depreciation charge for the year</t>
  </si>
  <si>
    <t>Accumulated depreciation - Disposals</t>
  </si>
  <si>
    <t>Accumulated depreciation - Write-off</t>
  </si>
  <si>
    <t>Accumulated depreciation at end of the period</t>
  </si>
  <si>
    <t>Property Plant &amp; Equipment</t>
  </si>
  <si>
    <t>Net Book Value at end of the period</t>
  </si>
  <si>
    <t>Note 9</t>
  </si>
  <si>
    <t>Costs</t>
  </si>
  <si>
    <t>Unquoted investment, at 1 January</t>
  </si>
  <si>
    <t>Addition during the year</t>
  </si>
  <si>
    <t>Less : Disposal during the year</t>
  </si>
  <si>
    <t>Less : Net pre-acquisition dividend</t>
  </si>
  <si>
    <t>Unquoted investment, at end of the period</t>
  </si>
  <si>
    <t>(a)</t>
  </si>
  <si>
    <t>Provision for diminution</t>
  </si>
  <si>
    <t>Additional provision</t>
  </si>
  <si>
    <t>Writeback of provision</t>
  </si>
  <si>
    <t>At end of the period</t>
  </si>
  <si>
    <t>(b)</t>
  </si>
  <si>
    <t xml:space="preserve">Carrying value </t>
  </si>
  <si>
    <t>(a + b)</t>
  </si>
  <si>
    <t>Note 10</t>
  </si>
  <si>
    <t xml:space="preserve">Arising from acquisition of subsidiary </t>
  </si>
  <si>
    <t>Accumulated Amortisation of Goodwill</t>
  </si>
  <si>
    <t>Amortisation during the year</t>
  </si>
  <si>
    <t>Write-off during the year</t>
  </si>
  <si>
    <t>Goodwill (net)</t>
  </si>
  <si>
    <t>(a+b)</t>
  </si>
  <si>
    <t>Note 11</t>
  </si>
  <si>
    <t>Concession Expenditure</t>
  </si>
  <si>
    <t>Cost</t>
  </si>
  <si>
    <t xml:space="preserve">At 1 January </t>
  </si>
  <si>
    <t xml:space="preserve">Accumulated Amortisation </t>
  </si>
  <si>
    <t xml:space="preserve">Included in concession expenditure incurred during </t>
  </si>
  <si>
    <t xml:space="preserve"> the period are :</t>
  </si>
  <si>
    <t>Accretion in value of ABBA notes</t>
  </si>
  <si>
    <t>Staff costs</t>
  </si>
  <si>
    <t xml:space="preserve">Consultancy fees paid to a Director </t>
  </si>
  <si>
    <t>Rental of office equipment</t>
  </si>
  <si>
    <t>Rental of motor vehicles</t>
  </si>
  <si>
    <t>Interest income from fixed deposits</t>
  </si>
  <si>
    <t>Others (please specify)</t>
  </si>
  <si>
    <t>Note 12</t>
  </si>
  <si>
    <t>- More than 1 year and less than 2 years</t>
  </si>
  <si>
    <t>- More than 2 years and less than 5 years</t>
  </si>
  <si>
    <t>- More than 5 years</t>
  </si>
  <si>
    <t>Unearned interest income</t>
  </si>
  <si>
    <t>Initial concession payment recognised</t>
  </si>
  <si>
    <t>Note 13</t>
  </si>
  <si>
    <t>At cost: -</t>
  </si>
  <si>
    <t>Consumables stores</t>
  </si>
  <si>
    <t>Raw materials</t>
  </si>
  <si>
    <t>Work-in-progress</t>
  </si>
  <si>
    <t>Finished goods</t>
  </si>
  <si>
    <t>At net realisable value :-</t>
  </si>
  <si>
    <t>Note 14</t>
  </si>
  <si>
    <t>Less : Allowance for doubtful debts</t>
  </si>
  <si>
    <t>Addition during the year - Income statement</t>
  </si>
  <si>
    <t>Amount written back</t>
  </si>
  <si>
    <t>Amount written off</t>
  </si>
  <si>
    <t>Note 15</t>
  </si>
  <si>
    <t>Sundry receivables</t>
  </si>
  <si>
    <t>Prepayments</t>
  </si>
  <si>
    <t>Amount due from related party / affiliated cos</t>
  </si>
  <si>
    <t>Advance</t>
  </si>
  <si>
    <t>Debt service reserve account</t>
  </si>
  <si>
    <t>Less : Allowance for other receivables</t>
  </si>
  <si>
    <t>Allowance for other receivables</t>
  </si>
  <si>
    <t>Addition</t>
  </si>
  <si>
    <t>Writeback</t>
  </si>
  <si>
    <t>Note 16</t>
  </si>
  <si>
    <t>Amount due from Encorp Bhd Group of companies</t>
  </si>
  <si>
    <t>Encorp Bhd</t>
  </si>
  <si>
    <t>Enfari Sdn Bhd</t>
  </si>
  <si>
    <t xml:space="preserve">                                                </t>
  </si>
  <si>
    <t>Encorp Systembilt Sdn Bhd</t>
  </si>
  <si>
    <t>Encorp Construct Sdn Bhd</t>
  </si>
  <si>
    <t>Encorp - L&amp;M Precast Sdn Bhd</t>
  </si>
  <si>
    <t>Must Ehsan Development Sdn Bhd</t>
  </si>
  <si>
    <t>Encorp Must Sdn Bhd</t>
  </si>
  <si>
    <t>Great Wall Plastic Industries Bhd</t>
  </si>
  <si>
    <t>Note 17</t>
  </si>
  <si>
    <t>Deposit, cash and bank Balance</t>
  </si>
  <si>
    <t>Cash deposit placed with:</t>
  </si>
  <si>
    <t>- licensed banks</t>
  </si>
  <si>
    <t>- financial institutions</t>
  </si>
  <si>
    <t>Cash and bank balance</t>
  </si>
  <si>
    <t>Included in the above are deposit pledged :</t>
  </si>
  <si>
    <t xml:space="preserve">- Deposit held by financial institution in trust for </t>
  </si>
  <si>
    <t xml:space="preserve">  holders of the ABBA notes</t>
  </si>
  <si>
    <t>- Deposit placed in an escrow account</t>
  </si>
  <si>
    <t>- Deposit for a bank guarantee granted to GOM and</t>
  </si>
  <si>
    <t xml:space="preserve">   performance bonds</t>
  </si>
  <si>
    <t>- Deposit for design guarantee FD pledged</t>
  </si>
  <si>
    <t>- Deposit pledged to Kementerian Perumahan for license</t>
  </si>
  <si>
    <t>Cash, bank &amp; short term deposits not pledged</t>
  </si>
  <si>
    <t>(a-b)</t>
  </si>
  <si>
    <t>Less : Bank Overdraft</t>
  </si>
  <si>
    <t>Cash &amp; Cash equivalents</t>
  </si>
  <si>
    <t>Note 18</t>
  </si>
  <si>
    <t>Secured</t>
  </si>
  <si>
    <t>Bank overdraft</t>
  </si>
  <si>
    <t>Banker Acceptancce</t>
  </si>
  <si>
    <t>Term loan</t>
  </si>
  <si>
    <t>ABBA notes</t>
  </si>
  <si>
    <t>Note 19</t>
  </si>
  <si>
    <t>Other Payables</t>
  </si>
  <si>
    <t>Initial concession payment received in advance</t>
  </si>
  <si>
    <t>Sundry payables</t>
  </si>
  <si>
    <t>Accruals-concession expenditure/construction cost</t>
  </si>
  <si>
    <t>Accruals-Others</t>
  </si>
  <si>
    <t>Due to customer on contract</t>
  </si>
  <si>
    <t>Due to Person connected to director / Affiliated cos</t>
  </si>
  <si>
    <t>Due to IJM</t>
  </si>
  <si>
    <t>Provision for impairment loss</t>
  </si>
  <si>
    <t>Provision for doubtful debts</t>
  </si>
  <si>
    <t>Provision for Employee benefit</t>
  </si>
  <si>
    <t>Provision for Taxation</t>
  </si>
  <si>
    <t>Increase in provision</t>
  </si>
  <si>
    <t>under provision of prior year</t>
  </si>
  <si>
    <t>Reclassification from/(to) tax recoverable</t>
  </si>
  <si>
    <t>Payment of tax</t>
  </si>
  <si>
    <t>Note 20</t>
  </si>
  <si>
    <t>Amount due to Encorp Bhd Group of companies</t>
  </si>
  <si>
    <t>Note 21</t>
  </si>
  <si>
    <t>Minimum amount payable</t>
  </si>
  <si>
    <t xml:space="preserve"> - within one year</t>
  </si>
  <si>
    <t xml:space="preserve"> - more than one year but not later than five years</t>
  </si>
  <si>
    <t xml:space="preserve"> - more than five years</t>
  </si>
  <si>
    <t>Less : Finance charges</t>
  </si>
  <si>
    <t>Present value of hire purchase and lease payables</t>
  </si>
  <si>
    <t>Representing hire purchase and lease payables</t>
  </si>
  <si>
    <t xml:space="preserve"> - Due within one year</t>
  </si>
  <si>
    <t xml:space="preserve"> - Due more than one year but not later than five years</t>
  </si>
  <si>
    <t xml:space="preserve"> - Due more than five years</t>
  </si>
  <si>
    <t>Note 22</t>
  </si>
  <si>
    <t>Acquisition of subsidiary</t>
  </si>
  <si>
    <t>Right issue</t>
  </si>
  <si>
    <t>Bonus issue</t>
  </si>
  <si>
    <t>Exercise of ESOS</t>
  </si>
  <si>
    <t>Note 23</t>
  </si>
  <si>
    <t>Share Premium</t>
  </si>
  <si>
    <t>Note 24</t>
  </si>
  <si>
    <t>Surplus/(deficit) on revaluation of property</t>
  </si>
  <si>
    <t>Note 25</t>
  </si>
  <si>
    <t>Reserve arising on consolidation</t>
  </si>
  <si>
    <t>Note 26</t>
  </si>
  <si>
    <t>Retained Profit</t>
  </si>
  <si>
    <t xml:space="preserve">Net profit/(loss) for the period </t>
  </si>
  <si>
    <t>Dividend paid</t>
  </si>
  <si>
    <t>Note 27</t>
  </si>
  <si>
    <t>Others (Please specify)-Advance from IJM</t>
  </si>
  <si>
    <t>Note 28</t>
  </si>
  <si>
    <t>Deferred Taxation</t>
  </si>
  <si>
    <t>Transfer from / (to) income statement</t>
  </si>
  <si>
    <t>Arising from revaluation</t>
  </si>
  <si>
    <t>At end of period</t>
  </si>
  <si>
    <t>Note 29</t>
  </si>
  <si>
    <t>a) Contingent Liabilities</t>
  </si>
  <si>
    <t xml:space="preserve">Corporate guarantee and debenture given for </t>
  </si>
  <si>
    <t xml:space="preserve">  bank credit facilities extended to subsidiary</t>
  </si>
  <si>
    <t xml:space="preserve">Corporate guarantee given to a contractor for </t>
  </si>
  <si>
    <t xml:space="preserve">  construction cost</t>
  </si>
  <si>
    <t xml:space="preserve">Corporate guarantee given to a licensed bank for </t>
  </si>
  <si>
    <t xml:space="preserve">  overdraft and term loan facilities extended to a sub.</t>
  </si>
  <si>
    <t>b) Material Litigation</t>
  </si>
  <si>
    <t>Claims by a third party for loss &amp; damage arising fr.</t>
  </si>
  <si>
    <t xml:space="preserve"> construction works on its land.</t>
  </si>
  <si>
    <t>Note 30</t>
  </si>
  <si>
    <t>Capital Commitments</t>
  </si>
  <si>
    <t>Capital expenditure :</t>
  </si>
  <si>
    <t>- Approved and contracted for</t>
  </si>
  <si>
    <t>- Approved but not contracted for</t>
  </si>
  <si>
    <t>Note 31</t>
  </si>
  <si>
    <t>Amount due from Affiliated companies</t>
  </si>
  <si>
    <t>- Natseven Sdn Bhd</t>
  </si>
  <si>
    <t>- Encorp Group Sdn Bhd</t>
  </si>
  <si>
    <t>- Datuk Efendi</t>
  </si>
  <si>
    <t>- Casaville Technology Services Sdn Bhd</t>
  </si>
  <si>
    <t>Others (pls specify)</t>
  </si>
  <si>
    <t>Amount due to affiliated Companies</t>
  </si>
  <si>
    <t>- Datuk Effendi</t>
  </si>
  <si>
    <t>- Casaville Technology</t>
  </si>
  <si>
    <t>- Lavista Sdn Bhd</t>
  </si>
  <si>
    <t>- Encorp Must Sdn Bhd</t>
  </si>
  <si>
    <t>- Megastart Sdn Bhd</t>
  </si>
  <si>
    <t>Note 32</t>
  </si>
  <si>
    <t>Intercompany (Income) / expenses</t>
  </si>
  <si>
    <t>Rental</t>
  </si>
  <si>
    <t>Management fees</t>
  </si>
  <si>
    <t>Pls specify</t>
  </si>
  <si>
    <t>Note 33</t>
  </si>
  <si>
    <t>Related Party (Income) / Expenses</t>
  </si>
  <si>
    <t>Fee paid to company owned by a director for services rendered (Overdose Design Sdn Bhd)</t>
  </si>
  <si>
    <t>Office rental receivable from related company, Must Ehsan Development Sdn Bhd</t>
  </si>
  <si>
    <t>ENCORP BERHAD</t>
  </si>
  <si>
    <t>CASH FLOW STATEMENTS</t>
  </si>
  <si>
    <t>FOR THE 1 MONTH PERIOD  ENDED 31 MARCH 2005</t>
  </si>
  <si>
    <t>GROUP</t>
  </si>
  <si>
    <t>RM</t>
  </si>
  <si>
    <t xml:space="preserve">CASH FLOWS FROM OPERATING </t>
  </si>
  <si>
    <t xml:space="preserve">    ACTIVITIES</t>
  </si>
  <si>
    <t xml:space="preserve">   Gains on disposal of fixed asset</t>
  </si>
  <si>
    <t xml:space="preserve">   Bad debt recovered</t>
  </si>
  <si>
    <t xml:space="preserve">   Fixed asset written off</t>
  </si>
  <si>
    <t xml:space="preserve">Operating profit before working </t>
  </si>
  <si>
    <t xml:space="preserve">    capital changes</t>
  </si>
  <si>
    <t>Increase in concession expenditure</t>
  </si>
  <si>
    <t>Increase in Inventory</t>
  </si>
  <si>
    <t>Increase in trade/other receivables</t>
  </si>
  <si>
    <t>Decrease in amount due from holding company</t>
  </si>
  <si>
    <t>Decrease in amount due from corporate shareholder</t>
  </si>
  <si>
    <t>Decrease in trade and other payables</t>
  </si>
  <si>
    <t>Cash (used in)/generated from operations</t>
  </si>
  <si>
    <t>Deferred expenditure</t>
  </si>
  <si>
    <t>Net cash flow (used in)/generated from operating activities</t>
  </si>
  <si>
    <t xml:space="preserve">CASH FLOWS FROM INVESTING </t>
  </si>
  <si>
    <t xml:space="preserve">   ACTIVITIES</t>
  </si>
  <si>
    <t>Purchase of ABBA notes</t>
  </si>
  <si>
    <t>Acquisition of subsidiary company, net of</t>
  </si>
  <si>
    <t xml:space="preserve">   cash and cash equivalents acquired </t>
  </si>
  <si>
    <t>Net cash generated from /(used in)</t>
  </si>
  <si>
    <t xml:space="preserve">    investing activities</t>
  </si>
  <si>
    <t xml:space="preserve">CASH FLOWS FROM FINANCING </t>
  </si>
  <si>
    <t>Drawdown of term loan</t>
  </si>
  <si>
    <t>Repayment of borrowings</t>
  </si>
  <si>
    <t>Decrease in Deposits pledged</t>
  </si>
  <si>
    <t>Repayment of hire purchase creditors</t>
  </si>
  <si>
    <t xml:space="preserve">Net cash (used in)/generated from </t>
  </si>
  <si>
    <t xml:space="preserve">    financing activities</t>
  </si>
  <si>
    <t xml:space="preserve">NET INCREASE/(DECREASE) IN CASH AND </t>
  </si>
  <si>
    <t xml:space="preserve">   CASH EQUIVALENTS</t>
  </si>
  <si>
    <t xml:space="preserve">CASH AND CASH EQUIVALENTS </t>
  </si>
  <si>
    <t xml:space="preserve">   AT BEGINNING OF PERIOD</t>
  </si>
  <si>
    <t xml:space="preserve">   AT END OF PERIOD</t>
  </si>
  <si>
    <t>Note :</t>
  </si>
  <si>
    <t xml:space="preserve">Less: Deposits pledged </t>
  </si>
  <si>
    <t>Cash &amp; cash equivalents</t>
  </si>
  <si>
    <t>Basis of Preparation</t>
  </si>
  <si>
    <t>A1.</t>
  </si>
  <si>
    <t>The interim financial statements should be read in conjunction with the Group’s annual audited financial statements for the year ended 31 December 2004.</t>
  </si>
  <si>
    <t>The accounting policies and methods of computation applied in the condensed financial statements of the Encorp Berhad Group (“the Group”) are consistent with those applied in the most recent annual audited financial statements for the year ended 31 December 2004.</t>
  </si>
  <si>
    <t>Auditors’ Report On Preceding Annual Financial Statements</t>
  </si>
  <si>
    <t>A2.</t>
  </si>
  <si>
    <t>The Auditors’ Report of the Company’s most recent annual financial statements for the year ended 31 December 2004 was not subject to any qualification.</t>
  </si>
  <si>
    <t>A3.</t>
  </si>
  <si>
    <t>Seasonal or Cyclical Factors of Operations</t>
  </si>
  <si>
    <t>The Group’s operations are not materially affected by any seasonal or cyclical factors.</t>
  </si>
  <si>
    <t>A4.</t>
  </si>
  <si>
    <t>Unusual Items Due to their Nature, Size or Incidences</t>
  </si>
  <si>
    <t xml:space="preserve">There were no unusual items affecting the nature and amount of assets, liabilities, equity, net income and cash flows of the Group during the financial period under review. </t>
  </si>
  <si>
    <t>A5.</t>
  </si>
  <si>
    <t>Changes in Estimates</t>
  </si>
  <si>
    <t>There were no changes in estimates of amounts reported in the current quarter or changes in estimates of amounts reported in prior financial years that have had a material effect in the current quarter.</t>
  </si>
  <si>
    <t>A6.</t>
  </si>
  <si>
    <t>Debt and Equity Securities</t>
  </si>
  <si>
    <t>ENCORP BERHAD (506836-X)</t>
  </si>
  <si>
    <t>Repayment of Bai Bithaman Ajil Notes</t>
  </si>
  <si>
    <t>Current Period</t>
  </si>
  <si>
    <t>Ended</t>
  </si>
  <si>
    <t>(RM'000)</t>
  </si>
  <si>
    <t>Loss before tax</t>
  </si>
  <si>
    <t>Loss before taxation</t>
  </si>
  <si>
    <t xml:space="preserve"> - Others (Upfront fees-UOB)</t>
  </si>
  <si>
    <t>Others-credit note from contactor</t>
  </si>
  <si>
    <t xml:space="preserve">Others - </t>
  </si>
  <si>
    <t>A7.</t>
  </si>
  <si>
    <t>Dividends Paid</t>
  </si>
  <si>
    <t>No dividends were paid during the current financial period under review.</t>
  </si>
  <si>
    <t>A8.</t>
  </si>
  <si>
    <t>Segmental Reporting</t>
  </si>
  <si>
    <t>Investment</t>
  </si>
  <si>
    <t>REVENUE AND EXPENSES</t>
  </si>
  <si>
    <t>Holding</t>
  </si>
  <si>
    <t>Construction</t>
  </si>
  <si>
    <t>Other *</t>
  </si>
  <si>
    <t>Elimination</t>
  </si>
  <si>
    <t>Consolidated</t>
  </si>
  <si>
    <t xml:space="preserve">      - External sales</t>
  </si>
  <si>
    <t xml:space="preserve">      - Inter-segment sales</t>
  </si>
  <si>
    <t>Total revenue</t>
  </si>
  <si>
    <t>Results</t>
  </si>
  <si>
    <t xml:space="preserve">      - Segment results</t>
  </si>
  <si>
    <t xml:space="preserve">      - Interest expense</t>
  </si>
  <si>
    <t xml:space="preserve">      - Interest income</t>
  </si>
  <si>
    <t xml:space="preserve">      - Share of profits of associate</t>
  </si>
  <si>
    <t xml:space="preserve">      - Taxation</t>
  </si>
  <si>
    <t>Net loss attributable to shareholders</t>
  </si>
  <si>
    <t>* This segment refers to the concessionaire to build and transfer teachers' quarters to the Government of Malaysia.</t>
  </si>
  <si>
    <t>ASSETS AND LIABILITIES</t>
  </si>
  <si>
    <t>Segment assets</t>
  </si>
  <si>
    <t>Consolidated total assets</t>
  </si>
  <si>
    <t>Segment liabilities</t>
  </si>
  <si>
    <t>Consolidated total liabilities</t>
  </si>
  <si>
    <t xml:space="preserve">OTHER INFORMATION </t>
  </si>
  <si>
    <t>Capital Expenditure</t>
  </si>
  <si>
    <t>Depreciation and amortisation</t>
  </si>
  <si>
    <t xml:space="preserve">Amortisation of goodwill on </t>
  </si>
  <si>
    <t xml:space="preserve">    consolidation</t>
  </si>
  <si>
    <t>Consolidation Elimination entries</t>
  </si>
  <si>
    <t>for the Period Ended 31/3/05</t>
  </si>
  <si>
    <t>Journal Entries  (ALL In RM)</t>
  </si>
  <si>
    <t>DR</t>
  </si>
  <si>
    <t>CR</t>
  </si>
  <si>
    <t>Subsidiary - Cost of Investment</t>
  </si>
  <si>
    <t>Investment in Associate</t>
  </si>
  <si>
    <t>Goodwill on Consolidation</t>
  </si>
  <si>
    <t>Share Capital</t>
  </si>
  <si>
    <t>Preference Shares</t>
  </si>
  <si>
    <t>Retained Profit and Loss B/F</t>
  </si>
  <si>
    <t>Revaluation Reserve</t>
  </si>
  <si>
    <t>Reserve on Consolidation</t>
  </si>
  <si>
    <t>B/S - Concession Exp</t>
  </si>
  <si>
    <t>Con. Income rec'e</t>
  </si>
  <si>
    <t>Trade rec'e</t>
  </si>
  <si>
    <t>Land and Development Cost</t>
  </si>
  <si>
    <t>Minority interest in balance sheet</t>
  </si>
  <si>
    <t>Provision for Doubtful debts</t>
  </si>
  <si>
    <t>Amount Due From Encorp Group of Companies</t>
  </si>
  <si>
    <t>Amount due to Encorp Group of Companies</t>
  </si>
  <si>
    <t>Other Receivable - amount due from Customer</t>
  </si>
  <si>
    <t>Amt due from Lavista</t>
  </si>
  <si>
    <t>B/S - Others</t>
  </si>
  <si>
    <t>Cash and Bank Balance</t>
  </si>
  <si>
    <t>Deferred Taxation (B/S)</t>
  </si>
  <si>
    <t>Contract Revenue</t>
  </si>
  <si>
    <t>Gain on disposal of Subsidiary</t>
  </si>
  <si>
    <t>Turnover</t>
  </si>
  <si>
    <t>Taxation  (P&amp;L)</t>
  </si>
  <si>
    <t>Minority Interest (P&amp;L)</t>
  </si>
  <si>
    <t>Current Profit and loss - Others</t>
  </si>
  <si>
    <t>(P)</t>
  </si>
  <si>
    <t>Permanent Adjustments</t>
  </si>
  <si>
    <t>Enfari's Book :-</t>
  </si>
  <si>
    <t>P1</t>
  </si>
  <si>
    <t xml:space="preserve"> Share Capital - ESSB</t>
  </si>
  <si>
    <t xml:space="preserve"> Share Capital - ECSB</t>
  </si>
  <si>
    <t xml:space="preserve"> Share Capital - L&amp; M</t>
  </si>
  <si>
    <t xml:space="preserve">       Investment in ESSB, ECSB &amp; L&amp;M </t>
  </si>
  <si>
    <t xml:space="preserve">       Retained Profit and (loss)</t>
  </si>
  <si>
    <t>Being elimination of investment in subsidiaries in ESSB, ECSB &amp; L&amp;M.</t>
  </si>
  <si>
    <t>Note : No MI share of L&amp; M result as it reported a shareholders' deficit.</t>
  </si>
  <si>
    <t>Encorp Bhd's book: -</t>
  </si>
  <si>
    <t>P2</t>
  </si>
  <si>
    <t xml:space="preserve">      Retained Profit and Loss-30/04/2001  </t>
  </si>
  <si>
    <t xml:space="preserve">     (Pre-acquisition)</t>
  </si>
  <si>
    <t xml:space="preserve">      Investment in subsidiary - Enfari</t>
  </si>
  <si>
    <t>Being elimination of investment in Enfari.</t>
  </si>
  <si>
    <t>P3</t>
  </si>
  <si>
    <t>Share capital - MESB</t>
  </si>
  <si>
    <t>(70% of paid up capital)</t>
  </si>
  <si>
    <t>Share capital - EMSB</t>
  </si>
  <si>
    <t>Goodwill on conso</t>
  </si>
  <si>
    <t xml:space="preserve">       Accummulated losses b/f (Pre-acquisition)</t>
  </si>
  <si>
    <t xml:space="preserve">        - MEDSB</t>
  </si>
  <si>
    <t xml:space="preserve">       (70% x accummulated losses b/f)</t>
  </si>
  <si>
    <r>
      <t xml:space="preserve">       (70% x RM11,836,476-</t>
    </r>
    <r>
      <rPr>
        <sz val="9"/>
        <color indexed="10"/>
        <rFont val="Arial"/>
        <family val="2"/>
      </rPr>
      <t>RM238,545)</t>
    </r>
  </si>
  <si>
    <t xml:space="preserve">       Current year's profit (Admin exp) - EMSB</t>
  </si>
  <si>
    <t xml:space="preserve">       Current year's profit (Admin exp) - MEDSB</t>
  </si>
  <si>
    <t xml:space="preserve">       (70% x RM238,545)</t>
  </si>
  <si>
    <t xml:space="preserve">        - EMSB</t>
  </si>
  <si>
    <t xml:space="preserve">       Investment in subsidiaries</t>
  </si>
  <si>
    <t xml:space="preserve">       Investment in subsidiaries - EMSB level</t>
  </si>
  <si>
    <t>P4</t>
  </si>
  <si>
    <t>(30% of paid up capital)</t>
  </si>
  <si>
    <t>Revaluation reserve - MESB</t>
  </si>
  <si>
    <t>(30% share of revaluation reserve)</t>
  </si>
  <si>
    <t>(30% x (RM97,499,000 - RM27,299,720))</t>
  </si>
  <si>
    <t xml:space="preserve">       (30% x accummulated losses b/f)</t>
  </si>
  <si>
    <t xml:space="preserve">       (30% x RM11,836,475-RM238,545)</t>
  </si>
  <si>
    <t xml:space="preserve">       (30% x RM238,545)</t>
  </si>
  <si>
    <t>Goodwill on consolidation</t>
  </si>
  <si>
    <t>(B)</t>
  </si>
  <si>
    <t>Brought Forward Consol. Adjustments @ 1.1.2005</t>
  </si>
  <si>
    <t>B1</t>
  </si>
  <si>
    <t>Retained profit and loss b/f</t>
  </si>
  <si>
    <t xml:space="preserve">        Goodwill amortised - B/S</t>
  </si>
  <si>
    <t xml:space="preserve">Being goodwill arising from acquisition of Enfari amortised </t>
  </si>
  <si>
    <t>over 20 years w.e.f. from Yr 2002 (Yr 2001 : 30 yrs) :-</t>
  </si>
  <si>
    <t>(198,282,817.63/30)*9/12 - amount amortised in Yr 2001</t>
  </si>
  <si>
    <t>(198,282,817.63/20)*9/12 - additional amortised in 2002</t>
  </si>
  <si>
    <t>(198,282,817.63/20) - amortised in 2002</t>
  </si>
  <si>
    <t>(198,282,817.63/20) *12/12 -31.12.2003</t>
  </si>
  <si>
    <t>(198,282,817.63/20) *12/12 -31.12.2004</t>
  </si>
  <si>
    <t>Being goodwill amortisation for Yr 2001 to Yr 2003.</t>
  </si>
  <si>
    <t xml:space="preserve">Being goodwill arising from acquisition of MEDSB amortised </t>
  </si>
  <si>
    <t>over 20 years w.e.f. from Yr 2004:-</t>
  </si>
  <si>
    <t>(48,650,435/20*2/12) - amortised in 2004, nov&amp;dec</t>
  </si>
  <si>
    <t>B2</t>
  </si>
  <si>
    <t>Concession Expenditure-April 2001</t>
  </si>
  <si>
    <t>Concession Expenditure-Dec 2001</t>
  </si>
  <si>
    <t>Concession Expenditure-Dec 2002</t>
  </si>
  <si>
    <t xml:space="preserve">DR </t>
  </si>
  <si>
    <t>Concession expenditure-Dec 2003</t>
  </si>
  <si>
    <t xml:space="preserve">        Deferred Tax charges (B/S)</t>
  </si>
  <si>
    <t xml:space="preserve">        Retained Profit and Loss B/F</t>
  </si>
  <si>
    <t xml:space="preserve">Being elimination of  interco Interest billings from ESSB to ECSB, which charged out as PL - contract  </t>
  </si>
  <si>
    <t>costs based on % of completion by ECSB.</t>
  </si>
  <si>
    <t>B3</t>
  </si>
  <si>
    <t>Retained Profit and Loss b/f</t>
  </si>
  <si>
    <t>Deferred Tax charges (B/S)</t>
  </si>
  <si>
    <t>Development Cost-2001</t>
  </si>
  <si>
    <t>Development Cost-2002</t>
  </si>
  <si>
    <t>Development Cost-2003</t>
  </si>
  <si>
    <t xml:space="preserve">Being Interest charge of RM13,830,506 (construction costs </t>
  </si>
  <si>
    <t xml:space="preserve">related) charged out to PL - concession exp. Based on no. of </t>
  </si>
  <si>
    <t>units handed over.</t>
  </si>
  <si>
    <t>B4</t>
  </si>
  <si>
    <t xml:space="preserve">    Concession Expenditure - Unrealised portion</t>
  </si>
  <si>
    <t>Being unrealised GP eliminated in year 2003.</t>
  </si>
  <si>
    <t>At ECSB Level :-</t>
  </si>
  <si>
    <t>(RM)</t>
  </si>
  <si>
    <t xml:space="preserve">Total Est. contract revenue </t>
  </si>
  <si>
    <t>Total Est. contract cost</t>
  </si>
  <si>
    <t>Est. Gross Profit for the entire project (10,000 units)</t>
  </si>
  <si>
    <t>&gt; @ 31/12/03</t>
  </si>
  <si>
    <t>Cumulative GP recognised at ECSB level :</t>
  </si>
  <si>
    <t xml:space="preserve">Cumulative GP related to units already handed over </t>
  </si>
  <si>
    <t>&gt;9,680 units</t>
  </si>
  <si>
    <t xml:space="preserve">Unrealised GP @31/12/03 to be eliminated </t>
  </si>
  <si>
    <t>B5</t>
  </si>
  <si>
    <t>Cost of investment - Div. from Pre-acquisition profit</t>
  </si>
  <si>
    <t xml:space="preserve"> DR</t>
  </si>
  <si>
    <t>Gain on disposal of shares</t>
  </si>
  <si>
    <t>Investment in associate</t>
  </si>
  <si>
    <t>49% of (Pre-acq portion of dividend)</t>
  </si>
  <si>
    <t>49% x (RM2,640,132)</t>
  </si>
  <si>
    <t xml:space="preserve"> Retained Profit b/f</t>
  </si>
  <si>
    <t>Being elimination of Year 2002 dividend income from GWPI received in yr 2003</t>
  </si>
  <si>
    <t>Pre-acq.</t>
  </si>
  <si>
    <t>Post-acq.</t>
  </si>
  <si>
    <t>Gross Dividend</t>
  </si>
  <si>
    <t>Tax deducted at source</t>
  </si>
  <si>
    <t>Net dividend</t>
  </si>
  <si>
    <t>B6</t>
  </si>
  <si>
    <t>Encorp Bhd's book</t>
  </si>
  <si>
    <t>Share of taxation in associate</t>
  </si>
  <si>
    <t>49% of Taxation Expense</t>
  </si>
  <si>
    <t>49% x RM266,500</t>
  </si>
  <si>
    <t>49% of PAT</t>
  </si>
  <si>
    <t>49% of RM1,334,438</t>
  </si>
  <si>
    <t xml:space="preserve">       Share of proft in associate</t>
  </si>
  <si>
    <t xml:space="preserve">       49% of PBT</t>
  </si>
  <si>
    <t xml:space="preserve">       49% of RM1,600,948</t>
  </si>
  <si>
    <t>To equity account for share of profit of GWP for 2 months after disposal</t>
  </si>
  <si>
    <t>(Using monthly amount in the month of Nov and Dec 2004)</t>
  </si>
  <si>
    <t>PBT for the 2 months @ 31.12.04 (10,781,988 - 9,181,050)</t>
  </si>
  <si>
    <t>Tax for the 2 months @ 31.12.04 (1,631,000 - 1,136,000)</t>
  </si>
  <si>
    <t>PAT for the 2 months @ 31.12.04 (9,150,988 - 8,045,050)</t>
  </si>
  <si>
    <t>B7</t>
  </si>
  <si>
    <t>a.</t>
  </si>
  <si>
    <t>Concession expenditure (B/S)</t>
  </si>
  <si>
    <t xml:space="preserve">    Concession expenditure (P/L)</t>
  </si>
  <si>
    <t>Cumulative Interest @01/04 : 13,830,506.7 x100%</t>
  </si>
  <si>
    <t>Cumulative Interest @ 12/03    : 13,830,506.7 x 99.98%</t>
  </si>
  <si>
    <t>&gt; Current period</t>
  </si>
  <si>
    <t xml:space="preserve">Being elimination of interco interest charged out as part of the contract costs (P/L) </t>
  </si>
  <si>
    <t>for the current period @ 31.01.04</t>
  </si>
  <si>
    <t>b.</t>
  </si>
  <si>
    <t>Deferred Tax Charges ( P/L) @ 28%</t>
  </si>
  <si>
    <t xml:space="preserve">   Deferred Tax Charges ( B/S)</t>
  </si>
  <si>
    <t>Being tax effect on the above interco interest elimination.</t>
  </si>
  <si>
    <t>B8</t>
  </si>
  <si>
    <t>Concession Expenditure  (P/L)</t>
  </si>
  <si>
    <t xml:space="preserve">  Concession expenditure - B/S</t>
  </si>
  <si>
    <t>Total interco interest charged from ESSB to ECSB :</t>
  </si>
  <si>
    <t>Total units for entire project</t>
  </si>
  <si>
    <t>Total units handed over as at 29/02/04</t>
  </si>
  <si>
    <t>Cumulative interest charge @ 29/02/04  based on 10,000units</t>
  </si>
  <si>
    <t>Cumulative interest charge @31/12/03 based on 9,680 units</t>
  </si>
  <si>
    <t>Current year todate  interest to be recognised as costs of sale</t>
  </si>
  <si>
    <t>Being reinstate of the ESSB concession expenditure after elimination of interco interest income</t>
  </si>
  <si>
    <t>receivable from ECSB.</t>
  </si>
  <si>
    <t>Deferred Tax Charges ( B/S)</t>
  </si>
  <si>
    <t xml:space="preserve">     Deferred Tax Charges ( P &amp; L)</t>
  </si>
  <si>
    <t>Being Tax portion on the above interest charge ( @ 28%).</t>
  </si>
  <si>
    <t>B9</t>
  </si>
  <si>
    <t>Contract Revenue - ECSB</t>
  </si>
  <si>
    <t xml:space="preserve">   Contract Cost - Realised Profit</t>
  </si>
  <si>
    <t xml:space="preserve">   Contract Cost- ECSB</t>
  </si>
  <si>
    <t>&gt; @ 29/02/04</t>
  </si>
  <si>
    <t>&gt; 9,680 units</t>
  </si>
  <si>
    <t>GP realised in the month of Feb 04</t>
  </si>
  <si>
    <t>&gt; 10,000 units</t>
  </si>
  <si>
    <t>Note : Contract profit on teachers' quarters project realised in Yr 2004 after all 10,000 units</t>
  </si>
  <si>
    <t xml:space="preserve">          are handed over to the GOM.</t>
  </si>
  <si>
    <t>B10</t>
  </si>
  <si>
    <t>Revenue-Dividend (final Dividend Y/E 2003)</t>
  </si>
  <si>
    <t>Revenue-Dividend (interim Dividend Y/E 2004)</t>
  </si>
  <si>
    <t>Investment in associates</t>
  </si>
  <si>
    <t xml:space="preserve"> CR</t>
  </si>
  <si>
    <t>Income Tax</t>
  </si>
  <si>
    <t>Being Elimination of Year 2003 final Dividend and Year 2004 Interim Dividend income from</t>
  </si>
  <si>
    <t>GWPI (Received in June 04)</t>
  </si>
  <si>
    <t>B11</t>
  </si>
  <si>
    <t>Encorp Bhd's book :-</t>
  </si>
  <si>
    <t>49% of (Retained Earnings 31.12.03 - 1.12.02)</t>
  </si>
  <si>
    <t>49% x (RM31,665,308 - RM30,036,807)</t>
  </si>
  <si>
    <t xml:space="preserve">       Retained profits brought forward</t>
  </si>
  <si>
    <t xml:space="preserve">To restate opening post acquisition profit of GWP and account for its subsequent </t>
  </si>
  <si>
    <t>realisation and retention in associate up to 31.12.03</t>
  </si>
  <si>
    <t>B12</t>
  </si>
  <si>
    <t>Selling and Distribution Expenses</t>
  </si>
  <si>
    <t>Administrative Expenses</t>
  </si>
  <si>
    <t>Finance Costs</t>
  </si>
  <si>
    <t>Taxation expenses</t>
  </si>
  <si>
    <t xml:space="preserve">To consolidate the results of GWP for the 10 month period prior to disposal and to account for the </t>
  </si>
  <si>
    <t>subsequent realisation and retention in associate</t>
  </si>
  <si>
    <t>(Amount are from management account up to 31.10.04)</t>
  </si>
  <si>
    <t>B13</t>
  </si>
  <si>
    <t>P/L - MI Share for 2004 result</t>
  </si>
  <si>
    <t>(30% in MEDSB)</t>
  </si>
  <si>
    <t>B/S - MI</t>
  </si>
  <si>
    <t>As per draft before adjustment (leong -encorpconsol-1204)</t>
  </si>
  <si>
    <t>MI share of profits in MEDSB</t>
  </si>
  <si>
    <t>Dr -BS- MI</t>
  </si>
  <si>
    <t>Cr P&amp;L - MI</t>
  </si>
  <si>
    <t>- effect on MI (Audit adjustment)</t>
  </si>
  <si>
    <t>ADJ</t>
  </si>
  <si>
    <t>Encorp Construct</t>
  </si>
  <si>
    <t>Dr Provision for doubtful debts-interco (Encorp L&amp;M)</t>
  </si>
  <si>
    <t>Cr P&amp;L Provision for doubtful debts</t>
  </si>
  <si>
    <t>-being provision on amt due from related company (Audit adjustment)</t>
  </si>
  <si>
    <t>Dr Amount due fom ENAI</t>
  </si>
  <si>
    <t>Cr P&amp;L Other income</t>
  </si>
  <si>
    <t>-being amount due from ENAI, which was recog as ECSB's exp in prior years (Audit adjustment)</t>
  </si>
  <si>
    <t xml:space="preserve">Dr P&amp;L Pov for doubtful debts </t>
  </si>
  <si>
    <t>Cr Prov for doubtful debts - affiliated (ENAI)</t>
  </si>
  <si>
    <t>-being pro for doubtful debts on amt due from ENAI (Audit adjustment)</t>
  </si>
  <si>
    <t>(C)</t>
  </si>
  <si>
    <t>Current Year Adjustments - Yr 2005</t>
  </si>
  <si>
    <t>C1</t>
  </si>
  <si>
    <t>Due to inter-company - Construct</t>
  </si>
  <si>
    <t>Due to inter-company - Encorp Sistembilt</t>
  </si>
  <si>
    <t>Due to inter-company -Enfari</t>
  </si>
  <si>
    <t>Due to inter-company - Encorp Berhad</t>
  </si>
  <si>
    <t>Due to inter-company - Encorp Must Sdn Bhd</t>
  </si>
  <si>
    <t>Cash in Transit</t>
  </si>
  <si>
    <t xml:space="preserve">Due from inter company - L &amp; M </t>
  </si>
  <si>
    <t>Due from inter company - Systembilt</t>
  </si>
  <si>
    <t>Due from inter company - Encorp Construct</t>
  </si>
  <si>
    <t>Due from inter company - Enfari Sdn Bhd</t>
  </si>
  <si>
    <t>Due from Inter company - Must Ehsan Development Sdn Bhd</t>
  </si>
  <si>
    <t>Due from Inter company - Encorp Must Sdn Bhd</t>
  </si>
  <si>
    <t>Due From inter company- Encorp Berhad</t>
  </si>
  <si>
    <t>Being elimination of inter company balances  within the Encorp Bhd group of companies</t>
  </si>
  <si>
    <t>ECSB :</t>
  </si>
  <si>
    <t>C2</t>
  </si>
  <si>
    <t>Dr</t>
  </si>
  <si>
    <t>Concession Expenditure (B/S)</t>
  </si>
  <si>
    <t>Cr</t>
  </si>
  <si>
    <t xml:space="preserve">    Amount due from customer </t>
  </si>
  <si>
    <t>CONTRACT WORK-IN-PROGRESS</t>
  </si>
  <si>
    <t>Costs incurred to date</t>
  </si>
  <si>
    <t>Attributable profit</t>
  </si>
  <si>
    <t>Progress billings</t>
  </si>
  <si>
    <t>Being reclassification of work-in-progress (at ECSB level).</t>
  </si>
  <si>
    <t>ESSB Level</t>
  </si>
  <si>
    <t>Accruals</t>
  </si>
  <si>
    <t>Being reversal of ESSB's provision of concession expenditures at Group level</t>
  </si>
  <si>
    <t>Provision for costs yet to be billed by ECSB</t>
  </si>
  <si>
    <t>Provision for potential consultant claims</t>
  </si>
  <si>
    <t>C3</t>
  </si>
  <si>
    <t>Goodwill amortisation - P L</t>
  </si>
  <si>
    <t xml:space="preserve">   Goodwill - B/S</t>
  </si>
  <si>
    <t>Being goodwill (arising from acquisition of Enfari) amortised for8 months  ended 31.08.2004</t>
  </si>
  <si>
    <t>(198,282,817.63/30)*9/12 - Amortised based on 30 yrs</t>
  </si>
  <si>
    <t>(198,282,817.63/20)*9/12 - Additional amortised in Yr 02.</t>
  </si>
  <si>
    <t xml:space="preserve">(198,282,817.63/20) </t>
  </si>
  <si>
    <t>(198,282,817.63/20) *3/12 -31.1.2005</t>
  </si>
  <si>
    <t>YTD  amortisation as at 31.1.05</t>
  </si>
  <si>
    <t xml:space="preserve">Being goodwill (arising from acquisition of EMSB &amp; MEDSB) amortised for 2 months </t>
  </si>
  <si>
    <t>(48,650,435/20) *2/12 -31.12.2004</t>
  </si>
  <si>
    <t>(48,650,435/20) *3/12 -31.1.2005</t>
  </si>
  <si>
    <t>C4</t>
  </si>
  <si>
    <t>Revenue - Management fees</t>
  </si>
  <si>
    <t>Rental Income - ECSB</t>
  </si>
  <si>
    <t xml:space="preserve">CR </t>
  </si>
  <si>
    <t>Profit and loss - Management fees ECSB</t>
  </si>
  <si>
    <t xml:space="preserve">Rental expenses - Encorp </t>
  </si>
  <si>
    <t>Rental expenses - MEDSB</t>
  </si>
  <si>
    <t>Being Elimination of Inter - company Charges</t>
  </si>
  <si>
    <t>C5</t>
  </si>
  <si>
    <t>Amount due to shareholder - Lavista</t>
  </si>
  <si>
    <t xml:space="preserve">        Amount due from shareholder - Lavista</t>
  </si>
  <si>
    <t>Being net-off of balance with Lavista at the Group level</t>
  </si>
  <si>
    <t>C6</t>
  </si>
  <si>
    <t>P/L - MI Share for 2005 result</t>
  </si>
  <si>
    <t>MI share of profits in MEDSB for 2005</t>
  </si>
  <si>
    <t>Adjustment, EB no share loss in MI</t>
  </si>
  <si>
    <t>C7</t>
  </si>
  <si>
    <t>To equity account for share of profit of GWPI for 1 months in year 2005</t>
  </si>
  <si>
    <t>(Using monthly amount in the month of Jan05)</t>
  </si>
  <si>
    <t>PBT for the 3 months @ 31.03.05 ()</t>
  </si>
  <si>
    <t>Tax for the 3 months @ 31.03.05 ()</t>
  </si>
  <si>
    <t>PAT for the 3 months @ 31.03.05 ()</t>
  </si>
  <si>
    <t>Revenue-EB's dividend income</t>
  </si>
  <si>
    <t xml:space="preserve">       Investment in associate</t>
  </si>
  <si>
    <t xml:space="preserve">       Share of taxation in associate</t>
  </si>
  <si>
    <t>Dividend received from GWPI</t>
  </si>
  <si>
    <t>P&amp;L Others income-EB</t>
  </si>
  <si>
    <t>ABBA notes - EB</t>
  </si>
  <si>
    <t>Long term borrowing-ESSB baids</t>
  </si>
  <si>
    <t>P&amp;L Finance cost</t>
  </si>
  <si>
    <t>being adj interest on ESSB's baids (152,250,000 x 9.815% x 3/12)</t>
  </si>
  <si>
    <t>Long term - ABBA notes - ESSB</t>
  </si>
  <si>
    <t>Being adj on ABBA notes</t>
  </si>
  <si>
    <t>Dividend income:</t>
  </si>
  <si>
    <t>&gt; contract cost</t>
  </si>
  <si>
    <t>Management Fees</t>
  </si>
  <si>
    <t>Net pre-acquisition dividend :</t>
  </si>
  <si>
    <t>Op. Bal</t>
  </si>
  <si>
    <t>- Concession Exp b/f</t>
  </si>
  <si>
    <t>Contract Revenue :</t>
  </si>
  <si>
    <t>&gt; Concession exp</t>
  </si>
  <si>
    <t xml:space="preserve">COI </t>
  </si>
  <si>
    <t>- Amortisation b/f</t>
  </si>
  <si>
    <t>- Amortisation CY</t>
  </si>
  <si>
    <t>- Amount due to person connected to director/affiliated cos</t>
  </si>
  <si>
    <t>- Accruals</t>
  </si>
  <si>
    <t>- DeferTax</t>
  </si>
  <si>
    <t>- Inc Tax</t>
  </si>
  <si>
    <t>NET CURRENT LIABILITIES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</si>
</sst>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quot;  -         &quot;"/>
    <numFmt numFmtId="166" formatCode="#,##0_);[Red]\(#,##0\);\-"/>
    <numFmt numFmtId="167" formatCode="0_);\(0\)"/>
    <numFmt numFmtId="168" formatCode="_(* #,##0.0_);_(* \(#,##0.0\);_(* &quot;-&quot;??_);_(@_)"/>
    <numFmt numFmtId="169" formatCode="_(* #,##0.0000_);_(* \(#,##0.0000\);_(* &quot;-&quot;??_);_(@_)"/>
    <numFmt numFmtId="170" formatCode="_(* #,##0.000_);_(* \(#,##0.000\);_(* &quot;-&quot;??_);_(@_)"/>
    <numFmt numFmtId="171" formatCode="&quot;Yes&quot;;&quot;Yes&quot;;&quot;No&quot;"/>
    <numFmt numFmtId="172" formatCode="&quot;True&quot;;&quot;True&quot;;&quot;False&quot;"/>
    <numFmt numFmtId="173" formatCode="&quot;On&quot;;&quot;On&quot;;&quot;Off&quot;"/>
    <numFmt numFmtId="174" formatCode="_(* #,##0.000000_);_(* \(#,##0.000000\);_(* &quot;-&quot;??_);_(@_)"/>
    <numFmt numFmtId="175" formatCode="_(* #,##0.00000_);_(* \(#,##0.00000\);_(* &quot;-&quot;??_);_(@_)"/>
    <numFmt numFmtId="176" formatCode="_(* #,##0.0000000_);_(* \(#,##0.0000000\);_(* &quot;-&quot;??_);_(@_)"/>
    <numFmt numFmtId="177" formatCode="_(* #,##0.00000000_);_(* \(#,##0.00000000\);_(* &quot;-&quot;??_);_(@_)"/>
    <numFmt numFmtId="178" formatCode="_(* #,##0.000000000_);_(* \(#,##0.000000000\);_(* &quot;-&quot;??_);_(@_)"/>
    <numFmt numFmtId="179" formatCode="_(* #,##0.0_);_(* \(#,##0.0\);_(* &quot;-&quot;_);_(@_)"/>
  </numFmts>
  <fonts count="41">
    <font>
      <sz val="10"/>
      <name val="Arial"/>
      <family val="0"/>
    </font>
    <font>
      <b/>
      <sz val="11"/>
      <name val="Arial"/>
      <family val="2"/>
    </font>
    <font>
      <sz val="11"/>
      <name val="Arial"/>
      <family val="0"/>
    </font>
    <font>
      <b/>
      <u val="single"/>
      <sz val="11"/>
      <name val="Arial"/>
      <family val="2"/>
    </font>
    <font>
      <sz val="11"/>
      <name val="Times New Roman"/>
      <family val="1"/>
    </font>
    <font>
      <sz val="12"/>
      <name val="Garamond"/>
      <family val="1"/>
    </font>
    <font>
      <u val="single"/>
      <sz val="11"/>
      <name val="Arial"/>
      <family val="2"/>
    </font>
    <font>
      <b/>
      <sz val="14"/>
      <name val="Arial"/>
      <family val="2"/>
    </font>
    <font>
      <sz val="8"/>
      <name val="Arial"/>
      <family val="2"/>
    </font>
    <font>
      <b/>
      <sz val="10"/>
      <name val="Arial"/>
      <family val="2"/>
    </font>
    <font>
      <u val="single"/>
      <sz val="10"/>
      <name val="Arial"/>
      <family val="2"/>
    </font>
    <font>
      <b/>
      <u val="single"/>
      <sz val="10"/>
      <name val="Arial"/>
      <family val="2"/>
    </font>
    <font>
      <sz val="12"/>
      <name val="Times New Roman"/>
      <family val="1"/>
    </font>
    <font>
      <sz val="10"/>
      <name val="Geneva"/>
      <family val="0"/>
    </font>
    <font>
      <sz val="10"/>
      <name val="Times New Roman"/>
      <family val="1"/>
    </font>
    <font>
      <b/>
      <sz val="16"/>
      <name val="Arial"/>
      <family val="2"/>
    </font>
    <font>
      <b/>
      <u val="singleAccounting"/>
      <sz val="10"/>
      <name val="Arial"/>
      <family val="2"/>
    </font>
    <font>
      <u val="single"/>
      <sz val="10"/>
      <color indexed="36"/>
      <name val="Arial"/>
      <family val="0"/>
    </font>
    <font>
      <u val="single"/>
      <sz val="10"/>
      <color indexed="12"/>
      <name val="Arial"/>
      <family val="0"/>
    </font>
    <font>
      <sz val="11"/>
      <color indexed="10"/>
      <name val="Arial"/>
      <family val="2"/>
    </font>
    <font>
      <b/>
      <sz val="11"/>
      <color indexed="12"/>
      <name val="Arial"/>
      <family val="2"/>
    </font>
    <font>
      <b/>
      <sz val="8"/>
      <name val="Tahoma"/>
      <family val="0"/>
    </font>
    <font>
      <sz val="8"/>
      <name val="Tahoma"/>
      <family val="0"/>
    </font>
    <font>
      <sz val="10"/>
      <color indexed="10"/>
      <name val="Arial"/>
      <family val="2"/>
    </font>
    <font>
      <b/>
      <sz val="10"/>
      <color indexed="10"/>
      <name val="Arial"/>
      <family val="2"/>
    </font>
    <font>
      <b/>
      <sz val="11"/>
      <color indexed="10"/>
      <name val="Arial"/>
      <family val="2"/>
    </font>
    <font>
      <sz val="11"/>
      <color indexed="12"/>
      <name val="Arial"/>
      <family val="2"/>
    </font>
    <font>
      <sz val="10"/>
      <color indexed="12"/>
      <name val="Arial"/>
      <family val="2"/>
    </font>
    <font>
      <b/>
      <sz val="9"/>
      <name val="Arial"/>
      <family val="2"/>
    </font>
    <font>
      <sz val="9"/>
      <name val="Arial"/>
      <family val="2"/>
    </font>
    <font>
      <b/>
      <sz val="8"/>
      <name val="Arial"/>
      <family val="2"/>
    </font>
    <font>
      <b/>
      <u val="single"/>
      <sz val="9"/>
      <name val="Arial"/>
      <family val="2"/>
    </font>
    <font>
      <sz val="9"/>
      <color indexed="12"/>
      <name val="Arial"/>
      <family val="2"/>
    </font>
    <font>
      <u val="single"/>
      <sz val="9"/>
      <name val="Arial"/>
      <family val="2"/>
    </font>
    <font>
      <u val="single"/>
      <sz val="9"/>
      <color indexed="12"/>
      <name val="Arial"/>
      <family val="2"/>
    </font>
    <font>
      <sz val="9"/>
      <color indexed="10"/>
      <name val="Arial"/>
      <family val="2"/>
    </font>
    <font>
      <b/>
      <sz val="9"/>
      <color indexed="10"/>
      <name val="Arial"/>
      <family val="2"/>
    </font>
    <font>
      <b/>
      <sz val="9"/>
      <color indexed="12"/>
      <name val="Arial"/>
      <family val="2"/>
    </font>
    <font>
      <sz val="9"/>
      <color indexed="14"/>
      <name val="Arial"/>
      <family val="2"/>
    </font>
    <font>
      <b/>
      <sz val="10"/>
      <color indexed="12"/>
      <name val="Arial"/>
      <family val="2"/>
    </font>
    <font>
      <b/>
      <u val="single"/>
      <sz val="10"/>
      <color indexed="10"/>
      <name val="Arial"/>
      <family val="2"/>
    </font>
  </fonts>
  <fills count="8">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43">
    <border>
      <left/>
      <right/>
      <top/>
      <bottom/>
      <diagonal/>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thin"/>
      <bottom style="double"/>
    </border>
    <border>
      <left style="thin"/>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thin"/>
      <top style="medium"/>
      <bottom>
        <color indexed="63"/>
      </bottom>
    </border>
    <border>
      <left>
        <color indexed="63"/>
      </left>
      <right style="medium"/>
      <top style="thin"/>
      <bottom style="medium"/>
    </border>
    <border>
      <left style="medium"/>
      <right style="medium"/>
      <top style="thin"/>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556">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15" fontId="1" fillId="0" borderId="0" xfId="0" applyNumberFormat="1" applyFont="1" applyAlignment="1" quotePrefix="1">
      <alignment horizontal="center"/>
    </xf>
    <xf numFmtId="0" fontId="4" fillId="0" borderId="0" xfId="23" applyFont="1">
      <alignment/>
      <protection/>
    </xf>
    <xf numFmtId="164" fontId="2" fillId="0" borderId="0" xfId="23" applyNumberFormat="1" applyFont="1">
      <alignment/>
      <protection/>
    </xf>
    <xf numFmtId="0" fontId="2" fillId="0" borderId="0" xfId="23" applyFont="1" applyFill="1">
      <alignment/>
      <protection/>
    </xf>
    <xf numFmtId="164" fontId="2" fillId="0" borderId="0" xfId="15" applyNumberFormat="1" applyFont="1" applyAlignment="1">
      <alignment horizontal="right"/>
    </xf>
    <xf numFmtId="0" fontId="2" fillId="0" borderId="0" xfId="23" applyFont="1">
      <alignment/>
      <protection/>
    </xf>
    <xf numFmtId="164" fontId="2" fillId="0" borderId="0" xfId="15" applyNumberFormat="1" applyFont="1" applyBorder="1" applyAlignment="1">
      <alignment horizontal="right"/>
    </xf>
    <xf numFmtId="164" fontId="2" fillId="0" borderId="1" xfId="15" applyNumberFormat="1" applyFont="1" applyBorder="1" applyAlignment="1">
      <alignment horizontal="right"/>
    </xf>
    <xf numFmtId="0" fontId="2" fillId="0" borderId="2" xfId="0" applyFont="1" applyBorder="1" applyAlignment="1">
      <alignment/>
    </xf>
    <xf numFmtId="164" fontId="2" fillId="0" borderId="3" xfId="15" applyNumberFormat="1" applyFont="1" applyBorder="1" applyAlignment="1">
      <alignment horizontal="right"/>
    </xf>
    <xf numFmtId="164" fontId="2" fillId="0" borderId="2" xfId="15" applyNumberFormat="1" applyFont="1" applyBorder="1" applyAlignment="1">
      <alignment horizontal="right"/>
    </xf>
    <xf numFmtId="0" fontId="2" fillId="0" borderId="0" xfId="0" applyFont="1" applyFill="1" applyAlignment="1">
      <alignment/>
    </xf>
    <xf numFmtId="164" fontId="2" fillId="0" borderId="4" xfId="15" applyNumberFormat="1" applyFont="1" applyBorder="1" applyAlignment="1">
      <alignment horizontal="right"/>
    </xf>
    <xf numFmtId="164" fontId="2" fillId="0" borderId="5" xfId="15" applyNumberFormat="1" applyFont="1" applyBorder="1" applyAlignment="1">
      <alignment horizontal="right"/>
    </xf>
    <xf numFmtId="164" fontId="2" fillId="0" borderId="6" xfId="15" applyNumberFormat="1" applyFont="1" applyBorder="1" applyAlignment="1">
      <alignment horizontal="right"/>
    </xf>
    <xf numFmtId="164" fontId="2" fillId="0" borderId="0" xfId="23" applyNumberFormat="1" applyFont="1" applyAlignment="1">
      <alignment horizontal="right"/>
      <protection/>
    </xf>
    <xf numFmtId="164" fontId="2" fillId="0" borderId="7" xfId="15" applyNumberFormat="1" applyFont="1" applyBorder="1" applyAlignment="1">
      <alignment horizontal="right"/>
    </xf>
    <xf numFmtId="164" fontId="2" fillId="0" borderId="8" xfId="15" applyNumberFormat="1" applyFont="1" applyBorder="1" applyAlignment="1">
      <alignment horizontal="right"/>
    </xf>
    <xf numFmtId="164" fontId="2" fillId="0" borderId="0" xfId="23" applyNumberFormat="1" applyFont="1" applyBorder="1" applyAlignment="1">
      <alignment horizontal="right"/>
      <protection/>
    </xf>
    <xf numFmtId="0" fontId="0" fillId="0" borderId="0" xfId="23" applyFont="1" applyFill="1">
      <alignment/>
      <protection/>
    </xf>
    <xf numFmtId="164" fontId="2" fillId="0" borderId="0" xfId="15" applyNumberFormat="1" applyFont="1" applyAlignment="1">
      <alignment/>
    </xf>
    <xf numFmtId="164" fontId="2" fillId="0" borderId="0" xfId="15" applyNumberFormat="1" applyFont="1" applyFill="1" applyAlignment="1">
      <alignment/>
    </xf>
    <xf numFmtId="164" fontId="2" fillId="0" borderId="7" xfId="15" applyNumberFormat="1" applyFont="1" applyBorder="1" applyAlignment="1">
      <alignment/>
    </xf>
    <xf numFmtId="164" fontId="2" fillId="0" borderId="0" xfId="15" applyNumberFormat="1" applyFont="1" applyBorder="1" applyAlignment="1">
      <alignment/>
    </xf>
    <xf numFmtId="164" fontId="2" fillId="0" borderId="5" xfId="15" applyNumberFormat="1" applyFont="1" applyBorder="1" applyAlignment="1">
      <alignment/>
    </xf>
    <xf numFmtId="164" fontId="2" fillId="0" borderId="2" xfId="15" applyNumberFormat="1" applyFont="1" applyFill="1" applyBorder="1" applyAlignment="1">
      <alignment horizontal="right"/>
    </xf>
    <xf numFmtId="164" fontId="2" fillId="0" borderId="2" xfId="15" applyNumberFormat="1" applyFont="1" applyBorder="1" applyAlignment="1">
      <alignment/>
    </xf>
    <xf numFmtId="164" fontId="2" fillId="0" borderId="6" xfId="15" applyNumberFormat="1" applyFont="1" applyBorder="1" applyAlignment="1">
      <alignment/>
    </xf>
    <xf numFmtId="164" fontId="2" fillId="0" borderId="9" xfId="15" applyNumberFormat="1" applyFont="1" applyBorder="1" applyAlignment="1">
      <alignment/>
    </xf>
    <xf numFmtId="164" fontId="2" fillId="0" borderId="8" xfId="15" applyNumberFormat="1" applyFont="1" applyFill="1" applyBorder="1" applyAlignment="1">
      <alignment/>
    </xf>
    <xf numFmtId="164" fontId="2" fillId="0" borderId="0" xfId="23" applyNumberFormat="1" applyFont="1" applyFill="1" applyBorder="1">
      <alignment/>
      <protection/>
    </xf>
    <xf numFmtId="164" fontId="2" fillId="0" borderId="0" xfId="0" applyNumberFormat="1" applyFont="1" applyAlignment="1">
      <alignment/>
    </xf>
    <xf numFmtId="2" fontId="2" fillId="0" borderId="0" xfId="0" applyNumberFormat="1" applyFont="1" applyAlignment="1">
      <alignment/>
    </xf>
    <xf numFmtId="164" fontId="0" fillId="0" borderId="0" xfId="15" applyNumberFormat="1" applyFont="1" applyFill="1" applyAlignment="1">
      <alignment/>
    </xf>
    <xf numFmtId="164" fontId="8" fillId="0" borderId="0" xfId="15" applyNumberFormat="1" applyFont="1" applyFill="1" applyAlignment="1">
      <alignment/>
    </xf>
    <xf numFmtId="164" fontId="9" fillId="0" borderId="0" xfId="15" applyNumberFormat="1" applyFont="1" applyFill="1" applyAlignment="1">
      <alignment/>
    </xf>
    <xf numFmtId="164" fontId="10" fillId="0" borderId="0" xfId="15" applyNumberFormat="1" applyFont="1" applyFill="1" applyAlignment="1">
      <alignment/>
    </xf>
    <xf numFmtId="43" fontId="0" fillId="0" borderId="0" xfId="15" applyFont="1" applyFill="1" applyAlignment="1">
      <alignment/>
    </xf>
    <xf numFmtId="43" fontId="0" fillId="0" borderId="0" xfId="15" applyFont="1" applyFill="1" applyBorder="1" applyAlignment="1">
      <alignment/>
    </xf>
    <xf numFmtId="43" fontId="0" fillId="0" borderId="0" xfId="15" applyFont="1" applyFill="1" applyBorder="1" applyAlignment="1">
      <alignment horizontal="center" wrapText="1"/>
    </xf>
    <xf numFmtId="43" fontId="0" fillId="0" borderId="0" xfId="15" applyFont="1" applyFill="1" applyBorder="1" applyAlignment="1">
      <alignment horizontal="center" vertical="center"/>
    </xf>
    <xf numFmtId="43" fontId="0" fillId="0" borderId="0" xfId="15" applyFont="1" applyFill="1" applyAlignment="1" applyProtection="1">
      <alignment/>
      <protection/>
    </xf>
    <xf numFmtId="43" fontId="0" fillId="0" borderId="0" xfId="15" applyFont="1" applyFill="1" applyBorder="1" applyAlignment="1" applyProtection="1">
      <alignment/>
      <protection/>
    </xf>
    <xf numFmtId="43" fontId="0" fillId="0" borderId="0" xfId="15" applyFont="1" applyFill="1" applyBorder="1" applyAlignment="1" applyProtection="1">
      <alignment horizontal="center" wrapText="1"/>
      <protection/>
    </xf>
    <xf numFmtId="43" fontId="0" fillId="0" borderId="0" xfId="15" applyFont="1" applyFill="1" applyBorder="1" applyAlignment="1" applyProtection="1">
      <alignment horizontal="center" vertical="center"/>
      <protection/>
    </xf>
    <xf numFmtId="43" fontId="9" fillId="0" borderId="0" xfId="15" applyFont="1" applyFill="1" applyBorder="1" applyAlignment="1">
      <alignment horizontal="center"/>
    </xf>
    <xf numFmtId="43" fontId="0" fillId="0" borderId="0" xfId="15" applyFont="1" applyFill="1" applyBorder="1" applyAlignment="1">
      <alignment horizontal="center"/>
    </xf>
    <xf numFmtId="164" fontId="0" fillId="0" borderId="0" xfId="15" applyNumberFormat="1" applyFont="1" applyFill="1" applyBorder="1" applyAlignment="1">
      <alignment horizontal="right"/>
    </xf>
    <xf numFmtId="164" fontId="0" fillId="0" borderId="0" xfId="15" applyNumberFormat="1" applyFont="1" applyFill="1" applyBorder="1" applyAlignment="1">
      <alignment/>
    </xf>
    <xf numFmtId="164" fontId="9" fillId="0" borderId="0" xfId="15" applyNumberFormat="1" applyFont="1" applyFill="1" applyBorder="1" applyAlignment="1">
      <alignment horizontal="right"/>
    </xf>
    <xf numFmtId="164" fontId="0" fillId="0" borderId="7" xfId="15" applyNumberFormat="1" applyFont="1" applyFill="1" applyBorder="1" applyAlignment="1">
      <alignment/>
    </xf>
    <xf numFmtId="164" fontId="9" fillId="0" borderId="7" xfId="15" applyNumberFormat="1" applyFont="1" applyFill="1" applyBorder="1" applyAlignment="1">
      <alignment horizontal="right"/>
    </xf>
    <xf numFmtId="164" fontId="9" fillId="0" borderId="0" xfId="15" applyNumberFormat="1" applyFont="1" applyFill="1" applyBorder="1" applyAlignment="1">
      <alignment/>
    </xf>
    <xf numFmtId="164" fontId="0" fillId="0" borderId="10" xfId="15" applyNumberFormat="1" applyFont="1" applyFill="1" applyBorder="1" applyAlignment="1">
      <alignment/>
    </xf>
    <xf numFmtId="164" fontId="9" fillId="0" borderId="10" xfId="15" applyNumberFormat="1" applyFont="1" applyFill="1" applyBorder="1" applyAlignment="1">
      <alignment/>
    </xf>
    <xf numFmtId="0" fontId="9" fillId="0" borderId="0" xfId="0" applyFont="1" applyFill="1" applyAlignment="1">
      <alignment/>
    </xf>
    <xf numFmtId="164" fontId="9" fillId="0" borderId="10" xfId="0" applyNumberFormat="1" applyFont="1" applyFill="1" applyBorder="1" applyAlignment="1">
      <alignment/>
    </xf>
    <xf numFmtId="164" fontId="0" fillId="0" borderId="0" xfId="15" applyNumberFormat="1" applyAlignment="1">
      <alignment/>
    </xf>
    <xf numFmtId="0" fontId="7" fillId="0" borderId="0" xfId="0" applyFont="1" applyAlignment="1">
      <alignment/>
    </xf>
    <xf numFmtId="164" fontId="0" fillId="0" borderId="0" xfId="15" applyNumberFormat="1" applyAlignment="1">
      <alignment horizontal="left"/>
    </xf>
    <xf numFmtId="0" fontId="9" fillId="0" borderId="0" xfId="0" applyFont="1" applyAlignment="1">
      <alignment/>
    </xf>
    <xf numFmtId="0" fontId="9" fillId="0" borderId="0" xfId="0" applyFont="1" applyAlignment="1">
      <alignment horizontal="center"/>
    </xf>
    <xf numFmtId="0" fontId="12" fillId="0" borderId="0" xfId="23" applyFont="1">
      <alignment/>
      <protection/>
    </xf>
    <xf numFmtId="0" fontId="12" fillId="0" borderId="0" xfId="23" applyFont="1" applyFill="1">
      <alignment/>
      <protection/>
    </xf>
    <xf numFmtId="15" fontId="9" fillId="0" borderId="0" xfId="0" applyNumberFormat="1" applyFont="1" applyAlignment="1">
      <alignment horizontal="center" vertical="center"/>
    </xf>
    <xf numFmtId="0" fontId="12" fillId="0" borderId="0" xfId="23" applyFont="1" applyAlignment="1">
      <alignment/>
      <protection/>
    </xf>
    <xf numFmtId="0" fontId="9" fillId="0" borderId="0" xfId="23" applyNumberFormat="1" applyFont="1" applyFill="1" applyAlignment="1" quotePrefix="1">
      <alignment horizontal="center"/>
      <protection/>
    </xf>
    <xf numFmtId="0" fontId="0" fillId="0" borderId="0" xfId="23" applyFont="1">
      <alignment/>
      <protection/>
    </xf>
    <xf numFmtId="166" fontId="9" fillId="0" borderId="0" xfId="23" applyNumberFormat="1" applyFont="1" applyFill="1" applyAlignment="1">
      <alignment horizontal="center"/>
      <protection/>
    </xf>
    <xf numFmtId="166" fontId="0" fillId="0" borderId="0" xfId="23" applyNumberFormat="1" applyFont="1">
      <alignment/>
      <protection/>
    </xf>
    <xf numFmtId="0" fontId="9" fillId="0" borderId="0" xfId="23" applyFont="1" applyFill="1">
      <alignment/>
      <protection/>
    </xf>
    <xf numFmtId="0" fontId="9" fillId="0" borderId="0" xfId="23" applyFont="1">
      <alignment/>
      <protection/>
    </xf>
    <xf numFmtId="41" fontId="0" fillId="0" borderId="0" xfId="23" applyNumberFormat="1" applyFont="1" applyAlignment="1">
      <alignment horizontal="right"/>
      <protection/>
    </xf>
    <xf numFmtId="41" fontId="0" fillId="0" borderId="0" xfId="23" applyNumberFormat="1" applyFont="1">
      <alignment/>
      <protection/>
    </xf>
    <xf numFmtId="41" fontId="0" fillId="0" borderId="0" xfId="23" applyNumberFormat="1" applyFont="1" applyFill="1">
      <alignment/>
      <protection/>
    </xf>
    <xf numFmtId="0" fontId="0" fillId="0" borderId="0" xfId="0" applyFont="1" applyAlignment="1">
      <alignment/>
    </xf>
    <xf numFmtId="41" fontId="0" fillId="0" borderId="7" xfId="23" applyNumberFormat="1" applyFont="1" applyBorder="1">
      <alignment/>
      <protection/>
    </xf>
    <xf numFmtId="41" fontId="0" fillId="0" borderId="0" xfId="23" applyNumberFormat="1" applyFont="1" applyBorder="1">
      <alignment/>
      <protection/>
    </xf>
    <xf numFmtId="41" fontId="0" fillId="0" borderId="11" xfId="23" applyNumberFormat="1" applyFont="1" applyBorder="1">
      <alignment/>
      <protection/>
    </xf>
    <xf numFmtId="164" fontId="0" fillId="0" borderId="0" xfId="17" applyNumberFormat="1" applyFont="1" applyAlignment="1">
      <alignment/>
    </xf>
    <xf numFmtId="164" fontId="0" fillId="0" borderId="0" xfId="17" applyNumberFormat="1" applyFont="1" applyFill="1" applyAlignment="1">
      <alignment/>
    </xf>
    <xf numFmtId="41" fontId="0" fillId="0" borderId="7" xfId="23" applyNumberFormat="1" applyFont="1" applyFill="1" applyBorder="1">
      <alignment/>
      <protection/>
    </xf>
    <xf numFmtId="41" fontId="0" fillId="0" borderId="0" xfId="23" applyNumberFormat="1" applyFont="1" applyFill="1" applyBorder="1" applyAlignment="1" quotePrefix="1">
      <alignment horizontal="right"/>
      <protection/>
    </xf>
    <xf numFmtId="167" fontId="0" fillId="0" borderId="7" xfId="23" applyNumberFormat="1" applyFont="1" applyFill="1" applyBorder="1">
      <alignment/>
      <protection/>
    </xf>
    <xf numFmtId="166" fontId="0" fillId="0" borderId="7" xfId="23" applyNumberFormat="1" applyFont="1" applyBorder="1">
      <alignment/>
      <protection/>
    </xf>
    <xf numFmtId="0" fontId="0" fillId="0" borderId="0" xfId="23" applyFont="1" applyFill="1" applyBorder="1">
      <alignment/>
      <protection/>
    </xf>
    <xf numFmtId="41" fontId="0" fillId="0" borderId="7" xfId="23" applyNumberFormat="1" applyFont="1" applyFill="1" applyBorder="1" quotePrefix="1">
      <alignment/>
      <protection/>
    </xf>
    <xf numFmtId="41" fontId="0" fillId="0" borderId="0" xfId="23" applyNumberFormat="1" applyFont="1" applyFill="1" applyBorder="1" quotePrefix="1">
      <alignment/>
      <protection/>
    </xf>
    <xf numFmtId="165" fontId="0" fillId="0" borderId="0" xfId="0" applyNumberFormat="1" applyFont="1" applyAlignment="1">
      <alignment/>
    </xf>
    <xf numFmtId="165" fontId="0" fillId="0" borderId="0" xfId="0" applyNumberFormat="1" applyFont="1" applyBorder="1" applyAlignment="1">
      <alignment/>
    </xf>
    <xf numFmtId="41" fontId="0" fillId="0" borderId="2" xfId="23" applyNumberFormat="1" applyFont="1" applyBorder="1">
      <alignment/>
      <protection/>
    </xf>
    <xf numFmtId="41" fontId="0" fillId="0" borderId="4" xfId="23" applyNumberFormat="1" applyFont="1" applyBorder="1">
      <alignment/>
      <protection/>
    </xf>
    <xf numFmtId="41" fontId="0" fillId="0" borderId="0" xfId="23" applyNumberFormat="1" applyFont="1" applyFill="1" applyBorder="1">
      <alignment/>
      <protection/>
    </xf>
    <xf numFmtId="0" fontId="0" fillId="0" borderId="0" xfId="23" applyFont="1" quotePrefix="1">
      <alignment/>
      <protection/>
    </xf>
    <xf numFmtId="0" fontId="0" fillId="0" borderId="0" xfId="0" applyFont="1" applyFill="1" applyAlignment="1">
      <alignment/>
    </xf>
    <xf numFmtId="164" fontId="0" fillId="0" borderId="5" xfId="17" applyNumberFormat="1" applyFont="1" applyFill="1" applyBorder="1" applyAlignment="1">
      <alignment/>
    </xf>
    <xf numFmtId="164" fontId="0" fillId="0" borderId="2" xfId="17" applyNumberFormat="1" applyFont="1" applyFill="1" applyBorder="1" applyAlignment="1">
      <alignment/>
    </xf>
    <xf numFmtId="41" fontId="0" fillId="0" borderId="2" xfId="23" applyNumberFormat="1" applyFont="1" applyFill="1" applyBorder="1">
      <alignment/>
      <protection/>
    </xf>
    <xf numFmtId="41" fontId="0" fillId="0" borderId="4" xfId="23" applyNumberFormat="1" applyFont="1" applyFill="1" applyBorder="1">
      <alignment/>
      <protection/>
    </xf>
    <xf numFmtId="164" fontId="0" fillId="0" borderId="0" xfId="17" applyNumberFormat="1" applyFont="1" applyFill="1" applyBorder="1" applyAlignment="1">
      <alignment/>
    </xf>
    <xf numFmtId="164" fontId="0" fillId="0" borderId="7" xfId="17" applyNumberFormat="1" applyFont="1" applyFill="1" applyBorder="1" applyAlignment="1">
      <alignment horizontal="center"/>
    </xf>
    <xf numFmtId="164" fontId="0" fillId="0" borderId="0" xfId="17" applyNumberFormat="1" applyFont="1" applyFill="1" applyBorder="1" applyAlignment="1">
      <alignment horizontal="center"/>
    </xf>
    <xf numFmtId="0" fontId="0" fillId="0" borderId="0" xfId="23" applyFont="1" applyBorder="1">
      <alignment/>
      <protection/>
    </xf>
    <xf numFmtId="41" fontId="9" fillId="0" borderId="7" xfId="23" applyNumberFormat="1" applyFont="1" applyBorder="1">
      <alignment/>
      <protection/>
    </xf>
    <xf numFmtId="41" fontId="0" fillId="0" borderId="8" xfId="23" applyNumberFormat="1" applyFont="1" applyBorder="1">
      <alignment/>
      <protection/>
    </xf>
    <xf numFmtId="0" fontId="14" fillId="0" borderId="0" xfId="23" applyFont="1">
      <alignment/>
      <protection/>
    </xf>
    <xf numFmtId="16" fontId="14" fillId="0" borderId="0" xfId="23" applyNumberFormat="1" applyFont="1" applyFill="1">
      <alignment/>
      <protection/>
    </xf>
    <xf numFmtId="41" fontId="14" fillId="0" borderId="0" xfId="23" applyNumberFormat="1" applyFont="1" applyBorder="1">
      <alignment/>
      <protection/>
    </xf>
    <xf numFmtId="166" fontId="14" fillId="0" borderId="0" xfId="23" applyNumberFormat="1" applyFont="1">
      <alignment/>
      <protection/>
    </xf>
    <xf numFmtId="0" fontId="9" fillId="0" borderId="0" xfId="0" applyFont="1" applyBorder="1" applyAlignment="1">
      <alignment horizontal="center"/>
    </xf>
    <xf numFmtId="15" fontId="9" fillId="0" borderId="0" xfId="0" applyNumberFormat="1" applyFont="1" applyAlignment="1" quotePrefix="1">
      <alignment horizontal="center"/>
    </xf>
    <xf numFmtId="0" fontId="0" fillId="0" borderId="0" xfId="0" applyFont="1" applyBorder="1" applyAlignment="1">
      <alignment horizontal="center"/>
    </xf>
    <xf numFmtId="164" fontId="0" fillId="0" borderId="0" xfId="15" applyNumberFormat="1" applyFont="1" applyBorder="1" applyAlignment="1">
      <alignment/>
    </xf>
    <xf numFmtId="164" fontId="0" fillId="0" borderId="0" xfId="15" applyNumberFormat="1" applyFont="1" applyAlignment="1">
      <alignment/>
    </xf>
    <xf numFmtId="166" fontId="14" fillId="0" borderId="0" xfId="23" applyNumberFormat="1" applyFont="1" applyAlignment="1">
      <alignment horizontal="right"/>
      <protection/>
    </xf>
    <xf numFmtId="164" fontId="0" fillId="0" borderId="7" xfId="15" applyNumberFormat="1" applyFont="1" applyBorder="1" applyAlignment="1">
      <alignment/>
    </xf>
    <xf numFmtId="164" fontId="0" fillId="0" borderId="11" xfId="15" applyNumberFormat="1" applyFont="1" applyBorder="1" applyAlignment="1">
      <alignment/>
    </xf>
    <xf numFmtId="0" fontId="0" fillId="0" borderId="0" xfId="0" applyFont="1" applyBorder="1" applyAlignment="1">
      <alignment/>
    </xf>
    <xf numFmtId="0" fontId="0" fillId="0" borderId="7" xfId="0" applyFont="1" applyBorder="1" applyAlignment="1">
      <alignment/>
    </xf>
    <xf numFmtId="164" fontId="0" fillId="0" borderId="0" xfId="0" applyNumberFormat="1" applyFont="1" applyBorder="1" applyAlignment="1">
      <alignment/>
    </xf>
    <xf numFmtId="164" fontId="9" fillId="0" borderId="12" xfId="0" applyNumberFormat="1" applyFont="1" applyBorder="1" applyAlignment="1">
      <alignment/>
    </xf>
    <xf numFmtId="41" fontId="0" fillId="0" borderId="0" xfId="0" applyNumberFormat="1" applyFont="1" applyAlignment="1">
      <alignment/>
    </xf>
    <xf numFmtId="0" fontId="0" fillId="0" borderId="0" xfId="0" applyFont="1" applyAlignment="1">
      <alignment/>
    </xf>
    <xf numFmtId="0" fontId="14" fillId="0" borderId="0" xfId="0" applyFont="1" applyAlignment="1">
      <alignment/>
    </xf>
    <xf numFmtId="164" fontId="0" fillId="0" borderId="0" xfId="15" applyNumberFormat="1" applyFont="1" applyAlignment="1">
      <alignment/>
    </xf>
    <xf numFmtId="164" fontId="8" fillId="0" borderId="0" xfId="15" applyNumberFormat="1" applyFont="1" applyAlignment="1">
      <alignment horizontal="left"/>
    </xf>
    <xf numFmtId="0" fontId="0" fillId="0" borderId="0" xfId="22">
      <alignment/>
      <protection/>
    </xf>
    <xf numFmtId="164" fontId="0" fillId="0" borderId="0" xfId="22" applyNumberFormat="1">
      <alignment/>
      <protection/>
    </xf>
    <xf numFmtId="164" fontId="9" fillId="0" borderId="0" xfId="15" applyNumberFormat="1" applyFont="1" applyAlignment="1">
      <alignment/>
    </xf>
    <xf numFmtId="0" fontId="0" fillId="0" borderId="0" xfId="22" applyFont="1">
      <alignment/>
      <protection/>
    </xf>
    <xf numFmtId="164" fontId="0" fillId="0" borderId="7" xfId="15" applyNumberFormat="1" applyFont="1" applyBorder="1" applyAlignment="1">
      <alignment horizontal="center" vertical="center" wrapText="1"/>
    </xf>
    <xf numFmtId="164" fontId="0" fillId="0" borderId="7" xfId="22" applyNumberFormat="1" applyFont="1" applyBorder="1" applyAlignment="1">
      <alignment horizontal="center" wrapText="1"/>
      <protection/>
    </xf>
    <xf numFmtId="164" fontId="0" fillId="0" borderId="7" xfId="15" applyNumberFormat="1" applyFont="1" applyBorder="1" applyAlignment="1">
      <alignment horizontal="center" wrapText="1"/>
    </xf>
    <xf numFmtId="0" fontId="0" fillId="0" borderId="7" xfId="22" applyFont="1" applyBorder="1" applyAlignment="1">
      <alignment horizontal="center" wrapText="1"/>
      <protection/>
    </xf>
    <xf numFmtId="164" fontId="9" fillId="0" borderId="0" xfId="15" applyNumberFormat="1" applyFont="1" applyAlignment="1" quotePrefix="1">
      <alignment horizontal="center"/>
    </xf>
    <xf numFmtId="164" fontId="9" fillId="0" borderId="0" xfId="15" applyNumberFormat="1" applyFont="1" applyAlignment="1">
      <alignment horizontal="center"/>
    </xf>
    <xf numFmtId="164" fontId="0" fillId="0" borderId="0" xfId="15" applyNumberFormat="1" applyAlignment="1">
      <alignment/>
    </xf>
    <xf numFmtId="164" fontId="0" fillId="0" borderId="7" xfId="15" applyNumberFormat="1" applyBorder="1" applyAlignment="1">
      <alignment/>
    </xf>
    <xf numFmtId="164" fontId="0" fillId="0" borderId="10" xfId="15" applyNumberFormat="1" applyBorder="1" applyAlignment="1">
      <alignment/>
    </xf>
    <xf numFmtId="164" fontId="0" fillId="0" borderId="0" xfId="15" applyNumberFormat="1" applyFont="1" applyAlignment="1">
      <alignment/>
    </xf>
    <xf numFmtId="164" fontId="0" fillId="0" borderId="0" xfId="15" applyNumberFormat="1" applyAlignment="1">
      <alignment horizontal="right"/>
    </xf>
    <xf numFmtId="39" fontId="0" fillId="0" borderId="0" xfId="15" applyNumberFormat="1" applyAlignment="1">
      <alignment/>
    </xf>
    <xf numFmtId="43" fontId="0" fillId="0" borderId="0" xfId="15" applyAlignment="1">
      <alignment/>
    </xf>
    <xf numFmtId="0" fontId="9" fillId="0" borderId="0" xfId="0" applyFont="1" applyFill="1" applyBorder="1" applyAlignment="1">
      <alignment/>
    </xf>
    <xf numFmtId="164" fontId="0" fillId="0" borderId="0" xfId="15" applyNumberFormat="1" applyAlignment="1">
      <alignment/>
    </xf>
    <xf numFmtId="164" fontId="0" fillId="0" borderId="0" xfId="15" applyNumberFormat="1" applyFill="1" applyAlignment="1">
      <alignment/>
    </xf>
    <xf numFmtId="0" fontId="0" fillId="0" borderId="0" xfId="0" applyBorder="1" applyAlignment="1">
      <alignment/>
    </xf>
    <xf numFmtId="164" fontId="15" fillId="0" borderId="0" xfId="15" applyNumberFormat="1" applyFont="1" applyBorder="1" applyAlignment="1">
      <alignment horizontal="left"/>
    </xf>
    <xf numFmtId="164" fontId="0" fillId="0" borderId="0" xfId="15" applyNumberFormat="1" applyBorder="1" applyAlignment="1">
      <alignment horizontal="left"/>
    </xf>
    <xf numFmtId="164" fontId="0" fillId="0" borderId="0" xfId="15" applyNumberFormat="1" applyFont="1" applyBorder="1" applyAlignment="1">
      <alignment horizontal="justify" vertical="top" wrapText="1"/>
    </xf>
    <xf numFmtId="0" fontId="0" fillId="0" borderId="0" xfId="22" applyBorder="1">
      <alignment/>
      <protection/>
    </xf>
    <xf numFmtId="164" fontId="0" fillId="0" borderId="0" xfId="15" applyNumberFormat="1" applyFont="1" applyBorder="1" applyAlignment="1">
      <alignment horizontal="center"/>
    </xf>
    <xf numFmtId="0" fontId="0" fillId="0" borderId="0" xfId="22" applyFont="1" applyBorder="1" applyAlignment="1">
      <alignment horizontal="center" wrapText="1"/>
      <protection/>
    </xf>
    <xf numFmtId="164" fontId="9" fillId="0" borderId="0" xfId="15" applyNumberFormat="1" applyFont="1" applyBorder="1" applyAlignment="1" quotePrefix="1">
      <alignment horizontal="center"/>
    </xf>
    <xf numFmtId="164" fontId="9" fillId="0" borderId="0" xfId="15" applyNumberFormat="1" applyFont="1" applyBorder="1" applyAlignment="1">
      <alignment horizontal="center"/>
    </xf>
    <xf numFmtId="164" fontId="0" fillId="0" borderId="0" xfId="15" applyNumberFormat="1" applyBorder="1" applyAlignment="1">
      <alignment/>
    </xf>
    <xf numFmtId="164" fontId="0" fillId="0" borderId="0" xfId="15" applyNumberFormat="1" applyFont="1" applyBorder="1" applyAlignment="1">
      <alignment/>
    </xf>
    <xf numFmtId="164" fontId="0" fillId="0" borderId="0" xfId="15" applyNumberFormat="1" applyBorder="1" applyAlignment="1">
      <alignment/>
    </xf>
    <xf numFmtId="39" fontId="0" fillId="0" borderId="0" xfId="15" applyNumberFormat="1" applyBorder="1" applyAlignment="1">
      <alignment/>
    </xf>
    <xf numFmtId="43" fontId="0" fillId="0" borderId="0" xfId="15" applyBorder="1" applyAlignment="1">
      <alignment/>
    </xf>
    <xf numFmtId="41" fontId="0" fillId="0" borderId="5" xfId="23" applyNumberFormat="1" applyFont="1" applyBorder="1">
      <alignment/>
      <protection/>
    </xf>
    <xf numFmtId="164" fontId="2" fillId="0" borderId="0" xfId="15" applyNumberFormat="1" applyFont="1" applyFill="1" applyAlignment="1">
      <alignment horizontal="right"/>
    </xf>
    <xf numFmtId="164" fontId="1" fillId="0" borderId="0" xfId="15" applyNumberFormat="1" applyFont="1" applyAlignment="1">
      <alignment horizontal="left"/>
    </xf>
    <xf numFmtId="164" fontId="2" fillId="0" borderId="0" xfId="15" applyNumberFormat="1" applyFont="1" applyAlignment="1">
      <alignment horizontal="left"/>
    </xf>
    <xf numFmtId="0" fontId="1" fillId="0" borderId="0" xfId="0" applyFont="1" applyFill="1" applyAlignment="1">
      <alignment/>
    </xf>
    <xf numFmtId="0" fontId="1" fillId="0" borderId="0" xfId="0" applyFont="1" applyFill="1" applyAlignment="1">
      <alignment horizontal="center"/>
    </xf>
    <xf numFmtId="164" fontId="2" fillId="0" borderId="0" xfId="15" applyNumberFormat="1" applyFont="1" applyFill="1" applyAlignment="1" quotePrefix="1">
      <alignment/>
    </xf>
    <xf numFmtId="164" fontId="1" fillId="0" borderId="0" xfId="15" applyNumberFormat="1" applyFont="1" applyFill="1" applyAlignment="1">
      <alignment/>
    </xf>
    <xf numFmtId="15" fontId="1" fillId="0" borderId="0" xfId="15" applyNumberFormat="1" applyFont="1" applyFill="1" applyAlignment="1">
      <alignment/>
    </xf>
    <xf numFmtId="164" fontId="2" fillId="0" borderId="0" xfId="15" applyNumberFormat="1" applyFont="1" applyFill="1" applyBorder="1" applyAlignment="1">
      <alignment/>
    </xf>
    <xf numFmtId="164" fontId="11" fillId="0" borderId="0" xfId="0" applyNumberFormat="1" applyFont="1" applyFill="1" applyAlignment="1">
      <alignment horizontal="center"/>
    </xf>
    <xf numFmtId="164" fontId="1" fillId="0" borderId="0" xfId="15" applyNumberFormat="1" applyFont="1" applyFill="1" applyBorder="1" applyAlignment="1">
      <alignment/>
    </xf>
    <xf numFmtId="0" fontId="1" fillId="0" borderId="0" xfId="0" applyFont="1" applyFill="1" applyAlignment="1" quotePrefix="1">
      <alignment/>
    </xf>
    <xf numFmtId="164" fontId="1" fillId="0" borderId="0" xfId="15" applyNumberFormat="1" applyFont="1" applyFill="1" applyAlignment="1">
      <alignment horizontal="center"/>
    </xf>
    <xf numFmtId="0" fontId="11" fillId="0" borderId="0" xfId="0" applyFont="1" applyFill="1" applyAlignment="1">
      <alignment horizontal="center"/>
    </xf>
    <xf numFmtId="164" fontId="11" fillId="0" borderId="0" xfId="15" applyNumberFormat="1" applyFont="1" applyFill="1" applyAlignment="1">
      <alignment horizontal="center"/>
    </xf>
    <xf numFmtId="16" fontId="3" fillId="0" borderId="0" xfId="0" applyNumberFormat="1" applyFont="1" applyFill="1" applyAlignment="1" quotePrefix="1">
      <alignment horizontal="center"/>
    </xf>
    <xf numFmtId="164" fontId="2" fillId="0" borderId="7" xfId="15" applyNumberFormat="1" applyFont="1" applyFill="1" applyBorder="1" applyAlignment="1">
      <alignment/>
    </xf>
    <xf numFmtId="164" fontId="1" fillId="0" borderId="7" xfId="15" applyNumberFormat="1" applyFont="1" applyFill="1" applyBorder="1" applyAlignment="1">
      <alignment/>
    </xf>
    <xf numFmtId="164" fontId="1" fillId="0" borderId="0" xfId="0" applyNumberFormat="1" applyFont="1" applyFill="1" applyAlignment="1">
      <alignment horizontal="center"/>
    </xf>
    <xf numFmtId="0" fontId="2" fillId="0" borderId="0" xfId="0" applyFont="1" applyFill="1" applyAlignment="1" applyProtection="1">
      <alignment/>
      <protection locked="0"/>
    </xf>
    <xf numFmtId="0" fontId="2" fillId="0" borderId="0" xfId="0" applyFont="1" applyFill="1" applyAlignment="1" applyProtection="1" quotePrefix="1">
      <alignment horizontal="center"/>
      <protection locked="0"/>
    </xf>
    <xf numFmtId="164" fontId="2" fillId="0" borderId="0" xfId="15" applyNumberFormat="1" applyFont="1" applyFill="1" applyAlignment="1" applyProtection="1">
      <alignment/>
      <protection locked="0"/>
    </xf>
    <xf numFmtId="164" fontId="1" fillId="0" borderId="0" xfId="15" applyNumberFormat="1" applyFont="1" applyFill="1" applyAlignment="1" applyProtection="1">
      <alignment/>
      <protection locked="0"/>
    </xf>
    <xf numFmtId="164" fontId="1" fillId="0" borderId="9" xfId="15" applyNumberFormat="1" applyFont="1" applyFill="1" applyBorder="1" applyAlignment="1">
      <alignment/>
    </xf>
    <xf numFmtId="164" fontId="2" fillId="2" borderId="0" xfId="15" applyNumberFormat="1" applyFont="1" applyFill="1" applyAlignment="1" applyProtection="1">
      <alignment/>
      <protection locked="0"/>
    </xf>
    <xf numFmtId="0" fontId="1" fillId="0" borderId="0" xfId="0" applyFont="1" applyFill="1" applyAlignment="1" applyProtection="1">
      <alignment horizontal="center"/>
      <protection locked="0"/>
    </xf>
    <xf numFmtId="164" fontId="2" fillId="0" borderId="0" xfId="15" applyNumberFormat="1" applyFont="1" applyFill="1" applyBorder="1" applyAlignment="1" applyProtection="1">
      <alignment/>
      <protection locked="0"/>
    </xf>
    <xf numFmtId="164" fontId="1" fillId="0" borderId="10" xfId="15" applyNumberFormat="1" applyFont="1" applyFill="1" applyBorder="1" applyAlignment="1">
      <alignment/>
    </xf>
    <xf numFmtId="43" fontId="1" fillId="0" borderId="0" xfId="15" applyNumberFormat="1" applyFont="1" applyFill="1" applyAlignment="1">
      <alignment/>
    </xf>
    <xf numFmtId="43" fontId="1" fillId="0" borderId="0" xfId="15" applyFont="1" applyFill="1" applyAlignment="1">
      <alignment/>
    </xf>
    <xf numFmtId="10" fontId="1" fillId="0" borderId="0" xfId="24" applyNumberFormat="1" applyFont="1" applyFill="1" applyAlignment="1">
      <alignment/>
    </xf>
    <xf numFmtId="10" fontId="1" fillId="0" borderId="0" xfId="24" applyNumberFormat="1" applyFont="1" applyFill="1" applyAlignment="1">
      <alignment horizontal="center"/>
    </xf>
    <xf numFmtId="164" fontId="1" fillId="0" borderId="0" xfId="24" applyNumberFormat="1" applyFont="1" applyFill="1" applyAlignment="1">
      <alignment/>
    </xf>
    <xf numFmtId="164" fontId="2" fillId="2" borderId="0" xfId="15" applyNumberFormat="1" applyFont="1" applyFill="1" applyAlignment="1">
      <alignment/>
    </xf>
    <xf numFmtId="0" fontId="2" fillId="0" borderId="0" xfId="0" applyFont="1" applyFill="1" applyAlignment="1" quotePrefix="1">
      <alignment horizontal="center"/>
    </xf>
    <xf numFmtId="164" fontId="19" fillId="0" borderId="0" xfId="15" applyNumberFormat="1" applyFont="1" applyFill="1" applyAlignment="1">
      <alignment/>
    </xf>
    <xf numFmtId="0" fontId="3" fillId="0" borderId="0" xfId="0" applyFont="1" applyFill="1" applyAlignment="1">
      <alignment/>
    </xf>
    <xf numFmtId="164" fontId="2" fillId="2" borderId="0" xfId="15" applyNumberFormat="1" applyFont="1" applyFill="1" applyBorder="1" applyAlignment="1">
      <alignment/>
    </xf>
    <xf numFmtId="0" fontId="1" fillId="0" borderId="0" xfId="0" applyFont="1" applyFill="1" applyAlignment="1" quotePrefix="1">
      <alignment horizontal="center"/>
    </xf>
    <xf numFmtId="43" fontId="1" fillId="0" borderId="0" xfId="15" applyFont="1" applyFill="1" applyBorder="1" applyAlignment="1">
      <alignment/>
    </xf>
    <xf numFmtId="169" fontId="2" fillId="0" borderId="0" xfId="15" applyNumberFormat="1" applyFont="1" applyFill="1" applyAlignment="1">
      <alignment/>
    </xf>
    <xf numFmtId="169" fontId="1" fillId="0" borderId="0" xfId="15" applyNumberFormat="1" applyFont="1" applyFill="1" applyAlignment="1">
      <alignment horizontal="center"/>
    </xf>
    <xf numFmtId="43" fontId="2" fillId="0" borderId="0" xfId="15" applyNumberFormat="1" applyFont="1" applyFill="1" applyBorder="1" applyAlignment="1">
      <alignment/>
    </xf>
    <xf numFmtId="43" fontId="2" fillId="0" borderId="0" xfId="15" applyFont="1" applyFill="1" applyBorder="1" applyAlignment="1">
      <alignment/>
    </xf>
    <xf numFmtId="0" fontId="2" fillId="0" borderId="0" xfId="0" applyFont="1" applyFill="1" applyAlignment="1" quotePrefix="1">
      <alignment/>
    </xf>
    <xf numFmtId="0" fontId="1" fillId="0" borderId="0" xfId="0" applyFont="1" applyFill="1" applyAlignment="1">
      <alignment horizontal="right"/>
    </xf>
    <xf numFmtId="164" fontId="2" fillId="0" borderId="9" xfId="15" applyNumberFormat="1" applyFont="1" applyFill="1" applyBorder="1" applyAlignment="1">
      <alignment/>
    </xf>
    <xf numFmtId="0" fontId="2" fillId="0" borderId="0" xfId="0" applyFont="1" applyFill="1" applyAlignment="1">
      <alignment horizontal="center"/>
    </xf>
    <xf numFmtId="0" fontId="6" fillId="0" borderId="0" xfId="0" applyFont="1" applyFill="1" applyAlignment="1">
      <alignment/>
    </xf>
    <xf numFmtId="164" fontId="2" fillId="0" borderId="10" xfId="15"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quotePrefix="1">
      <alignment horizontal="center"/>
    </xf>
    <xf numFmtId="0" fontId="1" fillId="0" borderId="0" xfId="0" applyFont="1" applyFill="1" applyBorder="1" applyAlignment="1">
      <alignment horizontal="center"/>
    </xf>
    <xf numFmtId="0" fontId="20"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wrapText="1"/>
    </xf>
    <xf numFmtId="0" fontId="2" fillId="0" borderId="0" xfId="0" applyFont="1" applyFill="1" applyAlignment="1" quotePrefix="1">
      <alignment horizontal="center" wrapText="1"/>
    </xf>
    <xf numFmtId="164" fontId="2" fillId="0" borderId="0" xfId="15" applyNumberFormat="1" applyFont="1" applyFill="1" applyAlignment="1">
      <alignment wrapText="1"/>
    </xf>
    <xf numFmtId="164" fontId="24" fillId="0" borderId="0" xfId="0" applyNumberFormat="1" applyFont="1" applyAlignment="1">
      <alignment/>
    </xf>
    <xf numFmtId="164" fontId="25" fillId="0" borderId="0" xfId="15" applyNumberFormat="1" applyFont="1" applyAlignment="1">
      <alignment/>
    </xf>
    <xf numFmtId="166" fontId="11" fillId="0" borderId="0" xfId="23" applyNumberFormat="1" applyFont="1" applyFill="1" applyAlignment="1">
      <alignment horizontal="center"/>
      <protection/>
    </xf>
    <xf numFmtId="17" fontId="11" fillId="0" borderId="0" xfId="23" applyNumberFormat="1" applyFont="1" applyFill="1" applyAlignment="1" quotePrefix="1">
      <alignment horizontal="center"/>
      <protection/>
    </xf>
    <xf numFmtId="0" fontId="11" fillId="0" borderId="0" xfId="23" applyNumberFormat="1" applyFont="1" applyFill="1" applyAlignment="1" quotePrefix="1">
      <alignment horizontal="center"/>
      <protection/>
    </xf>
    <xf numFmtId="17" fontId="11" fillId="0" borderId="0" xfId="23" applyNumberFormat="1" applyFont="1" applyAlignment="1">
      <alignment horizontal="center"/>
      <protection/>
    </xf>
    <xf numFmtId="166" fontId="9" fillId="0" borderId="0" xfId="23" applyNumberFormat="1" applyFont="1" applyFill="1" applyBorder="1" applyAlignment="1">
      <alignment horizontal="center"/>
      <protection/>
    </xf>
    <xf numFmtId="166" fontId="0" fillId="0" borderId="0" xfId="23" applyNumberFormat="1" applyFont="1" applyBorder="1">
      <alignment/>
      <protection/>
    </xf>
    <xf numFmtId="166" fontId="9" fillId="0" borderId="0" xfId="23" applyNumberFormat="1" applyFont="1">
      <alignment/>
      <protection/>
    </xf>
    <xf numFmtId="166" fontId="9" fillId="0" borderId="0" xfId="23" applyNumberFormat="1" applyFont="1" applyBorder="1">
      <alignment/>
      <protection/>
    </xf>
    <xf numFmtId="41" fontId="9" fillId="0" borderId="0" xfId="23" applyNumberFormat="1" applyFont="1">
      <alignment/>
      <protection/>
    </xf>
    <xf numFmtId="41" fontId="9" fillId="0" borderId="0" xfId="23" applyNumberFormat="1" applyFont="1" applyFill="1" applyAlignment="1">
      <alignment horizontal="right"/>
      <protection/>
    </xf>
    <xf numFmtId="41" fontId="9" fillId="0" borderId="0" xfId="23" applyNumberFormat="1" applyFont="1" applyBorder="1" applyAlignment="1">
      <alignment horizontal="right"/>
      <protection/>
    </xf>
    <xf numFmtId="164" fontId="0" fillId="0" borderId="7" xfId="17" applyNumberFormat="1" applyFont="1" applyFill="1" applyBorder="1" applyAlignment="1">
      <alignment/>
    </xf>
    <xf numFmtId="164" fontId="0" fillId="0" borderId="0" xfId="17" applyNumberFormat="1" applyFont="1" applyFill="1" applyBorder="1" applyAlignment="1">
      <alignment/>
    </xf>
    <xf numFmtId="164" fontId="0" fillId="0" borderId="0" xfId="17" applyNumberFormat="1" applyFont="1" applyBorder="1" applyAlignment="1">
      <alignment/>
    </xf>
    <xf numFmtId="41" fontId="0" fillId="0" borderId="7" xfId="23" applyNumberFormat="1" applyFont="1" applyBorder="1" applyAlignment="1">
      <alignment/>
      <protection/>
    </xf>
    <xf numFmtId="41" fontId="0" fillId="0" borderId="0" xfId="23" applyNumberFormat="1" applyFont="1" applyBorder="1" applyAlignment="1">
      <alignment/>
      <protection/>
    </xf>
    <xf numFmtId="43" fontId="0" fillId="0" borderId="0" xfId="15" applyFont="1" applyBorder="1" applyAlignment="1">
      <alignment/>
    </xf>
    <xf numFmtId="166" fontId="0" fillId="0" borderId="0" xfId="23" applyNumberFormat="1" applyFont="1" applyFill="1">
      <alignment/>
      <protection/>
    </xf>
    <xf numFmtId="0" fontId="10" fillId="0" borderId="0" xfId="23" applyFont="1" applyAlignment="1">
      <alignment horizontal="center"/>
      <protection/>
    </xf>
    <xf numFmtId="0" fontId="10" fillId="0" borderId="0" xfId="23" applyNumberFormat="1" applyFont="1" applyFill="1" applyBorder="1" applyAlignment="1" quotePrefix="1">
      <alignment horizontal="center"/>
      <protection/>
    </xf>
    <xf numFmtId="166" fontId="0" fillId="0" borderId="0" xfId="23" applyNumberFormat="1" applyFont="1" applyBorder="1" applyAlignment="1">
      <alignment horizontal="center"/>
      <protection/>
    </xf>
    <xf numFmtId="0" fontId="0" fillId="0" borderId="2" xfId="23" applyFont="1" applyBorder="1">
      <alignment/>
      <protection/>
    </xf>
    <xf numFmtId="0" fontId="0" fillId="0" borderId="0" xfId="23" applyFont="1" applyAlignment="1" quotePrefix="1">
      <alignment horizontal="center"/>
      <protection/>
    </xf>
    <xf numFmtId="164" fontId="0" fillId="0" borderId="4" xfId="17" applyNumberFormat="1" applyFont="1" applyFill="1" applyBorder="1" applyAlignment="1">
      <alignment/>
    </xf>
    <xf numFmtId="164" fontId="23" fillId="0" borderId="0" xfId="17" applyNumberFormat="1" applyFont="1" applyFill="1" applyBorder="1" applyAlignment="1">
      <alignment/>
    </xf>
    <xf numFmtId="164" fontId="0" fillId="0" borderId="7" xfId="17" applyNumberFormat="1" applyFont="1" applyBorder="1" applyAlignment="1">
      <alignment horizontal="center"/>
    </xf>
    <xf numFmtId="41" fontId="9" fillId="0" borderId="0" xfId="23" applyNumberFormat="1" applyFont="1" applyBorder="1">
      <alignment/>
      <protection/>
    </xf>
    <xf numFmtId="41" fontId="9" fillId="0" borderId="0" xfId="23" applyNumberFormat="1" applyFont="1" applyFill="1">
      <alignment/>
      <protection/>
    </xf>
    <xf numFmtId="41" fontId="9" fillId="0" borderId="0" xfId="23" applyNumberFormat="1" applyFont="1" applyFill="1" applyBorder="1">
      <alignment/>
      <protection/>
    </xf>
    <xf numFmtId="0" fontId="9" fillId="0" borderId="0" xfId="23" applyFont="1" applyBorder="1">
      <alignment/>
      <protection/>
    </xf>
    <xf numFmtId="16" fontId="9" fillId="0" borderId="0" xfId="23" applyNumberFormat="1" applyFont="1" applyFill="1">
      <alignment/>
      <protection/>
    </xf>
    <xf numFmtId="41" fontId="9" fillId="0" borderId="8" xfId="23" applyNumberFormat="1" applyFont="1" applyBorder="1">
      <alignment/>
      <protection/>
    </xf>
    <xf numFmtId="0" fontId="11" fillId="0" borderId="0" xfId="23" applyFont="1" applyFill="1">
      <alignment/>
      <protection/>
    </xf>
    <xf numFmtId="41" fontId="9" fillId="0" borderId="12" xfId="0" applyNumberFormat="1" applyFont="1" applyBorder="1" applyAlignment="1">
      <alignment/>
    </xf>
    <xf numFmtId="164" fontId="24" fillId="0" borderId="0" xfId="15" applyNumberFormat="1" applyFont="1" applyAlignment="1">
      <alignment/>
    </xf>
    <xf numFmtId="41" fontId="24" fillId="0" borderId="0" xfId="0" applyNumberFormat="1" applyFont="1" applyAlignment="1">
      <alignment/>
    </xf>
    <xf numFmtId="43" fontId="0" fillId="0" borderId="0" xfId="15" applyAlignment="1">
      <alignment horizontal="left"/>
    </xf>
    <xf numFmtId="43" fontId="9" fillId="0" borderId="0" xfId="15" applyFont="1" applyAlignment="1">
      <alignment horizontal="left"/>
    </xf>
    <xf numFmtId="43" fontId="9" fillId="0" borderId="0" xfId="15" applyFont="1" applyAlignment="1">
      <alignment/>
    </xf>
    <xf numFmtId="43" fontId="0" fillId="0" borderId="0" xfId="15" applyFont="1" applyAlignment="1">
      <alignment/>
    </xf>
    <xf numFmtId="43" fontId="0" fillId="0" borderId="0" xfId="15" applyFont="1" applyAlignment="1">
      <alignment/>
    </xf>
    <xf numFmtId="43" fontId="0" fillId="0" borderId="0" xfId="15" applyFont="1" applyAlignment="1">
      <alignment/>
    </xf>
    <xf numFmtId="43" fontId="0" fillId="0" borderId="0" xfId="15" applyFont="1" applyAlignment="1">
      <alignment/>
    </xf>
    <xf numFmtId="43" fontId="0" fillId="0" borderId="0" xfId="15" applyFont="1" applyAlignment="1">
      <alignment horizontal="right"/>
    </xf>
    <xf numFmtId="43" fontId="0" fillId="0" borderId="0" xfId="15" applyAlignment="1">
      <alignment/>
    </xf>
    <xf numFmtId="43" fontId="1" fillId="0" borderId="0" xfId="15" applyFont="1" applyAlignment="1">
      <alignment horizontal="left"/>
    </xf>
    <xf numFmtId="43" fontId="2" fillId="0" borderId="0" xfId="15" applyFont="1" applyAlignment="1">
      <alignment horizontal="left"/>
    </xf>
    <xf numFmtId="43" fontId="2" fillId="0" borderId="0" xfId="15" applyFont="1" applyAlignment="1">
      <alignment/>
    </xf>
    <xf numFmtId="43" fontId="3" fillId="0" borderId="0" xfId="15" applyFont="1" applyAlignment="1">
      <alignment/>
    </xf>
    <xf numFmtId="43" fontId="4" fillId="0" borderId="0" xfId="15" applyFont="1" applyFill="1" applyAlignment="1">
      <alignment/>
    </xf>
    <xf numFmtId="43" fontId="2" fillId="0" borderId="0" xfId="15" applyFont="1" applyFill="1" applyAlignment="1">
      <alignment/>
    </xf>
    <xf numFmtId="43" fontId="6" fillId="0" borderId="0" xfId="15" applyFont="1" applyFill="1" applyAlignment="1">
      <alignment/>
    </xf>
    <xf numFmtId="43" fontId="2" fillId="0" borderId="0" xfId="15" applyFont="1" applyAlignment="1">
      <alignment/>
    </xf>
    <xf numFmtId="43" fontId="9" fillId="0" borderId="0" xfId="15" applyFont="1" applyFill="1" applyAlignment="1">
      <alignment/>
    </xf>
    <xf numFmtId="43" fontId="11" fillId="0" borderId="0" xfId="15" applyFont="1" applyFill="1" applyAlignment="1">
      <alignment/>
    </xf>
    <xf numFmtId="0" fontId="0" fillId="0" borderId="0" xfId="0" applyAlignment="1">
      <alignment horizontal="justify" vertical="top" wrapText="1"/>
    </xf>
    <xf numFmtId="0" fontId="0" fillId="0" borderId="0" xfId="0" applyAlignment="1">
      <alignment horizontal="center"/>
    </xf>
    <xf numFmtId="164" fontId="1" fillId="3" borderId="0" xfId="15" applyNumberFormat="1" applyFont="1" applyFill="1" applyAlignment="1">
      <alignment/>
    </xf>
    <xf numFmtId="164" fontId="2" fillId="3" borderId="7" xfId="15" applyNumberFormat="1" applyFont="1" applyFill="1" applyBorder="1" applyAlignment="1">
      <alignment/>
    </xf>
    <xf numFmtId="164" fontId="2" fillId="3" borderId="0" xfId="15" applyNumberFormat="1" applyFont="1" applyFill="1" applyBorder="1" applyAlignment="1">
      <alignment/>
    </xf>
    <xf numFmtId="164" fontId="2" fillId="3" borderId="0" xfId="15" applyNumberFormat="1" applyFont="1" applyFill="1" applyAlignment="1">
      <alignment/>
    </xf>
    <xf numFmtId="43" fontId="0" fillId="0" borderId="0" xfId="0" applyNumberFormat="1" applyAlignment="1">
      <alignment/>
    </xf>
    <xf numFmtId="0" fontId="24" fillId="0" borderId="0" xfId="0" applyFont="1" applyAlignment="1">
      <alignment/>
    </xf>
    <xf numFmtId="164" fontId="2" fillId="4" borderId="0" xfId="15" applyNumberFormat="1" applyFont="1" applyFill="1" applyAlignment="1">
      <alignment/>
    </xf>
    <xf numFmtId="164" fontId="0" fillId="0" borderId="0" xfId="15" applyNumberFormat="1" applyFont="1" applyFill="1" applyAlignment="1">
      <alignment horizontal="center"/>
    </xf>
    <xf numFmtId="164" fontId="10" fillId="0" borderId="0" xfId="15" applyNumberFormat="1" applyFont="1" applyFill="1" applyAlignment="1">
      <alignment horizontal="center"/>
    </xf>
    <xf numFmtId="164" fontId="0" fillId="0" borderId="8" xfId="15" applyNumberFormat="1" applyFont="1" applyFill="1" applyBorder="1" applyAlignment="1">
      <alignment/>
    </xf>
    <xf numFmtId="164" fontId="0" fillId="0" borderId="11" xfId="15" applyNumberFormat="1" applyFont="1" applyFill="1" applyBorder="1" applyAlignment="1">
      <alignment/>
    </xf>
    <xf numFmtId="164" fontId="0" fillId="0" borderId="0" xfId="15" applyNumberFormat="1" applyFont="1" applyFill="1" applyAlignment="1">
      <alignment horizontal="right"/>
    </xf>
    <xf numFmtId="3" fontId="29" fillId="0" borderId="0" xfId="0" applyNumberFormat="1" applyFont="1" applyBorder="1" applyAlignment="1">
      <alignment/>
    </xf>
    <xf numFmtId="43" fontId="29" fillId="0" borderId="0" xfId="0" applyNumberFormat="1" applyFont="1" applyBorder="1" applyAlignment="1">
      <alignment/>
    </xf>
    <xf numFmtId="0" fontId="28" fillId="0" borderId="0" xfId="0" applyFont="1" applyBorder="1" applyAlignment="1">
      <alignment horizontal="left"/>
    </xf>
    <xf numFmtId="0" fontId="28" fillId="0" borderId="0" xfId="0" applyFont="1" applyBorder="1" applyAlignment="1">
      <alignment/>
    </xf>
    <xf numFmtId="0" fontId="29" fillId="0" borderId="0" xfId="0" applyFont="1" applyBorder="1" applyAlignment="1">
      <alignment/>
    </xf>
    <xf numFmtId="164" fontId="29" fillId="0" borderId="0" xfId="15" applyNumberFormat="1" applyFont="1" applyBorder="1" applyAlignment="1">
      <alignment/>
    </xf>
    <xf numFmtId="164" fontId="29" fillId="0" borderId="0" xfId="15" applyNumberFormat="1" applyFont="1" applyBorder="1" applyAlignment="1">
      <alignment horizontal="center"/>
    </xf>
    <xf numFmtId="0" fontId="28" fillId="0" borderId="13" xfId="0" applyFont="1" applyBorder="1" applyAlignment="1">
      <alignment horizontal="center"/>
    </xf>
    <xf numFmtId="0" fontId="29" fillId="0" borderId="14" xfId="0" applyFont="1" applyBorder="1" applyAlignment="1">
      <alignment/>
    </xf>
    <xf numFmtId="164" fontId="29" fillId="0" borderId="14" xfId="15" applyNumberFormat="1" applyFont="1" applyBorder="1" applyAlignment="1">
      <alignment/>
    </xf>
    <xf numFmtId="164" fontId="29" fillId="0" borderId="15" xfId="15" applyNumberFormat="1" applyFont="1" applyBorder="1" applyAlignment="1">
      <alignment/>
    </xf>
    <xf numFmtId="164" fontId="28" fillId="0" borderId="16" xfId="15" applyNumberFormat="1" applyFont="1" applyBorder="1" applyAlignment="1">
      <alignment horizontal="center"/>
    </xf>
    <xf numFmtId="164" fontId="28" fillId="0" borderId="13" xfId="15" applyNumberFormat="1" applyFont="1" applyBorder="1" applyAlignment="1">
      <alignment horizontal="center"/>
    </xf>
    <xf numFmtId="164" fontId="28" fillId="0" borderId="14" xfId="15" applyNumberFormat="1" applyFont="1" applyBorder="1" applyAlignment="1">
      <alignment horizontal="center"/>
    </xf>
    <xf numFmtId="164" fontId="28" fillId="0" borderId="15" xfId="15" applyNumberFormat="1" applyFont="1" applyBorder="1" applyAlignment="1">
      <alignment horizontal="center"/>
    </xf>
    <xf numFmtId="0" fontId="28" fillId="0" borderId="17" xfId="0" applyFont="1" applyBorder="1" applyAlignment="1">
      <alignment horizontal="center"/>
    </xf>
    <xf numFmtId="0" fontId="29" fillId="0" borderId="18" xfId="0" applyFont="1" applyBorder="1" applyAlignment="1">
      <alignment/>
    </xf>
    <xf numFmtId="164" fontId="28" fillId="0" borderId="18" xfId="15" applyNumberFormat="1" applyFont="1" applyBorder="1" applyAlignment="1">
      <alignment horizontal="center"/>
    </xf>
    <xf numFmtId="164" fontId="28" fillId="0" borderId="19" xfId="15" applyNumberFormat="1" applyFont="1" applyBorder="1" applyAlignment="1">
      <alignment horizontal="center"/>
    </xf>
    <xf numFmtId="164" fontId="28" fillId="0" borderId="20" xfId="15" applyNumberFormat="1" applyFont="1" applyBorder="1" applyAlignment="1">
      <alignment horizontal="center" wrapText="1"/>
    </xf>
    <xf numFmtId="164" fontId="28" fillId="0" borderId="17" xfId="15" applyNumberFormat="1" applyFont="1" applyBorder="1" applyAlignment="1">
      <alignment horizontal="center" wrapText="1"/>
    </xf>
    <xf numFmtId="164" fontId="28" fillId="0" borderId="18" xfId="15" applyNumberFormat="1" applyFont="1" applyBorder="1" applyAlignment="1">
      <alignment horizontal="center" wrapText="1"/>
    </xf>
    <xf numFmtId="164" fontId="28" fillId="0" borderId="19" xfId="15" applyNumberFormat="1" applyFont="1" applyBorder="1" applyAlignment="1">
      <alignment horizontal="center" wrapText="1"/>
    </xf>
    <xf numFmtId="164" fontId="30" fillId="0" borderId="20" xfId="15" applyNumberFormat="1" applyFont="1" applyBorder="1" applyAlignment="1">
      <alignment horizontal="center" wrapText="1"/>
    </xf>
    <xf numFmtId="0" fontId="28" fillId="0" borderId="20" xfId="0" applyFont="1" applyBorder="1" applyAlignment="1">
      <alignment horizontal="center" wrapText="1"/>
    </xf>
    <xf numFmtId="0" fontId="28" fillId="0" borderId="13" xfId="0" applyFont="1" applyBorder="1" applyAlignment="1" quotePrefix="1">
      <alignment horizontal="center"/>
    </xf>
    <xf numFmtId="0" fontId="28" fillId="0" borderId="14" xfId="0" applyFont="1" applyBorder="1" applyAlignment="1">
      <alignment/>
    </xf>
    <xf numFmtId="164" fontId="28" fillId="0" borderId="15" xfId="15" applyNumberFormat="1" applyFont="1" applyBorder="1" applyAlignment="1" quotePrefix="1">
      <alignment horizontal="center"/>
    </xf>
    <xf numFmtId="164" fontId="28" fillId="0" borderId="20" xfId="15" applyNumberFormat="1" applyFont="1" applyBorder="1" applyAlignment="1">
      <alignment horizontal="center"/>
    </xf>
    <xf numFmtId="164" fontId="28" fillId="0" borderId="17" xfId="15" applyNumberFormat="1" applyFont="1" applyBorder="1" applyAlignment="1">
      <alignment horizontal="center"/>
    </xf>
    <xf numFmtId="0" fontId="28" fillId="0" borderId="21" xfId="0" applyFont="1" applyBorder="1" applyAlignment="1">
      <alignment horizontal="center"/>
    </xf>
    <xf numFmtId="0" fontId="28" fillId="0" borderId="11" xfId="0" applyFont="1" applyBorder="1" applyAlignment="1">
      <alignment/>
    </xf>
    <xf numFmtId="0" fontId="29" fillId="0" borderId="11" xfId="0" applyFont="1" applyBorder="1" applyAlignment="1">
      <alignment/>
    </xf>
    <xf numFmtId="0" fontId="28" fillId="5" borderId="11" xfId="0" applyFont="1" applyFill="1" applyBorder="1" applyAlignment="1">
      <alignment/>
    </xf>
    <xf numFmtId="0" fontId="29" fillId="5" borderId="11" xfId="0" applyFont="1" applyFill="1" applyBorder="1" applyAlignment="1">
      <alignment/>
    </xf>
    <xf numFmtId="164" fontId="29" fillId="0" borderId="11" xfId="15" applyNumberFormat="1" applyFont="1" applyBorder="1" applyAlignment="1">
      <alignment/>
    </xf>
    <xf numFmtId="164" fontId="29" fillId="0" borderId="22" xfId="15" applyNumberFormat="1" applyFont="1" applyBorder="1" applyAlignment="1">
      <alignment/>
    </xf>
    <xf numFmtId="164" fontId="29" fillId="0" borderId="23" xfId="15" applyNumberFormat="1" applyFont="1" applyBorder="1" applyAlignment="1">
      <alignment/>
    </xf>
    <xf numFmtId="164" fontId="29" fillId="0" borderId="24" xfId="15" applyNumberFormat="1" applyFont="1" applyBorder="1" applyAlignment="1">
      <alignment/>
    </xf>
    <xf numFmtId="164" fontId="29" fillId="0" borderId="25" xfId="15" applyNumberFormat="1" applyFont="1" applyBorder="1" applyAlignment="1">
      <alignment/>
    </xf>
    <xf numFmtId="164" fontId="29" fillId="0" borderId="16" xfId="15" applyNumberFormat="1" applyFont="1" applyBorder="1" applyAlignment="1">
      <alignment/>
    </xf>
    <xf numFmtId="0" fontId="28" fillId="0" borderId="26" xfId="0" applyFont="1" applyBorder="1" applyAlignment="1">
      <alignment horizontal="center"/>
    </xf>
    <xf numFmtId="0" fontId="31" fillId="0" borderId="0" xfId="0" applyFont="1" applyBorder="1" applyAlignment="1">
      <alignment/>
    </xf>
    <xf numFmtId="0" fontId="32" fillId="0" borderId="0" xfId="0" applyFont="1" applyBorder="1" applyAlignment="1">
      <alignment/>
    </xf>
    <xf numFmtId="164" fontId="29" fillId="0" borderId="10" xfId="15" applyNumberFormat="1" applyFont="1" applyBorder="1" applyAlignment="1">
      <alignment/>
    </xf>
    <xf numFmtId="164" fontId="29" fillId="0" borderId="27" xfId="15" applyNumberFormat="1" applyFont="1" applyBorder="1" applyAlignment="1">
      <alignment/>
    </xf>
    <xf numFmtId="0" fontId="29" fillId="0" borderId="28" xfId="0" applyFont="1" applyBorder="1" applyAlignment="1">
      <alignment/>
    </xf>
    <xf numFmtId="0" fontId="32" fillId="0" borderId="0" xfId="0" applyFont="1" applyBorder="1" applyAlignment="1" quotePrefix="1">
      <alignment/>
    </xf>
    <xf numFmtId="0" fontId="28" fillId="0" borderId="29" xfId="0" applyFont="1" applyBorder="1" applyAlignment="1">
      <alignment horizontal="center"/>
    </xf>
    <xf numFmtId="0" fontId="33" fillId="0" borderId="30" xfId="0" applyFont="1" applyBorder="1" applyAlignment="1">
      <alignment/>
    </xf>
    <xf numFmtId="0" fontId="34" fillId="0" borderId="7" xfId="0" applyFont="1" applyBorder="1" applyAlignment="1">
      <alignment/>
    </xf>
    <xf numFmtId="0" fontId="33" fillId="0" borderId="7" xfId="0" applyFont="1" applyBorder="1" applyAlignment="1">
      <alignment/>
    </xf>
    <xf numFmtId="164" fontId="33" fillId="0" borderId="7" xfId="15" applyNumberFormat="1" applyFont="1" applyBorder="1" applyAlignment="1">
      <alignment/>
    </xf>
    <xf numFmtId="164" fontId="33" fillId="0" borderId="31" xfId="15" applyNumberFormat="1" applyFont="1" applyBorder="1" applyAlignment="1">
      <alignment/>
    </xf>
    <xf numFmtId="0" fontId="28" fillId="0" borderId="0" xfId="0" applyFont="1" applyFill="1" applyBorder="1" applyAlignment="1">
      <alignment/>
    </xf>
    <xf numFmtId="0" fontId="29" fillId="0" borderId="30" xfId="0" applyFont="1" applyBorder="1" applyAlignment="1">
      <alignment/>
    </xf>
    <xf numFmtId="0" fontId="29" fillId="0" borderId="7" xfId="0" applyFont="1" applyBorder="1" applyAlignment="1">
      <alignment/>
    </xf>
    <xf numFmtId="164" fontId="29" fillId="0" borderId="7" xfId="15" applyNumberFormat="1" applyFont="1" applyBorder="1" applyAlignment="1">
      <alignment/>
    </xf>
    <xf numFmtId="164" fontId="29" fillId="0" borderId="31" xfId="15" applyNumberFormat="1" applyFont="1" applyBorder="1" applyAlignment="1">
      <alignment/>
    </xf>
    <xf numFmtId="164" fontId="29" fillId="2" borderId="23" xfId="15" applyNumberFormat="1" applyFont="1" applyFill="1" applyBorder="1" applyAlignment="1">
      <alignment/>
    </xf>
    <xf numFmtId="0" fontId="29" fillId="2" borderId="0" xfId="0" applyFont="1" applyFill="1" applyBorder="1" applyAlignment="1">
      <alignment/>
    </xf>
    <xf numFmtId="164" fontId="29" fillId="0" borderId="0" xfId="15" applyNumberFormat="1" applyFont="1" applyFill="1" applyBorder="1" applyAlignment="1">
      <alignment/>
    </xf>
    <xf numFmtId="3" fontId="29" fillId="0" borderId="0" xfId="0" applyNumberFormat="1" applyFont="1" applyFill="1" applyBorder="1" applyAlignment="1">
      <alignment/>
    </xf>
    <xf numFmtId="43" fontId="29" fillId="0" borderId="0" xfId="0" applyNumberFormat="1" applyFont="1" applyFill="1" applyBorder="1" applyAlignment="1">
      <alignment/>
    </xf>
    <xf numFmtId="0" fontId="29" fillId="0" borderId="0" xfId="0" applyFont="1" applyFill="1" applyBorder="1" applyAlignment="1">
      <alignment/>
    </xf>
    <xf numFmtId="0" fontId="35" fillId="2" borderId="0" xfId="0" applyFont="1" applyFill="1" applyBorder="1" applyAlignment="1">
      <alignment/>
    </xf>
    <xf numFmtId="164" fontId="35" fillId="0" borderId="0" xfId="15" applyNumberFormat="1" applyFont="1" applyBorder="1" applyAlignment="1">
      <alignment/>
    </xf>
    <xf numFmtId="164" fontId="35" fillId="2" borderId="23" xfId="15" applyNumberFormat="1" applyFont="1" applyFill="1" applyBorder="1" applyAlignment="1">
      <alignment/>
    </xf>
    <xf numFmtId="164" fontId="32" fillId="0" borderId="0" xfId="15" applyNumberFormat="1" applyFont="1" applyBorder="1" applyAlignment="1">
      <alignment/>
    </xf>
    <xf numFmtId="164" fontId="32" fillId="2" borderId="23" xfId="15" applyNumberFormat="1" applyFont="1" applyFill="1" applyBorder="1" applyAlignment="1">
      <alignment/>
    </xf>
    <xf numFmtId="164" fontId="32" fillId="0" borderId="23" xfId="15" applyNumberFormat="1" applyFont="1" applyBorder="1" applyAlignment="1">
      <alignment/>
    </xf>
    <xf numFmtId="0" fontId="32" fillId="2" borderId="0" xfId="0" applyFont="1" applyFill="1" applyBorder="1" applyAlignment="1">
      <alignment/>
    </xf>
    <xf numFmtId="164" fontId="32" fillId="2" borderId="0" xfId="15" applyNumberFormat="1" applyFont="1" applyFill="1" applyBorder="1" applyAlignment="1">
      <alignment/>
    </xf>
    <xf numFmtId="164" fontId="29" fillId="2" borderId="24" xfId="15" applyNumberFormat="1" applyFont="1" applyFill="1" applyBorder="1" applyAlignment="1">
      <alignment/>
    </xf>
    <xf numFmtId="0" fontId="28" fillId="0" borderId="32" xfId="0" applyFont="1" applyBorder="1" applyAlignment="1">
      <alignment horizontal="center"/>
    </xf>
    <xf numFmtId="0" fontId="29" fillId="0" borderId="33" xfId="0" applyFont="1" applyBorder="1" applyAlignment="1">
      <alignment/>
    </xf>
    <xf numFmtId="164" fontId="29" fillId="0" borderId="18" xfId="15" applyNumberFormat="1" applyFont="1" applyBorder="1" applyAlignment="1">
      <alignment/>
    </xf>
    <xf numFmtId="164" fontId="29" fillId="0" borderId="19" xfId="15" applyNumberFormat="1" applyFont="1" applyBorder="1" applyAlignment="1">
      <alignment/>
    </xf>
    <xf numFmtId="0" fontId="28" fillId="0" borderId="26" xfId="0" applyFont="1" applyBorder="1" applyAlignment="1" quotePrefix="1">
      <alignment horizontal="center"/>
    </xf>
    <xf numFmtId="0" fontId="31" fillId="5" borderId="0" xfId="0" applyFont="1" applyFill="1" applyBorder="1" applyAlignment="1">
      <alignment/>
    </xf>
    <xf numFmtId="0" fontId="29" fillId="5" borderId="0" xfId="0" applyFont="1" applyFill="1" applyBorder="1" applyAlignment="1">
      <alignment/>
    </xf>
    <xf numFmtId="164" fontId="29" fillId="0" borderId="0" xfId="15" applyNumberFormat="1" applyFont="1" applyAlignment="1">
      <alignment/>
    </xf>
    <xf numFmtId="3" fontId="29" fillId="0" borderId="0" xfId="0" applyNumberFormat="1" applyFont="1" applyAlignment="1">
      <alignment/>
    </xf>
    <xf numFmtId="43" fontId="29" fillId="0" borderId="0" xfId="0" applyNumberFormat="1" applyFont="1" applyAlignment="1">
      <alignment/>
    </xf>
    <xf numFmtId="0" fontId="29" fillId="0" borderId="0" xfId="0" applyFont="1" applyAlignment="1">
      <alignment/>
    </xf>
    <xf numFmtId="164" fontId="29" fillId="0" borderId="23" xfId="15" applyNumberFormat="1" applyFont="1" applyFill="1" applyBorder="1" applyAlignment="1">
      <alignment/>
    </xf>
    <xf numFmtId="164" fontId="29" fillId="0" borderId="24" xfId="15" applyNumberFormat="1" applyFont="1" applyFill="1" applyBorder="1" applyAlignment="1">
      <alignment/>
    </xf>
    <xf numFmtId="164" fontId="29" fillId="0" borderId="25" xfId="15" applyNumberFormat="1" applyFont="1" applyFill="1" applyBorder="1" applyAlignment="1">
      <alignment/>
    </xf>
    <xf numFmtId="0" fontId="28" fillId="0" borderId="28" xfId="0" applyFont="1" applyBorder="1" applyAlignment="1">
      <alignment/>
    </xf>
    <xf numFmtId="0" fontId="36" fillId="0" borderId="0" xfId="0" applyFont="1" applyBorder="1" applyAlignment="1">
      <alignment/>
    </xf>
    <xf numFmtId="0" fontId="29" fillId="0" borderId="0" xfId="0" applyFont="1" applyBorder="1" applyAlignment="1" quotePrefix="1">
      <alignment/>
    </xf>
    <xf numFmtId="43" fontId="29" fillId="0" borderId="0" xfId="0" applyNumberFormat="1" applyFont="1" applyBorder="1" applyAlignment="1" quotePrefix="1">
      <alignment/>
    </xf>
    <xf numFmtId="164" fontId="28" fillId="0" borderId="9" xfId="15" applyNumberFormat="1" applyFont="1" applyFill="1" applyBorder="1" applyAlignment="1">
      <alignment/>
    </xf>
    <xf numFmtId="0" fontId="32" fillId="0" borderId="0" xfId="0" applyFont="1" applyFill="1" applyBorder="1" applyAlignment="1">
      <alignment/>
    </xf>
    <xf numFmtId="0" fontId="26" fillId="0" borderId="0" xfId="0" applyFont="1" applyFill="1" applyAlignment="1">
      <alignment/>
    </xf>
    <xf numFmtId="164" fontId="32" fillId="0" borderId="0" xfId="15" applyNumberFormat="1" applyFont="1" applyFill="1" applyBorder="1" applyAlignment="1">
      <alignment/>
    </xf>
    <xf numFmtId="0" fontId="28" fillId="0" borderId="30" xfId="0" applyFont="1" applyBorder="1" applyAlignment="1">
      <alignment/>
    </xf>
    <xf numFmtId="43" fontId="29" fillId="0" borderId="7" xfId="0" applyNumberFormat="1" applyFont="1" applyBorder="1" applyAlignment="1">
      <alignment/>
    </xf>
    <xf numFmtId="164" fontId="29" fillId="0" borderId="7" xfId="15" applyNumberFormat="1" applyFont="1" applyFill="1" applyBorder="1" applyAlignment="1">
      <alignment/>
    </xf>
    <xf numFmtId="164" fontId="29" fillId="0" borderId="31" xfId="15" applyNumberFormat="1" applyFont="1" applyFill="1" applyBorder="1" applyAlignment="1">
      <alignment/>
    </xf>
    <xf numFmtId="0" fontId="28" fillId="0" borderId="26" xfId="0" applyFont="1" applyFill="1" applyBorder="1" applyAlignment="1">
      <alignment horizontal="center"/>
    </xf>
    <xf numFmtId="0" fontId="29" fillId="0" borderId="28" xfId="0" applyFont="1" applyFill="1" applyBorder="1" applyAlignment="1">
      <alignment/>
    </xf>
    <xf numFmtId="164" fontId="29" fillId="0" borderId="0" xfId="0" applyNumberFormat="1" applyFont="1" applyFill="1" applyBorder="1" applyAlignment="1">
      <alignment/>
    </xf>
    <xf numFmtId="0" fontId="29" fillId="0" borderId="0" xfId="0" applyFont="1" applyFill="1" applyBorder="1" applyAlignment="1">
      <alignment horizontal="left"/>
    </xf>
    <xf numFmtId="0" fontId="37" fillId="0" borderId="0" xfId="0" applyFont="1" applyFill="1" applyBorder="1" applyAlignment="1">
      <alignment horizontal="center"/>
    </xf>
    <xf numFmtId="164" fontId="37" fillId="0" borderId="0" xfId="15" applyNumberFormat="1" applyFont="1" applyFill="1" applyBorder="1" applyAlignment="1">
      <alignment horizontal="center"/>
    </xf>
    <xf numFmtId="164" fontId="29" fillId="0" borderId="23" xfId="15" applyNumberFormat="1" applyFont="1" applyFill="1" applyBorder="1" applyAlignment="1">
      <alignment horizontal="center"/>
    </xf>
    <xf numFmtId="0" fontId="35" fillId="0" borderId="28" xfId="0" applyFont="1" applyFill="1" applyBorder="1" applyAlignment="1">
      <alignment/>
    </xf>
    <xf numFmtId="164" fontId="29" fillId="0" borderId="10" xfId="15" applyNumberFormat="1" applyFont="1" applyFill="1" applyBorder="1" applyAlignment="1">
      <alignment/>
    </xf>
    <xf numFmtId="164" fontId="29" fillId="0" borderId="27" xfId="15" applyNumberFormat="1" applyFont="1" applyFill="1" applyBorder="1" applyAlignment="1">
      <alignment/>
    </xf>
    <xf numFmtId="164" fontId="28" fillId="0" borderId="21" xfId="0" applyNumberFormat="1" applyFont="1" applyFill="1" applyBorder="1" applyAlignment="1">
      <alignment horizontal="center"/>
    </xf>
    <xf numFmtId="164" fontId="29" fillId="0" borderId="11" xfId="0" applyNumberFormat="1" applyFont="1" applyFill="1" applyBorder="1" applyAlignment="1">
      <alignment/>
    </xf>
    <xf numFmtId="164" fontId="29" fillId="0" borderId="11" xfId="15" applyNumberFormat="1" applyFont="1" applyFill="1" applyBorder="1" applyAlignment="1">
      <alignment/>
    </xf>
    <xf numFmtId="164" fontId="29" fillId="0" borderId="22" xfId="15" applyNumberFormat="1" applyFont="1" applyFill="1" applyBorder="1" applyAlignment="1">
      <alignment/>
    </xf>
    <xf numFmtId="164" fontId="29" fillId="0" borderId="0" xfId="0" applyNumberFormat="1" applyFont="1" applyBorder="1" applyAlignment="1">
      <alignment/>
    </xf>
    <xf numFmtId="0" fontId="35" fillId="0" borderId="0" xfId="0" applyFont="1" applyFill="1" applyBorder="1" applyAlignment="1">
      <alignment/>
    </xf>
    <xf numFmtId="0" fontId="28" fillId="0" borderId="29" xfId="0" applyFont="1" applyFill="1" applyBorder="1" applyAlignment="1">
      <alignment horizontal="center"/>
    </xf>
    <xf numFmtId="0" fontId="35" fillId="0" borderId="30" xfId="0" applyFont="1" applyFill="1" applyBorder="1" applyAlignment="1">
      <alignment/>
    </xf>
    <xf numFmtId="0" fontId="28" fillId="0" borderId="7" xfId="0" applyFont="1" applyFill="1" applyBorder="1" applyAlignment="1">
      <alignment/>
    </xf>
    <xf numFmtId="0" fontId="29" fillId="0" borderId="7" xfId="0" applyFont="1" applyFill="1" applyBorder="1" applyAlignment="1">
      <alignment/>
    </xf>
    <xf numFmtId="0" fontId="31" fillId="0" borderId="0" xfId="0" applyFont="1" applyFill="1" applyBorder="1" applyAlignment="1">
      <alignment/>
    </xf>
    <xf numFmtId="164" fontId="31" fillId="0" borderId="0" xfId="15" applyNumberFormat="1" applyFont="1" applyFill="1" applyBorder="1" applyAlignment="1">
      <alignment horizontal="center"/>
    </xf>
    <xf numFmtId="164" fontId="28" fillId="0" borderId="0" xfId="15" applyNumberFormat="1" applyFont="1" applyFill="1" applyBorder="1" applyAlignment="1">
      <alignment/>
    </xf>
    <xf numFmtId="164" fontId="29" fillId="0" borderId="23" xfId="15" applyNumberFormat="1" applyFont="1" applyFill="1" applyBorder="1" applyAlignment="1" quotePrefix="1">
      <alignment/>
    </xf>
    <xf numFmtId="43" fontId="28" fillId="0" borderId="0" xfId="0" applyNumberFormat="1" applyFont="1" applyFill="1" applyBorder="1" applyAlignment="1">
      <alignment/>
    </xf>
    <xf numFmtId="164" fontId="31" fillId="0" borderId="0" xfId="0" applyNumberFormat="1" applyFont="1" applyFill="1" applyBorder="1" applyAlignment="1">
      <alignment horizontal="center"/>
    </xf>
    <xf numFmtId="164" fontId="31" fillId="0" borderId="23" xfId="0" applyNumberFormat="1" applyFont="1" applyFill="1" applyBorder="1" applyAlignment="1">
      <alignment horizontal="center"/>
    </xf>
    <xf numFmtId="164" fontId="28" fillId="0" borderId="34" xfId="15" applyNumberFormat="1" applyFont="1" applyFill="1" applyBorder="1" applyAlignment="1">
      <alignment/>
    </xf>
    <xf numFmtId="164" fontId="28" fillId="0" borderId="23" xfId="15" applyNumberFormat="1" applyFont="1" applyFill="1" applyBorder="1" applyAlignment="1">
      <alignment/>
    </xf>
    <xf numFmtId="0" fontId="28" fillId="6" borderId="26" xfId="0" applyFont="1" applyFill="1" applyBorder="1" applyAlignment="1">
      <alignment horizontal="center"/>
    </xf>
    <xf numFmtId="164" fontId="29" fillId="4" borderId="0" xfId="15" applyNumberFormat="1" applyFont="1" applyFill="1" applyBorder="1" applyAlignment="1">
      <alignment/>
    </xf>
    <xf numFmtId="164" fontId="29" fillId="4" borderId="23" xfId="15" applyNumberFormat="1" applyFont="1" applyFill="1" applyBorder="1" applyAlignment="1">
      <alignment/>
    </xf>
    <xf numFmtId="0" fontId="28" fillId="0" borderId="28" xfId="0" applyFont="1" applyBorder="1" applyAlignment="1" quotePrefix="1">
      <alignment/>
    </xf>
    <xf numFmtId="0" fontId="28" fillId="0" borderId="0" xfId="0" applyFont="1" applyBorder="1" applyAlignment="1" quotePrefix="1">
      <alignment/>
    </xf>
    <xf numFmtId="164" fontId="29" fillId="4" borderId="24" xfId="15" applyNumberFormat="1" applyFont="1" applyFill="1" applyBorder="1" applyAlignment="1">
      <alignment/>
    </xf>
    <xf numFmtId="0" fontId="28" fillId="0" borderId="7" xfId="0" applyFont="1" applyBorder="1" applyAlignment="1">
      <alignment/>
    </xf>
    <xf numFmtId="164" fontId="29" fillId="0" borderId="35" xfId="15" applyNumberFormat="1" applyFont="1" applyFill="1" applyBorder="1" applyAlignment="1">
      <alignment/>
    </xf>
    <xf numFmtId="164" fontId="29" fillId="0" borderId="36" xfId="15" applyNumberFormat="1" applyFont="1" applyFill="1" applyBorder="1" applyAlignment="1">
      <alignment/>
    </xf>
    <xf numFmtId="164" fontId="29" fillId="0" borderId="20" xfId="15" applyNumberFormat="1" applyFont="1" applyFill="1" applyBorder="1" applyAlignment="1">
      <alignment/>
    </xf>
    <xf numFmtId="164" fontId="29" fillId="0" borderId="35" xfId="15" applyNumberFormat="1" applyFont="1" applyBorder="1" applyAlignment="1">
      <alignment/>
    </xf>
    <xf numFmtId="4" fontId="29" fillId="0" borderId="0" xfId="0" applyNumberFormat="1" applyFont="1" applyBorder="1" applyAlignment="1" quotePrefix="1">
      <alignment/>
    </xf>
    <xf numFmtId="164" fontId="36" fillId="0" borderId="5" xfId="15" applyNumberFormat="1" applyFont="1" applyFill="1" applyBorder="1" applyAlignment="1">
      <alignment/>
    </xf>
    <xf numFmtId="164" fontId="36" fillId="0" borderId="2" xfId="15" applyNumberFormat="1" applyFont="1" applyFill="1" applyBorder="1" applyAlignment="1">
      <alignment horizontal="left" vertical="center" wrapText="1"/>
    </xf>
    <xf numFmtId="164" fontId="29" fillId="0" borderId="23" xfId="15" applyNumberFormat="1" applyFont="1" applyFill="1" applyBorder="1" applyAlignment="1">
      <alignment horizontal="left" vertical="center" wrapText="1"/>
    </xf>
    <xf numFmtId="164" fontId="36" fillId="0" borderId="4" xfId="15" applyNumberFormat="1" applyFont="1" applyFill="1" applyBorder="1" applyAlignment="1">
      <alignment/>
    </xf>
    <xf numFmtId="0" fontId="29" fillId="0" borderId="0" xfId="0" applyFont="1" applyBorder="1" applyAlignment="1">
      <alignment horizontal="left"/>
    </xf>
    <xf numFmtId="164" fontId="29" fillId="0" borderId="0" xfId="15" applyNumberFormat="1" applyFont="1" applyFill="1" applyBorder="1" applyAlignment="1">
      <alignment horizontal="left"/>
    </xf>
    <xf numFmtId="164" fontId="29" fillId="0" borderId="7" xfId="15" applyNumberFormat="1" applyFont="1" applyFill="1" applyBorder="1" applyAlignment="1">
      <alignment horizontal="left"/>
    </xf>
    <xf numFmtId="164" fontId="28" fillId="0" borderId="9" xfId="15" applyNumberFormat="1" applyFont="1" applyFill="1" applyBorder="1" applyAlignment="1">
      <alignment horizontal="left"/>
    </xf>
    <xf numFmtId="0" fontId="28" fillId="0" borderId="0" xfId="0" applyFont="1" applyFill="1" applyBorder="1" applyAlignment="1">
      <alignment horizontal="left"/>
    </xf>
    <xf numFmtId="164" fontId="29" fillId="0" borderId="10" xfId="0" applyNumberFormat="1" applyFont="1" applyBorder="1" applyAlignment="1">
      <alignment/>
    </xf>
    <xf numFmtId="174" fontId="29" fillId="0" borderId="23" xfId="15" applyNumberFormat="1" applyFont="1" applyFill="1" applyBorder="1" applyAlignment="1">
      <alignment/>
    </xf>
    <xf numFmtId="0" fontId="35" fillId="0" borderId="0" xfId="0" applyFont="1" applyBorder="1" applyAlignment="1">
      <alignment/>
    </xf>
    <xf numFmtId="0" fontId="29" fillId="0" borderId="0" xfId="0" applyFont="1" applyFill="1" applyAlignment="1">
      <alignment/>
    </xf>
    <xf numFmtId="0" fontId="35" fillId="0" borderId="0" xfId="0" applyFont="1" applyFill="1" applyAlignment="1">
      <alignment/>
    </xf>
    <xf numFmtId="164" fontId="28" fillId="0" borderId="7" xfId="15" applyNumberFormat="1" applyFont="1" applyFill="1" applyBorder="1" applyAlignment="1">
      <alignment/>
    </xf>
    <xf numFmtId="164" fontId="28" fillId="0" borderId="31" xfId="15" applyNumberFormat="1" applyFont="1" applyFill="1" applyBorder="1" applyAlignment="1">
      <alignment/>
    </xf>
    <xf numFmtId="164" fontId="29" fillId="0" borderId="0" xfId="15" applyNumberFormat="1" applyFont="1" applyFill="1" applyBorder="1" applyAlignment="1" quotePrefix="1">
      <alignment/>
    </xf>
    <xf numFmtId="43" fontId="35" fillId="0" borderId="7" xfId="0" applyNumberFormat="1" applyFont="1" applyFill="1" applyBorder="1" applyAlignment="1">
      <alignment/>
    </xf>
    <xf numFmtId="43" fontId="29" fillId="0" borderId="7" xfId="0" applyNumberFormat="1" applyFont="1" applyFill="1" applyBorder="1" applyAlignment="1">
      <alignment/>
    </xf>
    <xf numFmtId="0" fontId="29" fillId="0" borderId="0" xfId="0" applyFont="1" applyFill="1" applyBorder="1" applyAlignment="1" quotePrefix="1">
      <alignment/>
    </xf>
    <xf numFmtId="164" fontId="29" fillId="5" borderId="23" xfId="15" applyNumberFormat="1" applyFont="1" applyFill="1" applyBorder="1" applyAlignment="1">
      <alignment/>
    </xf>
    <xf numFmtId="0" fontId="28" fillId="0" borderId="32" xfId="0" applyFont="1" applyFill="1" applyBorder="1" applyAlignment="1">
      <alignment horizontal="center"/>
    </xf>
    <xf numFmtId="0" fontId="35" fillId="0" borderId="18" xfId="0" applyFont="1" applyFill="1" applyBorder="1" applyAlignment="1">
      <alignment/>
    </xf>
    <xf numFmtId="164" fontId="29" fillId="0" borderId="18" xfId="0" applyNumberFormat="1" applyFont="1" applyBorder="1" applyAlignment="1">
      <alignment/>
    </xf>
    <xf numFmtId="0" fontId="29" fillId="0" borderId="18" xfId="0" applyFont="1" applyFill="1" applyBorder="1" applyAlignment="1">
      <alignment/>
    </xf>
    <xf numFmtId="164" fontId="29" fillId="0" borderId="18" xfId="15" applyNumberFormat="1" applyFont="1" applyFill="1" applyBorder="1" applyAlignment="1">
      <alignment/>
    </xf>
    <xf numFmtId="164" fontId="29" fillId="0" borderId="19" xfId="15" applyNumberFormat="1" applyFont="1" applyFill="1" applyBorder="1" applyAlignment="1">
      <alignment/>
    </xf>
    <xf numFmtId="164" fontId="29" fillId="0" borderId="17" xfId="15" applyNumberFormat="1" applyFont="1" applyFill="1" applyBorder="1" applyAlignment="1">
      <alignment/>
    </xf>
    <xf numFmtId="0" fontId="28" fillId="0" borderId="37" xfId="0" applyFont="1" applyBorder="1" applyAlignment="1">
      <alignment horizontal="center"/>
    </xf>
    <xf numFmtId="0" fontId="35" fillId="0" borderId="14" xfId="0" applyFont="1" applyBorder="1" applyAlignment="1">
      <alignment/>
    </xf>
    <xf numFmtId="164" fontId="29" fillId="0" borderId="14" xfId="15" applyNumberFormat="1" applyFont="1" applyFill="1" applyBorder="1" applyAlignment="1">
      <alignment/>
    </xf>
    <xf numFmtId="164" fontId="29" fillId="0" borderId="15" xfId="15" applyNumberFormat="1" applyFont="1" applyFill="1" applyBorder="1" applyAlignment="1">
      <alignment/>
    </xf>
    <xf numFmtId="0" fontId="28" fillId="5" borderId="0" xfId="0" applyFont="1" applyFill="1" applyBorder="1" applyAlignment="1">
      <alignment/>
    </xf>
    <xf numFmtId="164" fontId="38" fillId="0" borderId="23" xfId="15" applyNumberFormat="1" applyFont="1" applyFill="1" applyBorder="1" applyAlignment="1">
      <alignment/>
    </xf>
    <xf numFmtId="164" fontId="28" fillId="0" borderId="0" xfId="15" applyNumberFormat="1" applyFont="1" applyFill="1" applyBorder="1" applyAlignment="1">
      <alignment horizontal="center"/>
    </xf>
    <xf numFmtId="164" fontId="29" fillId="0" borderId="9" xfId="15" applyNumberFormat="1" applyFont="1" applyFill="1" applyBorder="1" applyAlignment="1">
      <alignment/>
    </xf>
    <xf numFmtId="164" fontId="29" fillId="7" borderId="0" xfId="15" applyNumberFormat="1" applyFont="1" applyFill="1" applyBorder="1" applyAlignment="1">
      <alignment/>
    </xf>
    <xf numFmtId="43" fontId="28" fillId="0" borderId="0" xfId="0" applyNumberFormat="1" applyFont="1" applyBorder="1" applyAlignment="1">
      <alignment/>
    </xf>
    <xf numFmtId="164" fontId="29" fillId="0" borderId="7" xfId="0" applyNumberFormat="1" applyFont="1" applyBorder="1" applyAlignment="1">
      <alignment/>
    </xf>
    <xf numFmtId="164" fontId="29" fillId="3" borderId="0" xfId="15" applyNumberFormat="1" applyFont="1" applyFill="1" applyBorder="1" applyAlignment="1">
      <alignment/>
    </xf>
    <xf numFmtId="164" fontId="29" fillId="3" borderId="23" xfId="15" applyNumberFormat="1" applyFont="1" applyFill="1" applyBorder="1" applyAlignment="1">
      <alignment/>
    </xf>
    <xf numFmtId="164" fontId="29" fillId="0" borderId="16" xfId="15" applyNumberFormat="1" applyFont="1" applyFill="1" applyBorder="1" applyAlignment="1">
      <alignment/>
    </xf>
    <xf numFmtId="0" fontId="29" fillId="0" borderId="0" xfId="0" applyFont="1" applyFill="1" applyBorder="1" applyAlignment="1">
      <alignment/>
    </xf>
    <xf numFmtId="0" fontId="29" fillId="0" borderId="23" xfId="0" applyFont="1" applyFill="1" applyBorder="1" applyAlignment="1">
      <alignment/>
    </xf>
    <xf numFmtId="43" fontId="28" fillId="0" borderId="32" xfId="0" applyNumberFormat="1" applyFont="1" applyBorder="1" applyAlignment="1">
      <alignment horizontal="center"/>
    </xf>
    <xf numFmtId="43" fontId="28" fillId="0" borderId="18" xfId="0" applyNumberFormat="1" applyFont="1" applyBorder="1" applyAlignment="1">
      <alignment/>
    </xf>
    <xf numFmtId="164" fontId="28" fillId="0" borderId="18" xfId="15" applyNumberFormat="1" applyFont="1" applyFill="1" applyBorder="1" applyAlignment="1">
      <alignment/>
    </xf>
    <xf numFmtId="164" fontId="28" fillId="0" borderId="38" xfId="15" applyNumberFormat="1" applyFont="1" applyFill="1" applyBorder="1" applyAlignment="1">
      <alignment/>
    </xf>
    <xf numFmtId="164" fontId="28" fillId="0" borderId="12" xfId="15" applyNumberFormat="1" applyFont="1" applyFill="1" applyBorder="1" applyAlignment="1">
      <alignment/>
    </xf>
    <xf numFmtId="164" fontId="28" fillId="0" borderId="39" xfId="15" applyNumberFormat="1" applyFont="1" applyFill="1" applyBorder="1" applyAlignment="1">
      <alignment/>
    </xf>
    <xf numFmtId="164" fontId="28" fillId="0" borderId="38" xfId="15" applyNumberFormat="1" applyFont="1" applyBorder="1" applyAlignment="1">
      <alignment/>
    </xf>
    <xf numFmtId="164" fontId="28" fillId="0" borderId="0" xfId="15" applyNumberFormat="1" applyFont="1" applyBorder="1" applyAlignment="1">
      <alignment/>
    </xf>
    <xf numFmtId="3" fontId="28" fillId="0" borderId="0" xfId="0" applyNumberFormat="1" applyFont="1" applyBorder="1" applyAlignment="1">
      <alignment/>
    </xf>
    <xf numFmtId="0" fontId="28" fillId="0" borderId="0" xfId="0" applyFont="1" applyBorder="1" applyAlignment="1">
      <alignment horizontal="center"/>
    </xf>
    <xf numFmtId="0" fontId="37" fillId="0" borderId="0" xfId="0" applyFont="1" applyBorder="1" applyAlignment="1">
      <alignment horizontal="center"/>
    </xf>
    <xf numFmtId="164" fontId="37" fillId="0" borderId="0" xfId="15" applyNumberFormat="1" applyFont="1" applyBorder="1" applyAlignment="1">
      <alignment horizontal="center"/>
    </xf>
    <xf numFmtId="164" fontId="37" fillId="0" borderId="0" xfId="15" applyNumberFormat="1" applyFont="1" applyBorder="1" applyAlignment="1" quotePrefix="1">
      <alignment horizontal="center"/>
    </xf>
    <xf numFmtId="164" fontId="37" fillId="0" borderId="0" xfId="15" applyNumberFormat="1" applyFont="1" applyBorder="1" applyAlignment="1">
      <alignment horizontal="left"/>
    </xf>
    <xf numFmtId="164" fontId="37" fillId="0" borderId="0" xfId="15" applyNumberFormat="1" applyFont="1" applyBorder="1" applyAlignment="1" quotePrefix="1">
      <alignment horizontal="left"/>
    </xf>
    <xf numFmtId="3" fontId="37" fillId="0" borderId="0" xfId="0" applyNumberFormat="1" applyFont="1" applyBorder="1" applyAlignment="1">
      <alignment horizontal="center"/>
    </xf>
    <xf numFmtId="43" fontId="37" fillId="0" borderId="0" xfId="0" applyNumberFormat="1" applyFont="1" applyBorder="1" applyAlignment="1">
      <alignment horizontal="center"/>
    </xf>
    <xf numFmtId="164" fontId="29" fillId="0" borderId="0" xfId="15" applyNumberFormat="1" applyFont="1" applyBorder="1" applyAlignment="1" quotePrefix="1">
      <alignment/>
    </xf>
    <xf numFmtId="164" fontId="37" fillId="0" borderId="0" xfId="15" applyNumberFormat="1" applyFont="1" applyBorder="1" applyAlignment="1">
      <alignment/>
    </xf>
    <xf numFmtId="164" fontId="37" fillId="0" borderId="0" xfId="15" applyNumberFormat="1" applyFont="1" applyBorder="1" applyAlignment="1" quotePrefix="1">
      <alignment/>
    </xf>
    <xf numFmtId="164" fontId="37" fillId="0" borderId="6" xfId="15" applyNumberFormat="1" applyFont="1" applyBorder="1" applyAlignment="1">
      <alignment/>
    </xf>
    <xf numFmtId="164" fontId="28" fillId="0" borderId="6" xfId="15" applyNumberFormat="1" applyFont="1" applyBorder="1" applyAlignment="1">
      <alignment/>
    </xf>
    <xf numFmtId="164" fontId="29" fillId="0" borderId="9" xfId="15" applyNumberFormat="1" applyFont="1" applyBorder="1" applyAlignment="1">
      <alignment/>
    </xf>
    <xf numFmtId="164" fontId="28" fillId="0" borderId="9" xfId="15" applyNumberFormat="1" applyFont="1" applyBorder="1" applyAlignment="1">
      <alignment/>
    </xf>
    <xf numFmtId="164" fontId="32" fillId="0" borderId="0" xfId="15" applyNumberFormat="1" applyFont="1" applyBorder="1" applyAlignment="1" quotePrefix="1">
      <alignment/>
    </xf>
    <xf numFmtId="164" fontId="24" fillId="0" borderId="0" xfId="15" applyNumberFormat="1" applyFont="1" applyAlignment="1">
      <alignment horizontal="right"/>
    </xf>
    <xf numFmtId="164" fontId="24" fillId="0" borderId="40" xfId="15" applyNumberFormat="1" applyFont="1" applyBorder="1" applyAlignment="1">
      <alignment/>
    </xf>
    <xf numFmtId="164" fontId="24" fillId="0" borderId="41" xfId="15" applyNumberFormat="1" applyFont="1" applyBorder="1" applyAlignment="1">
      <alignment/>
    </xf>
    <xf numFmtId="164" fontId="0" fillId="0" borderId="41" xfId="15" applyNumberFormat="1" applyBorder="1" applyAlignment="1">
      <alignment/>
    </xf>
    <xf numFmtId="164" fontId="0" fillId="0" borderId="42" xfId="15" applyNumberFormat="1" applyBorder="1" applyAlignment="1">
      <alignment/>
    </xf>
    <xf numFmtId="164" fontId="10" fillId="0" borderId="0" xfId="15" applyNumberFormat="1" applyFont="1" applyAlignment="1">
      <alignment horizontal="center"/>
    </xf>
    <xf numFmtId="164" fontId="24" fillId="0" borderId="0" xfId="15" applyNumberFormat="1" applyFont="1" applyBorder="1" applyAlignment="1">
      <alignment/>
    </xf>
    <xf numFmtId="164" fontId="0" fillId="0" borderId="0" xfId="15" applyNumberFormat="1" applyBorder="1" applyAlignment="1">
      <alignment/>
    </xf>
    <xf numFmtId="164" fontId="27" fillId="0" borderId="0" xfId="15" applyNumberFormat="1" applyFont="1" applyFill="1" applyAlignment="1">
      <alignment/>
    </xf>
    <xf numFmtId="164" fontId="27" fillId="0" borderId="0" xfId="15" applyNumberFormat="1" applyFont="1" applyFill="1" applyAlignment="1">
      <alignment horizontal="right"/>
    </xf>
    <xf numFmtId="49" fontId="39" fillId="0" borderId="0" xfId="0" applyNumberFormat="1" applyFont="1" applyAlignment="1">
      <alignment/>
    </xf>
    <xf numFmtId="0" fontId="40" fillId="0" borderId="0" xfId="0" applyFont="1" applyAlignment="1">
      <alignment/>
    </xf>
    <xf numFmtId="15" fontId="39" fillId="0" borderId="0" xfId="0" applyNumberFormat="1" applyFont="1" applyAlignment="1">
      <alignment horizontal="left"/>
    </xf>
    <xf numFmtId="49" fontId="9" fillId="0" borderId="0" xfId="15" applyNumberFormat="1" applyFont="1" applyAlignment="1">
      <alignment/>
    </xf>
    <xf numFmtId="49" fontId="9" fillId="0" borderId="0" xfId="0" applyNumberFormat="1" applyFont="1" applyAlignment="1">
      <alignment horizontal="center"/>
    </xf>
    <xf numFmtId="49" fontId="9" fillId="0" borderId="0" xfId="0" applyNumberFormat="1" applyFont="1" applyAlignment="1">
      <alignment horizontal="center" vertical="center"/>
    </xf>
    <xf numFmtId="49" fontId="1" fillId="0" borderId="0" xfId="0" applyNumberFormat="1" applyFont="1" applyAlignment="1" quotePrefix="1">
      <alignment horizontal="center"/>
    </xf>
    <xf numFmtId="49" fontId="1" fillId="0" borderId="0" xfId="0" applyNumberFormat="1" applyFont="1" applyAlignment="1">
      <alignment horizontal="center"/>
    </xf>
    <xf numFmtId="41" fontId="0" fillId="0" borderId="0" xfId="0" applyNumberFormat="1" applyAlignment="1">
      <alignment/>
    </xf>
    <xf numFmtId="0" fontId="24" fillId="0" borderId="0" xfId="0" applyFont="1" applyAlignment="1">
      <alignment horizontal="right"/>
    </xf>
    <xf numFmtId="0" fontId="23" fillId="0" borderId="0" xfId="0" applyFont="1" applyFill="1" applyAlignment="1">
      <alignment horizontal="right"/>
    </xf>
    <xf numFmtId="0" fontId="0" fillId="0" borderId="0" xfId="0" applyFont="1" applyAlignment="1">
      <alignment horizontal="justify" vertical="top" wrapText="1"/>
    </xf>
    <xf numFmtId="164" fontId="1" fillId="0" borderId="0" xfId="15" applyNumberFormat="1" applyFont="1" applyFill="1" applyAlignment="1">
      <alignment horizontal="center"/>
    </xf>
    <xf numFmtId="0" fontId="28" fillId="0" borderId="18" xfId="0" applyNumberFormat="1" applyFont="1" applyFill="1" applyBorder="1" applyAlignment="1" applyProtection="1">
      <alignment horizontal="center"/>
      <protection/>
    </xf>
    <xf numFmtId="166" fontId="11" fillId="0" borderId="0" xfId="23" applyNumberFormat="1" applyFont="1" applyAlignment="1">
      <alignment horizontal="center"/>
      <protection/>
    </xf>
    <xf numFmtId="0" fontId="0" fillId="0" borderId="0" xfId="23" applyFont="1" applyFill="1" applyAlignment="1">
      <alignment horizontal="justify" vertical="top" wrapText="1"/>
      <protection/>
    </xf>
    <xf numFmtId="164" fontId="15" fillId="0" borderId="0" xfId="15" applyNumberFormat="1" applyFont="1" applyAlignment="1">
      <alignment horizontal="left"/>
    </xf>
    <xf numFmtId="164" fontId="0" fillId="0" borderId="0" xfId="15" applyNumberFormat="1" applyFont="1" applyAlignment="1">
      <alignment horizontal="left"/>
    </xf>
    <xf numFmtId="164" fontId="0" fillId="0" borderId="0" xfId="15" applyNumberFormat="1" applyAlignment="1">
      <alignment horizontal="left"/>
    </xf>
    <xf numFmtId="164" fontId="0" fillId="0" borderId="0" xfId="15" applyNumberFormat="1" applyFont="1" applyAlignment="1">
      <alignment horizontal="left"/>
    </xf>
    <xf numFmtId="164" fontId="0" fillId="0" borderId="0" xfId="22" applyNumberFormat="1" applyFont="1" applyAlignment="1">
      <alignment horizontal="center"/>
      <protection/>
    </xf>
    <xf numFmtId="164" fontId="0" fillId="0" borderId="0" xfId="15" applyNumberFormat="1" applyFont="1" applyAlignment="1">
      <alignment horizontal="center"/>
    </xf>
    <xf numFmtId="164" fontId="0" fillId="0" borderId="0" xfId="15" applyNumberFormat="1" applyFont="1" applyAlignment="1">
      <alignment horizontal="justify" vertical="top" wrapText="1"/>
    </xf>
    <xf numFmtId="0" fontId="1" fillId="0" borderId="0" xfId="0" applyFont="1" applyAlignment="1">
      <alignment horizontal="center" vertical="center" wrapText="1"/>
    </xf>
    <xf numFmtId="164" fontId="7" fillId="0" borderId="0" xfId="15" applyNumberFormat="1" applyFont="1" applyFill="1" applyAlignment="1">
      <alignment horizontal="left"/>
    </xf>
    <xf numFmtId="164" fontId="0" fillId="0" borderId="0" xfId="15" applyNumberFormat="1" applyFont="1" applyFill="1" applyAlignment="1">
      <alignment horizontal="left"/>
    </xf>
    <xf numFmtId="43" fontId="9" fillId="0" borderId="0" xfId="15" applyFont="1" applyFill="1" applyBorder="1" applyAlignment="1">
      <alignment horizontal="center" vertical="center"/>
    </xf>
    <xf numFmtId="43" fontId="16" fillId="0" borderId="0" xfId="15" applyFont="1" applyFill="1" applyAlignment="1">
      <alignment/>
    </xf>
    <xf numFmtId="43" fontId="0" fillId="0" borderId="0" xfId="15" applyAlignment="1">
      <alignment/>
    </xf>
    <xf numFmtId="0" fontId="9" fillId="0" borderId="0" xfId="23" applyNumberFormat="1" applyFont="1" applyFill="1" applyAlignment="1">
      <alignment horizontal="center" wrapText="1"/>
      <protection/>
    </xf>
    <xf numFmtId="0" fontId="0" fillId="0" borderId="0" xfId="0" applyFont="1" applyAlignment="1">
      <alignment wrapText="1"/>
    </xf>
    <xf numFmtId="0" fontId="0" fillId="0" borderId="0" xfId="0" applyAlignment="1">
      <alignment wrapText="1"/>
    </xf>
    <xf numFmtId="164" fontId="0" fillId="0" borderId="0" xfId="17" applyNumberFormat="1" applyFont="1" applyFill="1" applyAlignment="1">
      <alignment vertical="center"/>
    </xf>
    <xf numFmtId="0" fontId="0" fillId="0" borderId="7" xfId="0" applyBorder="1" applyAlignment="1">
      <alignment vertical="center"/>
    </xf>
    <xf numFmtId="164" fontId="0" fillId="0" borderId="0" xfId="15" applyNumberFormat="1" applyFont="1" applyFill="1" applyAlignment="1">
      <alignment horizontal="justify" vertical="top" wrapText="1"/>
    </xf>
    <xf numFmtId="0" fontId="0" fillId="0" borderId="0" xfId="0" applyAlignment="1">
      <alignment horizontal="justify" vertical="top" wrapText="1"/>
    </xf>
    <xf numFmtId="164" fontId="0" fillId="0" borderId="0" xfId="15" applyNumberFormat="1" applyFont="1" applyFill="1" applyAlignment="1">
      <alignment vertical="top" wrapText="1"/>
    </xf>
    <xf numFmtId="0" fontId="0" fillId="0" borderId="0" xfId="0" applyAlignment="1">
      <alignment vertical="top" wrapText="1"/>
    </xf>
    <xf numFmtId="0" fontId="9" fillId="0" borderId="0" xfId="0" applyFont="1" applyAlignment="1">
      <alignment horizontal="justify" vertical="top" wrapText="1"/>
    </xf>
    <xf numFmtId="0" fontId="9" fillId="0" borderId="7" xfId="0" applyFont="1" applyBorder="1" applyAlignment="1">
      <alignment horizontal="justify" vertical="top" wrapText="1"/>
    </xf>
  </cellXfs>
  <cellStyles count="11">
    <cellStyle name="Normal" xfId="0"/>
    <cellStyle name="Comma" xfId="15"/>
    <cellStyle name="Comma [0]" xfId="16"/>
    <cellStyle name="Comma_LMBaccs040402" xfId="17"/>
    <cellStyle name="Currency" xfId="18"/>
    <cellStyle name="Currency [0]" xfId="19"/>
    <cellStyle name="Followed Hyperlink" xfId="20"/>
    <cellStyle name="Hyperlink" xfId="21"/>
    <cellStyle name="Normal_Group Consolidation" xfId="22"/>
    <cellStyle name="Normal_LMBaccs04040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79</xdr:row>
      <xdr:rowOff>38100</xdr:rowOff>
    </xdr:from>
    <xdr:to>
      <xdr:col>6</xdr:col>
      <xdr:colOff>85725</xdr:colOff>
      <xdr:row>80</xdr:row>
      <xdr:rowOff>114300</xdr:rowOff>
    </xdr:to>
    <xdr:sp>
      <xdr:nvSpPr>
        <xdr:cNvPr id="1" name="AutoShape 1"/>
        <xdr:cNvSpPr>
          <a:spLocks/>
        </xdr:cNvSpPr>
      </xdr:nvSpPr>
      <xdr:spPr>
        <a:xfrm>
          <a:off x="4562475" y="12744450"/>
          <a:ext cx="7620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79</xdr:row>
      <xdr:rowOff>38100</xdr:rowOff>
    </xdr:from>
    <xdr:to>
      <xdr:col>6</xdr:col>
      <xdr:colOff>85725</xdr:colOff>
      <xdr:row>80</xdr:row>
      <xdr:rowOff>114300</xdr:rowOff>
    </xdr:to>
    <xdr:sp>
      <xdr:nvSpPr>
        <xdr:cNvPr id="2" name="AutoShape 11"/>
        <xdr:cNvSpPr>
          <a:spLocks/>
        </xdr:cNvSpPr>
      </xdr:nvSpPr>
      <xdr:spPr>
        <a:xfrm>
          <a:off x="4562475" y="12744450"/>
          <a:ext cx="7620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52</xdr:row>
      <xdr:rowOff>0</xdr:rowOff>
    </xdr:from>
    <xdr:to>
      <xdr:col>4</xdr:col>
      <xdr:colOff>495300</xdr:colOff>
      <xdr:row>52</xdr:row>
      <xdr:rowOff>0</xdr:rowOff>
    </xdr:to>
    <xdr:sp>
      <xdr:nvSpPr>
        <xdr:cNvPr id="1" name="Line 1"/>
        <xdr:cNvSpPr>
          <a:spLocks/>
        </xdr:cNvSpPr>
      </xdr:nvSpPr>
      <xdr:spPr>
        <a:xfrm flipH="1" flipV="1">
          <a:off x="3505200" y="9020175"/>
          <a:ext cx="4476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xdr:row>
      <xdr:rowOff>0</xdr:rowOff>
    </xdr:from>
    <xdr:to>
      <xdr:col>4</xdr:col>
      <xdr:colOff>0</xdr:colOff>
      <xdr:row>7</xdr:row>
      <xdr:rowOff>0</xdr:rowOff>
    </xdr:to>
    <xdr:sp>
      <xdr:nvSpPr>
        <xdr:cNvPr id="1" name="Line 1"/>
        <xdr:cNvSpPr>
          <a:spLocks/>
        </xdr:cNvSpPr>
      </xdr:nvSpPr>
      <xdr:spPr>
        <a:xfrm flipH="1">
          <a:off x="2162175" y="1228725"/>
          <a:ext cx="895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xdr:row>
      <xdr:rowOff>0</xdr:rowOff>
    </xdr:from>
    <xdr:to>
      <xdr:col>4</xdr:col>
      <xdr:colOff>0</xdr:colOff>
      <xdr:row>7</xdr:row>
      <xdr:rowOff>0</xdr:rowOff>
    </xdr:to>
    <xdr:sp>
      <xdr:nvSpPr>
        <xdr:cNvPr id="2" name="Line 2"/>
        <xdr:cNvSpPr>
          <a:spLocks/>
        </xdr:cNvSpPr>
      </xdr:nvSpPr>
      <xdr:spPr>
        <a:xfrm flipH="1">
          <a:off x="2143125" y="1228725"/>
          <a:ext cx="914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12</xdr:row>
      <xdr:rowOff>123825</xdr:rowOff>
    </xdr:from>
    <xdr:to>
      <xdr:col>4</xdr:col>
      <xdr:colOff>0</xdr:colOff>
      <xdr:row>13</xdr:row>
      <xdr:rowOff>19050</xdr:rowOff>
    </xdr:to>
    <xdr:sp>
      <xdr:nvSpPr>
        <xdr:cNvPr id="3" name="Line 3"/>
        <xdr:cNvSpPr>
          <a:spLocks/>
        </xdr:cNvSpPr>
      </xdr:nvSpPr>
      <xdr:spPr>
        <a:xfrm>
          <a:off x="1752600" y="2324100"/>
          <a:ext cx="1304925" cy="571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0</xdr:rowOff>
    </xdr:from>
    <xdr:to>
      <xdr:col>4</xdr:col>
      <xdr:colOff>66675</xdr:colOff>
      <xdr:row>7</xdr:row>
      <xdr:rowOff>0</xdr:rowOff>
    </xdr:to>
    <xdr:sp>
      <xdr:nvSpPr>
        <xdr:cNvPr id="4" name="Line 4"/>
        <xdr:cNvSpPr>
          <a:spLocks/>
        </xdr:cNvSpPr>
      </xdr:nvSpPr>
      <xdr:spPr>
        <a:xfrm flipH="1">
          <a:off x="2190750" y="1228725"/>
          <a:ext cx="9334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933450</xdr:colOff>
      <xdr:row>7</xdr:row>
      <xdr:rowOff>0</xdr:rowOff>
    </xdr:from>
    <xdr:to>
      <xdr:col>5</xdr:col>
      <xdr:colOff>85725</xdr:colOff>
      <xdr:row>7</xdr:row>
      <xdr:rowOff>0</xdr:rowOff>
    </xdr:to>
    <xdr:sp>
      <xdr:nvSpPr>
        <xdr:cNvPr id="5" name="Line 5"/>
        <xdr:cNvSpPr>
          <a:spLocks/>
        </xdr:cNvSpPr>
      </xdr:nvSpPr>
      <xdr:spPr>
        <a:xfrm flipH="1">
          <a:off x="3990975" y="1228725"/>
          <a:ext cx="857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4</xdr:col>
      <xdr:colOff>0</xdr:colOff>
      <xdr:row>7</xdr:row>
      <xdr:rowOff>0</xdr:rowOff>
    </xdr:to>
    <xdr:sp>
      <xdr:nvSpPr>
        <xdr:cNvPr id="6" name="Line 6"/>
        <xdr:cNvSpPr>
          <a:spLocks/>
        </xdr:cNvSpPr>
      </xdr:nvSpPr>
      <xdr:spPr>
        <a:xfrm flipH="1">
          <a:off x="2152650" y="1228725"/>
          <a:ext cx="9048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933450</xdr:colOff>
      <xdr:row>7</xdr:row>
      <xdr:rowOff>0</xdr:rowOff>
    </xdr:from>
    <xdr:to>
      <xdr:col>5</xdr:col>
      <xdr:colOff>1009650</xdr:colOff>
      <xdr:row>7</xdr:row>
      <xdr:rowOff>0</xdr:rowOff>
    </xdr:to>
    <xdr:sp macro="[1]!Line14_Click">
      <xdr:nvSpPr>
        <xdr:cNvPr id="7" name="Line 7"/>
        <xdr:cNvSpPr>
          <a:spLocks/>
        </xdr:cNvSpPr>
      </xdr:nvSpPr>
      <xdr:spPr>
        <a:xfrm>
          <a:off x="3990975" y="1228725"/>
          <a:ext cx="10096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876300</xdr:colOff>
      <xdr:row>7</xdr:row>
      <xdr:rowOff>0</xdr:rowOff>
    </xdr:to>
    <xdr:sp>
      <xdr:nvSpPr>
        <xdr:cNvPr id="8" name="Line 8"/>
        <xdr:cNvSpPr>
          <a:spLocks/>
        </xdr:cNvSpPr>
      </xdr:nvSpPr>
      <xdr:spPr>
        <a:xfrm>
          <a:off x="3990975" y="1228725"/>
          <a:ext cx="8763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0</xdr:rowOff>
    </xdr:from>
    <xdr:to>
      <xdr:col>5</xdr:col>
      <xdr:colOff>876300</xdr:colOff>
      <xdr:row>7</xdr:row>
      <xdr:rowOff>0</xdr:rowOff>
    </xdr:to>
    <xdr:sp>
      <xdr:nvSpPr>
        <xdr:cNvPr id="9" name="Line 9"/>
        <xdr:cNvSpPr>
          <a:spLocks/>
        </xdr:cNvSpPr>
      </xdr:nvSpPr>
      <xdr:spPr>
        <a:xfrm>
          <a:off x="4000500" y="1228725"/>
          <a:ext cx="8667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7</xdr:row>
      <xdr:rowOff>0</xdr:rowOff>
    </xdr:from>
    <xdr:to>
      <xdr:col>4</xdr:col>
      <xdr:colOff>28575</xdr:colOff>
      <xdr:row>7</xdr:row>
      <xdr:rowOff>0</xdr:rowOff>
    </xdr:to>
    <xdr:sp>
      <xdr:nvSpPr>
        <xdr:cNvPr id="10" name="Line 10"/>
        <xdr:cNvSpPr>
          <a:spLocks/>
        </xdr:cNvSpPr>
      </xdr:nvSpPr>
      <xdr:spPr>
        <a:xfrm flipH="1">
          <a:off x="2228850" y="1228725"/>
          <a:ext cx="8572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7</xdr:row>
      <xdr:rowOff>0</xdr:rowOff>
    </xdr:from>
    <xdr:to>
      <xdr:col>4</xdr:col>
      <xdr:colOff>0</xdr:colOff>
      <xdr:row>7</xdr:row>
      <xdr:rowOff>0</xdr:rowOff>
    </xdr:to>
    <xdr:sp>
      <xdr:nvSpPr>
        <xdr:cNvPr id="11" name="Line 11"/>
        <xdr:cNvSpPr>
          <a:spLocks/>
        </xdr:cNvSpPr>
      </xdr:nvSpPr>
      <xdr:spPr>
        <a:xfrm flipH="1">
          <a:off x="1657350" y="1228725"/>
          <a:ext cx="14001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7</xdr:row>
      <xdr:rowOff>0</xdr:rowOff>
    </xdr:from>
    <xdr:to>
      <xdr:col>4</xdr:col>
      <xdr:colOff>0</xdr:colOff>
      <xdr:row>7</xdr:row>
      <xdr:rowOff>0</xdr:rowOff>
    </xdr:to>
    <xdr:sp>
      <xdr:nvSpPr>
        <xdr:cNvPr id="12" name="Line 12"/>
        <xdr:cNvSpPr>
          <a:spLocks/>
        </xdr:cNvSpPr>
      </xdr:nvSpPr>
      <xdr:spPr>
        <a:xfrm flipH="1">
          <a:off x="1609725" y="1228725"/>
          <a:ext cx="14478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4</xdr:col>
      <xdr:colOff>28575</xdr:colOff>
      <xdr:row>7</xdr:row>
      <xdr:rowOff>0</xdr:rowOff>
    </xdr:to>
    <xdr:sp>
      <xdr:nvSpPr>
        <xdr:cNvPr id="13" name="Line 13"/>
        <xdr:cNvSpPr>
          <a:spLocks/>
        </xdr:cNvSpPr>
      </xdr:nvSpPr>
      <xdr:spPr>
        <a:xfrm flipH="1">
          <a:off x="2152650" y="1228725"/>
          <a:ext cx="9334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1</xdr:row>
      <xdr:rowOff>142875</xdr:rowOff>
    </xdr:from>
    <xdr:to>
      <xdr:col>5</xdr:col>
      <xdr:colOff>542925</xdr:colOff>
      <xdr:row>2</xdr:row>
      <xdr:rowOff>9525</xdr:rowOff>
    </xdr:to>
    <xdr:sp>
      <xdr:nvSpPr>
        <xdr:cNvPr id="14" name="Line 14"/>
        <xdr:cNvSpPr>
          <a:spLocks/>
        </xdr:cNvSpPr>
      </xdr:nvSpPr>
      <xdr:spPr>
        <a:xfrm>
          <a:off x="3943350" y="371475"/>
          <a:ext cx="590550" cy="28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933450</xdr:colOff>
      <xdr:row>2</xdr:row>
      <xdr:rowOff>114300</xdr:rowOff>
    </xdr:from>
    <xdr:to>
      <xdr:col>6</xdr:col>
      <xdr:colOff>57150</xdr:colOff>
      <xdr:row>3</xdr:row>
      <xdr:rowOff>76200</xdr:rowOff>
    </xdr:to>
    <xdr:sp>
      <xdr:nvSpPr>
        <xdr:cNvPr id="15" name="Line 15"/>
        <xdr:cNvSpPr>
          <a:spLocks/>
        </xdr:cNvSpPr>
      </xdr:nvSpPr>
      <xdr:spPr>
        <a:xfrm>
          <a:off x="3990975" y="504825"/>
          <a:ext cx="1066800" cy="123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7</xdr:row>
      <xdr:rowOff>0</xdr:rowOff>
    </xdr:from>
    <xdr:to>
      <xdr:col>6</xdr:col>
      <xdr:colOff>0</xdr:colOff>
      <xdr:row>7</xdr:row>
      <xdr:rowOff>0</xdr:rowOff>
    </xdr:to>
    <xdr:sp>
      <xdr:nvSpPr>
        <xdr:cNvPr id="16" name="Line 16"/>
        <xdr:cNvSpPr>
          <a:spLocks/>
        </xdr:cNvSpPr>
      </xdr:nvSpPr>
      <xdr:spPr>
        <a:xfrm>
          <a:off x="4029075" y="1228725"/>
          <a:ext cx="9715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7</xdr:row>
      <xdr:rowOff>0</xdr:rowOff>
    </xdr:from>
    <xdr:to>
      <xdr:col>4</xdr:col>
      <xdr:colOff>0</xdr:colOff>
      <xdr:row>7</xdr:row>
      <xdr:rowOff>0</xdr:rowOff>
    </xdr:to>
    <xdr:sp>
      <xdr:nvSpPr>
        <xdr:cNvPr id="17" name="Line 17"/>
        <xdr:cNvSpPr>
          <a:spLocks/>
        </xdr:cNvSpPr>
      </xdr:nvSpPr>
      <xdr:spPr>
        <a:xfrm flipH="1">
          <a:off x="2295525" y="1228725"/>
          <a:ext cx="7620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9</xdr:row>
      <xdr:rowOff>38100</xdr:rowOff>
    </xdr:from>
    <xdr:to>
      <xdr:col>4</xdr:col>
      <xdr:colOff>0</xdr:colOff>
      <xdr:row>9</xdr:row>
      <xdr:rowOff>38100</xdr:rowOff>
    </xdr:to>
    <xdr:sp>
      <xdr:nvSpPr>
        <xdr:cNvPr id="18" name="Line 18"/>
        <xdr:cNvSpPr>
          <a:spLocks/>
        </xdr:cNvSpPr>
      </xdr:nvSpPr>
      <xdr:spPr>
        <a:xfrm flipH="1">
          <a:off x="2333625" y="1590675"/>
          <a:ext cx="723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47625</xdr:rowOff>
    </xdr:from>
    <xdr:to>
      <xdr:col>6</xdr:col>
      <xdr:colOff>66675</xdr:colOff>
      <xdr:row>9</xdr:row>
      <xdr:rowOff>47625</xdr:rowOff>
    </xdr:to>
    <xdr:sp>
      <xdr:nvSpPr>
        <xdr:cNvPr id="19" name="Line 19"/>
        <xdr:cNvSpPr>
          <a:spLocks/>
        </xdr:cNvSpPr>
      </xdr:nvSpPr>
      <xdr:spPr>
        <a:xfrm>
          <a:off x="3990975" y="1600200"/>
          <a:ext cx="10763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39</xdr:row>
      <xdr:rowOff>28575</xdr:rowOff>
    </xdr:from>
    <xdr:to>
      <xdr:col>5</xdr:col>
      <xdr:colOff>495300</xdr:colOff>
      <xdr:row>39</xdr:row>
      <xdr:rowOff>38100</xdr:rowOff>
    </xdr:to>
    <xdr:sp>
      <xdr:nvSpPr>
        <xdr:cNvPr id="1" name="Line 1"/>
        <xdr:cNvSpPr>
          <a:spLocks/>
        </xdr:cNvSpPr>
      </xdr:nvSpPr>
      <xdr:spPr>
        <a:xfrm flipH="1" flipV="1">
          <a:off x="3695700" y="5972175"/>
          <a:ext cx="4476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Lotus.Notes.Data\Sim%20-%20Encorp-3qtr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Peter\Financial%20report%202005\0503\EBC0503%20without%20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heet"/>
      <sheetName val="equity"/>
      <sheetName val="cflow"/>
    </sheetNames>
    <definedNames>
      <definedName name="Line1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Group "/>
      <sheetName val=" ConsoJL"/>
      <sheetName val="CF Sum"/>
      <sheetName val="CF workings"/>
      <sheetName val="Group - Direct"/>
      <sheetName val="Segmental"/>
      <sheetName val="QTR 4"/>
      <sheetName val="Intercoy"/>
      <sheetName val="Recon"/>
      <sheetName val="Equity"/>
      <sheetName val="CF workings II"/>
      <sheetName val="KLSE infor"/>
      <sheetName val="EPS"/>
      <sheetName val="Mkt value"/>
      <sheetName val="Net interest on ABBA"/>
      <sheetName val="Interco Int 13.8 m"/>
      <sheetName val="Goodwill"/>
    </sheetNames>
    <sheetDataSet>
      <sheetData sheetId="1">
        <row r="31">
          <cell r="J31">
            <v>-260800</v>
          </cell>
        </row>
        <row r="59">
          <cell r="K59">
            <v>2720942</v>
          </cell>
        </row>
        <row r="100">
          <cell r="P100">
            <v>-0.019999980926513672</v>
          </cell>
        </row>
        <row r="113">
          <cell r="D113">
            <v>784039</v>
          </cell>
        </row>
        <row r="116">
          <cell r="D116">
            <v>90000</v>
          </cell>
        </row>
        <row r="138">
          <cell r="D138">
            <v>3735834</v>
          </cell>
        </row>
        <row r="139">
          <cell r="G139">
            <v>87300</v>
          </cell>
        </row>
        <row r="183">
          <cell r="D183">
            <v>53400</v>
          </cell>
          <cell r="J183">
            <v>33900</v>
          </cell>
        </row>
        <row r="194">
          <cell r="G194">
            <v>90000</v>
          </cell>
        </row>
        <row r="477">
          <cell r="K477">
            <v>6287176</v>
          </cell>
        </row>
        <row r="478">
          <cell r="K478">
            <v>12382957</v>
          </cell>
        </row>
        <row r="479">
          <cell r="K479">
            <v>6976335</v>
          </cell>
        </row>
        <row r="480">
          <cell r="K480">
            <v>55445504</v>
          </cell>
        </row>
        <row r="481">
          <cell r="K481">
            <v>16014</v>
          </cell>
        </row>
        <row r="482">
          <cell r="K482">
            <v>9319049</v>
          </cell>
        </row>
        <row r="483">
          <cell r="L483">
            <v>1284315</v>
          </cell>
        </row>
        <row r="491">
          <cell r="P491">
            <v>0</v>
          </cell>
        </row>
        <row r="492">
          <cell r="P492">
            <v>53523625</v>
          </cell>
        </row>
        <row r="493">
          <cell r="P493">
            <v>3028892</v>
          </cell>
        </row>
        <row r="504">
          <cell r="P504">
            <v>52250825</v>
          </cell>
        </row>
        <row r="509">
          <cell r="P509">
            <v>4301692</v>
          </cell>
        </row>
        <row r="550">
          <cell r="K550">
            <v>1580564</v>
          </cell>
        </row>
        <row r="551">
          <cell r="K551">
            <v>7680455</v>
          </cell>
        </row>
        <row r="552">
          <cell r="K552">
            <v>55445504</v>
          </cell>
        </row>
        <row r="553">
          <cell r="K553">
            <v>18523153</v>
          </cell>
        </row>
        <row r="555">
          <cell r="J555">
            <v>8481674</v>
          </cell>
        </row>
      </sheetData>
      <sheetData sheetId="2">
        <row r="21">
          <cell r="J21">
            <v>198282818</v>
          </cell>
        </row>
        <row r="36">
          <cell r="J36">
            <v>48099493</v>
          </cell>
        </row>
        <row r="64">
          <cell r="J64">
            <v>550942</v>
          </cell>
        </row>
        <row r="75">
          <cell r="J75">
            <v>-37583448</v>
          </cell>
        </row>
        <row r="285">
          <cell r="F285">
            <v>16014</v>
          </cell>
          <cell r="V285">
            <v>16014</v>
          </cell>
        </row>
        <row r="289">
          <cell r="Y289">
            <v>580000</v>
          </cell>
        </row>
        <row r="294">
          <cell r="Y294">
            <v>-580000</v>
          </cell>
        </row>
        <row r="301">
          <cell r="W301">
            <v>18523153</v>
          </cell>
        </row>
        <row r="302">
          <cell r="W302">
            <v>55445504</v>
          </cell>
        </row>
        <row r="303">
          <cell r="W303">
            <v>7680455</v>
          </cell>
        </row>
        <row r="304">
          <cell r="W304">
            <v>1580564</v>
          </cell>
        </row>
        <row r="305">
          <cell r="W305">
            <v>8481674</v>
          </cell>
        </row>
        <row r="308">
          <cell r="X308">
            <v>-16014</v>
          </cell>
        </row>
        <row r="309">
          <cell r="X309">
            <v>-6976335</v>
          </cell>
        </row>
        <row r="310">
          <cell r="X310">
            <v>-55445504</v>
          </cell>
        </row>
        <row r="311">
          <cell r="X311">
            <v>-12382957</v>
          </cell>
        </row>
        <row r="312">
          <cell r="X312">
            <v>-9319049</v>
          </cell>
        </row>
        <row r="313">
          <cell r="X313">
            <v>-1284315</v>
          </cell>
        </row>
        <row r="314">
          <cell r="X314">
            <v>-6287176</v>
          </cell>
        </row>
        <row r="322">
          <cell r="Y322">
            <v>-51889379</v>
          </cell>
        </row>
        <row r="340">
          <cell r="AA340">
            <v>51889379</v>
          </cell>
        </row>
        <row r="351">
          <cell r="AK351">
            <v>3086665</v>
          </cell>
        </row>
        <row r="352">
          <cell r="J352">
            <v>-3086665</v>
          </cell>
        </row>
        <row r="372">
          <cell r="AD372">
            <v>90000</v>
          </cell>
        </row>
        <row r="373">
          <cell r="AK373">
            <v>87300</v>
          </cell>
        </row>
        <row r="374">
          <cell r="G374">
            <v>90000</v>
          </cell>
        </row>
        <row r="375">
          <cell r="AK375">
            <v>-53400</v>
          </cell>
        </row>
        <row r="376">
          <cell r="AK376">
            <v>-33900</v>
          </cell>
        </row>
        <row r="381">
          <cell r="Z381">
            <v>2720942</v>
          </cell>
        </row>
        <row r="382">
          <cell r="Z382">
            <v>-2720942</v>
          </cell>
        </row>
        <row r="405">
          <cell r="AH405">
            <v>-1629250</v>
          </cell>
        </row>
        <row r="417">
          <cell r="AK417">
            <v>784039</v>
          </cell>
        </row>
        <row r="424">
          <cell r="AK424">
            <v>3735834</v>
          </cell>
        </row>
        <row r="425">
          <cell r="AA425">
            <v>-3735834</v>
          </cell>
        </row>
        <row r="427">
          <cell r="AA427">
            <v>3735834</v>
          </cell>
        </row>
        <row r="428">
          <cell r="AK428">
            <v>-3735834</v>
          </cell>
        </row>
        <row r="431">
          <cell r="F431">
            <v>152125000</v>
          </cell>
        </row>
        <row r="432">
          <cell r="G432">
            <v>152125000</v>
          </cell>
        </row>
        <row r="438">
          <cell r="H438">
            <v>-356960550</v>
          </cell>
          <cell r="I438">
            <v>5125577.640000001</v>
          </cell>
          <cell r="K438">
            <v>121001000</v>
          </cell>
          <cell r="L438">
            <v>0</v>
          </cell>
          <cell r="N438">
            <v>0</v>
          </cell>
          <cell r="O438">
            <v>0</v>
          </cell>
          <cell r="P438">
            <v>0</v>
          </cell>
          <cell r="Q438">
            <v>-0.19860000163316727</v>
          </cell>
          <cell r="R438">
            <v>0</v>
          </cell>
          <cell r="S438">
            <v>0</v>
          </cell>
          <cell r="T438">
            <v>0</v>
          </cell>
          <cell r="U438">
            <v>-88479</v>
          </cell>
          <cell r="AB438">
            <v>0</v>
          </cell>
          <cell r="AD438">
            <v>90000</v>
          </cell>
          <cell r="AE438">
            <v>0</v>
          </cell>
          <cell r="AF438">
            <v>0</v>
          </cell>
          <cell r="AG438">
            <v>0</v>
          </cell>
          <cell r="AH438">
            <v>-1629250</v>
          </cell>
          <cell r="AI438">
            <v>319469</v>
          </cell>
          <cell r="AJ438">
            <v>0</v>
          </cell>
          <cell r="AK438">
            <v>3780704</v>
          </cell>
        </row>
        <row r="439">
          <cell r="AG439">
            <v>0</v>
          </cell>
        </row>
        <row r="441">
          <cell r="H441">
            <v>0</v>
          </cell>
          <cell r="M441">
            <v>22082375.57859999</v>
          </cell>
          <cell r="Q441">
            <v>9672471</v>
          </cell>
        </row>
        <row r="442">
          <cell r="M442">
            <v>0</v>
          </cell>
          <cell r="Q442">
            <v>-9672471</v>
          </cell>
        </row>
      </sheetData>
      <sheetData sheetId="3">
        <row r="113">
          <cell r="F113">
            <v>-0.4214000105857849</v>
          </cell>
        </row>
      </sheetData>
      <sheetData sheetId="4">
        <row r="12">
          <cell r="C12">
            <v>-5681115.578599989</v>
          </cell>
        </row>
        <row r="14">
          <cell r="C14">
            <v>205510</v>
          </cell>
        </row>
        <row r="15">
          <cell r="C15">
            <v>27196619</v>
          </cell>
        </row>
        <row r="16">
          <cell r="C16">
            <v>-221416</v>
          </cell>
        </row>
        <row r="17">
          <cell r="C17">
            <v>0</v>
          </cell>
        </row>
        <row r="18">
          <cell r="C18">
            <v>0</v>
          </cell>
        </row>
        <row r="19">
          <cell r="C19">
            <v>0</v>
          </cell>
        </row>
        <row r="20">
          <cell r="C20">
            <v>0</v>
          </cell>
        </row>
        <row r="21">
          <cell r="C21">
            <v>0</v>
          </cell>
        </row>
        <row r="22">
          <cell r="C22">
            <v>-1629250</v>
          </cell>
        </row>
        <row r="23">
          <cell r="C23">
            <v>3086665</v>
          </cell>
        </row>
        <row r="27">
          <cell r="C27">
            <v>0</v>
          </cell>
        </row>
        <row r="28">
          <cell r="C28">
            <v>-3.637978807091713E-10</v>
          </cell>
        </row>
        <row r="29">
          <cell r="C29">
            <v>0</v>
          </cell>
        </row>
        <row r="30">
          <cell r="C30">
            <v>0</v>
          </cell>
        </row>
        <row r="31">
          <cell r="C31">
            <v>6440323</v>
          </cell>
        </row>
        <row r="32">
          <cell r="C32">
            <v>4850729</v>
          </cell>
        </row>
        <row r="35">
          <cell r="C35">
            <v>0</v>
          </cell>
        </row>
        <row r="36">
          <cell r="C36">
            <v>-11403</v>
          </cell>
        </row>
        <row r="37">
          <cell r="C37">
            <v>319469</v>
          </cell>
        </row>
        <row r="41">
          <cell r="C41">
            <v>-55364</v>
          </cell>
        </row>
        <row r="42">
          <cell r="C42">
            <v>-1627411</v>
          </cell>
        </row>
        <row r="43">
          <cell r="C43">
            <v>784039</v>
          </cell>
        </row>
        <row r="44">
          <cell r="C44">
            <v>0</v>
          </cell>
        </row>
        <row r="45">
          <cell r="C45">
            <v>0</v>
          </cell>
        </row>
        <row r="46">
          <cell r="C46">
            <v>221416</v>
          </cell>
        </row>
        <row r="50">
          <cell r="C50">
            <v>0</v>
          </cell>
        </row>
        <row r="51">
          <cell r="C51">
            <v>-15000000</v>
          </cell>
        </row>
        <row r="52">
          <cell r="C52">
            <v>0</v>
          </cell>
        </row>
        <row r="53">
          <cell r="C53">
            <v>-16205959</v>
          </cell>
        </row>
        <row r="54">
          <cell r="C54">
            <v>-20071</v>
          </cell>
        </row>
        <row r="60">
          <cell r="C60">
            <v>1648912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Y711"/>
  <sheetViews>
    <sheetView zoomScale="75" zoomScaleNormal="75" workbookViewId="0" topLeftCell="A1">
      <pane xSplit="5040" ySplit="1080" topLeftCell="M515" activePane="topLeft" state="split"/>
      <selection pane="topLeft" activeCell="A1" sqref="A1:IV16384"/>
      <selection pane="topRight" activeCell="D1" sqref="D1"/>
      <selection pane="bottomLeft" activeCell="B519" sqref="B519"/>
      <selection pane="bottomRight" activeCell="P167" sqref="P167"/>
    </sheetView>
  </sheetViews>
  <sheetFormatPr defaultColWidth="9.140625" defaultRowHeight="12.75"/>
  <cols>
    <col min="1" max="1" width="2.57421875" style="16" customWidth="1"/>
    <col min="2" max="2" width="48.421875" style="16" customWidth="1"/>
    <col min="3" max="3" width="8.421875" style="170" customWidth="1"/>
    <col min="4" max="4" width="15.57421875" style="26" customWidth="1"/>
    <col min="5" max="5" width="14.28125" style="26" customWidth="1"/>
    <col min="6" max="6" width="17.7109375" style="26" bestFit="1" customWidth="1"/>
    <col min="7" max="7" width="17.140625" style="26" customWidth="1"/>
    <col min="8" max="8" width="14.8515625" style="26" customWidth="1"/>
    <col min="9" max="9" width="16.00390625" style="26" bestFit="1" customWidth="1"/>
    <col min="10" max="10" width="17.140625" style="26" customWidth="1"/>
    <col min="11" max="11" width="18.00390625" style="172" bestFit="1" customWidth="1"/>
    <col min="12" max="12" width="18.7109375" style="172" bestFit="1" customWidth="1"/>
    <col min="13" max="13" width="16.00390625" style="26" customWidth="1"/>
    <col min="14" max="14" width="17.140625" style="26" bestFit="1" customWidth="1"/>
    <col min="15" max="15" width="19.00390625" style="172" bestFit="1" customWidth="1"/>
    <col min="16" max="16" width="18.7109375" style="172" bestFit="1" customWidth="1"/>
    <col min="17" max="17" width="16.57421875" style="174" bestFit="1" customWidth="1"/>
    <col min="18" max="18" width="9.8515625" style="16" customWidth="1"/>
    <col min="19" max="20" width="18.7109375" style="172" bestFit="1" customWidth="1"/>
    <col min="21" max="22" width="9.8515625" style="16" customWidth="1"/>
    <col min="23" max="25" width="9.421875" style="16" bestFit="1" customWidth="1"/>
    <col min="26" max="16384" width="9.140625" style="16" customWidth="1"/>
  </cols>
  <sheetData>
    <row r="1" spans="2:20" ht="15">
      <c r="B1" s="169" t="s">
        <v>140</v>
      </c>
      <c r="G1" s="171"/>
      <c r="P1" s="173"/>
      <c r="S1" s="173"/>
      <c r="T1" s="173"/>
    </row>
    <row r="2" spans="2:20" s="169" customFormat="1" ht="15">
      <c r="B2" s="169" t="s">
        <v>141</v>
      </c>
      <c r="C2" s="170"/>
      <c r="D2" s="175"/>
      <c r="E2" s="172"/>
      <c r="F2" s="172"/>
      <c r="G2" s="172"/>
      <c r="H2" s="172"/>
      <c r="I2" s="172"/>
      <c r="J2" s="172"/>
      <c r="K2" s="172"/>
      <c r="L2" s="172"/>
      <c r="M2" s="172"/>
      <c r="N2" s="172"/>
      <c r="O2" s="172"/>
      <c r="P2" s="172"/>
      <c r="Q2" s="176"/>
      <c r="S2" s="172"/>
      <c r="T2" s="172"/>
    </row>
    <row r="3" spans="2:20" s="169" customFormat="1" ht="15">
      <c r="B3" s="177" t="s">
        <v>142</v>
      </c>
      <c r="C3" s="170"/>
      <c r="D3" s="178" t="s">
        <v>143</v>
      </c>
      <c r="E3" s="172"/>
      <c r="F3" s="172"/>
      <c r="G3" s="172"/>
      <c r="H3" s="178" t="s">
        <v>144</v>
      </c>
      <c r="I3" s="178"/>
      <c r="J3" s="178"/>
      <c r="K3" s="172"/>
      <c r="L3" s="178" t="s">
        <v>145</v>
      </c>
      <c r="M3" s="528" t="s">
        <v>146</v>
      </c>
      <c r="N3" s="528"/>
      <c r="O3" s="178" t="s">
        <v>145</v>
      </c>
      <c r="P3" s="170" t="s">
        <v>147</v>
      </c>
      <c r="Q3" s="170" t="s">
        <v>147</v>
      </c>
      <c r="S3" s="170"/>
      <c r="T3" s="170" t="s">
        <v>147</v>
      </c>
    </row>
    <row r="4" spans="3:20" ht="15">
      <c r="C4" s="170" t="s">
        <v>148</v>
      </c>
      <c r="D4" s="175" t="s">
        <v>149</v>
      </c>
      <c r="E4" s="179" t="s">
        <v>150</v>
      </c>
      <c r="F4" s="179" t="s">
        <v>151</v>
      </c>
      <c r="G4" s="180" t="s">
        <v>152</v>
      </c>
      <c r="H4" s="179" t="s">
        <v>153</v>
      </c>
      <c r="I4" s="179" t="s">
        <v>154</v>
      </c>
      <c r="J4" s="180" t="s">
        <v>155</v>
      </c>
      <c r="K4" s="180" t="s">
        <v>51</v>
      </c>
      <c r="L4" s="179" t="s">
        <v>51</v>
      </c>
      <c r="M4" s="175" t="s">
        <v>156</v>
      </c>
      <c r="N4" s="175" t="s">
        <v>157</v>
      </c>
      <c r="O4" s="179" t="s">
        <v>51</v>
      </c>
      <c r="P4" s="181" t="s">
        <v>158</v>
      </c>
      <c r="Q4" s="181" t="s">
        <v>159</v>
      </c>
      <c r="S4" s="181"/>
      <c r="T4" s="181" t="s">
        <v>160</v>
      </c>
    </row>
    <row r="5" spans="2:17" ht="15">
      <c r="B5" s="169" t="s">
        <v>161</v>
      </c>
      <c r="Q5" s="172"/>
    </row>
    <row r="6" ht="15">
      <c r="Q6" s="172"/>
    </row>
    <row r="7" spans="2:20" s="169" customFormat="1" ht="15">
      <c r="B7" s="169" t="s">
        <v>107</v>
      </c>
      <c r="C7" s="170">
        <v>1</v>
      </c>
      <c r="D7" s="172">
        <f aca="true" t="shared" si="0" ref="D7:J7">D120</f>
        <v>874039</v>
      </c>
      <c r="E7" s="172">
        <f t="shared" si="0"/>
        <v>0</v>
      </c>
      <c r="F7" s="172">
        <f t="shared" si="0"/>
        <v>26371708</v>
      </c>
      <c r="G7" s="284">
        <f t="shared" si="0"/>
        <v>0</v>
      </c>
      <c r="H7" s="172">
        <f t="shared" si="0"/>
        <v>0</v>
      </c>
      <c r="I7" s="172">
        <f>I120</f>
        <v>0</v>
      </c>
      <c r="J7" s="172">
        <f t="shared" si="0"/>
        <v>0</v>
      </c>
      <c r="K7" s="172">
        <f>SUM(D7:J7)</f>
        <v>27245747</v>
      </c>
      <c r="L7" s="172">
        <f>-K7</f>
        <v>-27245747</v>
      </c>
      <c r="M7" s="172">
        <f>M120</f>
        <v>874039</v>
      </c>
      <c r="N7" s="172">
        <f>N120</f>
        <v>0</v>
      </c>
      <c r="O7" s="172">
        <f>L7+M7+N7</f>
        <v>-26371708</v>
      </c>
      <c r="P7" s="172">
        <f>-O7</f>
        <v>26371708</v>
      </c>
      <c r="Q7" s="172">
        <f>+P7+S7</f>
        <v>26371708</v>
      </c>
      <c r="S7" s="172"/>
      <c r="T7" s="172">
        <v>8787989</v>
      </c>
    </row>
    <row r="8" spans="2:20" ht="15">
      <c r="B8" s="16" t="s">
        <v>162</v>
      </c>
      <c r="C8" s="170">
        <v>2</v>
      </c>
      <c r="D8" s="182">
        <f>-D130</f>
        <v>0</v>
      </c>
      <c r="E8" s="182">
        <f>-E130</f>
        <v>0</v>
      </c>
      <c r="F8" s="182">
        <f>F130</f>
        <v>0</v>
      </c>
      <c r="G8" s="285">
        <f>G130</f>
        <v>0</v>
      </c>
      <c r="H8" s="182">
        <f>H130</f>
        <v>0</v>
      </c>
      <c r="I8" s="182">
        <f>I130</f>
        <v>0</v>
      </c>
      <c r="J8" s="182">
        <f>J127</f>
        <v>0</v>
      </c>
      <c r="K8" s="183">
        <f>SUM(D8:J8)</f>
        <v>0</v>
      </c>
      <c r="L8" s="183">
        <f>-K8</f>
        <v>0</v>
      </c>
      <c r="M8" s="182">
        <f>M130</f>
        <v>0</v>
      </c>
      <c r="N8" s="182">
        <f>N130</f>
        <v>0</v>
      </c>
      <c r="O8" s="183">
        <f>L8+M8+N8</f>
        <v>0</v>
      </c>
      <c r="P8" s="183">
        <f>-O8</f>
        <v>0</v>
      </c>
      <c r="Q8" s="183">
        <f>+P8+S8</f>
        <v>0</v>
      </c>
      <c r="S8" s="183"/>
      <c r="T8" s="183">
        <v>0</v>
      </c>
    </row>
    <row r="9" spans="5:20" ht="15">
      <c r="E9" s="16"/>
      <c r="F9" s="170"/>
      <c r="H9" s="16"/>
      <c r="I9" s="16"/>
      <c r="K9" s="26"/>
      <c r="L9" s="16"/>
      <c r="M9" s="184"/>
      <c r="O9" s="16"/>
      <c r="P9" s="170"/>
      <c r="Q9" s="170"/>
      <c r="S9" s="170"/>
      <c r="T9" s="170"/>
    </row>
    <row r="10" spans="2:20" s="169" customFormat="1" ht="15">
      <c r="B10" s="169" t="s">
        <v>163</v>
      </c>
      <c r="C10" s="170"/>
      <c r="D10" s="172">
        <f aca="true" t="shared" si="1" ref="D10:N10">D7+D8</f>
        <v>874039</v>
      </c>
      <c r="E10" s="172">
        <f t="shared" si="1"/>
        <v>0</v>
      </c>
      <c r="F10" s="172">
        <f t="shared" si="1"/>
        <v>26371708</v>
      </c>
      <c r="G10" s="172">
        <f t="shared" si="1"/>
        <v>0</v>
      </c>
      <c r="H10" s="172">
        <f t="shared" si="1"/>
        <v>0</v>
      </c>
      <c r="I10" s="172">
        <f>I7+I8</f>
        <v>0</v>
      </c>
      <c r="J10" s="172">
        <f t="shared" si="1"/>
        <v>0</v>
      </c>
      <c r="K10" s="172">
        <f t="shared" si="1"/>
        <v>27245747</v>
      </c>
      <c r="L10" s="172">
        <f t="shared" si="1"/>
        <v>-27245747</v>
      </c>
      <c r="M10" s="172">
        <f t="shared" si="1"/>
        <v>874039</v>
      </c>
      <c r="N10" s="172">
        <f t="shared" si="1"/>
        <v>0</v>
      </c>
      <c r="O10" s="172">
        <f>SUM(O7:O8)</f>
        <v>-26371708</v>
      </c>
      <c r="P10" s="172">
        <f>P7+P8</f>
        <v>26371708</v>
      </c>
      <c r="Q10" s="172">
        <f>Q7+Q8</f>
        <v>26371708</v>
      </c>
      <c r="S10" s="172"/>
      <c r="T10" s="172">
        <v>8787989</v>
      </c>
    </row>
    <row r="11" ht="15">
      <c r="Q11" s="172"/>
    </row>
    <row r="12" spans="2:20" s="185" customFormat="1" ht="15">
      <c r="B12" s="185" t="s">
        <v>164</v>
      </c>
      <c r="C12" s="186" t="s">
        <v>165</v>
      </c>
      <c r="D12" s="187">
        <v>0</v>
      </c>
      <c r="E12" s="187">
        <v>0</v>
      </c>
      <c r="F12" s="187">
        <v>0</v>
      </c>
      <c r="G12" s="187">
        <f>0</f>
        <v>0</v>
      </c>
      <c r="H12" s="187">
        <v>0</v>
      </c>
      <c r="I12" s="187">
        <v>0</v>
      </c>
      <c r="J12" s="26">
        <f>-1176-18804-1522-14500-31824</f>
        <v>-67826</v>
      </c>
      <c r="K12" s="188">
        <f>SUM(D12:J12)</f>
        <v>-67826</v>
      </c>
      <c r="L12" s="188">
        <f>-K12</f>
        <v>67826</v>
      </c>
      <c r="M12" s="187">
        <v>0</v>
      </c>
      <c r="N12" s="187">
        <f>0</f>
        <v>0</v>
      </c>
      <c r="O12" s="188">
        <f>L12+M12+N12</f>
        <v>67826</v>
      </c>
      <c r="P12" s="188">
        <f>-O12</f>
        <v>-67826</v>
      </c>
      <c r="Q12" s="172">
        <f>+P12+S12</f>
        <v>-67826</v>
      </c>
      <c r="S12" s="188"/>
      <c r="T12" s="188">
        <v>0</v>
      </c>
    </row>
    <row r="13" spans="2:20" s="185" customFormat="1" ht="15">
      <c r="B13" s="185" t="s">
        <v>166</v>
      </c>
      <c r="C13" s="186" t="s">
        <v>165</v>
      </c>
      <c r="D13" s="190">
        <f>-3221623-D14-D22+24000-1200000</f>
        <v>-1350899</v>
      </c>
      <c r="E13" s="187">
        <f>-800-E14-E22</f>
        <v>-800</v>
      </c>
      <c r="F13" s="187">
        <f>-70643-F14</f>
        <v>-67021</v>
      </c>
      <c r="G13" s="187">
        <f>-1850052-G14-G22</f>
        <v>-1653733</v>
      </c>
      <c r="H13" s="187">
        <f>-249-H14-H22</f>
        <v>-249</v>
      </c>
      <c r="I13" s="187">
        <f>-263700-I14-I22</f>
        <v>-1200</v>
      </c>
      <c r="J13" s="187">
        <f>-260800-J14-J22-J12</f>
        <v>-187767</v>
      </c>
      <c r="K13" s="188">
        <f>SUM(D13:J13)</f>
        <v>-3261669</v>
      </c>
      <c r="L13" s="188">
        <f>-K13</f>
        <v>3261669</v>
      </c>
      <c r="M13" s="187">
        <v>0</v>
      </c>
      <c r="N13" s="187">
        <f>N183+N194</f>
        <v>-177300</v>
      </c>
      <c r="O13" s="188">
        <f>L13+M13+N13</f>
        <v>3084369</v>
      </c>
      <c r="P13" s="188">
        <f>-O13</f>
        <v>-3084369</v>
      </c>
      <c r="Q13" s="172">
        <f>+P13+S13</f>
        <v>-3084369</v>
      </c>
      <c r="S13" s="188"/>
      <c r="T13" s="188">
        <v>-795419</v>
      </c>
    </row>
    <row r="14" spans="2:20" s="185" customFormat="1" ht="15">
      <c r="B14" s="185" t="s">
        <v>167</v>
      </c>
      <c r="C14" s="186" t="s">
        <v>165</v>
      </c>
      <c r="D14" s="187">
        <f>-D174</f>
        <v>-10405</v>
      </c>
      <c r="E14" s="187">
        <f aca="true" t="shared" si="2" ref="E14:J14">-E174</f>
        <v>0</v>
      </c>
      <c r="F14" s="187">
        <f>-F174</f>
        <v>-3622</v>
      </c>
      <c r="G14" s="187">
        <f t="shared" si="2"/>
        <v>-186276</v>
      </c>
      <c r="H14" s="187">
        <f t="shared" si="2"/>
        <v>0</v>
      </c>
      <c r="I14" s="187">
        <v>-262500</v>
      </c>
      <c r="J14" s="187">
        <f t="shared" si="2"/>
        <v>-5207</v>
      </c>
      <c r="K14" s="188">
        <f>SUM(D14:J14)</f>
        <v>-468010</v>
      </c>
      <c r="L14" s="188">
        <f>-K14</f>
        <v>468010</v>
      </c>
      <c r="M14" s="187">
        <f>M171</f>
        <v>3086665</v>
      </c>
      <c r="N14" s="187">
        <v>0</v>
      </c>
      <c r="O14" s="188">
        <f>L14+M14+N14</f>
        <v>3554675</v>
      </c>
      <c r="P14" s="188">
        <f>-O14</f>
        <v>-3554675</v>
      </c>
      <c r="Q14" s="172">
        <f>+P14+S14</f>
        <v>-3554675</v>
      </c>
      <c r="S14" s="188"/>
      <c r="T14" s="188">
        <v>-1227609</v>
      </c>
    </row>
    <row r="15" spans="3:20" s="169" customFormat="1" ht="15">
      <c r="C15" s="170"/>
      <c r="D15" s="189">
        <f aca="true" t="shared" si="3" ref="D15:Q15">SUM(D12:D14)</f>
        <v>-1361304</v>
      </c>
      <c r="E15" s="189">
        <f t="shared" si="3"/>
        <v>-800</v>
      </c>
      <c r="F15" s="189">
        <f>SUM(F12:F14)</f>
        <v>-70643</v>
      </c>
      <c r="G15" s="189">
        <f>SUM(G12:G14)</f>
        <v>-1840009</v>
      </c>
      <c r="H15" s="189">
        <f t="shared" si="3"/>
        <v>-249</v>
      </c>
      <c r="I15" s="189">
        <f t="shared" si="3"/>
        <v>-263700</v>
      </c>
      <c r="J15" s="189">
        <f t="shared" si="3"/>
        <v>-260800</v>
      </c>
      <c r="K15" s="189">
        <f t="shared" si="3"/>
        <v>-3797505</v>
      </c>
      <c r="L15" s="189">
        <f t="shared" si="3"/>
        <v>3797505</v>
      </c>
      <c r="M15" s="189">
        <f t="shared" si="3"/>
        <v>3086665</v>
      </c>
      <c r="N15" s="189">
        <f t="shared" si="3"/>
        <v>-177300</v>
      </c>
      <c r="O15" s="189">
        <f t="shared" si="3"/>
        <v>6706870</v>
      </c>
      <c r="P15" s="189">
        <f t="shared" si="3"/>
        <v>-6706870</v>
      </c>
      <c r="Q15" s="189">
        <f t="shared" si="3"/>
        <v>-6706870</v>
      </c>
      <c r="S15" s="189"/>
      <c r="T15" s="189">
        <v>-2023028</v>
      </c>
    </row>
    <row r="16" ht="15">
      <c r="Q16" s="172"/>
    </row>
    <row r="17" spans="2:20" s="169" customFormat="1" ht="15">
      <c r="B17" s="169" t="s">
        <v>168</v>
      </c>
      <c r="C17" s="170"/>
      <c r="D17" s="172">
        <f aca="true" t="shared" si="4" ref="D17:P17">D10+D15</f>
        <v>-487265</v>
      </c>
      <c r="E17" s="172">
        <f t="shared" si="4"/>
        <v>-800</v>
      </c>
      <c r="F17" s="172">
        <f t="shared" si="4"/>
        <v>26301065</v>
      </c>
      <c r="G17" s="172">
        <f t="shared" si="4"/>
        <v>-1840009</v>
      </c>
      <c r="H17" s="172">
        <f t="shared" si="4"/>
        <v>-249</v>
      </c>
      <c r="I17" s="172">
        <f>I10+I15</f>
        <v>-263700</v>
      </c>
      <c r="J17" s="172">
        <f>J10+J15</f>
        <v>-260800</v>
      </c>
      <c r="K17" s="172">
        <f t="shared" si="4"/>
        <v>23448242</v>
      </c>
      <c r="L17" s="172">
        <f t="shared" si="4"/>
        <v>-23448242</v>
      </c>
      <c r="M17" s="172">
        <f t="shared" si="4"/>
        <v>3960704</v>
      </c>
      <c r="N17" s="172">
        <f t="shared" si="4"/>
        <v>-177300</v>
      </c>
      <c r="O17" s="172">
        <f t="shared" si="4"/>
        <v>-19664838</v>
      </c>
      <c r="P17" s="172">
        <f t="shared" si="4"/>
        <v>19664838</v>
      </c>
      <c r="Q17" s="172">
        <f>Q10+Q15</f>
        <v>19664838</v>
      </c>
      <c r="S17" s="172"/>
      <c r="T17" s="172">
        <v>6764961</v>
      </c>
    </row>
    <row r="18" spans="3:20" s="169" customFormat="1" ht="15">
      <c r="C18" s="170"/>
      <c r="D18" s="172"/>
      <c r="E18" s="172"/>
      <c r="F18" s="172"/>
      <c r="G18" s="172"/>
      <c r="H18" s="172"/>
      <c r="I18" s="172"/>
      <c r="J18" s="172"/>
      <c r="K18" s="172"/>
      <c r="L18" s="172"/>
      <c r="M18" s="172"/>
      <c r="N18" s="172"/>
      <c r="O18" s="172"/>
      <c r="P18" s="172"/>
      <c r="Q18" s="172"/>
      <c r="S18" s="172"/>
      <c r="T18" s="172"/>
    </row>
    <row r="19" spans="2:20" ht="15">
      <c r="B19" s="16" t="s">
        <v>169</v>
      </c>
      <c r="C19" s="170">
        <v>3</v>
      </c>
      <c r="D19" s="26">
        <f>D146</f>
        <v>3741567</v>
      </c>
      <c r="E19" s="26">
        <f aca="true" t="shared" si="5" ref="E19:J19">E146</f>
        <v>0</v>
      </c>
      <c r="F19" s="26">
        <f t="shared" si="5"/>
        <v>212691</v>
      </c>
      <c r="G19" s="26">
        <f t="shared" si="5"/>
        <v>90292</v>
      </c>
      <c r="H19" s="26">
        <f t="shared" si="5"/>
        <v>0</v>
      </c>
      <c r="I19" s="26">
        <f>I146</f>
        <v>0</v>
      </c>
      <c r="J19" s="26">
        <f t="shared" si="5"/>
        <v>0</v>
      </c>
      <c r="K19" s="172">
        <f>SUM(D19:J19)</f>
        <v>4044550</v>
      </c>
      <c r="L19" s="172">
        <f>-K19</f>
        <v>-4044550</v>
      </c>
      <c r="M19" s="26">
        <f>M146</f>
        <v>3823134</v>
      </c>
      <c r="N19" s="26">
        <f>N146</f>
        <v>0</v>
      </c>
      <c r="O19" s="172">
        <f>L19+M19+N19</f>
        <v>-221416</v>
      </c>
      <c r="P19" s="172">
        <f>-O19</f>
        <v>221416</v>
      </c>
      <c r="Q19" s="172">
        <f>+P19+S19</f>
        <v>221416</v>
      </c>
      <c r="T19" s="172">
        <v>61879</v>
      </c>
    </row>
    <row r="20" spans="2:20" ht="15" hidden="1">
      <c r="B20" s="16" t="s">
        <v>170</v>
      </c>
      <c r="D20" s="26">
        <v>0</v>
      </c>
      <c r="K20" s="172">
        <f>SUM(D20:J20)</f>
        <v>0</v>
      </c>
      <c r="L20" s="172">
        <f>-K20</f>
        <v>0</v>
      </c>
      <c r="M20" s="26">
        <v>0</v>
      </c>
      <c r="N20" s="26">
        <v>0</v>
      </c>
      <c r="O20" s="172">
        <f>L20+M20+N20</f>
        <v>0</v>
      </c>
      <c r="P20" s="172">
        <f>-O20</f>
        <v>0</v>
      </c>
      <c r="Q20" s="172">
        <f>+P20+S20</f>
        <v>0</v>
      </c>
      <c r="T20" s="172">
        <v>0</v>
      </c>
    </row>
    <row r="21" spans="2:20" ht="15">
      <c r="B21" s="16" t="s">
        <v>171</v>
      </c>
      <c r="K21" s="172">
        <f>SUM(D21:J21)</f>
        <v>0</v>
      </c>
      <c r="L21" s="172">
        <f>-K21</f>
        <v>0</v>
      </c>
      <c r="M21" s="26">
        <v>0</v>
      </c>
      <c r="N21" s="26">
        <f>+'[2] ConsoJL'!AH405</f>
        <v>-1629250</v>
      </c>
      <c r="O21" s="172">
        <f>L21+M21+N21</f>
        <v>-1629250</v>
      </c>
      <c r="P21" s="172">
        <f>-O21</f>
        <v>1629250</v>
      </c>
      <c r="Q21" s="172">
        <f>+P21+S21</f>
        <v>1629250</v>
      </c>
      <c r="T21" s="172">
        <v>670810</v>
      </c>
    </row>
    <row r="22" spans="2:20" ht="15">
      <c r="B22" s="16" t="s">
        <v>172</v>
      </c>
      <c r="C22" s="170">
        <v>4</v>
      </c>
      <c r="D22" s="182">
        <f aca="true" t="shared" si="6" ref="D22:J22">-D162</f>
        <v>-3036319</v>
      </c>
      <c r="E22" s="182">
        <f t="shared" si="6"/>
        <v>0</v>
      </c>
      <c r="F22" s="182">
        <f>-F162</f>
        <v>-27886091</v>
      </c>
      <c r="G22" s="182">
        <f t="shared" si="6"/>
        <v>-10043</v>
      </c>
      <c r="H22" s="182">
        <f t="shared" si="6"/>
        <v>0</v>
      </c>
      <c r="I22" s="182">
        <f t="shared" si="6"/>
        <v>0</v>
      </c>
      <c r="J22" s="182">
        <f t="shared" si="6"/>
        <v>0</v>
      </c>
      <c r="K22" s="183">
        <f>SUM(D22:J22)</f>
        <v>-30932453</v>
      </c>
      <c r="L22" s="183">
        <f>-K22</f>
        <v>30932453</v>
      </c>
      <c r="M22" s="182">
        <f>M162</f>
        <v>0</v>
      </c>
      <c r="N22" s="182">
        <f>N162</f>
        <v>-3735834</v>
      </c>
      <c r="O22" s="183">
        <f>L22+M22+N22</f>
        <v>27196619</v>
      </c>
      <c r="P22" s="183">
        <f>-O22</f>
        <v>-27196619</v>
      </c>
      <c r="Q22" s="183">
        <f>+P22+S22</f>
        <v>-27196619</v>
      </c>
      <c r="S22" s="183"/>
      <c r="T22" s="183">
        <v>-10211349</v>
      </c>
    </row>
    <row r="23" spans="4:17" ht="15">
      <c r="D23" s="174"/>
      <c r="E23" s="174"/>
      <c r="F23" s="174"/>
      <c r="G23" s="174"/>
      <c r="H23" s="174"/>
      <c r="I23" s="174"/>
      <c r="J23" s="174"/>
      <c r="K23" s="176"/>
      <c r="L23" s="176"/>
      <c r="Q23" s="172"/>
    </row>
    <row r="24" spans="2:20" s="169" customFormat="1" ht="15">
      <c r="B24" s="169" t="s">
        <v>173</v>
      </c>
      <c r="C24" s="170">
        <v>5</v>
      </c>
      <c r="D24" s="172">
        <f aca="true" t="shared" si="7" ref="D24:L24">D17+D22+D19+D20+D21</f>
        <v>217983</v>
      </c>
      <c r="E24" s="172">
        <f t="shared" si="7"/>
        <v>-800</v>
      </c>
      <c r="F24" s="172">
        <f t="shared" si="7"/>
        <v>-1372335</v>
      </c>
      <c r="G24" s="172">
        <f t="shared" si="7"/>
        <v>-1759760</v>
      </c>
      <c r="H24" s="172">
        <f t="shared" si="7"/>
        <v>-249</v>
      </c>
      <c r="I24" s="172">
        <f t="shared" si="7"/>
        <v>-263700</v>
      </c>
      <c r="J24" s="172">
        <f t="shared" si="7"/>
        <v>-260800</v>
      </c>
      <c r="K24" s="172">
        <f t="shared" si="7"/>
        <v>-3439661</v>
      </c>
      <c r="L24" s="172">
        <f t="shared" si="7"/>
        <v>3439661</v>
      </c>
      <c r="M24" s="172">
        <f>M17+M22+M20+M19+M21</f>
        <v>7783838</v>
      </c>
      <c r="N24" s="172">
        <f>N17+N22+N20+N19+N21</f>
        <v>-5542384</v>
      </c>
      <c r="O24" s="172">
        <f>O17+O22+O19+O20+O21</f>
        <v>5681115</v>
      </c>
      <c r="P24" s="172">
        <f>P17+P22+P19+P20+P21</f>
        <v>-5681115</v>
      </c>
      <c r="Q24" s="172">
        <f>Q17+Q22+Q19+Q20+Q21</f>
        <v>-5681115</v>
      </c>
      <c r="S24" s="172"/>
      <c r="T24" s="172">
        <v>-2713699</v>
      </c>
    </row>
    <row r="25" ht="15">
      <c r="Q25" s="172"/>
    </row>
    <row r="26" spans="2:20" ht="15">
      <c r="B26" s="16" t="s">
        <v>112</v>
      </c>
      <c r="C26" s="170">
        <v>7</v>
      </c>
      <c r="D26" s="182">
        <f aca="true" t="shared" si="8" ref="D26:J26">-D223</f>
        <v>-219531</v>
      </c>
      <c r="E26" s="182">
        <f>-E223</f>
        <v>0</v>
      </c>
      <c r="F26" s="182">
        <f t="shared" si="8"/>
        <v>334000</v>
      </c>
      <c r="G26" s="285">
        <f t="shared" si="8"/>
        <v>0</v>
      </c>
      <c r="H26" s="182">
        <f t="shared" si="8"/>
        <v>0</v>
      </c>
      <c r="I26" s="182">
        <f>-I223</f>
        <v>0</v>
      </c>
      <c r="J26" s="182">
        <f t="shared" si="8"/>
        <v>0</v>
      </c>
      <c r="K26" s="183">
        <f>SUM(D26:J26)</f>
        <v>114469</v>
      </c>
      <c r="L26" s="183">
        <f>-K26</f>
        <v>-114469</v>
      </c>
      <c r="M26" s="182">
        <f>M223</f>
        <v>319469</v>
      </c>
      <c r="N26" s="182">
        <f>N223</f>
        <v>0</v>
      </c>
      <c r="O26" s="183">
        <f>L26+M26+N26</f>
        <v>205000</v>
      </c>
      <c r="P26" s="183">
        <f>-O26</f>
        <v>-205000</v>
      </c>
      <c r="Q26" s="183">
        <f>+P26+S26</f>
        <v>-205000</v>
      </c>
      <c r="S26" s="183"/>
      <c r="T26" s="183">
        <v>-221970</v>
      </c>
    </row>
    <row r="27" spans="4:20" ht="15">
      <c r="D27" s="174"/>
      <c r="E27" s="174"/>
      <c r="F27" s="174"/>
      <c r="G27" s="174"/>
      <c r="H27" s="174"/>
      <c r="I27" s="174"/>
      <c r="J27" s="174"/>
      <c r="K27" s="176"/>
      <c r="L27" s="176"/>
      <c r="M27" s="174"/>
      <c r="N27" s="174"/>
      <c r="O27" s="176"/>
      <c r="P27" s="176"/>
      <c r="Q27" s="176"/>
      <c r="S27" s="176"/>
      <c r="T27" s="176"/>
    </row>
    <row r="28" spans="2:20" s="169" customFormat="1" ht="15">
      <c r="B28" s="169" t="s">
        <v>174</v>
      </c>
      <c r="C28" s="170"/>
      <c r="D28" s="172">
        <f aca="true" t="shared" si="9" ref="D28:P28">D24+D26</f>
        <v>-1548</v>
      </c>
      <c r="E28" s="172">
        <f t="shared" si="9"/>
        <v>-800</v>
      </c>
      <c r="F28" s="172">
        <f t="shared" si="9"/>
        <v>-1038335</v>
      </c>
      <c r="G28" s="172">
        <f t="shared" si="9"/>
        <v>-1759760</v>
      </c>
      <c r="H28" s="172">
        <f t="shared" si="9"/>
        <v>-249</v>
      </c>
      <c r="I28" s="172">
        <f>I24+I26</f>
        <v>-263700</v>
      </c>
      <c r="J28" s="172">
        <f t="shared" si="9"/>
        <v>-260800</v>
      </c>
      <c r="K28" s="172">
        <f t="shared" si="9"/>
        <v>-3325192</v>
      </c>
      <c r="L28" s="172">
        <f t="shared" si="9"/>
        <v>3325192</v>
      </c>
      <c r="M28" s="172">
        <f t="shared" si="9"/>
        <v>8103307</v>
      </c>
      <c r="N28" s="172">
        <f t="shared" si="9"/>
        <v>-5542384</v>
      </c>
      <c r="O28" s="172">
        <f>SUM(L28:N28)</f>
        <v>5886115</v>
      </c>
      <c r="P28" s="172">
        <f t="shared" si="9"/>
        <v>-5886115</v>
      </c>
      <c r="Q28" s="172">
        <f>Q24+Q26</f>
        <v>-5886115</v>
      </c>
      <c r="S28" s="172"/>
      <c r="T28" s="172">
        <v>-2935669</v>
      </c>
    </row>
    <row r="29" spans="2:20" s="185" customFormat="1" ht="15">
      <c r="B29" s="185" t="s">
        <v>175</v>
      </c>
      <c r="C29" s="186" t="s">
        <v>165</v>
      </c>
      <c r="D29" s="187">
        <v>0</v>
      </c>
      <c r="E29" s="187">
        <v>0</v>
      </c>
      <c r="F29" s="187">
        <v>0</v>
      </c>
      <c r="G29" s="187">
        <v>0</v>
      </c>
      <c r="H29" s="187">
        <v>0</v>
      </c>
      <c r="I29" s="187">
        <v>0</v>
      </c>
      <c r="J29" s="26">
        <v>0</v>
      </c>
      <c r="K29" s="188">
        <f>SUM(D29:H29)</f>
        <v>0</v>
      </c>
      <c r="L29" s="188">
        <f>-K29</f>
        <v>0</v>
      </c>
      <c r="M29" s="190">
        <f>+'[2] ConsoJL'!AJ438</f>
        <v>0</v>
      </c>
      <c r="N29" s="187">
        <v>0</v>
      </c>
      <c r="O29" s="188">
        <f>SUM(L29:N29)</f>
        <v>0</v>
      </c>
      <c r="P29" s="172">
        <f>-O29</f>
        <v>0</v>
      </c>
      <c r="Q29" s="172">
        <f>+P29+S29</f>
        <v>0</v>
      </c>
      <c r="S29" s="172"/>
      <c r="T29" s="172">
        <v>22236</v>
      </c>
    </row>
    <row r="30" spans="3:20" s="185" customFormat="1" ht="15">
      <c r="C30" s="191"/>
      <c r="D30" s="192"/>
      <c r="E30" s="192"/>
      <c r="F30" s="192"/>
      <c r="G30" s="192"/>
      <c r="H30" s="192"/>
      <c r="I30" s="192"/>
      <c r="J30" s="174"/>
      <c r="K30" s="188"/>
      <c r="L30" s="188"/>
      <c r="M30" s="187"/>
      <c r="N30" s="187"/>
      <c r="O30" s="188"/>
      <c r="P30" s="188"/>
      <c r="Q30" s="188"/>
      <c r="S30" s="188"/>
      <c r="T30" s="188"/>
    </row>
    <row r="31" spans="2:20" s="169" customFormat="1" ht="15.75" thickBot="1">
      <c r="B31" s="169" t="s">
        <v>176</v>
      </c>
      <c r="C31" s="170"/>
      <c r="D31" s="193">
        <f aca="true" t="shared" si="10" ref="D31:N31">SUM(D28:D30)</f>
        <v>-1548</v>
      </c>
      <c r="E31" s="193">
        <f t="shared" si="10"/>
        <v>-800</v>
      </c>
      <c r="F31" s="193">
        <f t="shared" si="10"/>
        <v>-1038335</v>
      </c>
      <c r="G31" s="193">
        <f t="shared" si="10"/>
        <v>-1759760</v>
      </c>
      <c r="H31" s="193">
        <f t="shared" si="10"/>
        <v>-249</v>
      </c>
      <c r="I31" s="193">
        <f t="shared" si="10"/>
        <v>-263700</v>
      </c>
      <c r="J31" s="193">
        <f>J28+J29</f>
        <v>-260800</v>
      </c>
      <c r="K31" s="193">
        <f t="shared" si="10"/>
        <v>-3325192</v>
      </c>
      <c r="L31" s="193">
        <f t="shared" si="10"/>
        <v>3325192</v>
      </c>
      <c r="M31" s="193">
        <f t="shared" si="10"/>
        <v>8103307</v>
      </c>
      <c r="N31" s="193">
        <f t="shared" si="10"/>
        <v>-5542384</v>
      </c>
      <c r="O31" s="193">
        <f>O28+O29</f>
        <v>5886115</v>
      </c>
      <c r="P31" s="193">
        <f>P28+P29</f>
        <v>-5886115</v>
      </c>
      <c r="Q31" s="193">
        <f>Q28+Q29</f>
        <v>-5886115</v>
      </c>
      <c r="S31" s="193"/>
      <c r="T31" s="193">
        <v>-2913433</v>
      </c>
    </row>
    <row r="32" spans="4:20" ht="15.75" thickTop="1">
      <c r="D32" s="26">
        <f aca="true" t="shared" si="11" ref="D32:L32">+D31-D613</f>
        <v>0</v>
      </c>
      <c r="E32" s="26">
        <f t="shared" si="11"/>
        <v>0</v>
      </c>
      <c r="F32" s="26">
        <f t="shared" si="11"/>
        <v>0</v>
      </c>
      <c r="G32" s="26">
        <f t="shared" si="11"/>
        <v>0</v>
      </c>
      <c r="H32" s="26">
        <f t="shared" si="11"/>
        <v>0</v>
      </c>
      <c r="I32" s="26">
        <f t="shared" si="11"/>
        <v>0</v>
      </c>
      <c r="J32" s="26">
        <f t="shared" si="11"/>
        <v>0</v>
      </c>
      <c r="K32" s="26">
        <f t="shared" si="11"/>
        <v>0</v>
      </c>
      <c r="L32" s="26">
        <f t="shared" si="11"/>
        <v>0</v>
      </c>
      <c r="O32" s="26">
        <f>+O31-O613</f>
        <v>0</v>
      </c>
      <c r="P32" s="26">
        <f>+P31-P613</f>
        <v>0</v>
      </c>
      <c r="Q32" s="26"/>
      <c r="S32" s="26"/>
      <c r="T32" s="26">
        <v>0</v>
      </c>
    </row>
    <row r="33" spans="11:20" ht="15">
      <c r="K33" s="26"/>
      <c r="L33" s="26"/>
      <c r="O33" s="26"/>
      <c r="P33" s="26"/>
      <c r="Q33" s="26"/>
      <c r="S33" s="26"/>
      <c r="T33" s="26"/>
    </row>
    <row r="34" ht="15">
      <c r="Q34" s="172"/>
    </row>
    <row r="35" spans="2:20" s="169" customFormat="1" ht="15">
      <c r="B35" s="169" t="s">
        <v>177</v>
      </c>
      <c r="C35" s="170"/>
      <c r="D35" s="172"/>
      <c r="E35" s="172"/>
      <c r="F35" s="172"/>
      <c r="G35" s="172"/>
      <c r="H35" s="172"/>
      <c r="I35" s="172"/>
      <c r="J35" s="172"/>
      <c r="K35" s="172"/>
      <c r="L35" s="172"/>
      <c r="M35" s="26"/>
      <c r="N35" s="172"/>
      <c r="O35" s="172"/>
      <c r="P35" s="172"/>
      <c r="Q35" s="172"/>
      <c r="S35" s="172"/>
      <c r="T35" s="172"/>
    </row>
    <row r="36" spans="2:20" s="169" customFormat="1" ht="15">
      <c r="B36" s="177" t="s">
        <v>178</v>
      </c>
      <c r="C36" s="170"/>
      <c r="D36" s="172"/>
      <c r="E36" s="172"/>
      <c r="F36" s="172"/>
      <c r="G36" s="172"/>
      <c r="H36" s="172"/>
      <c r="I36" s="172"/>
      <c r="J36" s="194">
        <f>J28/80004000*100</f>
        <v>-0.32598370081495925</v>
      </c>
      <c r="K36" s="172"/>
      <c r="L36" s="172"/>
      <c r="M36" s="26"/>
      <c r="N36" s="172"/>
      <c r="O36" s="172"/>
      <c r="P36" s="195">
        <f>P31/P81*100</f>
        <v>-2.633507921147137</v>
      </c>
      <c r="Q36" s="195">
        <f>Q31/Q81*100</f>
        <v>-2.633507921147137</v>
      </c>
      <c r="S36" s="195"/>
      <c r="T36" s="195">
        <v>-1.303499656943751</v>
      </c>
    </row>
    <row r="37" spans="2:20" s="169" customFormat="1" ht="15">
      <c r="B37" s="169" t="s">
        <v>179</v>
      </c>
      <c r="C37" s="170"/>
      <c r="D37" s="172"/>
      <c r="E37" s="172"/>
      <c r="F37" s="172"/>
      <c r="G37" s="172"/>
      <c r="H37" s="172"/>
      <c r="I37" s="172"/>
      <c r="J37" s="172"/>
      <c r="K37" s="172"/>
      <c r="L37" s="172"/>
      <c r="M37" s="172"/>
      <c r="N37" s="172"/>
      <c r="O37" s="172"/>
      <c r="P37" s="195">
        <f>0</f>
        <v>0</v>
      </c>
      <c r="Q37" s="195">
        <f>0</f>
        <v>0</v>
      </c>
      <c r="S37" s="195"/>
      <c r="T37" s="195">
        <v>0</v>
      </c>
    </row>
    <row r="38" spans="2:20" s="196" customFormat="1" ht="15">
      <c r="B38" s="196" t="s">
        <v>180</v>
      </c>
      <c r="C38" s="197"/>
      <c r="D38" s="198">
        <f>-D26/D24</f>
        <v>1.0071014712156452</v>
      </c>
      <c r="E38" s="196">
        <f>-E26/E24</f>
        <v>0</v>
      </c>
      <c r="F38" s="196">
        <f>-F26/F24</f>
        <v>0.24338080716443142</v>
      </c>
      <c r="G38" s="196">
        <f>-G26/G24</f>
        <v>0</v>
      </c>
      <c r="H38" s="196">
        <v>0</v>
      </c>
      <c r="I38" s="196">
        <v>0</v>
      </c>
      <c r="J38" s="196">
        <f>-J26/J24</f>
        <v>0</v>
      </c>
      <c r="M38" s="198"/>
      <c r="N38" s="198"/>
      <c r="P38" s="196">
        <f>-P26/P24</f>
        <v>-0.03608446581348908</v>
      </c>
      <c r="Q38" s="196">
        <f>-Q26/Q24</f>
        <v>-0.03608446581348908</v>
      </c>
      <c r="T38" s="196">
        <v>-0.08179610192582154</v>
      </c>
    </row>
    <row r="39" spans="2:20" s="169" customFormat="1" ht="15">
      <c r="B39" s="169" t="s">
        <v>181</v>
      </c>
      <c r="C39" s="170"/>
      <c r="D39" s="172"/>
      <c r="E39" s="172"/>
      <c r="F39" s="172"/>
      <c r="G39" s="172"/>
      <c r="H39" s="172"/>
      <c r="I39" s="172"/>
      <c r="J39" s="194"/>
      <c r="K39" s="172"/>
      <c r="L39" s="172"/>
      <c r="M39" s="172"/>
      <c r="N39" s="172"/>
      <c r="O39" s="172"/>
      <c r="P39" s="172">
        <f>0</f>
        <v>0</v>
      </c>
      <c r="Q39" s="172">
        <f>0</f>
        <v>0</v>
      </c>
      <c r="S39" s="172"/>
      <c r="T39" s="172">
        <v>0</v>
      </c>
    </row>
    <row r="40" spans="3:20" s="169" customFormat="1" ht="15">
      <c r="C40" s="170"/>
      <c r="D40" s="172"/>
      <c r="E40" s="172"/>
      <c r="F40" s="172"/>
      <c r="G40" s="172"/>
      <c r="H40" s="172"/>
      <c r="I40" s="172"/>
      <c r="J40" s="172"/>
      <c r="K40" s="172"/>
      <c r="L40" s="172"/>
      <c r="M40" s="172"/>
      <c r="N40" s="172"/>
      <c r="O40" s="172"/>
      <c r="P40" s="172"/>
      <c r="Q40" s="172"/>
      <c r="S40" s="172"/>
      <c r="T40" s="172"/>
    </row>
    <row r="41" spans="2:17" ht="15">
      <c r="B41" s="169" t="s">
        <v>182</v>
      </c>
      <c r="Q41" s="172"/>
    </row>
    <row r="42" spans="2:20" ht="15">
      <c r="B42" s="16" t="s">
        <v>183</v>
      </c>
      <c r="C42" s="170">
        <v>8</v>
      </c>
      <c r="D42" s="26">
        <f aca="true" t="shared" si="12" ref="D42:J42">D350</f>
        <v>194436</v>
      </c>
      <c r="E42" s="26">
        <f t="shared" si="12"/>
        <v>0</v>
      </c>
      <c r="F42" s="26">
        <f t="shared" si="12"/>
        <v>28991</v>
      </c>
      <c r="G42" s="26">
        <f t="shared" si="12"/>
        <v>5604202</v>
      </c>
      <c r="H42" s="26">
        <f t="shared" si="12"/>
        <v>0</v>
      </c>
      <c r="I42" s="26">
        <f>I350</f>
        <v>0</v>
      </c>
      <c r="J42" s="26">
        <f t="shared" si="12"/>
        <v>151903</v>
      </c>
      <c r="K42" s="172">
        <f>SUM(D42:J42)</f>
        <v>5979532</v>
      </c>
      <c r="L42" s="172">
        <f aca="true" t="shared" si="13" ref="L42:L50">K42</f>
        <v>5979532</v>
      </c>
      <c r="M42" s="26">
        <f>M350</f>
        <v>0</v>
      </c>
      <c r="N42" s="26">
        <f>N350</f>
        <v>0</v>
      </c>
      <c r="O42" s="172">
        <f aca="true" t="shared" si="14" ref="O42:O50">L42+M42+N42</f>
        <v>5979532</v>
      </c>
      <c r="P42" s="172">
        <f aca="true" t="shared" si="15" ref="P42:P50">O42</f>
        <v>5979532</v>
      </c>
      <c r="Q42" s="172">
        <f>+P42</f>
        <v>5979532</v>
      </c>
      <c r="T42" s="172">
        <v>6061474</v>
      </c>
    </row>
    <row r="43" spans="2:20" ht="15">
      <c r="B43" s="16" t="s">
        <v>184</v>
      </c>
      <c r="J43" s="199">
        <f>20101558-13515620</f>
        <v>6585938</v>
      </c>
      <c r="K43" s="172">
        <f>SUM(D43:J43)</f>
        <v>6585938</v>
      </c>
      <c r="L43" s="172">
        <f t="shared" si="13"/>
        <v>6585938</v>
      </c>
      <c r="M43" s="26">
        <f>+'[2] ConsoJL'!T438</f>
        <v>0</v>
      </c>
      <c r="N43" s="26">
        <v>0</v>
      </c>
      <c r="O43" s="172">
        <f t="shared" si="14"/>
        <v>6585938</v>
      </c>
      <c r="P43" s="172">
        <f t="shared" si="15"/>
        <v>6585938</v>
      </c>
      <c r="Q43" s="172">
        <f aca="true" t="shared" si="16" ref="Q43:Q50">+P43</f>
        <v>6585938</v>
      </c>
      <c r="T43" s="172">
        <v>18821024</v>
      </c>
    </row>
    <row r="44" spans="2:20" ht="15">
      <c r="B44" s="16" t="s">
        <v>185</v>
      </c>
      <c r="C44" s="170">
        <v>9</v>
      </c>
      <c r="D44" s="26">
        <f aca="true" t="shared" si="17" ref="D44:J44">D367</f>
        <v>295960000</v>
      </c>
      <c r="E44" s="26">
        <f t="shared" si="17"/>
        <v>51000000</v>
      </c>
      <c r="F44" s="26">
        <f t="shared" si="17"/>
        <v>0</v>
      </c>
      <c r="G44" s="26">
        <f>G367</f>
        <v>550</v>
      </c>
      <c r="H44" s="26">
        <f t="shared" si="17"/>
        <v>0</v>
      </c>
      <c r="I44" s="26">
        <f t="shared" si="17"/>
        <v>10000000</v>
      </c>
      <c r="J44" s="26">
        <f t="shared" si="17"/>
        <v>0</v>
      </c>
      <c r="K44" s="172">
        <f aca="true" t="shared" si="18" ref="K44:K61">SUM(D44:J44)</f>
        <v>356960550</v>
      </c>
      <c r="L44" s="172">
        <f t="shared" si="13"/>
        <v>356960550</v>
      </c>
      <c r="M44" s="26">
        <f>M367</f>
        <v>0</v>
      </c>
      <c r="N44" s="26">
        <f>N367</f>
        <v>-356960550</v>
      </c>
      <c r="O44" s="172">
        <f>L44+M44+N44</f>
        <v>0</v>
      </c>
      <c r="P44" s="172">
        <f t="shared" si="15"/>
        <v>0</v>
      </c>
      <c r="Q44" s="172">
        <f t="shared" si="16"/>
        <v>0</v>
      </c>
      <c r="T44" s="172">
        <v>0</v>
      </c>
    </row>
    <row r="45" spans="2:20" ht="15">
      <c r="B45" s="16" t="s">
        <v>186</v>
      </c>
      <c r="C45" s="200" t="s">
        <v>165</v>
      </c>
      <c r="D45" s="26">
        <v>37908295</v>
      </c>
      <c r="K45" s="172">
        <f t="shared" si="18"/>
        <v>37908295</v>
      </c>
      <c r="L45" s="172">
        <f t="shared" si="13"/>
        <v>37908295</v>
      </c>
      <c r="M45" s="201">
        <f>+'[2] ConsoJL'!I438-1</f>
        <v>5125576.640000001</v>
      </c>
      <c r="O45" s="172">
        <f>L45+M45+N45</f>
        <v>43033871.64</v>
      </c>
      <c r="P45" s="172">
        <f t="shared" si="15"/>
        <v>43033871.64</v>
      </c>
      <c r="Q45" s="172">
        <f t="shared" si="16"/>
        <v>43033871.64</v>
      </c>
      <c r="T45" s="172">
        <v>42956969.64</v>
      </c>
    </row>
    <row r="46" spans="2:20" ht="15">
      <c r="B46" s="16" t="s">
        <v>187</v>
      </c>
      <c r="C46" s="170">
        <v>10</v>
      </c>
      <c r="D46" s="26">
        <f aca="true" t="shared" si="19" ref="D46:J46">D383</f>
        <v>0</v>
      </c>
      <c r="E46" s="26">
        <f t="shared" si="19"/>
        <v>0</v>
      </c>
      <c r="F46" s="26">
        <f t="shared" si="19"/>
        <v>0</v>
      </c>
      <c r="G46" s="26">
        <f t="shared" si="19"/>
        <v>0</v>
      </c>
      <c r="H46" s="26">
        <f t="shared" si="19"/>
        <v>0</v>
      </c>
      <c r="I46" s="26">
        <f>I383</f>
        <v>0</v>
      </c>
      <c r="J46" s="26">
        <f t="shared" si="19"/>
        <v>0</v>
      </c>
      <c r="K46" s="172">
        <f t="shared" si="18"/>
        <v>0</v>
      </c>
      <c r="L46" s="172">
        <f t="shared" si="13"/>
        <v>0</v>
      </c>
      <c r="M46" s="26">
        <f>M383</f>
        <v>246933253</v>
      </c>
      <c r="N46" s="26">
        <f>N383</f>
        <v>-40670113</v>
      </c>
      <c r="O46" s="172">
        <f t="shared" si="14"/>
        <v>206263140</v>
      </c>
      <c r="P46" s="172">
        <f t="shared" si="15"/>
        <v>206263140</v>
      </c>
      <c r="Q46" s="172">
        <f t="shared" si="16"/>
        <v>206263140</v>
      </c>
      <c r="T46" s="172">
        <v>208320917</v>
      </c>
    </row>
    <row r="47" spans="2:20" ht="15">
      <c r="B47" s="16" t="s">
        <v>188</v>
      </c>
      <c r="G47" s="26">
        <v>0</v>
      </c>
      <c r="J47" s="26">
        <v>0</v>
      </c>
      <c r="K47" s="172">
        <f t="shared" si="18"/>
        <v>0</v>
      </c>
      <c r="L47" s="172">
        <f t="shared" si="13"/>
        <v>0</v>
      </c>
      <c r="O47" s="172">
        <f t="shared" si="14"/>
        <v>0</v>
      </c>
      <c r="P47" s="172">
        <f t="shared" si="15"/>
        <v>0</v>
      </c>
      <c r="Q47" s="172">
        <f t="shared" si="16"/>
        <v>0</v>
      </c>
      <c r="T47" s="172">
        <v>0</v>
      </c>
    </row>
    <row r="48" spans="2:20" ht="15">
      <c r="B48" s="16" t="s">
        <v>189</v>
      </c>
      <c r="D48" s="26">
        <v>155860834</v>
      </c>
      <c r="K48" s="172">
        <f t="shared" si="18"/>
        <v>155860834</v>
      </c>
      <c r="L48" s="172">
        <f t="shared" si="13"/>
        <v>155860834</v>
      </c>
      <c r="N48" s="26">
        <f>-'[2] ConsoJL'!G432+'[2] ConsoJL'!AA425</f>
        <v>-155860834</v>
      </c>
      <c r="O48" s="172">
        <f t="shared" si="14"/>
        <v>0</v>
      </c>
      <c r="P48" s="172">
        <f t="shared" si="15"/>
        <v>0</v>
      </c>
      <c r="Q48" s="172">
        <f t="shared" si="16"/>
        <v>0</v>
      </c>
      <c r="T48" s="172">
        <v>0</v>
      </c>
    </row>
    <row r="49" spans="2:20" ht="15">
      <c r="B49" s="16" t="s">
        <v>190</v>
      </c>
      <c r="C49" s="170">
        <v>11</v>
      </c>
      <c r="D49" s="26">
        <f aca="true" t="shared" si="20" ref="D49:J49">D398</f>
        <v>0</v>
      </c>
      <c r="E49" s="26">
        <f t="shared" si="20"/>
        <v>0</v>
      </c>
      <c r="F49" s="26">
        <v>0</v>
      </c>
      <c r="G49" s="26">
        <f t="shared" si="20"/>
        <v>0</v>
      </c>
      <c r="H49" s="26">
        <f t="shared" si="20"/>
        <v>0</v>
      </c>
      <c r="I49" s="26">
        <f>I398</f>
        <v>0</v>
      </c>
      <c r="J49" s="26">
        <f t="shared" si="20"/>
        <v>0</v>
      </c>
      <c r="K49" s="172">
        <f t="shared" si="18"/>
        <v>0</v>
      </c>
      <c r="L49" s="172">
        <f t="shared" si="13"/>
        <v>0</v>
      </c>
      <c r="M49" s="26">
        <f>M398</f>
        <v>-0.19860000163316727</v>
      </c>
      <c r="N49" s="26">
        <f>N398</f>
        <v>0</v>
      </c>
      <c r="O49" s="172">
        <f t="shared" si="14"/>
        <v>-0.19860000163316727</v>
      </c>
      <c r="P49" s="172">
        <f t="shared" si="15"/>
        <v>-0.19860000163316727</v>
      </c>
      <c r="Q49" s="172">
        <f t="shared" si="16"/>
        <v>-0.19860000163316727</v>
      </c>
      <c r="T49" s="172">
        <v>125638.80139999837</v>
      </c>
    </row>
    <row r="50" spans="2:20" ht="15">
      <c r="B50" s="16" t="s">
        <v>191</v>
      </c>
      <c r="C50" s="170">
        <v>12</v>
      </c>
      <c r="D50" s="26">
        <f>D421</f>
        <v>0</v>
      </c>
      <c r="E50" s="26">
        <f>E421</f>
        <v>0</v>
      </c>
      <c r="F50" s="26">
        <f>+F421-F414</f>
        <v>1200298864</v>
      </c>
      <c r="G50" s="26">
        <f>G421</f>
        <v>0</v>
      </c>
      <c r="H50" s="26">
        <f>H421</f>
        <v>0</v>
      </c>
      <c r="I50" s="26">
        <f>I421</f>
        <v>0</v>
      </c>
      <c r="J50" s="26">
        <f>J421</f>
        <v>0</v>
      </c>
      <c r="K50" s="172">
        <f t="shared" si="18"/>
        <v>1200298864</v>
      </c>
      <c r="L50" s="172">
        <f t="shared" si="13"/>
        <v>1200298864</v>
      </c>
      <c r="M50" s="26">
        <f>M421</f>
        <v>0</v>
      </c>
      <c r="N50" s="26">
        <f>N421</f>
        <v>0</v>
      </c>
      <c r="O50" s="172">
        <f t="shared" si="14"/>
        <v>1200298864</v>
      </c>
      <c r="P50" s="172">
        <f t="shared" si="15"/>
        <v>1200298864</v>
      </c>
      <c r="Q50" s="172">
        <f t="shared" si="16"/>
        <v>1200298864</v>
      </c>
      <c r="T50" s="172">
        <v>927552671</v>
      </c>
    </row>
    <row r="51" spans="17:20" ht="15">
      <c r="Q51" s="172">
        <f>S51</f>
        <v>0</v>
      </c>
      <c r="T51" s="172">
        <v>0</v>
      </c>
    </row>
    <row r="52" spans="2:25" ht="15">
      <c r="B52" s="202" t="s">
        <v>192</v>
      </c>
      <c r="M52" s="172"/>
      <c r="N52" s="172"/>
      <c r="Q52" s="172"/>
      <c r="R52" s="194"/>
      <c r="U52" s="194"/>
      <c r="V52" s="194"/>
      <c r="W52" s="194"/>
      <c r="X52" s="194"/>
      <c r="Y52" s="194"/>
    </row>
    <row r="53" spans="2:20" ht="15">
      <c r="B53" s="16" t="s">
        <v>193</v>
      </c>
      <c r="C53" s="170">
        <v>13</v>
      </c>
      <c r="D53" s="26">
        <f aca="true" t="shared" si="21" ref="D53:I53">D440</f>
        <v>0</v>
      </c>
      <c r="E53" s="26">
        <f t="shared" si="21"/>
        <v>0</v>
      </c>
      <c r="F53" s="26">
        <f t="shared" si="21"/>
        <v>0</v>
      </c>
      <c r="G53" s="26">
        <f t="shared" si="21"/>
        <v>0</v>
      </c>
      <c r="H53" s="26">
        <f t="shared" si="21"/>
        <v>0</v>
      </c>
      <c r="I53" s="26">
        <f t="shared" si="21"/>
        <v>0</v>
      </c>
      <c r="J53" s="26">
        <f>J431</f>
        <v>0</v>
      </c>
      <c r="K53" s="172">
        <f t="shared" si="18"/>
        <v>0</v>
      </c>
      <c r="L53" s="172">
        <f>K53</f>
        <v>0</v>
      </c>
      <c r="M53" s="26">
        <f>M440</f>
        <v>0</v>
      </c>
      <c r="N53" s="26">
        <f>N440</f>
        <v>0</v>
      </c>
      <c r="O53" s="172">
        <f aca="true" t="shared" si="22" ref="O53:O61">N53+M53+L53</f>
        <v>0</v>
      </c>
      <c r="P53" s="172">
        <f aca="true" t="shared" si="23" ref="P53:P61">O53</f>
        <v>0</v>
      </c>
      <c r="Q53" s="172">
        <f aca="true" t="shared" si="24" ref="Q53:Q61">+P53</f>
        <v>0</v>
      </c>
      <c r="T53" s="172">
        <v>0</v>
      </c>
    </row>
    <row r="54" spans="2:17" ht="15">
      <c r="B54" s="16" t="s">
        <v>124</v>
      </c>
      <c r="J54" s="199">
        <v>13515620</v>
      </c>
      <c r="K54" s="172">
        <f>SUM(D54:J54)</f>
        <v>13515620</v>
      </c>
      <c r="L54" s="172">
        <f>K54</f>
        <v>13515620</v>
      </c>
      <c r="M54" s="26">
        <f>M441</f>
        <v>0</v>
      </c>
      <c r="N54" s="26">
        <f>N441</f>
        <v>0</v>
      </c>
      <c r="O54" s="172">
        <f>N54+M54+L54</f>
        <v>13515620</v>
      </c>
      <c r="P54" s="172">
        <f t="shared" si="23"/>
        <v>13515620</v>
      </c>
      <c r="Q54" s="172">
        <f t="shared" si="24"/>
        <v>13515620</v>
      </c>
    </row>
    <row r="55" spans="2:20" ht="15">
      <c r="B55" s="16" t="s">
        <v>194</v>
      </c>
      <c r="C55" s="170">
        <v>14</v>
      </c>
      <c r="D55" s="26">
        <f>D446</f>
        <v>0</v>
      </c>
      <c r="E55" s="26">
        <f>E446</f>
        <v>0</v>
      </c>
      <c r="F55" s="26">
        <f>F444</f>
        <v>144718374</v>
      </c>
      <c r="G55" s="26">
        <f>G446</f>
        <v>0</v>
      </c>
      <c r="H55" s="26">
        <f>H446</f>
        <v>0</v>
      </c>
      <c r="I55" s="26">
        <f>I446</f>
        <v>0</v>
      </c>
      <c r="J55" s="26">
        <f>J446</f>
        <v>0</v>
      </c>
      <c r="K55" s="172">
        <f t="shared" si="18"/>
        <v>144718374</v>
      </c>
      <c r="L55" s="172">
        <f aca="true" t="shared" si="25" ref="L55:L61">K55</f>
        <v>144718374</v>
      </c>
      <c r="M55" s="26">
        <f>M446</f>
        <v>0</v>
      </c>
      <c r="N55" s="26">
        <f>N446</f>
        <v>0</v>
      </c>
      <c r="O55" s="172">
        <f t="shared" si="22"/>
        <v>144718374</v>
      </c>
      <c r="P55" s="172">
        <f t="shared" si="23"/>
        <v>144718374</v>
      </c>
      <c r="Q55" s="172">
        <f t="shared" si="24"/>
        <v>144718374</v>
      </c>
      <c r="T55" s="172">
        <v>419591044</v>
      </c>
    </row>
    <row r="56" spans="2:20" ht="15">
      <c r="B56" s="16" t="s">
        <v>26</v>
      </c>
      <c r="C56" s="170">
        <v>15</v>
      </c>
      <c r="D56" s="26">
        <f aca="true" t="shared" si="26" ref="D56:J56">D466</f>
        <v>4965611</v>
      </c>
      <c r="E56" s="26">
        <f t="shared" si="26"/>
        <v>0</v>
      </c>
      <c r="F56" s="26">
        <f t="shared" si="26"/>
        <v>1688780</v>
      </c>
      <c r="G56" s="199">
        <f t="shared" si="26"/>
        <v>52011872</v>
      </c>
      <c r="H56" s="26">
        <f t="shared" si="26"/>
        <v>0</v>
      </c>
      <c r="I56" s="26">
        <f>I466</f>
        <v>0</v>
      </c>
      <c r="J56" s="26">
        <f t="shared" si="26"/>
        <v>3561311</v>
      </c>
      <c r="K56" s="172">
        <f t="shared" si="18"/>
        <v>62227574</v>
      </c>
      <c r="L56" s="172">
        <f>K56</f>
        <v>62227574</v>
      </c>
      <c r="M56" s="26">
        <f>M466</f>
        <v>580000</v>
      </c>
      <c r="N56" s="26">
        <f>N466</f>
        <v>-52469379</v>
      </c>
      <c r="O56" s="172">
        <f t="shared" si="22"/>
        <v>10338195</v>
      </c>
      <c r="P56" s="172">
        <f>O56</f>
        <v>10338195</v>
      </c>
      <c r="Q56" s="172">
        <f t="shared" si="24"/>
        <v>10338195</v>
      </c>
      <c r="T56" s="172">
        <v>8156743</v>
      </c>
    </row>
    <row r="57" spans="2:20" s="185" customFormat="1" ht="15">
      <c r="B57" s="185" t="s">
        <v>28</v>
      </c>
      <c r="C57" s="186" t="s">
        <v>165</v>
      </c>
      <c r="D57" s="187">
        <v>1162453</v>
      </c>
      <c r="E57" s="187">
        <f>-E544</f>
        <v>112584</v>
      </c>
      <c r="F57" s="187">
        <v>89045</v>
      </c>
      <c r="G57" s="187">
        <f>0</f>
        <v>0</v>
      </c>
      <c r="H57" s="187">
        <f>0</f>
        <v>0</v>
      </c>
      <c r="I57" s="187">
        <f>0</f>
        <v>0</v>
      </c>
      <c r="J57" s="26">
        <v>0</v>
      </c>
      <c r="K57" s="172">
        <f t="shared" si="18"/>
        <v>1364082</v>
      </c>
      <c r="L57" s="188">
        <f t="shared" si="25"/>
        <v>1364082</v>
      </c>
      <c r="M57" s="26">
        <v>0</v>
      </c>
      <c r="N57" s="26">
        <v>0</v>
      </c>
      <c r="O57" s="188">
        <f t="shared" si="22"/>
        <v>1364082</v>
      </c>
      <c r="P57" s="188">
        <f t="shared" si="23"/>
        <v>1364082</v>
      </c>
      <c r="Q57" s="172">
        <f t="shared" si="24"/>
        <v>1364082</v>
      </c>
      <c r="S57" s="188"/>
      <c r="T57" s="188">
        <v>1364081</v>
      </c>
    </row>
    <row r="58" spans="2:20" s="185" customFormat="1" ht="15">
      <c r="B58" s="185" t="s">
        <v>195</v>
      </c>
      <c r="C58" s="186"/>
      <c r="D58" s="187">
        <v>0</v>
      </c>
      <c r="E58" s="187">
        <v>0</v>
      </c>
      <c r="F58" s="187">
        <v>0</v>
      </c>
      <c r="G58" s="187">
        <v>0</v>
      </c>
      <c r="H58" s="187">
        <v>0</v>
      </c>
      <c r="I58" s="187">
        <v>0</v>
      </c>
      <c r="J58" s="26">
        <v>0</v>
      </c>
      <c r="K58" s="172">
        <f t="shared" si="18"/>
        <v>0</v>
      </c>
      <c r="L58" s="188">
        <f t="shared" si="25"/>
        <v>0</v>
      </c>
      <c r="M58" s="26"/>
      <c r="N58" s="26"/>
      <c r="O58" s="188">
        <f t="shared" si="22"/>
        <v>0</v>
      </c>
      <c r="P58" s="188">
        <f t="shared" si="23"/>
        <v>0</v>
      </c>
      <c r="Q58" s="172">
        <f t="shared" si="24"/>
        <v>0</v>
      </c>
      <c r="S58" s="188"/>
      <c r="T58" s="188">
        <v>0</v>
      </c>
    </row>
    <row r="59" spans="2:20" s="185" customFormat="1" ht="15">
      <c r="B59" s="185" t="s">
        <v>196</v>
      </c>
      <c r="C59" s="186" t="s">
        <v>165</v>
      </c>
      <c r="D59" s="187">
        <v>0</v>
      </c>
      <c r="E59" s="187">
        <f>2720942</f>
        <v>2720942</v>
      </c>
      <c r="F59" s="187">
        <v>0</v>
      </c>
      <c r="G59" s="187">
        <v>0</v>
      </c>
      <c r="H59" s="187">
        <f>0</f>
        <v>0</v>
      </c>
      <c r="I59" s="187">
        <f>0</f>
        <v>0</v>
      </c>
      <c r="J59" s="26">
        <v>0</v>
      </c>
      <c r="K59" s="172">
        <f t="shared" si="18"/>
        <v>2720942</v>
      </c>
      <c r="L59" s="188">
        <f t="shared" si="25"/>
        <v>2720942</v>
      </c>
      <c r="M59" s="187">
        <v>0</v>
      </c>
      <c r="N59" s="187">
        <f>'[2] ConsoJL'!Z382</f>
        <v>-2720942</v>
      </c>
      <c r="O59" s="188">
        <f t="shared" si="22"/>
        <v>0</v>
      </c>
      <c r="P59" s="188">
        <f t="shared" si="23"/>
        <v>0</v>
      </c>
      <c r="Q59" s="172">
        <f t="shared" si="24"/>
        <v>0</v>
      </c>
      <c r="S59" s="188"/>
      <c r="T59" s="188">
        <v>-2038588</v>
      </c>
    </row>
    <row r="60" spans="2:20" ht="15">
      <c r="B60" s="16" t="s">
        <v>197</v>
      </c>
      <c r="C60" s="170">
        <v>16</v>
      </c>
      <c r="D60" s="26">
        <f aca="true" t="shared" si="27" ref="D60:J60">D485</f>
        <v>1580564</v>
      </c>
      <c r="E60" s="26">
        <f t="shared" si="27"/>
        <v>7680455</v>
      </c>
      <c r="F60" s="26">
        <f t="shared" si="27"/>
        <v>55445504</v>
      </c>
      <c r="G60" s="26">
        <f t="shared" si="27"/>
        <v>18523153</v>
      </c>
      <c r="H60" s="26">
        <f t="shared" si="27"/>
        <v>0</v>
      </c>
      <c r="I60" s="26">
        <f>I485</f>
        <v>8481674</v>
      </c>
      <c r="J60" s="26">
        <f t="shared" si="27"/>
        <v>0</v>
      </c>
      <c r="K60" s="172">
        <f t="shared" si="18"/>
        <v>91711350</v>
      </c>
      <c r="L60" s="172">
        <f t="shared" si="25"/>
        <v>91711350</v>
      </c>
      <c r="M60" s="26">
        <f>M485</f>
        <v>0</v>
      </c>
      <c r="N60" s="26">
        <f>N485</f>
        <v>-91711350</v>
      </c>
      <c r="O60" s="172">
        <f t="shared" si="22"/>
        <v>0</v>
      </c>
      <c r="P60" s="172">
        <f t="shared" si="23"/>
        <v>0</v>
      </c>
      <c r="Q60" s="172">
        <f t="shared" si="24"/>
        <v>0</v>
      </c>
      <c r="T60" s="172">
        <v>0</v>
      </c>
    </row>
    <row r="61" spans="2:20" ht="15">
      <c r="B61" s="16" t="s">
        <v>29</v>
      </c>
      <c r="C61" s="170">
        <v>17</v>
      </c>
      <c r="D61" s="26">
        <f aca="true" t="shared" si="28" ref="D61:J61">D494</f>
        <v>1920857</v>
      </c>
      <c r="E61" s="26">
        <f>E494</f>
        <v>3553</v>
      </c>
      <c r="F61" s="26">
        <f t="shared" si="28"/>
        <v>53368197</v>
      </c>
      <c r="G61" s="26">
        <f t="shared" si="28"/>
        <v>144501</v>
      </c>
      <c r="H61" s="26">
        <f t="shared" si="28"/>
        <v>2</v>
      </c>
      <c r="I61" s="26">
        <f>I494</f>
        <v>32142</v>
      </c>
      <c r="J61" s="26">
        <f t="shared" si="28"/>
        <v>1083265</v>
      </c>
      <c r="K61" s="172">
        <f t="shared" si="18"/>
        <v>56552517</v>
      </c>
      <c r="L61" s="172">
        <f t="shared" si="25"/>
        <v>56552517</v>
      </c>
      <c r="M61" s="26">
        <f>M494</f>
        <v>0</v>
      </c>
      <c r="N61" s="26">
        <f>N494</f>
        <v>0</v>
      </c>
      <c r="O61" s="172">
        <f t="shared" si="22"/>
        <v>56552517</v>
      </c>
      <c r="P61" s="172">
        <f t="shared" si="23"/>
        <v>56552517</v>
      </c>
      <c r="Q61" s="172">
        <f t="shared" si="24"/>
        <v>56552517</v>
      </c>
      <c r="T61" s="172">
        <v>53825516</v>
      </c>
    </row>
    <row r="62" spans="3:20" s="169" customFormat="1" ht="15">
      <c r="C62" s="170"/>
      <c r="D62" s="189">
        <f aca="true" t="shared" si="29" ref="D62:N62">SUM(D52:D61)</f>
        <v>9629485</v>
      </c>
      <c r="E62" s="189">
        <f t="shared" si="29"/>
        <v>10517534</v>
      </c>
      <c r="F62" s="189">
        <f t="shared" si="29"/>
        <v>255309900</v>
      </c>
      <c r="G62" s="189">
        <f t="shared" si="29"/>
        <v>70679526</v>
      </c>
      <c r="H62" s="189">
        <f t="shared" si="29"/>
        <v>2</v>
      </c>
      <c r="I62" s="189">
        <f t="shared" si="29"/>
        <v>8513816</v>
      </c>
      <c r="J62" s="189">
        <f>SUM(J52:J61)</f>
        <v>18160196</v>
      </c>
      <c r="K62" s="189">
        <f>SUM(K53:K61)</f>
        <v>372810459</v>
      </c>
      <c r="L62" s="189">
        <f t="shared" si="29"/>
        <v>372810459</v>
      </c>
      <c r="M62" s="189">
        <f t="shared" si="29"/>
        <v>580000</v>
      </c>
      <c r="N62" s="189">
        <f t="shared" si="29"/>
        <v>-146901671</v>
      </c>
      <c r="O62" s="189">
        <f>SUM(O53:O61)</f>
        <v>226488788</v>
      </c>
      <c r="P62" s="189">
        <f>SUM(P52:P61)</f>
        <v>226488788</v>
      </c>
      <c r="Q62" s="189">
        <f>SUM(Q52:Q61)</f>
        <v>226488788</v>
      </c>
      <c r="S62" s="189"/>
      <c r="T62" s="189">
        <v>480898796</v>
      </c>
    </row>
    <row r="63" spans="4:17" ht="15">
      <c r="D63" s="174"/>
      <c r="E63" s="174"/>
      <c r="F63" s="174"/>
      <c r="G63" s="174"/>
      <c r="H63" s="174"/>
      <c r="I63" s="174"/>
      <c r="J63" s="174"/>
      <c r="K63" s="176"/>
      <c r="L63" s="176"/>
      <c r="Q63" s="172"/>
    </row>
    <row r="64" spans="2:17" ht="15">
      <c r="B64" s="202" t="s">
        <v>198</v>
      </c>
      <c r="D64" s="174"/>
      <c r="E64" s="174"/>
      <c r="F64" s="174"/>
      <c r="G64" s="174"/>
      <c r="H64" s="174"/>
      <c r="I64" s="174"/>
      <c r="J64" s="174"/>
      <c r="K64" s="176"/>
      <c r="L64" s="176"/>
      <c r="Q64" s="172"/>
    </row>
    <row r="65" spans="2:20" ht="15">
      <c r="B65" s="16" t="s">
        <v>33</v>
      </c>
      <c r="C65" s="170">
        <v>18</v>
      </c>
      <c r="D65" s="203">
        <f aca="true" t="shared" si="30" ref="D65:I65">D520</f>
        <v>160000000</v>
      </c>
      <c r="E65" s="174">
        <f t="shared" si="30"/>
        <v>0</v>
      </c>
      <c r="F65" s="174">
        <f t="shared" si="30"/>
        <v>129650000</v>
      </c>
      <c r="G65" s="174">
        <f t="shared" si="30"/>
        <v>0</v>
      </c>
      <c r="H65" s="174">
        <f t="shared" si="30"/>
        <v>0</v>
      </c>
      <c r="I65" s="174">
        <f t="shared" si="30"/>
        <v>0</v>
      </c>
      <c r="J65" s="174">
        <v>0</v>
      </c>
      <c r="K65" s="172">
        <f aca="true" t="shared" si="31" ref="K65:K73">SUM(D65:J65)</f>
        <v>289650000</v>
      </c>
      <c r="L65" s="176">
        <f>L520</f>
        <v>-289650000</v>
      </c>
      <c r="M65" s="174">
        <f>M520</f>
        <v>0</v>
      </c>
      <c r="N65" s="174">
        <f>N520</f>
        <v>0</v>
      </c>
      <c r="O65" s="172">
        <f aca="true" t="shared" si="32" ref="O65:O73">L65+M65+N65</f>
        <v>-289650000</v>
      </c>
      <c r="P65" s="172">
        <f>-O65</f>
        <v>289650000</v>
      </c>
      <c r="Q65" s="172">
        <f aca="true" t="shared" si="33" ref="Q65:Q73">+P65</f>
        <v>289650000</v>
      </c>
      <c r="T65" s="172">
        <v>129650000</v>
      </c>
    </row>
    <row r="66" spans="2:20" ht="15">
      <c r="B66" s="16" t="s">
        <v>31</v>
      </c>
      <c r="C66" s="200" t="s">
        <v>165</v>
      </c>
      <c r="D66" s="174">
        <v>0</v>
      </c>
      <c r="E66" s="174">
        <v>0</v>
      </c>
      <c r="F66" s="174">
        <f>3355373+1</f>
        <v>3355374</v>
      </c>
      <c r="G66" s="174">
        <v>10710007</v>
      </c>
      <c r="H66" s="174">
        <v>0</v>
      </c>
      <c r="I66" s="174">
        <v>0</v>
      </c>
      <c r="J66" s="174">
        <v>12014397</v>
      </c>
      <c r="K66" s="172">
        <f t="shared" si="31"/>
        <v>26079778</v>
      </c>
      <c r="L66" s="172">
        <f aca="true" t="shared" si="34" ref="L66:L73">-K66</f>
        <v>-26079778</v>
      </c>
      <c r="O66" s="172">
        <f t="shared" si="32"/>
        <v>-26079778</v>
      </c>
      <c r="P66" s="172">
        <f aca="true" t="shared" si="35" ref="P66:P73">-O66</f>
        <v>26079778</v>
      </c>
      <c r="Q66" s="172">
        <f t="shared" si="33"/>
        <v>26079778</v>
      </c>
      <c r="T66" s="172">
        <v>24914023</v>
      </c>
    </row>
    <row r="67" spans="2:20" ht="15">
      <c r="B67" s="16" t="s">
        <v>32</v>
      </c>
      <c r="C67" s="170">
        <v>19</v>
      </c>
      <c r="D67" s="174">
        <f aca="true" t="shared" si="36" ref="D67:J67">D535</f>
        <v>2575406</v>
      </c>
      <c r="E67" s="174">
        <f>E535</f>
        <v>10435</v>
      </c>
      <c r="F67" s="174">
        <f t="shared" si="36"/>
        <v>73201302</v>
      </c>
      <c r="G67" s="286">
        <f>G535</f>
        <v>14394989</v>
      </c>
      <c r="H67" s="174">
        <f>H535</f>
        <v>2929</v>
      </c>
      <c r="I67" s="174">
        <f>I535</f>
        <v>2050458</v>
      </c>
      <c r="J67" s="174">
        <f t="shared" si="36"/>
        <v>977980</v>
      </c>
      <c r="K67" s="172">
        <f t="shared" si="31"/>
        <v>93213499</v>
      </c>
      <c r="L67" s="172">
        <f t="shared" si="34"/>
        <v>-93213499</v>
      </c>
      <c r="M67" s="174">
        <f>M535</f>
        <v>51905393</v>
      </c>
      <c r="N67" s="174">
        <f>N535</f>
        <v>0</v>
      </c>
      <c r="O67" s="172">
        <f t="shared" si="32"/>
        <v>-41308106</v>
      </c>
      <c r="P67" s="172">
        <f t="shared" si="35"/>
        <v>41308106</v>
      </c>
      <c r="Q67" s="172">
        <f t="shared" si="33"/>
        <v>41308106</v>
      </c>
      <c r="T67" s="172">
        <v>37309310</v>
      </c>
    </row>
    <row r="68" spans="2:20" ht="15">
      <c r="B68" s="16" t="s">
        <v>199</v>
      </c>
      <c r="C68" s="200" t="s">
        <v>165</v>
      </c>
      <c r="D68" s="174">
        <v>0</v>
      </c>
      <c r="E68" s="174">
        <v>0</v>
      </c>
      <c r="F68" s="174">
        <v>0</v>
      </c>
      <c r="G68" s="174">
        <v>1418292</v>
      </c>
      <c r="H68" s="174">
        <v>0</v>
      </c>
      <c r="I68" s="174">
        <v>3795</v>
      </c>
      <c r="J68" s="174">
        <v>3337443</v>
      </c>
      <c r="K68" s="172">
        <f t="shared" si="31"/>
        <v>4759530</v>
      </c>
      <c r="L68" s="172">
        <f t="shared" si="34"/>
        <v>-4759530</v>
      </c>
      <c r="M68" s="26">
        <f>'[2] ConsoJL'!Z381</f>
        <v>2720942</v>
      </c>
      <c r="O68" s="172">
        <f t="shared" si="32"/>
        <v>-2038588</v>
      </c>
      <c r="P68" s="172">
        <f t="shared" si="35"/>
        <v>2038588</v>
      </c>
      <c r="Q68" s="172">
        <f t="shared" si="33"/>
        <v>2038588</v>
      </c>
      <c r="T68" s="172">
        <v>0</v>
      </c>
    </row>
    <row r="69" spans="2:20" ht="15">
      <c r="B69" s="16" t="s">
        <v>200</v>
      </c>
      <c r="C69" s="204">
        <v>20</v>
      </c>
      <c r="D69" s="174">
        <f aca="true" t="shared" si="37" ref="D69:J69">D557</f>
        <v>6287176</v>
      </c>
      <c r="E69" s="174">
        <f t="shared" si="37"/>
        <v>12382957</v>
      </c>
      <c r="F69" s="174">
        <f t="shared" si="37"/>
        <v>6976335</v>
      </c>
      <c r="G69" s="174">
        <f t="shared" si="37"/>
        <v>55445504</v>
      </c>
      <c r="H69" s="174">
        <f t="shared" si="37"/>
        <v>16014</v>
      </c>
      <c r="I69" s="174">
        <f t="shared" si="37"/>
        <v>1284315</v>
      </c>
      <c r="J69" s="174">
        <f t="shared" si="37"/>
        <v>9319049</v>
      </c>
      <c r="K69" s="172">
        <f t="shared" si="31"/>
        <v>91711350</v>
      </c>
      <c r="L69" s="172">
        <f t="shared" si="34"/>
        <v>-91711350</v>
      </c>
      <c r="M69" s="174">
        <f>M557</f>
        <v>91711350</v>
      </c>
      <c r="N69" s="174">
        <f>N557</f>
        <v>0</v>
      </c>
      <c r="O69" s="195">
        <f t="shared" si="32"/>
        <v>0</v>
      </c>
      <c r="P69" s="195">
        <f t="shared" si="35"/>
        <v>0</v>
      </c>
      <c r="Q69" s="172">
        <f t="shared" si="33"/>
        <v>0</v>
      </c>
      <c r="S69" s="195"/>
      <c r="T69" s="195">
        <v>0</v>
      </c>
    </row>
    <row r="70" spans="2:20" ht="15">
      <c r="B70" s="185" t="s">
        <v>201</v>
      </c>
      <c r="C70" s="204"/>
      <c r="D70" s="174">
        <v>2000</v>
      </c>
      <c r="E70" s="174"/>
      <c r="F70" s="174"/>
      <c r="G70" s="174"/>
      <c r="H70" s="174"/>
      <c r="I70" s="174"/>
      <c r="J70" s="174"/>
      <c r="K70" s="172">
        <f t="shared" si="31"/>
        <v>2000</v>
      </c>
      <c r="L70" s="172">
        <f t="shared" si="34"/>
        <v>-2000</v>
      </c>
      <c r="M70" s="174"/>
      <c r="N70" s="174"/>
      <c r="O70" s="195">
        <f t="shared" si="32"/>
        <v>-2000</v>
      </c>
      <c r="P70" s="195">
        <f t="shared" si="35"/>
        <v>2000</v>
      </c>
      <c r="Q70" s="172">
        <f t="shared" si="33"/>
        <v>2000</v>
      </c>
      <c r="S70" s="195"/>
      <c r="T70" s="195">
        <v>2000</v>
      </c>
    </row>
    <row r="71" spans="2:20" ht="15">
      <c r="B71" s="16" t="s">
        <v>202</v>
      </c>
      <c r="C71" s="170">
        <v>21</v>
      </c>
      <c r="D71" s="174">
        <f aca="true" t="shared" si="38" ref="D71:J71">D571</f>
        <v>12737</v>
      </c>
      <c r="E71" s="174">
        <f t="shared" si="38"/>
        <v>0</v>
      </c>
      <c r="F71" s="174">
        <f t="shared" si="38"/>
        <v>0</v>
      </c>
      <c r="G71" s="174">
        <f t="shared" si="38"/>
        <v>140518</v>
      </c>
      <c r="H71" s="174">
        <f t="shared" si="38"/>
        <v>0</v>
      </c>
      <c r="I71" s="174">
        <f>I571</f>
        <v>0</v>
      </c>
      <c r="J71" s="174">
        <f t="shared" si="38"/>
        <v>0</v>
      </c>
      <c r="K71" s="172">
        <f t="shared" si="31"/>
        <v>153255</v>
      </c>
      <c r="L71" s="172">
        <f>-K71</f>
        <v>-153255</v>
      </c>
      <c r="M71" s="174">
        <f>M571</f>
        <v>0</v>
      </c>
      <c r="N71" s="174">
        <f>N571</f>
        <v>0</v>
      </c>
      <c r="O71" s="172">
        <f t="shared" si="32"/>
        <v>-153255</v>
      </c>
      <c r="P71" s="172">
        <f>-O71</f>
        <v>153255</v>
      </c>
      <c r="Q71" s="172">
        <f t="shared" si="33"/>
        <v>153255</v>
      </c>
      <c r="T71" s="172">
        <v>150943</v>
      </c>
    </row>
    <row r="72" spans="2:20" ht="15">
      <c r="B72" s="16" t="s">
        <v>203</v>
      </c>
      <c r="C72" s="200" t="s">
        <v>165</v>
      </c>
      <c r="D72" s="174"/>
      <c r="E72" s="174"/>
      <c r="F72" s="174"/>
      <c r="G72" s="174"/>
      <c r="H72" s="174"/>
      <c r="I72" s="174"/>
      <c r="J72" s="174">
        <v>802966</v>
      </c>
      <c r="K72" s="172">
        <f t="shared" si="31"/>
        <v>802966</v>
      </c>
      <c r="L72" s="172">
        <f>-K72</f>
        <v>-802966</v>
      </c>
      <c r="M72" s="174"/>
      <c r="N72" s="174"/>
      <c r="O72" s="172">
        <f t="shared" si="32"/>
        <v>-802966</v>
      </c>
      <c r="P72" s="172">
        <f>-O72</f>
        <v>802966</v>
      </c>
      <c r="Q72" s="172">
        <f t="shared" si="33"/>
        <v>802966</v>
      </c>
      <c r="T72" s="172">
        <v>382610</v>
      </c>
    </row>
    <row r="73" spans="2:20" ht="15">
      <c r="B73" s="16" t="s">
        <v>35</v>
      </c>
      <c r="C73" s="204">
        <v>19</v>
      </c>
      <c r="D73" s="174">
        <f>D544</f>
        <v>0</v>
      </c>
      <c r="E73" s="174">
        <f>E544+E57</f>
        <v>0</v>
      </c>
      <c r="F73" s="174">
        <f>F544</f>
        <v>0</v>
      </c>
      <c r="G73" s="174">
        <f>G544</f>
        <v>741158</v>
      </c>
      <c r="H73" s="174">
        <f>H544</f>
        <v>0</v>
      </c>
      <c r="I73" s="174">
        <f>I544</f>
        <v>2585</v>
      </c>
      <c r="J73" s="174">
        <f>J544</f>
        <v>0</v>
      </c>
      <c r="K73" s="172">
        <f t="shared" si="31"/>
        <v>743743</v>
      </c>
      <c r="L73" s="172">
        <f t="shared" si="34"/>
        <v>-743743</v>
      </c>
      <c r="M73" s="26">
        <f>M544</f>
        <v>0</v>
      </c>
      <c r="N73" s="26">
        <f>N544</f>
        <v>0</v>
      </c>
      <c r="O73" s="172">
        <f t="shared" si="32"/>
        <v>-743743</v>
      </c>
      <c r="P73" s="172">
        <f t="shared" si="35"/>
        <v>743743</v>
      </c>
      <c r="Q73" s="172">
        <f t="shared" si="33"/>
        <v>743743</v>
      </c>
      <c r="T73" s="172">
        <v>743743</v>
      </c>
    </row>
    <row r="74" spans="3:20" s="169" customFormat="1" ht="15">
      <c r="C74" s="170"/>
      <c r="D74" s="189">
        <f aca="true" t="shared" si="39" ref="D74:Q74">SUM(D64:D73)</f>
        <v>168877319</v>
      </c>
      <c r="E74" s="189">
        <f t="shared" si="39"/>
        <v>12393392</v>
      </c>
      <c r="F74" s="189">
        <f t="shared" si="39"/>
        <v>213183011</v>
      </c>
      <c r="G74" s="189">
        <f t="shared" si="39"/>
        <v>82850468</v>
      </c>
      <c r="H74" s="189">
        <f t="shared" si="39"/>
        <v>18943</v>
      </c>
      <c r="I74" s="189">
        <f t="shared" si="39"/>
        <v>3341153</v>
      </c>
      <c r="J74" s="189">
        <f>SUM(J64:J73)</f>
        <v>26451835</v>
      </c>
      <c r="K74" s="189">
        <f t="shared" si="39"/>
        <v>507116121</v>
      </c>
      <c r="L74" s="189">
        <f t="shared" si="39"/>
        <v>-507116121</v>
      </c>
      <c r="M74" s="189">
        <f t="shared" si="39"/>
        <v>146337685</v>
      </c>
      <c r="N74" s="189">
        <f t="shared" si="39"/>
        <v>0</v>
      </c>
      <c r="O74" s="189">
        <f>SUM(O65:O73)</f>
        <v>-360778436</v>
      </c>
      <c r="P74" s="189">
        <f t="shared" si="39"/>
        <v>360778436</v>
      </c>
      <c r="Q74" s="189">
        <f t="shared" si="39"/>
        <v>360778436</v>
      </c>
      <c r="S74" s="189"/>
      <c r="T74" s="189">
        <v>193152629</v>
      </c>
    </row>
    <row r="75" spans="4:17" ht="9.75" customHeight="1">
      <c r="D75" s="174"/>
      <c r="E75" s="174"/>
      <c r="F75" s="174"/>
      <c r="G75" s="174"/>
      <c r="H75" s="174"/>
      <c r="I75" s="174"/>
      <c r="J75" s="174"/>
      <c r="K75" s="176"/>
      <c r="L75" s="176"/>
      <c r="Q75" s="172"/>
    </row>
    <row r="76" spans="2:20" s="169" customFormat="1" ht="15">
      <c r="B76" s="169" t="s">
        <v>204</v>
      </c>
      <c r="C76" s="170"/>
      <c r="D76" s="176">
        <f aca="true" t="shared" si="40" ref="D76:K76">D62-D74</f>
        <v>-159247834</v>
      </c>
      <c r="E76" s="176">
        <f t="shared" si="40"/>
        <v>-1875858</v>
      </c>
      <c r="F76" s="176">
        <f t="shared" si="40"/>
        <v>42126889</v>
      </c>
      <c r="G76" s="176">
        <f t="shared" si="40"/>
        <v>-12170942</v>
      </c>
      <c r="H76" s="176">
        <f t="shared" si="40"/>
        <v>-18941</v>
      </c>
      <c r="I76" s="176">
        <f t="shared" si="40"/>
        <v>5172663</v>
      </c>
      <c r="J76" s="176">
        <f t="shared" si="40"/>
        <v>-8291639</v>
      </c>
      <c r="K76" s="176">
        <f t="shared" si="40"/>
        <v>-134305662</v>
      </c>
      <c r="L76" s="176">
        <f>L62+L74</f>
        <v>-134305662</v>
      </c>
      <c r="M76" s="176">
        <f>M62+M74</f>
        <v>146917685</v>
      </c>
      <c r="N76" s="176">
        <f>N62+N74</f>
        <v>-146901671</v>
      </c>
      <c r="O76" s="176">
        <f>O62+O74</f>
        <v>-134289648</v>
      </c>
      <c r="P76" s="176">
        <f>P62-P74</f>
        <v>-134289648</v>
      </c>
      <c r="Q76" s="176">
        <f>Q62-Q74</f>
        <v>-134289648</v>
      </c>
      <c r="S76" s="176"/>
      <c r="T76" s="176">
        <v>287746167</v>
      </c>
    </row>
    <row r="77" spans="4:20" ht="15">
      <c r="D77" s="174"/>
      <c r="E77" s="174"/>
      <c r="F77" s="174"/>
      <c r="G77" s="174"/>
      <c r="H77" s="174"/>
      <c r="I77" s="174"/>
      <c r="J77" s="174"/>
      <c r="K77" s="176"/>
      <c r="L77" s="176"/>
      <c r="M77" s="174"/>
      <c r="N77" s="174"/>
      <c r="O77" s="176"/>
      <c r="P77" s="176"/>
      <c r="Q77" s="176"/>
      <c r="S77" s="176"/>
      <c r="T77" s="176"/>
    </row>
    <row r="78" spans="3:20" s="169" customFormat="1" ht="15.75" thickBot="1">
      <c r="C78" s="170"/>
      <c r="D78" s="193">
        <f aca="true" t="shared" si="41" ref="D78:Q78">D76+SUM(D42:D50)</f>
        <v>330675731</v>
      </c>
      <c r="E78" s="193">
        <f t="shared" si="41"/>
        <v>49124142</v>
      </c>
      <c r="F78" s="193">
        <f t="shared" si="41"/>
        <v>1242454744</v>
      </c>
      <c r="G78" s="193">
        <f t="shared" si="41"/>
        <v>-6566190</v>
      </c>
      <c r="H78" s="193">
        <f t="shared" si="41"/>
        <v>-18941</v>
      </c>
      <c r="I78" s="193">
        <f t="shared" si="41"/>
        <v>15172663</v>
      </c>
      <c r="J78" s="193">
        <f t="shared" si="41"/>
        <v>-1553798</v>
      </c>
      <c r="K78" s="193">
        <f t="shared" si="41"/>
        <v>1629288351</v>
      </c>
      <c r="L78" s="193">
        <f t="shared" si="41"/>
        <v>1629288351</v>
      </c>
      <c r="M78" s="193">
        <f t="shared" si="41"/>
        <v>398976514.4414</v>
      </c>
      <c r="N78" s="193">
        <f t="shared" si="41"/>
        <v>-700393168</v>
      </c>
      <c r="O78" s="193">
        <f t="shared" si="41"/>
        <v>1327871697.4414</v>
      </c>
      <c r="P78" s="193">
        <f t="shared" si="41"/>
        <v>1327871697.4414</v>
      </c>
      <c r="Q78" s="193">
        <f t="shared" si="41"/>
        <v>1327871697.4414</v>
      </c>
      <c r="S78" s="193"/>
      <c r="T78" s="193">
        <v>1491584861.4414</v>
      </c>
    </row>
    <row r="79" spans="4:17" ht="15.75" thickTop="1">
      <c r="D79" s="174"/>
      <c r="E79" s="174"/>
      <c r="F79" s="174"/>
      <c r="G79" s="174"/>
      <c r="H79" s="174"/>
      <c r="I79" s="174"/>
      <c r="J79" s="174"/>
      <c r="K79" s="176"/>
      <c r="L79" s="176"/>
      <c r="Q79" s="172"/>
    </row>
    <row r="80" spans="2:17" ht="15">
      <c r="B80" s="169" t="s">
        <v>205</v>
      </c>
      <c r="D80" s="174"/>
      <c r="E80" s="174"/>
      <c r="F80" s="174"/>
      <c r="G80" s="174"/>
      <c r="H80" s="174"/>
      <c r="I80" s="174"/>
      <c r="J80" s="174"/>
      <c r="K80" s="176"/>
      <c r="L80" s="176"/>
      <c r="Q80" s="172"/>
    </row>
    <row r="81" spans="2:20" ht="15">
      <c r="B81" s="16" t="s">
        <v>206</v>
      </c>
      <c r="C81" s="170">
        <v>22</v>
      </c>
      <c r="D81" s="174">
        <f aca="true" t="shared" si="42" ref="D81:J81">D584</f>
        <v>223508536</v>
      </c>
      <c r="E81" s="174">
        <f t="shared" si="42"/>
        <v>50000000</v>
      </c>
      <c r="F81" s="174">
        <f t="shared" si="42"/>
        <v>50000000</v>
      </c>
      <c r="G81" s="174">
        <f t="shared" si="42"/>
        <v>1000000</v>
      </c>
      <c r="H81" s="174">
        <f t="shared" si="42"/>
        <v>1000</v>
      </c>
      <c r="I81" s="174">
        <f>I584</f>
        <v>10000000</v>
      </c>
      <c r="J81" s="174">
        <f t="shared" si="42"/>
        <v>10000000</v>
      </c>
      <c r="K81" s="176">
        <f>SUM(D81:J81)</f>
        <v>344509536</v>
      </c>
      <c r="L81" s="176">
        <f>-K81</f>
        <v>-344509536</v>
      </c>
      <c r="M81" s="26">
        <f>M584</f>
        <v>121001000</v>
      </c>
      <c r="N81" s="26">
        <f>N584</f>
        <v>0</v>
      </c>
      <c r="O81" s="172">
        <f>L81+M81+N81</f>
        <v>-223508536</v>
      </c>
      <c r="P81" s="172">
        <f>-O81</f>
        <v>223508536</v>
      </c>
      <c r="Q81" s="172">
        <f>+P81</f>
        <v>223508536</v>
      </c>
      <c r="T81" s="172">
        <v>223508536</v>
      </c>
    </row>
    <row r="82" spans="2:20" ht="15">
      <c r="B82" s="16" t="s">
        <v>207</v>
      </c>
      <c r="C82" s="170">
        <v>23</v>
      </c>
      <c r="D82" s="174">
        <f>D593</f>
        <v>103563392</v>
      </c>
      <c r="E82" s="174">
        <f>E593</f>
        <v>0</v>
      </c>
      <c r="F82" s="174">
        <v>0</v>
      </c>
      <c r="G82" s="174">
        <f>G593</f>
        <v>0</v>
      </c>
      <c r="H82" s="174">
        <f>H593</f>
        <v>0</v>
      </c>
      <c r="I82" s="174">
        <f>I593</f>
        <v>0</v>
      </c>
      <c r="J82" s="174">
        <f>J593</f>
        <v>0</v>
      </c>
      <c r="K82" s="176">
        <f>SUM(D82:J82)</f>
        <v>103563392</v>
      </c>
      <c r="L82" s="176">
        <f>-K82</f>
        <v>-103563392</v>
      </c>
      <c r="M82" s="26">
        <f>M593</f>
        <v>0</v>
      </c>
      <c r="N82" s="26">
        <f>N593</f>
        <v>0</v>
      </c>
      <c r="O82" s="172">
        <f>L82+M82+N82</f>
        <v>-103563392</v>
      </c>
      <c r="P82" s="172">
        <f>-O82</f>
        <v>103563392</v>
      </c>
      <c r="Q82" s="172">
        <f>+P82</f>
        <v>103563392</v>
      </c>
      <c r="T82" s="172">
        <v>103563392</v>
      </c>
    </row>
    <row r="83" spans="2:20" ht="15">
      <c r="B83" s="16" t="s">
        <v>208</v>
      </c>
      <c r="C83" s="170">
        <v>24</v>
      </c>
      <c r="D83" s="174">
        <f>D600</f>
        <v>0</v>
      </c>
      <c r="E83" s="174">
        <f>E600</f>
        <v>0</v>
      </c>
      <c r="F83" s="174">
        <v>0</v>
      </c>
      <c r="G83" s="174">
        <f>G600</f>
        <v>0</v>
      </c>
      <c r="H83" s="174">
        <f>H600</f>
        <v>0</v>
      </c>
      <c r="I83" s="174">
        <f>I600</f>
        <v>0</v>
      </c>
      <c r="J83" s="174">
        <f>J600</f>
        <v>0</v>
      </c>
      <c r="K83" s="176">
        <f>SUM(D83:J83)</f>
        <v>0</v>
      </c>
      <c r="L83" s="176">
        <f>-K83</f>
        <v>0</v>
      </c>
      <c r="M83" s="26">
        <f>M600</f>
        <v>0</v>
      </c>
      <c r="N83" s="26">
        <f>N600</f>
        <v>0</v>
      </c>
      <c r="O83" s="172">
        <f>L83+M83+N83</f>
        <v>0</v>
      </c>
      <c r="P83" s="172">
        <f>-O83</f>
        <v>0</v>
      </c>
      <c r="Q83" s="172">
        <f>+P83</f>
        <v>0</v>
      </c>
      <c r="T83" s="172">
        <v>0</v>
      </c>
    </row>
    <row r="84" spans="2:20" ht="15">
      <c r="B84" s="16" t="s">
        <v>209</v>
      </c>
      <c r="C84" s="170">
        <v>25</v>
      </c>
      <c r="D84" s="174">
        <f>D607</f>
        <v>0</v>
      </c>
      <c r="E84" s="174">
        <f>E607</f>
        <v>0</v>
      </c>
      <c r="F84" s="174">
        <v>0</v>
      </c>
      <c r="G84" s="174">
        <f>G607</f>
        <v>0</v>
      </c>
      <c r="H84" s="174">
        <f>H607</f>
        <v>0</v>
      </c>
      <c r="I84" s="174">
        <f>I607</f>
        <v>0</v>
      </c>
      <c r="J84" s="174">
        <f>J607</f>
        <v>0</v>
      </c>
      <c r="K84" s="176">
        <f>SUM(D84:J84)</f>
        <v>0</v>
      </c>
      <c r="L84" s="176">
        <f>-K84</f>
        <v>0</v>
      </c>
      <c r="M84" s="26">
        <f>M607</f>
        <v>0</v>
      </c>
      <c r="N84" s="26">
        <f>N607</f>
        <v>0</v>
      </c>
      <c r="O84" s="172">
        <f>L84+M84+N84</f>
        <v>0</v>
      </c>
      <c r="P84" s="172">
        <f>-O84</f>
        <v>0</v>
      </c>
      <c r="Q84" s="172">
        <f>+P84</f>
        <v>0</v>
      </c>
      <c r="T84" s="172">
        <v>0</v>
      </c>
    </row>
    <row r="85" spans="2:20" ht="15">
      <c r="B85" s="16" t="s">
        <v>210</v>
      </c>
      <c r="C85" s="170">
        <v>26</v>
      </c>
      <c r="D85" s="182">
        <f aca="true" t="shared" si="43" ref="D85:J85">D615</f>
        <v>3540765</v>
      </c>
      <c r="E85" s="182">
        <f t="shared" si="43"/>
        <v>-875858</v>
      </c>
      <c r="F85" s="182">
        <f t="shared" si="43"/>
        <v>58303770</v>
      </c>
      <c r="G85" s="182">
        <f t="shared" si="43"/>
        <v>-7890513</v>
      </c>
      <c r="H85" s="182">
        <f t="shared" si="43"/>
        <v>-19941</v>
      </c>
      <c r="I85" s="182">
        <f>I615</f>
        <v>-2827337</v>
      </c>
      <c r="J85" s="182">
        <f t="shared" si="43"/>
        <v>-11563798</v>
      </c>
      <c r="K85" s="183">
        <f>SUM(D85:J85)</f>
        <v>38667088</v>
      </c>
      <c r="L85" s="183">
        <f>-K85</f>
        <v>-38667088</v>
      </c>
      <c r="M85" s="182">
        <f>M615</f>
        <v>26272548.57859999</v>
      </c>
      <c r="N85" s="182">
        <f>N615</f>
        <v>-1629250</v>
      </c>
      <c r="O85" s="183">
        <f>O615</f>
        <v>-14023789.42140001</v>
      </c>
      <c r="P85" s="183">
        <f>P615</f>
        <v>14023789.42140001</v>
      </c>
      <c r="Q85" s="183">
        <f>+P85</f>
        <v>14023789.42140001</v>
      </c>
      <c r="S85" s="183"/>
      <c r="T85" s="183">
        <v>16876471.42140001</v>
      </c>
    </row>
    <row r="86" spans="2:20" s="169" customFormat="1" ht="15">
      <c r="B86" s="169" t="s">
        <v>211</v>
      </c>
      <c r="C86" s="170"/>
      <c r="D86" s="176">
        <f aca="true" t="shared" si="44" ref="D86:N86">SUM(D81:D85)</f>
        <v>330612693</v>
      </c>
      <c r="E86" s="176">
        <f t="shared" si="44"/>
        <v>49124142</v>
      </c>
      <c r="F86" s="176">
        <f t="shared" si="44"/>
        <v>108303770</v>
      </c>
      <c r="G86" s="176">
        <f t="shared" si="44"/>
        <v>-6890513</v>
      </c>
      <c r="H86" s="176">
        <f t="shared" si="44"/>
        <v>-18941</v>
      </c>
      <c r="I86" s="176">
        <f t="shared" si="44"/>
        <v>7172663</v>
      </c>
      <c r="J86" s="176">
        <f>SUM(J81:J85)</f>
        <v>-1563798</v>
      </c>
      <c r="K86" s="176">
        <f t="shared" si="44"/>
        <v>486740016</v>
      </c>
      <c r="L86" s="176">
        <f t="shared" si="44"/>
        <v>-486740016</v>
      </c>
      <c r="M86" s="176">
        <f t="shared" si="44"/>
        <v>147273548.5786</v>
      </c>
      <c r="N86" s="176">
        <f t="shared" si="44"/>
        <v>-1629250</v>
      </c>
      <c r="O86" s="176">
        <f>SUM(O81:O85)</f>
        <v>-341095717.4214</v>
      </c>
      <c r="P86" s="176">
        <f>SUM(P81:P85)</f>
        <v>341095717.4214</v>
      </c>
      <c r="Q86" s="176">
        <f>SUM(Q81:Q85)</f>
        <v>341095717.4214</v>
      </c>
      <c r="S86" s="176"/>
      <c r="T86" s="176">
        <v>343948399.4214</v>
      </c>
    </row>
    <row r="87" spans="4:17" ht="15">
      <c r="D87" s="174"/>
      <c r="E87" s="174"/>
      <c r="F87" s="174"/>
      <c r="G87" s="174"/>
      <c r="H87" s="174"/>
      <c r="I87" s="174"/>
      <c r="J87" s="174"/>
      <c r="K87" s="176"/>
      <c r="L87" s="176"/>
      <c r="Q87" s="172"/>
    </row>
    <row r="88" spans="2:17" ht="15">
      <c r="B88" s="169" t="s">
        <v>212</v>
      </c>
      <c r="D88" s="174"/>
      <c r="E88" s="174"/>
      <c r="F88" s="174"/>
      <c r="G88" s="174"/>
      <c r="H88" s="174"/>
      <c r="I88" s="174"/>
      <c r="J88" s="174"/>
      <c r="K88" s="176"/>
      <c r="L88" s="176"/>
      <c r="Q88" s="172"/>
    </row>
    <row r="89" spans="2:20" ht="15">
      <c r="B89" s="16" t="s">
        <v>43</v>
      </c>
      <c r="C89" s="170">
        <v>27</v>
      </c>
      <c r="D89" s="203">
        <f aca="true" t="shared" si="45" ref="D89:J89">D625</f>
        <v>0</v>
      </c>
      <c r="E89" s="174">
        <f t="shared" si="45"/>
        <v>0</v>
      </c>
      <c r="F89" s="174">
        <f t="shared" si="45"/>
        <v>1124754974</v>
      </c>
      <c r="G89" s="174">
        <f t="shared" si="45"/>
        <v>0</v>
      </c>
      <c r="H89" s="174">
        <f t="shared" si="45"/>
        <v>0</v>
      </c>
      <c r="I89" s="174">
        <f>I625</f>
        <v>8000000</v>
      </c>
      <c r="J89" s="174">
        <f t="shared" si="45"/>
        <v>0</v>
      </c>
      <c r="K89" s="176">
        <f aca="true" t="shared" si="46" ref="K89:K94">SUM(D89:J89)</f>
        <v>1132754974</v>
      </c>
      <c r="L89" s="176">
        <f aca="true" t="shared" si="47" ref="L89:L94">-K89</f>
        <v>-1132754974</v>
      </c>
      <c r="M89" s="26">
        <f>M625</f>
        <v>155860834</v>
      </c>
      <c r="N89" s="26">
        <f>N625</f>
        <v>0</v>
      </c>
      <c r="O89" s="172">
        <f aca="true" t="shared" si="48" ref="O89:O94">L89+M89+N89</f>
        <v>-976894140</v>
      </c>
      <c r="P89" s="172">
        <f aca="true" t="shared" si="49" ref="P89:P94">-O89</f>
        <v>976894140</v>
      </c>
      <c r="Q89" s="172">
        <f aca="true" t="shared" si="50" ref="Q89:Q94">+P89</f>
        <v>976894140</v>
      </c>
      <c r="T89" s="172">
        <v>1137430963</v>
      </c>
    </row>
    <row r="90" spans="2:20" ht="15">
      <c r="B90" s="16" t="s">
        <v>44</v>
      </c>
      <c r="C90" s="170">
        <v>28</v>
      </c>
      <c r="D90" s="174">
        <f aca="true" t="shared" si="51" ref="D90:J90">D633</f>
        <v>0</v>
      </c>
      <c r="E90" s="174">
        <f t="shared" si="51"/>
        <v>0</v>
      </c>
      <c r="F90" s="174">
        <f t="shared" si="51"/>
        <v>9396000</v>
      </c>
      <c r="G90" s="174">
        <f t="shared" si="51"/>
        <v>0</v>
      </c>
      <c r="H90" s="174">
        <f t="shared" si="51"/>
        <v>0</v>
      </c>
      <c r="I90" s="174">
        <f>I633</f>
        <v>0</v>
      </c>
      <c r="J90" s="174">
        <f t="shared" si="51"/>
        <v>10000</v>
      </c>
      <c r="K90" s="176">
        <f t="shared" si="46"/>
        <v>9406000</v>
      </c>
      <c r="L90" s="176">
        <f t="shared" si="47"/>
        <v>-9406000</v>
      </c>
      <c r="M90" s="26">
        <f>M633</f>
        <v>0</v>
      </c>
      <c r="N90" s="26">
        <f>N633</f>
        <v>0</v>
      </c>
      <c r="O90" s="172">
        <f t="shared" si="48"/>
        <v>-9406000</v>
      </c>
      <c r="P90" s="172">
        <f t="shared" si="49"/>
        <v>9406000</v>
      </c>
      <c r="Q90" s="172">
        <f t="shared" si="50"/>
        <v>9406000</v>
      </c>
      <c r="T90" s="172">
        <v>9740000</v>
      </c>
    </row>
    <row r="91" spans="2:20" ht="15">
      <c r="B91" s="16" t="s">
        <v>202</v>
      </c>
      <c r="C91" s="170">
        <v>21</v>
      </c>
      <c r="D91" s="174">
        <f>D572+D573</f>
        <v>63038</v>
      </c>
      <c r="E91" s="174">
        <f>E572+E573</f>
        <v>0</v>
      </c>
      <c r="F91" s="174">
        <f>F572+F573</f>
        <v>0</v>
      </c>
      <c r="G91" s="174">
        <f>G572</f>
        <v>324323</v>
      </c>
      <c r="H91" s="174">
        <f>H572+H573</f>
        <v>0</v>
      </c>
      <c r="I91" s="174">
        <f>I572+I573</f>
        <v>0</v>
      </c>
      <c r="J91" s="174">
        <f>J572+J573</f>
        <v>0</v>
      </c>
      <c r="K91" s="176">
        <f t="shared" si="46"/>
        <v>387361</v>
      </c>
      <c r="L91" s="176">
        <f t="shared" si="47"/>
        <v>-387361</v>
      </c>
      <c r="M91" s="26">
        <f>M572+M573</f>
        <v>0</v>
      </c>
      <c r="N91" s="26">
        <f>N572+N573</f>
        <v>0</v>
      </c>
      <c r="O91" s="172">
        <f t="shared" si="48"/>
        <v>-387361</v>
      </c>
      <c r="P91" s="172">
        <f t="shared" si="49"/>
        <v>387361</v>
      </c>
      <c r="Q91" s="172">
        <f t="shared" si="50"/>
        <v>387361</v>
      </c>
      <c r="T91" s="172">
        <v>399256</v>
      </c>
    </row>
    <row r="92" spans="2:20" ht="15">
      <c r="B92" s="16" t="s">
        <v>118</v>
      </c>
      <c r="D92" s="174"/>
      <c r="E92" s="174"/>
      <c r="F92" s="174"/>
      <c r="G92" s="174"/>
      <c r="H92" s="174"/>
      <c r="I92" s="174"/>
      <c r="J92" s="174"/>
      <c r="K92" s="176">
        <f t="shared" si="46"/>
        <v>0</v>
      </c>
      <c r="L92" s="176">
        <f t="shared" si="47"/>
        <v>0</v>
      </c>
      <c r="N92" s="26">
        <f>+'[2] ConsoJL'!U438</f>
        <v>-88479</v>
      </c>
      <c r="O92" s="172">
        <f t="shared" si="48"/>
        <v>-88479</v>
      </c>
      <c r="P92" s="172">
        <f t="shared" si="49"/>
        <v>88479</v>
      </c>
      <c r="Q92" s="172">
        <f t="shared" si="50"/>
        <v>88479</v>
      </c>
      <c r="T92" s="172">
        <v>66243</v>
      </c>
    </row>
    <row r="93" spans="2:20" ht="15">
      <c r="B93" s="16" t="s">
        <v>117</v>
      </c>
      <c r="D93" s="174"/>
      <c r="E93" s="174"/>
      <c r="F93" s="174"/>
      <c r="G93" s="174"/>
      <c r="H93" s="174"/>
      <c r="I93" s="174"/>
      <c r="J93" s="174"/>
      <c r="K93" s="176">
        <f t="shared" si="46"/>
        <v>0</v>
      </c>
      <c r="L93" s="176">
        <f t="shared" si="47"/>
        <v>0</v>
      </c>
      <c r="N93" s="26">
        <f>+'[2] ConsoJL'!L438</f>
        <v>0</v>
      </c>
      <c r="O93" s="172">
        <f t="shared" si="48"/>
        <v>0</v>
      </c>
      <c r="P93" s="172">
        <f t="shared" si="49"/>
        <v>0</v>
      </c>
      <c r="Q93" s="172">
        <f t="shared" si="50"/>
        <v>0</v>
      </c>
      <c r="T93" s="172">
        <v>0</v>
      </c>
    </row>
    <row r="94" spans="2:20" ht="15">
      <c r="B94" s="16" t="s">
        <v>213</v>
      </c>
      <c r="D94" s="174"/>
      <c r="E94" s="174"/>
      <c r="F94" s="174"/>
      <c r="G94" s="174"/>
      <c r="H94" s="174"/>
      <c r="I94" s="174"/>
      <c r="J94" s="174"/>
      <c r="K94" s="176">
        <f t="shared" si="46"/>
        <v>0</v>
      </c>
      <c r="L94" s="176">
        <f t="shared" si="47"/>
        <v>0</v>
      </c>
      <c r="O94" s="172">
        <f t="shared" si="48"/>
        <v>0</v>
      </c>
      <c r="P94" s="172">
        <f t="shared" si="49"/>
        <v>0</v>
      </c>
      <c r="Q94" s="172">
        <f t="shared" si="50"/>
        <v>0</v>
      </c>
      <c r="T94" s="172">
        <v>0</v>
      </c>
    </row>
    <row r="95" spans="3:20" s="169" customFormat="1" ht="15">
      <c r="C95" s="170"/>
      <c r="D95" s="189">
        <f aca="true" t="shared" si="52" ref="D95:Q95">SUM(D88:D94)</f>
        <v>63038</v>
      </c>
      <c r="E95" s="189">
        <f t="shared" si="52"/>
        <v>0</v>
      </c>
      <c r="F95" s="189">
        <f t="shared" si="52"/>
        <v>1134150974</v>
      </c>
      <c r="G95" s="189">
        <f t="shared" si="52"/>
        <v>324323</v>
      </c>
      <c r="H95" s="189">
        <f t="shared" si="52"/>
        <v>0</v>
      </c>
      <c r="I95" s="189">
        <f t="shared" si="52"/>
        <v>8000000</v>
      </c>
      <c r="J95" s="189">
        <f>SUM(J88:J91)</f>
        <v>10000</v>
      </c>
      <c r="K95" s="189">
        <f t="shared" si="52"/>
        <v>1142548335</v>
      </c>
      <c r="L95" s="189">
        <f t="shared" si="52"/>
        <v>-1142548335</v>
      </c>
      <c r="M95" s="189">
        <f t="shared" si="52"/>
        <v>155860834</v>
      </c>
      <c r="N95" s="189">
        <f t="shared" si="52"/>
        <v>-88479</v>
      </c>
      <c r="O95" s="189">
        <f t="shared" si="52"/>
        <v>-986775980</v>
      </c>
      <c r="P95" s="189">
        <f t="shared" si="52"/>
        <v>986775980</v>
      </c>
      <c r="Q95" s="189">
        <f t="shared" si="52"/>
        <v>986775980</v>
      </c>
      <c r="S95" s="189"/>
      <c r="T95" s="189">
        <v>1147636462</v>
      </c>
    </row>
    <row r="96" spans="4:20" ht="15">
      <c r="D96" s="174"/>
      <c r="E96" s="174"/>
      <c r="F96" s="174"/>
      <c r="G96" s="174"/>
      <c r="H96" s="174"/>
      <c r="I96" s="174"/>
      <c r="J96" s="174"/>
      <c r="K96" s="176"/>
      <c r="L96" s="176"/>
      <c r="M96" s="174"/>
      <c r="N96" s="174"/>
      <c r="O96" s="176"/>
      <c r="P96" s="176"/>
      <c r="Q96" s="176"/>
      <c r="S96" s="176"/>
      <c r="T96" s="176"/>
    </row>
    <row r="97" spans="3:20" s="169" customFormat="1" ht="15.75" thickBot="1">
      <c r="C97" s="170"/>
      <c r="D97" s="193">
        <f aca="true" t="shared" si="53" ref="D97:P97">D86+D95</f>
        <v>330675731</v>
      </c>
      <c r="E97" s="193">
        <f t="shared" si="53"/>
        <v>49124142</v>
      </c>
      <c r="F97" s="193">
        <f t="shared" si="53"/>
        <v>1242454744</v>
      </c>
      <c r="G97" s="193">
        <f t="shared" si="53"/>
        <v>-6566190</v>
      </c>
      <c r="H97" s="193">
        <f t="shared" si="53"/>
        <v>-18941</v>
      </c>
      <c r="I97" s="193">
        <f>I86+I95</f>
        <v>15172663</v>
      </c>
      <c r="J97" s="193">
        <f t="shared" si="53"/>
        <v>-1553798</v>
      </c>
      <c r="K97" s="193">
        <f t="shared" si="53"/>
        <v>1629288351</v>
      </c>
      <c r="L97" s="193">
        <f t="shared" si="53"/>
        <v>-1629288351</v>
      </c>
      <c r="M97" s="193">
        <f t="shared" si="53"/>
        <v>303134382.5786</v>
      </c>
      <c r="N97" s="193">
        <f t="shared" si="53"/>
        <v>-1717729</v>
      </c>
      <c r="O97" s="193">
        <f>O86+O95</f>
        <v>-1327871697.4214</v>
      </c>
      <c r="P97" s="193">
        <f t="shared" si="53"/>
        <v>1327871697.4214</v>
      </c>
      <c r="Q97" s="193">
        <f>Q86+Q95</f>
        <v>1327871697.4214</v>
      </c>
      <c r="S97" s="193"/>
      <c r="T97" s="193">
        <v>1491584861.4214</v>
      </c>
    </row>
    <row r="98" spans="3:20" s="169" customFormat="1" ht="15.75" thickTop="1">
      <c r="C98" s="170"/>
      <c r="D98" s="176"/>
      <c r="E98" s="176"/>
      <c r="F98" s="176"/>
      <c r="G98" s="176"/>
      <c r="H98" s="176"/>
      <c r="I98" s="176"/>
      <c r="J98" s="176"/>
      <c r="K98" s="176"/>
      <c r="L98" s="176"/>
      <c r="M98" s="176"/>
      <c r="N98" s="176"/>
      <c r="O98" s="176"/>
      <c r="P98" s="176"/>
      <c r="Q98" s="176"/>
      <c r="S98" s="176"/>
      <c r="T98" s="176"/>
    </row>
    <row r="99" spans="2:20" s="169" customFormat="1" ht="15">
      <c r="B99" s="169" t="s">
        <v>214</v>
      </c>
      <c r="C99" s="170"/>
      <c r="D99" s="176"/>
      <c r="E99" s="176"/>
      <c r="F99" s="176"/>
      <c r="G99" s="176"/>
      <c r="H99" s="176"/>
      <c r="I99" s="176"/>
      <c r="J99" s="176"/>
      <c r="K99" s="176"/>
      <c r="L99" s="176"/>
      <c r="M99" s="176"/>
      <c r="N99" s="176"/>
      <c r="O99" s="176"/>
      <c r="P99" s="205">
        <f>(P86-P46)/P81</f>
        <v>0.6032547115847066</v>
      </c>
      <c r="Q99" s="205">
        <f>(Q86-Q46)/Q81</f>
        <v>0.6032547115847066</v>
      </c>
      <c r="S99" s="205"/>
      <c r="T99" s="205">
        <v>0.6068111976779268</v>
      </c>
    </row>
    <row r="100" spans="2:20" s="206" customFormat="1" ht="15">
      <c r="B100" s="206" t="s">
        <v>215</v>
      </c>
      <c r="C100" s="207"/>
      <c r="D100" s="174">
        <f aca="true" t="shared" si="54" ref="D100:K100">D97-D78</f>
        <v>0</v>
      </c>
      <c r="E100" s="208">
        <f t="shared" si="54"/>
        <v>0</v>
      </c>
      <c r="F100" s="209">
        <f t="shared" si="54"/>
        <v>0</v>
      </c>
      <c r="G100" s="174">
        <f t="shared" si="54"/>
        <v>0</v>
      </c>
      <c r="H100" s="209">
        <f t="shared" si="54"/>
        <v>0</v>
      </c>
      <c r="I100" s="174">
        <f>I97-I78</f>
        <v>0</v>
      </c>
      <c r="J100" s="174">
        <f>J97-J78</f>
        <v>0</v>
      </c>
      <c r="K100" s="174">
        <f t="shared" si="54"/>
        <v>0</v>
      </c>
      <c r="L100" s="174">
        <f>L97+L78</f>
        <v>0</v>
      </c>
      <c r="M100" s="174"/>
      <c r="N100" s="174"/>
      <c r="O100" s="174">
        <f>O97+O78</f>
        <v>0.019999980926513672</v>
      </c>
      <c r="P100" s="174">
        <f>P97-P78</f>
        <v>-0.019999980926513672</v>
      </c>
      <c r="Q100" s="174">
        <f>Q97-Q78</f>
        <v>-0.019999980926513672</v>
      </c>
      <c r="S100" s="174"/>
      <c r="T100" s="174">
        <v>-0.019999980926513672</v>
      </c>
    </row>
    <row r="101" ht="15"/>
    <row r="102" spans="4:20" ht="15">
      <c r="D102" s="26">
        <f aca="true" t="shared" si="55" ref="D102:K102">D97-D78</f>
        <v>0</v>
      </c>
      <c r="E102" s="26">
        <f t="shared" si="55"/>
        <v>0</v>
      </c>
      <c r="F102" s="26">
        <f t="shared" si="55"/>
        <v>0</v>
      </c>
      <c r="G102" s="26">
        <f t="shared" si="55"/>
        <v>0</v>
      </c>
      <c r="H102" s="26">
        <f t="shared" si="55"/>
        <v>0</v>
      </c>
      <c r="I102" s="26">
        <f>I97-I78</f>
        <v>0</v>
      </c>
      <c r="J102" s="26">
        <f t="shared" si="55"/>
        <v>0</v>
      </c>
      <c r="K102" s="26">
        <f t="shared" si="55"/>
        <v>0</v>
      </c>
      <c r="L102" s="26"/>
      <c r="O102" s="26"/>
      <c r="P102" s="26"/>
      <c r="S102" s="26"/>
      <c r="T102" s="26"/>
    </row>
    <row r="103" ht="15">
      <c r="B103" s="169" t="s">
        <v>216</v>
      </c>
    </row>
    <row r="104" ht="15"/>
    <row r="105" ht="15">
      <c r="B105" s="169" t="s">
        <v>217</v>
      </c>
    </row>
    <row r="106" ht="15">
      <c r="B106" s="169" t="s">
        <v>107</v>
      </c>
    </row>
    <row r="107" spans="2:20" ht="15">
      <c r="B107" s="210" t="s">
        <v>218</v>
      </c>
      <c r="C107" s="200" t="s">
        <v>165</v>
      </c>
      <c r="D107" s="26">
        <v>0</v>
      </c>
      <c r="E107" s="26">
        <v>0</v>
      </c>
      <c r="F107" s="26">
        <v>0</v>
      </c>
      <c r="H107" s="26">
        <v>0</v>
      </c>
      <c r="I107" s="26">
        <v>0</v>
      </c>
      <c r="J107" s="26">
        <v>0</v>
      </c>
      <c r="K107" s="172">
        <f aca="true" t="shared" si="56" ref="K107:K118">SUM(D107:J107)</f>
        <v>0</v>
      </c>
      <c r="L107" s="172">
        <f aca="true" t="shared" si="57" ref="L107:L118">-K107</f>
        <v>0</v>
      </c>
      <c r="M107" s="26">
        <v>0</v>
      </c>
      <c r="N107" s="26">
        <v>0</v>
      </c>
      <c r="O107" s="172">
        <f aca="true" t="shared" si="58" ref="O107:O117">N107+M107+L107</f>
        <v>0</v>
      </c>
      <c r="P107" s="172">
        <f aca="true" t="shared" si="59" ref="P107:P118">-O107</f>
        <v>0</v>
      </c>
      <c r="T107" s="172">
        <v>0</v>
      </c>
    </row>
    <row r="108" spans="2:20" ht="15">
      <c r="B108" s="210" t="s">
        <v>219</v>
      </c>
      <c r="C108" s="200" t="s">
        <v>165</v>
      </c>
      <c r="D108" s="26">
        <v>0</v>
      </c>
      <c r="E108" s="26">
        <v>0</v>
      </c>
      <c r="F108" s="26">
        <v>0</v>
      </c>
      <c r="G108" s="26">
        <v>0</v>
      </c>
      <c r="H108" s="26">
        <v>0</v>
      </c>
      <c r="I108" s="26">
        <v>0</v>
      </c>
      <c r="J108" s="26">
        <v>0</v>
      </c>
      <c r="K108" s="172">
        <f t="shared" si="56"/>
        <v>0</v>
      </c>
      <c r="L108" s="172">
        <f t="shared" si="57"/>
        <v>0</v>
      </c>
      <c r="M108" s="26">
        <v>0</v>
      </c>
      <c r="N108" s="26">
        <v>0</v>
      </c>
      <c r="O108" s="172">
        <f t="shared" si="58"/>
        <v>0</v>
      </c>
      <c r="P108" s="172">
        <f t="shared" si="59"/>
        <v>0</v>
      </c>
      <c r="T108" s="172">
        <v>0</v>
      </c>
    </row>
    <row r="109" spans="2:20" ht="15">
      <c r="B109" s="210" t="s">
        <v>220</v>
      </c>
      <c r="C109" s="200" t="s">
        <v>165</v>
      </c>
      <c r="D109" s="26">
        <v>0</v>
      </c>
      <c r="E109" s="26">
        <v>0</v>
      </c>
      <c r="F109" s="26">
        <v>26371708</v>
      </c>
      <c r="G109" s="26">
        <v>0</v>
      </c>
      <c r="H109" s="26">
        <v>0</v>
      </c>
      <c r="I109" s="26">
        <v>0</v>
      </c>
      <c r="J109" s="26">
        <v>0</v>
      </c>
      <c r="K109" s="172">
        <f t="shared" si="56"/>
        <v>26371708</v>
      </c>
      <c r="L109" s="172">
        <f t="shared" si="57"/>
        <v>-26371708</v>
      </c>
      <c r="O109" s="172">
        <f t="shared" si="58"/>
        <v>-26371708</v>
      </c>
      <c r="P109" s="172">
        <f t="shared" si="59"/>
        <v>26371708</v>
      </c>
      <c r="T109" s="172">
        <v>8787989</v>
      </c>
    </row>
    <row r="110" spans="2:20" ht="15">
      <c r="B110" s="210" t="s">
        <v>221</v>
      </c>
      <c r="K110" s="172">
        <f t="shared" si="56"/>
        <v>0</v>
      </c>
      <c r="O110" s="172">
        <f t="shared" si="58"/>
        <v>0</v>
      </c>
      <c r="P110" s="172">
        <f t="shared" si="59"/>
        <v>0</v>
      </c>
      <c r="T110" s="172">
        <v>0</v>
      </c>
    </row>
    <row r="111" spans="2:20" ht="15">
      <c r="B111" s="16" t="s">
        <v>222</v>
      </c>
      <c r="C111" s="200" t="s">
        <v>165</v>
      </c>
      <c r="D111" s="26">
        <v>0</v>
      </c>
      <c r="E111" s="26">
        <v>0</v>
      </c>
      <c r="F111" s="26">
        <v>0</v>
      </c>
      <c r="G111" s="26">
        <v>0</v>
      </c>
      <c r="H111" s="26">
        <v>0</v>
      </c>
      <c r="I111" s="26">
        <v>0</v>
      </c>
      <c r="J111" s="26">
        <v>0</v>
      </c>
      <c r="K111" s="172">
        <f t="shared" si="56"/>
        <v>0</v>
      </c>
      <c r="L111" s="172">
        <f t="shared" si="57"/>
        <v>0</v>
      </c>
      <c r="M111" s="26">
        <v>0</v>
      </c>
      <c r="O111" s="172">
        <f t="shared" si="58"/>
        <v>0</v>
      </c>
      <c r="P111" s="172">
        <f t="shared" si="59"/>
        <v>0</v>
      </c>
      <c r="T111" s="172">
        <v>0</v>
      </c>
    </row>
    <row r="112" spans="2:15" ht="15">
      <c r="B112" s="210" t="s">
        <v>223</v>
      </c>
      <c r="D112" s="26">
        <v>0</v>
      </c>
      <c r="E112" s="26">
        <v>0</v>
      </c>
      <c r="F112" s="26">
        <v>0</v>
      </c>
      <c r="G112" s="26">
        <v>0</v>
      </c>
      <c r="H112" s="26">
        <v>0</v>
      </c>
      <c r="I112" s="26">
        <v>0</v>
      </c>
      <c r="J112" s="26">
        <v>0</v>
      </c>
      <c r="K112" s="172">
        <f t="shared" si="56"/>
        <v>0</v>
      </c>
      <c r="L112" s="172">
        <f t="shared" si="57"/>
        <v>0</v>
      </c>
      <c r="M112" s="26">
        <v>0</v>
      </c>
      <c r="O112" s="172">
        <f t="shared" si="58"/>
        <v>0</v>
      </c>
    </row>
    <row r="113" spans="2:20" ht="15">
      <c r="B113" s="210" t="s">
        <v>224</v>
      </c>
      <c r="C113" s="200" t="s">
        <v>165</v>
      </c>
      <c r="D113" s="26">
        <v>784039</v>
      </c>
      <c r="E113" s="26">
        <v>0</v>
      </c>
      <c r="F113" s="26">
        <v>0</v>
      </c>
      <c r="G113" s="26">
        <v>0</v>
      </c>
      <c r="H113" s="26">
        <v>0</v>
      </c>
      <c r="I113" s="26">
        <v>0</v>
      </c>
      <c r="J113" s="26">
        <v>0</v>
      </c>
      <c r="K113" s="172">
        <f t="shared" si="56"/>
        <v>784039</v>
      </c>
      <c r="L113" s="172">
        <f t="shared" si="57"/>
        <v>-784039</v>
      </c>
      <c r="M113" s="26">
        <f>+'[2] ConsoJL'!AK417</f>
        <v>784039</v>
      </c>
      <c r="O113" s="195">
        <f t="shared" si="58"/>
        <v>0</v>
      </c>
      <c r="P113" s="172">
        <f t="shared" si="59"/>
        <v>0</v>
      </c>
      <c r="T113" s="172">
        <v>0</v>
      </c>
    </row>
    <row r="114" spans="2:20" ht="15">
      <c r="B114" s="210" t="s">
        <v>225</v>
      </c>
      <c r="C114" s="200" t="s">
        <v>165</v>
      </c>
      <c r="D114" s="26">
        <v>0</v>
      </c>
      <c r="E114" s="26">
        <v>0</v>
      </c>
      <c r="F114" s="26">
        <v>0</v>
      </c>
      <c r="G114" s="26">
        <v>0</v>
      </c>
      <c r="H114" s="26">
        <v>0</v>
      </c>
      <c r="I114" s="26">
        <v>0</v>
      </c>
      <c r="J114" s="26">
        <v>0</v>
      </c>
      <c r="K114" s="172">
        <f t="shared" si="56"/>
        <v>0</v>
      </c>
      <c r="L114" s="172">
        <f t="shared" si="57"/>
        <v>0</v>
      </c>
      <c r="O114" s="172">
        <f t="shared" si="58"/>
        <v>0</v>
      </c>
      <c r="P114" s="172">
        <f t="shared" si="59"/>
        <v>0</v>
      </c>
      <c r="T114" s="172">
        <v>0</v>
      </c>
    </row>
    <row r="115" spans="2:15" ht="15">
      <c r="B115" s="210" t="s">
        <v>226</v>
      </c>
      <c r="K115" s="172">
        <f t="shared" si="56"/>
        <v>0</v>
      </c>
      <c r="L115" s="172">
        <f t="shared" si="57"/>
        <v>0</v>
      </c>
      <c r="O115" s="172">
        <f t="shared" si="58"/>
        <v>0</v>
      </c>
    </row>
    <row r="116" spans="2:20" ht="15">
      <c r="B116" s="210" t="s">
        <v>227</v>
      </c>
      <c r="C116" s="200" t="s">
        <v>165</v>
      </c>
      <c r="D116" s="26">
        <v>90000</v>
      </c>
      <c r="E116" s="26">
        <v>0</v>
      </c>
      <c r="F116" s="26">
        <v>0</v>
      </c>
      <c r="G116" s="26">
        <v>0</v>
      </c>
      <c r="H116" s="26">
        <v>0</v>
      </c>
      <c r="I116" s="26">
        <v>0</v>
      </c>
      <c r="J116" s="26">
        <v>0</v>
      </c>
      <c r="K116" s="172">
        <f t="shared" si="56"/>
        <v>90000</v>
      </c>
      <c r="L116" s="172">
        <f t="shared" si="57"/>
        <v>-90000</v>
      </c>
      <c r="M116" s="26">
        <f>+'[2] ConsoJL'!AD372</f>
        <v>90000</v>
      </c>
      <c r="O116" s="172">
        <f t="shared" si="58"/>
        <v>0</v>
      </c>
      <c r="P116" s="172">
        <f t="shared" si="59"/>
        <v>0</v>
      </c>
      <c r="T116" s="172">
        <v>0</v>
      </c>
    </row>
    <row r="117" spans="2:20" ht="15">
      <c r="B117" s="210" t="s">
        <v>228</v>
      </c>
      <c r="C117" s="200" t="s">
        <v>165</v>
      </c>
      <c r="D117" s="26">
        <v>0</v>
      </c>
      <c r="E117" s="26">
        <v>0</v>
      </c>
      <c r="F117" s="26">
        <v>0</v>
      </c>
      <c r="G117" s="26">
        <v>0</v>
      </c>
      <c r="H117" s="26">
        <v>0</v>
      </c>
      <c r="I117" s="26">
        <v>0</v>
      </c>
      <c r="J117" s="26">
        <v>0</v>
      </c>
      <c r="K117" s="172">
        <f t="shared" si="56"/>
        <v>0</v>
      </c>
      <c r="L117" s="172">
        <f t="shared" si="57"/>
        <v>0</v>
      </c>
      <c r="O117" s="172">
        <f t="shared" si="58"/>
        <v>0</v>
      </c>
      <c r="P117" s="172">
        <f t="shared" si="59"/>
        <v>0</v>
      </c>
      <c r="T117" s="172">
        <v>0</v>
      </c>
    </row>
    <row r="118" spans="2:20" ht="15">
      <c r="B118" s="210" t="s">
        <v>229</v>
      </c>
      <c r="C118" s="200" t="s">
        <v>165</v>
      </c>
      <c r="D118" s="26">
        <v>0</v>
      </c>
      <c r="E118" s="26">
        <v>0</v>
      </c>
      <c r="F118" s="26">
        <v>0</v>
      </c>
      <c r="G118" s="26">
        <v>0</v>
      </c>
      <c r="H118" s="26">
        <v>0</v>
      </c>
      <c r="I118" s="26">
        <v>0</v>
      </c>
      <c r="J118" s="26">
        <v>0</v>
      </c>
      <c r="K118" s="172">
        <f t="shared" si="56"/>
        <v>0</v>
      </c>
      <c r="L118" s="172">
        <f t="shared" si="57"/>
        <v>0</v>
      </c>
      <c r="O118" s="172">
        <f>SUM(L118:N118)</f>
        <v>0</v>
      </c>
      <c r="P118" s="172">
        <f t="shared" si="59"/>
        <v>0</v>
      </c>
      <c r="T118" s="172">
        <v>0</v>
      </c>
    </row>
    <row r="119" spans="2:10" ht="15">
      <c r="B119" s="210"/>
      <c r="J119" s="26">
        <v>0</v>
      </c>
    </row>
    <row r="120" spans="2:20" ht="15">
      <c r="B120" s="211" t="s">
        <v>51</v>
      </c>
      <c r="D120" s="189">
        <f aca="true" t="shared" si="60" ref="D120:P120">SUM(D105:D119)</f>
        <v>874039</v>
      </c>
      <c r="E120" s="189">
        <f t="shared" si="60"/>
        <v>0</v>
      </c>
      <c r="F120" s="189">
        <f t="shared" si="60"/>
        <v>26371708</v>
      </c>
      <c r="G120" s="189">
        <f t="shared" si="60"/>
        <v>0</v>
      </c>
      <c r="H120" s="189">
        <f t="shared" si="60"/>
        <v>0</v>
      </c>
      <c r="I120" s="189">
        <f t="shared" si="60"/>
        <v>0</v>
      </c>
      <c r="J120" s="189">
        <f>SUM(J105:J119)</f>
        <v>0</v>
      </c>
      <c r="K120" s="189">
        <f t="shared" si="60"/>
        <v>27245747</v>
      </c>
      <c r="L120" s="189">
        <f t="shared" si="60"/>
        <v>-27245747</v>
      </c>
      <c r="M120" s="189">
        <f t="shared" si="60"/>
        <v>874039</v>
      </c>
      <c r="N120" s="189">
        <f t="shared" si="60"/>
        <v>0</v>
      </c>
      <c r="O120" s="189">
        <f t="shared" si="60"/>
        <v>-26371708</v>
      </c>
      <c r="P120" s="189">
        <f t="shared" si="60"/>
        <v>26371708</v>
      </c>
      <c r="S120" s="189"/>
      <c r="T120" s="189">
        <v>8787989</v>
      </c>
    </row>
    <row r="121" ht="15"/>
    <row r="122" ht="15">
      <c r="B122" s="169" t="s">
        <v>230</v>
      </c>
    </row>
    <row r="123" ht="15">
      <c r="B123" s="169" t="s">
        <v>231</v>
      </c>
    </row>
    <row r="124" spans="2:20" ht="15">
      <c r="B124" s="16" t="s">
        <v>232</v>
      </c>
      <c r="C124" s="200" t="s">
        <v>165</v>
      </c>
      <c r="D124" s="26">
        <v>0</v>
      </c>
      <c r="E124" s="26">
        <v>0</v>
      </c>
      <c r="F124" s="26">
        <v>0</v>
      </c>
      <c r="G124" s="26">
        <f>0</f>
        <v>0</v>
      </c>
      <c r="H124" s="26">
        <v>0</v>
      </c>
      <c r="I124" s="26">
        <v>0</v>
      </c>
      <c r="J124" s="26">
        <v>0</v>
      </c>
      <c r="K124" s="172">
        <f>SUM(D124:J124)</f>
        <v>0</v>
      </c>
      <c r="L124" s="172">
        <f>-K124</f>
        <v>0</v>
      </c>
      <c r="M124" s="26">
        <v>0</v>
      </c>
      <c r="N124" s="26">
        <v>0</v>
      </c>
      <c r="O124" s="172">
        <f>N124+M124+L124</f>
        <v>0</v>
      </c>
      <c r="P124" s="172">
        <f>-O124</f>
        <v>0</v>
      </c>
      <c r="T124" s="172">
        <v>0</v>
      </c>
    </row>
    <row r="125" spans="2:20" ht="15">
      <c r="B125" s="16" t="s">
        <v>233</v>
      </c>
      <c r="C125" s="200" t="s">
        <v>165</v>
      </c>
      <c r="D125" s="26">
        <v>0</v>
      </c>
      <c r="E125" s="26">
        <v>0</v>
      </c>
      <c r="F125" s="26">
        <v>0</v>
      </c>
      <c r="G125" s="26">
        <v>0</v>
      </c>
      <c r="H125" s="26">
        <v>0</v>
      </c>
      <c r="I125" s="26">
        <v>0</v>
      </c>
      <c r="J125" s="26">
        <v>0</v>
      </c>
      <c r="K125" s="172">
        <f>SUM(D125:J125)</f>
        <v>0</v>
      </c>
      <c r="L125" s="172">
        <f>-K125</f>
        <v>0</v>
      </c>
      <c r="M125" s="26">
        <v>0</v>
      </c>
      <c r="N125" s="26">
        <v>0</v>
      </c>
      <c r="O125" s="172">
        <f>N125+M125+L125</f>
        <v>0</v>
      </c>
      <c r="P125" s="172">
        <f>-O125</f>
        <v>0</v>
      </c>
      <c r="T125" s="172">
        <v>0</v>
      </c>
    </row>
    <row r="126" spans="2:20" ht="15">
      <c r="B126" s="16" t="s">
        <v>234</v>
      </c>
      <c r="C126" s="200" t="s">
        <v>165</v>
      </c>
      <c r="D126" s="26">
        <v>0</v>
      </c>
      <c r="E126" s="26">
        <v>0</v>
      </c>
      <c r="F126" s="26">
        <v>0</v>
      </c>
      <c r="G126" s="26">
        <v>0</v>
      </c>
      <c r="H126" s="26">
        <v>0</v>
      </c>
      <c r="I126" s="26">
        <v>0</v>
      </c>
      <c r="J126" s="26">
        <v>0</v>
      </c>
      <c r="K126" s="172">
        <f>SUM(D126:J126)</f>
        <v>0</v>
      </c>
      <c r="L126" s="172">
        <f>-K126</f>
        <v>0</v>
      </c>
      <c r="M126" s="26">
        <v>0</v>
      </c>
      <c r="N126" s="26">
        <f>'[2] ConsoJL'!AG439</f>
        <v>0</v>
      </c>
      <c r="O126" s="172">
        <f>N126+M126+L126</f>
        <v>0</v>
      </c>
      <c r="P126" s="172">
        <f>-O126</f>
        <v>0</v>
      </c>
      <c r="T126" s="172">
        <v>0</v>
      </c>
    </row>
    <row r="127" spans="2:20" ht="15">
      <c r="B127" s="16" t="s">
        <v>235</v>
      </c>
      <c r="C127" s="200" t="s">
        <v>165</v>
      </c>
      <c r="D127" s="26">
        <v>0</v>
      </c>
      <c r="E127" s="26">
        <v>0</v>
      </c>
      <c r="F127" s="26">
        <v>0</v>
      </c>
      <c r="G127" s="26">
        <f>0</f>
        <v>0</v>
      </c>
      <c r="H127" s="26">
        <v>0</v>
      </c>
      <c r="I127" s="26">
        <v>0</v>
      </c>
      <c r="J127" s="26">
        <v>0</v>
      </c>
      <c r="K127" s="172">
        <f>SUM(D127:J127)</f>
        <v>0</v>
      </c>
      <c r="L127" s="172">
        <f>-K127</f>
        <v>0</v>
      </c>
      <c r="M127" s="26">
        <v>0</v>
      </c>
      <c r="N127" s="26">
        <v>0</v>
      </c>
      <c r="O127" s="172">
        <f>N127+M127+L127</f>
        <v>0</v>
      </c>
      <c r="P127" s="172">
        <f>-O127</f>
        <v>0</v>
      </c>
      <c r="T127" s="172">
        <v>0</v>
      </c>
    </row>
    <row r="128" spans="2:20" ht="15">
      <c r="B128" s="16" t="s">
        <v>585</v>
      </c>
      <c r="C128" s="200" t="s">
        <v>165</v>
      </c>
      <c r="D128" s="26">
        <v>0</v>
      </c>
      <c r="E128" s="26">
        <v>0</v>
      </c>
      <c r="F128" s="26">
        <v>0</v>
      </c>
      <c r="G128" s="287">
        <f>4653204*0</f>
        <v>0</v>
      </c>
      <c r="H128" s="26">
        <v>0</v>
      </c>
      <c r="I128" s="26">
        <v>0</v>
      </c>
      <c r="J128" s="26">
        <v>0</v>
      </c>
      <c r="K128" s="172">
        <f>SUM(D128:J128)</f>
        <v>0</v>
      </c>
      <c r="L128" s="172">
        <f>-K128</f>
        <v>0</v>
      </c>
      <c r="M128" s="26">
        <v>0</v>
      </c>
      <c r="N128" s="26">
        <v>0</v>
      </c>
      <c r="O128" s="172">
        <f>N128+M128+L128</f>
        <v>0</v>
      </c>
      <c r="P128" s="172">
        <f>-O128</f>
        <v>0</v>
      </c>
      <c r="T128" s="172">
        <v>0</v>
      </c>
    </row>
    <row r="129" ht="15"/>
    <row r="130" spans="2:20" ht="15">
      <c r="B130" s="211" t="s">
        <v>51</v>
      </c>
      <c r="D130" s="212">
        <f aca="true" t="shared" si="61" ref="D130:P130">SUM(D123:D129)</f>
        <v>0</v>
      </c>
      <c r="E130" s="212">
        <f t="shared" si="61"/>
        <v>0</v>
      </c>
      <c r="F130" s="212">
        <f t="shared" si="61"/>
        <v>0</v>
      </c>
      <c r="G130" s="212">
        <f t="shared" si="61"/>
        <v>0</v>
      </c>
      <c r="H130" s="212">
        <f t="shared" si="61"/>
        <v>0</v>
      </c>
      <c r="I130" s="212">
        <f t="shared" si="61"/>
        <v>0</v>
      </c>
      <c r="J130" s="212">
        <f>SUM(J123:J129)</f>
        <v>0</v>
      </c>
      <c r="K130" s="189">
        <f t="shared" si="61"/>
        <v>0</v>
      </c>
      <c r="L130" s="189">
        <f t="shared" si="61"/>
        <v>0</v>
      </c>
      <c r="M130" s="212">
        <f t="shared" si="61"/>
        <v>0</v>
      </c>
      <c r="N130" s="212">
        <f t="shared" si="61"/>
        <v>0</v>
      </c>
      <c r="O130" s="189">
        <f t="shared" si="61"/>
        <v>0</v>
      </c>
      <c r="P130" s="189">
        <f t="shared" si="61"/>
        <v>0</v>
      </c>
      <c r="S130" s="189"/>
      <c r="T130" s="189">
        <v>0</v>
      </c>
    </row>
    <row r="131" ht="15"/>
    <row r="132" ht="15">
      <c r="B132" s="169" t="s">
        <v>236</v>
      </c>
    </row>
    <row r="133" ht="15">
      <c r="B133" s="169" t="s">
        <v>169</v>
      </c>
    </row>
    <row r="134" ht="15">
      <c r="B134" s="16" t="s">
        <v>237</v>
      </c>
    </row>
    <row r="135" spans="2:20" ht="15">
      <c r="B135" s="210" t="s">
        <v>238</v>
      </c>
      <c r="C135" s="200" t="s">
        <v>165</v>
      </c>
      <c r="D135" s="26">
        <v>5733</v>
      </c>
      <c r="E135" s="26">
        <v>0</v>
      </c>
      <c r="F135" s="26">
        <v>212691</v>
      </c>
      <c r="G135" s="26">
        <v>2992</v>
      </c>
      <c r="H135" s="26">
        <v>0</v>
      </c>
      <c r="I135" s="26">
        <v>0</v>
      </c>
      <c r="J135" s="26">
        <v>0</v>
      </c>
      <c r="K135" s="172">
        <f aca="true" t="shared" si="62" ref="K135:K145">SUM(D135:J135)</f>
        <v>221416</v>
      </c>
      <c r="L135" s="172">
        <f aca="true" t="shared" si="63" ref="L135:L145">-K135</f>
        <v>-221416</v>
      </c>
      <c r="M135" s="26">
        <v>0</v>
      </c>
      <c r="O135" s="172">
        <f>N135+M135+L135</f>
        <v>-221416</v>
      </c>
      <c r="P135" s="172">
        <f aca="true" t="shared" si="64" ref="P135:P145">-O135</f>
        <v>221416</v>
      </c>
      <c r="T135" s="172">
        <v>61879</v>
      </c>
    </row>
    <row r="136" spans="2:20" ht="15">
      <c r="B136" s="210" t="s">
        <v>239</v>
      </c>
      <c r="C136" s="200" t="s">
        <v>165</v>
      </c>
      <c r="D136" s="26">
        <v>0</v>
      </c>
      <c r="E136" s="26">
        <v>0</v>
      </c>
      <c r="F136" s="26">
        <v>0</v>
      </c>
      <c r="G136" s="26">
        <v>0</v>
      </c>
      <c r="H136" s="26">
        <v>0</v>
      </c>
      <c r="I136" s="26">
        <v>0</v>
      </c>
      <c r="J136" s="26">
        <v>0</v>
      </c>
      <c r="K136" s="172">
        <f t="shared" si="62"/>
        <v>0</v>
      </c>
      <c r="L136" s="172">
        <f t="shared" si="63"/>
        <v>0</v>
      </c>
      <c r="M136" s="26">
        <v>0</v>
      </c>
      <c r="O136" s="172">
        <f>N136+M136+L136</f>
        <v>0</v>
      </c>
      <c r="P136" s="172">
        <f t="shared" si="64"/>
        <v>0</v>
      </c>
      <c r="T136" s="172">
        <v>0</v>
      </c>
    </row>
    <row r="137" spans="2:20" ht="15">
      <c r="B137" s="16" t="s">
        <v>240</v>
      </c>
      <c r="C137" s="200" t="s">
        <v>165</v>
      </c>
      <c r="D137" s="26">
        <v>0</v>
      </c>
      <c r="E137" s="26">
        <v>0</v>
      </c>
      <c r="F137" s="26">
        <v>0</v>
      </c>
      <c r="G137" s="26">
        <v>0</v>
      </c>
      <c r="H137" s="26">
        <v>0</v>
      </c>
      <c r="I137" s="26">
        <v>0</v>
      </c>
      <c r="J137" s="26">
        <v>0</v>
      </c>
      <c r="K137" s="172">
        <f t="shared" si="62"/>
        <v>0</v>
      </c>
      <c r="L137" s="172">
        <f t="shared" si="63"/>
        <v>0</v>
      </c>
      <c r="M137" s="26">
        <v>0</v>
      </c>
      <c r="O137" s="172">
        <f>N137+M137+L137</f>
        <v>0</v>
      </c>
      <c r="P137" s="172">
        <f t="shared" si="64"/>
        <v>0</v>
      </c>
      <c r="T137" s="172">
        <v>0</v>
      </c>
    </row>
    <row r="138" spans="2:20" ht="15">
      <c r="B138" s="16" t="s">
        <v>241</v>
      </c>
      <c r="C138" s="200" t="s">
        <v>165</v>
      </c>
      <c r="D138" s="26">
        <v>3735834</v>
      </c>
      <c r="E138" s="26">
        <v>0</v>
      </c>
      <c r="H138" s="26">
        <v>0</v>
      </c>
      <c r="I138" s="26">
        <v>0</v>
      </c>
      <c r="J138" s="26">
        <v>0</v>
      </c>
      <c r="K138" s="172">
        <f>SUM(D138:J138)</f>
        <v>3735834</v>
      </c>
      <c r="L138" s="172">
        <f t="shared" si="63"/>
        <v>-3735834</v>
      </c>
      <c r="M138" s="26">
        <f>+'[2] ConsoJL'!AK424</f>
        <v>3735834</v>
      </c>
      <c r="O138" s="172">
        <f>N138+M138+L138</f>
        <v>0</v>
      </c>
      <c r="P138" s="172">
        <f t="shared" si="64"/>
        <v>0</v>
      </c>
      <c r="T138" s="172">
        <v>0</v>
      </c>
    </row>
    <row r="139" spans="2:20" ht="15">
      <c r="B139" s="16" t="s">
        <v>242</v>
      </c>
      <c r="C139" s="200" t="s">
        <v>165</v>
      </c>
      <c r="D139" s="26">
        <v>0</v>
      </c>
      <c r="E139" s="26">
        <v>0</v>
      </c>
      <c r="F139" s="26">
        <v>0</v>
      </c>
      <c r="G139" s="26">
        <v>87300</v>
      </c>
      <c r="H139" s="26">
        <v>0</v>
      </c>
      <c r="I139" s="26">
        <v>0</v>
      </c>
      <c r="J139" s="26">
        <v>0</v>
      </c>
      <c r="K139" s="172">
        <f t="shared" si="62"/>
        <v>87300</v>
      </c>
      <c r="L139" s="172">
        <f t="shared" si="63"/>
        <v>-87300</v>
      </c>
      <c r="M139" s="26">
        <f>+'[2] ConsoJL'!AK373</f>
        <v>87300</v>
      </c>
      <c r="O139" s="172">
        <f>N139+M139+L139</f>
        <v>0</v>
      </c>
      <c r="P139" s="172">
        <f t="shared" si="64"/>
        <v>0</v>
      </c>
      <c r="T139" s="172">
        <v>0</v>
      </c>
    </row>
    <row r="140" spans="2:20" ht="15">
      <c r="B140" s="16" t="s">
        <v>243</v>
      </c>
      <c r="C140" s="200" t="s">
        <v>165</v>
      </c>
      <c r="D140" s="26">
        <v>0</v>
      </c>
      <c r="E140" s="26">
        <v>0</v>
      </c>
      <c r="F140" s="26">
        <v>0</v>
      </c>
      <c r="G140" s="26">
        <v>0</v>
      </c>
      <c r="H140" s="26">
        <v>0</v>
      </c>
      <c r="I140" s="26">
        <v>0</v>
      </c>
      <c r="J140" s="26">
        <v>0</v>
      </c>
      <c r="K140" s="172">
        <f t="shared" si="62"/>
        <v>0</v>
      </c>
      <c r="L140" s="172">
        <f t="shared" si="63"/>
        <v>0</v>
      </c>
      <c r="O140" s="172">
        <f aca="true" t="shared" si="65" ref="O140:O145">SUM(L140:N140)</f>
        <v>0</v>
      </c>
      <c r="P140" s="172">
        <f t="shared" si="64"/>
        <v>0</v>
      </c>
      <c r="T140" s="172">
        <v>0</v>
      </c>
    </row>
    <row r="141" spans="2:20" ht="15">
      <c r="B141" s="16" t="s">
        <v>244</v>
      </c>
      <c r="C141" s="200" t="s">
        <v>165</v>
      </c>
      <c r="D141" s="26">
        <v>0</v>
      </c>
      <c r="E141" s="26">
        <v>0</v>
      </c>
      <c r="F141" s="26">
        <v>0</v>
      </c>
      <c r="G141" s="26">
        <v>0</v>
      </c>
      <c r="H141" s="26">
        <v>0</v>
      </c>
      <c r="I141" s="26">
        <v>0</v>
      </c>
      <c r="J141" s="26">
        <v>0</v>
      </c>
      <c r="K141" s="172">
        <f>SUM(D141:J141)</f>
        <v>0</v>
      </c>
      <c r="L141" s="172">
        <f t="shared" si="63"/>
        <v>0</v>
      </c>
      <c r="O141" s="172">
        <f t="shared" si="65"/>
        <v>0</v>
      </c>
      <c r="P141" s="172">
        <f t="shared" si="64"/>
        <v>0</v>
      </c>
      <c r="T141" s="172">
        <v>0</v>
      </c>
    </row>
    <row r="142" spans="2:20" ht="15">
      <c r="B142" s="16" t="s">
        <v>245</v>
      </c>
      <c r="C142" s="213" t="s">
        <v>165</v>
      </c>
      <c r="J142" s="26">
        <v>0</v>
      </c>
      <c r="K142" s="172">
        <f>SUM(D142:J142)</f>
        <v>0</v>
      </c>
      <c r="L142" s="172">
        <f t="shared" si="63"/>
        <v>0</v>
      </c>
      <c r="O142" s="172">
        <f t="shared" si="65"/>
        <v>0</v>
      </c>
      <c r="P142" s="172">
        <f t="shared" si="64"/>
        <v>0</v>
      </c>
      <c r="T142" s="172">
        <v>0</v>
      </c>
    </row>
    <row r="143" spans="2:20" ht="15">
      <c r="B143" s="16" t="s">
        <v>586</v>
      </c>
      <c r="C143" s="213" t="s">
        <v>165</v>
      </c>
      <c r="G143" s="287">
        <f>4653204*0</f>
        <v>0</v>
      </c>
      <c r="K143" s="172">
        <f>SUM(D143:J143)</f>
        <v>0</v>
      </c>
      <c r="L143" s="172">
        <f t="shared" si="63"/>
        <v>0</v>
      </c>
      <c r="O143" s="172">
        <f t="shared" si="65"/>
        <v>0</v>
      </c>
      <c r="P143" s="172">
        <f t="shared" si="64"/>
        <v>0</v>
      </c>
      <c r="T143" s="172">
        <v>0</v>
      </c>
    </row>
    <row r="144" spans="2:20" ht="15">
      <c r="B144" s="16" t="s">
        <v>246</v>
      </c>
      <c r="C144" s="213" t="s">
        <v>165</v>
      </c>
      <c r="G144" s="26">
        <v>0</v>
      </c>
      <c r="K144" s="172">
        <f>SUM(D144:J144)</f>
        <v>0</v>
      </c>
      <c r="L144" s="172">
        <f t="shared" si="63"/>
        <v>0</v>
      </c>
      <c r="M144" s="26">
        <v>0</v>
      </c>
      <c r="O144" s="172">
        <f t="shared" si="65"/>
        <v>0</v>
      </c>
      <c r="P144" s="172">
        <f t="shared" si="64"/>
        <v>0</v>
      </c>
      <c r="T144" s="172">
        <v>0</v>
      </c>
    </row>
    <row r="145" spans="2:20" ht="15">
      <c r="B145" s="16" t="s">
        <v>247</v>
      </c>
      <c r="C145" s="200" t="s">
        <v>165</v>
      </c>
      <c r="D145" s="26">
        <v>0</v>
      </c>
      <c r="E145" s="26">
        <v>0</v>
      </c>
      <c r="F145" s="26">
        <v>0</v>
      </c>
      <c r="G145" s="26">
        <v>0</v>
      </c>
      <c r="H145" s="26">
        <v>0</v>
      </c>
      <c r="I145" s="26">
        <v>0</v>
      </c>
      <c r="K145" s="172">
        <f t="shared" si="62"/>
        <v>0</v>
      </c>
      <c r="L145" s="172">
        <f t="shared" si="63"/>
        <v>0</v>
      </c>
      <c r="O145" s="172">
        <f t="shared" si="65"/>
        <v>0</v>
      </c>
      <c r="P145" s="172">
        <f t="shared" si="64"/>
        <v>0</v>
      </c>
      <c r="T145" s="172">
        <v>0</v>
      </c>
    </row>
    <row r="146" spans="2:20" ht="15">
      <c r="B146" s="211" t="s">
        <v>51</v>
      </c>
      <c r="D146" s="189">
        <f aca="true" t="shared" si="66" ref="D146:I146">SUM(D133:D145)</f>
        <v>3741567</v>
      </c>
      <c r="E146" s="189">
        <f t="shared" si="66"/>
        <v>0</v>
      </c>
      <c r="F146" s="189">
        <f t="shared" si="66"/>
        <v>212691</v>
      </c>
      <c r="G146" s="189">
        <f t="shared" si="66"/>
        <v>90292</v>
      </c>
      <c r="H146" s="189">
        <f t="shared" si="66"/>
        <v>0</v>
      </c>
      <c r="I146" s="189">
        <f t="shared" si="66"/>
        <v>0</v>
      </c>
      <c r="J146" s="189">
        <f>SUM(J133:J142)</f>
        <v>0</v>
      </c>
      <c r="K146" s="189">
        <f aca="true" t="shared" si="67" ref="K146:P146">SUM(K133:K145)</f>
        <v>4044550</v>
      </c>
      <c r="L146" s="189">
        <f t="shared" si="67"/>
        <v>-4044550</v>
      </c>
      <c r="M146" s="189">
        <f t="shared" si="67"/>
        <v>3823134</v>
      </c>
      <c r="N146" s="189">
        <f t="shared" si="67"/>
        <v>0</v>
      </c>
      <c r="O146" s="189">
        <f>SUM(O133:O145)</f>
        <v>-221416</v>
      </c>
      <c r="P146" s="189">
        <f t="shared" si="67"/>
        <v>221416</v>
      </c>
      <c r="S146" s="189"/>
      <c r="T146" s="189">
        <v>61879</v>
      </c>
    </row>
    <row r="147" ht="15"/>
    <row r="148" ht="15"/>
    <row r="149" ht="15">
      <c r="B149" s="169" t="s">
        <v>248</v>
      </c>
    </row>
    <row r="150" ht="15">
      <c r="B150" s="169" t="s">
        <v>172</v>
      </c>
    </row>
    <row r="151" ht="15">
      <c r="B151" s="16" t="s">
        <v>249</v>
      </c>
    </row>
    <row r="152" spans="2:20" ht="15">
      <c r="B152" s="210" t="s">
        <v>250</v>
      </c>
      <c r="C152" s="200" t="s">
        <v>165</v>
      </c>
      <c r="D152" s="26">
        <v>0</v>
      </c>
      <c r="E152" s="26">
        <v>0</v>
      </c>
      <c r="F152" s="26">
        <v>0</v>
      </c>
      <c r="G152" s="26">
        <v>0</v>
      </c>
      <c r="H152" s="26">
        <v>0</v>
      </c>
      <c r="I152" s="26">
        <v>0</v>
      </c>
      <c r="J152" s="26">
        <v>0</v>
      </c>
      <c r="K152" s="172">
        <f aca="true" t="shared" si="68" ref="K152:K161">SUM(D152:J152)</f>
        <v>0</v>
      </c>
      <c r="L152" s="172">
        <f>K152</f>
        <v>0</v>
      </c>
      <c r="O152" s="172">
        <f aca="true" t="shared" si="69" ref="O152:O161">SUM(L152:N152)</f>
        <v>0</v>
      </c>
      <c r="P152" s="172">
        <f>O152</f>
        <v>0</v>
      </c>
      <c r="T152" s="172">
        <v>0</v>
      </c>
    </row>
    <row r="153" spans="2:20" ht="15">
      <c r="B153" s="210" t="s">
        <v>251</v>
      </c>
      <c r="C153" s="200" t="s">
        <v>165</v>
      </c>
      <c r="D153" s="26">
        <v>1834959</v>
      </c>
      <c r="E153" s="26">
        <v>0</v>
      </c>
      <c r="F153" s="26">
        <v>0</v>
      </c>
      <c r="G153" s="26">
        <v>0</v>
      </c>
      <c r="H153" s="26">
        <v>0</v>
      </c>
      <c r="I153" s="26">
        <v>0</v>
      </c>
      <c r="J153" s="26">
        <v>0</v>
      </c>
      <c r="K153" s="172">
        <f t="shared" si="68"/>
        <v>1834959</v>
      </c>
      <c r="L153" s="172">
        <f aca="true" t="shared" si="70" ref="L153:L161">K153</f>
        <v>1834959</v>
      </c>
      <c r="O153" s="172">
        <f t="shared" si="69"/>
        <v>1834959</v>
      </c>
      <c r="P153" s="172">
        <f aca="true" t="shared" si="71" ref="P153:P161">O153</f>
        <v>1834959</v>
      </c>
      <c r="T153" s="172">
        <v>645260</v>
      </c>
    </row>
    <row r="154" spans="2:20" ht="15">
      <c r="B154" s="210" t="s">
        <v>252</v>
      </c>
      <c r="C154" s="200" t="s">
        <v>165</v>
      </c>
      <c r="D154" s="26">
        <v>0</v>
      </c>
      <c r="E154" s="26">
        <v>0</v>
      </c>
      <c r="F154" s="290">
        <v>27761202</v>
      </c>
      <c r="G154" s="26">
        <v>0</v>
      </c>
      <c r="H154" s="26">
        <v>0</v>
      </c>
      <c r="I154" s="26">
        <v>0</v>
      </c>
      <c r="J154" s="26">
        <v>0</v>
      </c>
      <c r="K154" s="172">
        <f t="shared" si="68"/>
        <v>27761202</v>
      </c>
      <c r="L154" s="172">
        <f t="shared" si="70"/>
        <v>27761202</v>
      </c>
      <c r="N154" s="290">
        <f>+'[2] ConsoJL'!AK428</f>
        <v>-3735834</v>
      </c>
      <c r="O154" s="172">
        <f t="shared" si="69"/>
        <v>24025368</v>
      </c>
      <c r="P154" s="172">
        <f t="shared" si="71"/>
        <v>24025368</v>
      </c>
      <c r="T154" s="172">
        <v>9562192</v>
      </c>
    </row>
    <row r="155" spans="2:20" ht="15">
      <c r="B155" s="16" t="s">
        <v>253</v>
      </c>
      <c r="C155" s="200" t="s">
        <v>165</v>
      </c>
      <c r="D155" s="26">
        <v>1360</v>
      </c>
      <c r="E155" s="26">
        <v>0</v>
      </c>
      <c r="F155" s="26">
        <v>0</v>
      </c>
      <c r="G155" s="26">
        <v>10043</v>
      </c>
      <c r="H155" s="26">
        <v>0</v>
      </c>
      <c r="I155" s="26">
        <v>0</v>
      </c>
      <c r="J155" s="26">
        <v>0</v>
      </c>
      <c r="K155" s="172">
        <f t="shared" si="68"/>
        <v>11403</v>
      </c>
      <c r="L155" s="172">
        <f t="shared" si="70"/>
        <v>11403</v>
      </c>
      <c r="O155" s="172">
        <f t="shared" si="69"/>
        <v>11403</v>
      </c>
      <c r="P155" s="172">
        <f t="shared" si="71"/>
        <v>11403</v>
      </c>
      <c r="T155" s="172">
        <v>3897</v>
      </c>
    </row>
    <row r="156" spans="2:20" ht="15">
      <c r="B156" s="210" t="s">
        <v>254</v>
      </c>
      <c r="C156" s="200" t="s">
        <v>165</v>
      </c>
      <c r="D156" s="26">
        <v>0</v>
      </c>
      <c r="E156" s="26">
        <v>0</v>
      </c>
      <c r="F156" s="26">
        <v>0</v>
      </c>
      <c r="G156" s="26">
        <f>0</f>
        <v>0</v>
      </c>
      <c r="H156" s="26">
        <v>0</v>
      </c>
      <c r="I156" s="26">
        <v>0</v>
      </c>
      <c r="J156" s="26">
        <v>0</v>
      </c>
      <c r="K156" s="172">
        <f t="shared" si="68"/>
        <v>0</v>
      </c>
      <c r="L156" s="172">
        <f t="shared" si="70"/>
        <v>0</v>
      </c>
      <c r="O156" s="172">
        <f t="shared" si="69"/>
        <v>0</v>
      </c>
      <c r="P156" s="172">
        <f t="shared" si="71"/>
        <v>0</v>
      </c>
      <c r="T156" s="172">
        <v>0</v>
      </c>
    </row>
    <row r="157" spans="2:20" ht="15">
      <c r="B157" s="210" t="s">
        <v>255</v>
      </c>
      <c r="C157" s="200" t="s">
        <v>165</v>
      </c>
      <c r="D157" s="26">
        <v>0</v>
      </c>
      <c r="E157" s="26">
        <v>0</v>
      </c>
      <c r="F157" s="26">
        <v>0</v>
      </c>
      <c r="G157" s="26">
        <f>0</f>
        <v>0</v>
      </c>
      <c r="H157" s="26">
        <v>0</v>
      </c>
      <c r="I157" s="26">
        <v>0</v>
      </c>
      <c r="J157" s="26">
        <v>0</v>
      </c>
      <c r="K157" s="172">
        <f t="shared" si="68"/>
        <v>0</v>
      </c>
      <c r="L157" s="172">
        <f t="shared" si="70"/>
        <v>0</v>
      </c>
      <c r="O157" s="172">
        <f t="shared" si="69"/>
        <v>0</v>
      </c>
      <c r="P157" s="172">
        <f t="shared" si="71"/>
        <v>0</v>
      </c>
      <c r="T157" s="172">
        <v>0</v>
      </c>
    </row>
    <row r="158" spans="2:20" ht="15">
      <c r="B158" s="210" t="s">
        <v>256</v>
      </c>
      <c r="C158" s="200" t="s">
        <v>165</v>
      </c>
      <c r="D158" s="26">
        <v>0</v>
      </c>
      <c r="E158" s="26">
        <v>0</v>
      </c>
      <c r="F158" s="26">
        <v>0</v>
      </c>
      <c r="G158" s="26">
        <f>0</f>
        <v>0</v>
      </c>
      <c r="H158" s="26">
        <v>0</v>
      </c>
      <c r="I158" s="26">
        <v>0</v>
      </c>
      <c r="J158" s="26">
        <v>0</v>
      </c>
      <c r="K158" s="172">
        <f t="shared" si="68"/>
        <v>0</v>
      </c>
      <c r="L158" s="172">
        <f>K158</f>
        <v>0</v>
      </c>
      <c r="M158" s="26">
        <v>0</v>
      </c>
      <c r="O158" s="172">
        <f t="shared" si="69"/>
        <v>0</v>
      </c>
      <c r="P158" s="172">
        <f t="shared" si="71"/>
        <v>0</v>
      </c>
      <c r="T158" s="172">
        <v>0</v>
      </c>
    </row>
    <row r="159" spans="2:20" ht="15">
      <c r="B159" s="210" t="s">
        <v>257</v>
      </c>
      <c r="C159" s="200"/>
      <c r="F159" s="199">
        <v>124889</v>
      </c>
      <c r="K159" s="172">
        <f t="shared" si="68"/>
        <v>124889</v>
      </c>
      <c r="L159" s="172">
        <f>K159</f>
        <v>124889</v>
      </c>
      <c r="M159" s="26">
        <v>0</v>
      </c>
      <c r="O159" s="172">
        <f>SUM(L159:N159)</f>
        <v>124889</v>
      </c>
      <c r="P159" s="172">
        <f t="shared" si="71"/>
        <v>124889</v>
      </c>
      <c r="T159" s="172">
        <v>0</v>
      </c>
    </row>
    <row r="160" spans="2:20" ht="15">
      <c r="B160" s="210" t="s">
        <v>584</v>
      </c>
      <c r="C160" s="200" t="s">
        <v>165</v>
      </c>
      <c r="D160" s="199">
        <v>1200000</v>
      </c>
      <c r="E160" s="26">
        <v>0</v>
      </c>
      <c r="F160" s="26">
        <v>0</v>
      </c>
      <c r="G160" s="26">
        <v>0</v>
      </c>
      <c r="H160" s="26">
        <v>0</v>
      </c>
      <c r="I160" s="26">
        <v>0</v>
      </c>
      <c r="J160" s="26">
        <v>0</v>
      </c>
      <c r="K160" s="172">
        <f t="shared" si="68"/>
        <v>1200000</v>
      </c>
      <c r="L160" s="172">
        <f t="shared" si="70"/>
        <v>1200000</v>
      </c>
      <c r="M160" s="26">
        <v>0</v>
      </c>
      <c r="O160" s="172">
        <f t="shared" si="69"/>
        <v>1200000</v>
      </c>
      <c r="P160" s="172">
        <f t="shared" si="71"/>
        <v>1200000</v>
      </c>
      <c r="T160" s="172">
        <v>0</v>
      </c>
    </row>
    <row r="161" spans="2:20" ht="15">
      <c r="B161" s="16" t="s">
        <v>258</v>
      </c>
      <c r="C161" s="200" t="s">
        <v>165</v>
      </c>
      <c r="D161" s="26">
        <v>0</v>
      </c>
      <c r="E161" s="26">
        <v>0</v>
      </c>
      <c r="F161" s="26">
        <v>0</v>
      </c>
      <c r="G161" s="26">
        <v>0</v>
      </c>
      <c r="H161" s="26">
        <v>0</v>
      </c>
      <c r="I161" s="26">
        <v>0</v>
      </c>
      <c r="J161" s="26">
        <v>0</v>
      </c>
      <c r="K161" s="172">
        <f t="shared" si="68"/>
        <v>0</v>
      </c>
      <c r="L161" s="172">
        <f t="shared" si="70"/>
        <v>0</v>
      </c>
      <c r="M161" s="26">
        <v>0</v>
      </c>
      <c r="O161" s="172">
        <f t="shared" si="69"/>
        <v>0</v>
      </c>
      <c r="P161" s="172">
        <f t="shared" si="71"/>
        <v>0</v>
      </c>
      <c r="T161" s="172">
        <v>0</v>
      </c>
    </row>
    <row r="162" spans="2:20" ht="15">
      <c r="B162" s="211" t="s">
        <v>51</v>
      </c>
      <c r="D162" s="189">
        <f>SUM(D150:D161)</f>
        <v>3036319</v>
      </c>
      <c r="E162" s="189">
        <f aca="true" t="shared" si="72" ref="E162:P162">SUM(E150:E161)</f>
        <v>0</v>
      </c>
      <c r="F162" s="189">
        <f>SUM(F150:F161)</f>
        <v>27886091</v>
      </c>
      <c r="G162" s="189">
        <f t="shared" si="72"/>
        <v>10043</v>
      </c>
      <c r="H162" s="189">
        <f t="shared" si="72"/>
        <v>0</v>
      </c>
      <c r="I162" s="189">
        <f t="shared" si="72"/>
        <v>0</v>
      </c>
      <c r="J162" s="189">
        <f t="shared" si="72"/>
        <v>0</v>
      </c>
      <c r="K162" s="189">
        <f t="shared" si="72"/>
        <v>30932453</v>
      </c>
      <c r="L162" s="189">
        <f t="shared" si="72"/>
        <v>30932453</v>
      </c>
      <c r="M162" s="189">
        <f t="shared" si="72"/>
        <v>0</v>
      </c>
      <c r="N162" s="189">
        <f t="shared" si="72"/>
        <v>-3735834</v>
      </c>
      <c r="O162" s="189">
        <f>SUM(O150:O161)</f>
        <v>27196619</v>
      </c>
      <c r="P162" s="189">
        <f t="shared" si="72"/>
        <v>27196619</v>
      </c>
      <c r="S162" s="189"/>
      <c r="T162" s="189">
        <v>10211349</v>
      </c>
    </row>
    <row r="163" spans="2:11" ht="15">
      <c r="B163" s="210"/>
      <c r="K163" s="172">
        <f>+K162+K22</f>
        <v>0</v>
      </c>
    </row>
    <row r="164" ht="15">
      <c r="B164" s="169" t="s">
        <v>259</v>
      </c>
    </row>
    <row r="165" ht="15">
      <c r="B165" s="169" t="s">
        <v>260</v>
      </c>
    </row>
    <row r="166" ht="15">
      <c r="B166" s="16" t="s">
        <v>261</v>
      </c>
    </row>
    <row r="167" spans="2:20" ht="15">
      <c r="B167" s="16" t="s">
        <v>262</v>
      </c>
      <c r="C167" s="200" t="s">
        <v>165</v>
      </c>
      <c r="D167" s="26">
        <v>7500</v>
      </c>
      <c r="E167" s="26">
        <v>750</v>
      </c>
      <c r="F167" s="26">
        <v>3750</v>
      </c>
      <c r="G167" s="26">
        <v>1800</v>
      </c>
      <c r="H167" s="26">
        <v>249</v>
      </c>
      <c r="I167" s="26">
        <v>750</v>
      </c>
      <c r="J167" s="26">
        <v>1350</v>
      </c>
      <c r="K167" s="172">
        <f aca="true" t="shared" si="73" ref="K167:K198">SUM(D167:J167)</f>
        <v>16149</v>
      </c>
      <c r="L167" s="172">
        <f>K167</f>
        <v>16149</v>
      </c>
      <c r="O167" s="172">
        <f aca="true" t="shared" si="74" ref="O167:O182">SUM(L167:N167)</f>
        <v>16149</v>
      </c>
      <c r="P167" s="172">
        <f aca="true" t="shared" si="75" ref="P167:P200">O167</f>
        <v>16149</v>
      </c>
      <c r="T167" s="172">
        <v>4783</v>
      </c>
    </row>
    <row r="168" spans="2:20" ht="15">
      <c r="B168" s="16" t="s">
        <v>263</v>
      </c>
      <c r="C168" s="200" t="s">
        <v>165</v>
      </c>
      <c r="D168" s="26">
        <v>0</v>
      </c>
      <c r="E168" s="26">
        <v>0</v>
      </c>
      <c r="F168" s="26">
        <v>0</v>
      </c>
      <c r="G168" s="26">
        <v>0</v>
      </c>
      <c r="H168" s="26">
        <v>0</v>
      </c>
      <c r="I168" s="26">
        <v>0</v>
      </c>
      <c r="J168" s="26">
        <v>0</v>
      </c>
      <c r="K168" s="172">
        <f t="shared" si="73"/>
        <v>0</v>
      </c>
      <c r="L168" s="172">
        <f aca="true" t="shared" si="76" ref="L168:L200">K168</f>
        <v>0</v>
      </c>
      <c r="O168" s="172">
        <f t="shared" si="74"/>
        <v>0</v>
      </c>
      <c r="P168" s="172">
        <f t="shared" si="75"/>
        <v>0</v>
      </c>
      <c r="T168" s="172">
        <v>0</v>
      </c>
    </row>
    <row r="169" spans="2:20" ht="15">
      <c r="B169" s="16" t="s">
        <v>264</v>
      </c>
      <c r="C169" s="200" t="s">
        <v>165</v>
      </c>
      <c r="D169" s="26">
        <v>0</v>
      </c>
      <c r="E169" s="26">
        <v>0</v>
      </c>
      <c r="F169" s="26">
        <v>0</v>
      </c>
      <c r="G169" s="26">
        <v>0</v>
      </c>
      <c r="H169" s="26">
        <v>0</v>
      </c>
      <c r="I169" s="26">
        <v>0</v>
      </c>
      <c r="J169" s="26">
        <v>0</v>
      </c>
      <c r="K169" s="172">
        <f t="shared" si="73"/>
        <v>0</v>
      </c>
      <c r="L169" s="172">
        <f t="shared" si="76"/>
        <v>0</v>
      </c>
      <c r="O169" s="172">
        <f t="shared" si="74"/>
        <v>0</v>
      </c>
      <c r="P169" s="172">
        <f t="shared" si="75"/>
        <v>0</v>
      </c>
      <c r="T169" s="172">
        <v>0</v>
      </c>
    </row>
    <row r="170" spans="2:20" ht="15">
      <c r="B170" s="16" t="s">
        <v>265</v>
      </c>
      <c r="C170" s="200" t="s">
        <v>165</v>
      </c>
      <c r="D170" s="26">
        <v>0</v>
      </c>
      <c r="E170" s="26">
        <v>0</v>
      </c>
      <c r="F170" s="26">
        <v>0</v>
      </c>
      <c r="G170" s="26">
        <v>0</v>
      </c>
      <c r="H170" s="26">
        <v>0</v>
      </c>
      <c r="I170" s="26">
        <v>0</v>
      </c>
      <c r="J170" s="26">
        <v>0</v>
      </c>
      <c r="K170" s="172">
        <f t="shared" si="73"/>
        <v>0</v>
      </c>
      <c r="L170" s="172">
        <f t="shared" si="76"/>
        <v>0</v>
      </c>
      <c r="M170" s="26">
        <f>M124+M125</f>
        <v>0</v>
      </c>
      <c r="N170" s="26">
        <f>-M124-N125</f>
        <v>0</v>
      </c>
      <c r="O170" s="172">
        <f t="shared" si="74"/>
        <v>0</v>
      </c>
      <c r="P170" s="172">
        <f t="shared" si="75"/>
        <v>0</v>
      </c>
      <c r="T170" s="172">
        <v>0</v>
      </c>
    </row>
    <row r="171" spans="2:20" ht="15">
      <c r="B171" s="16" t="s">
        <v>266</v>
      </c>
      <c r="C171" s="200" t="s">
        <v>165</v>
      </c>
      <c r="D171" s="26">
        <v>0</v>
      </c>
      <c r="E171" s="26">
        <v>0</v>
      </c>
      <c r="F171" s="26">
        <v>0</v>
      </c>
      <c r="G171" s="26">
        <v>0</v>
      </c>
      <c r="H171" s="26">
        <v>0</v>
      </c>
      <c r="I171" s="26">
        <v>0</v>
      </c>
      <c r="J171" s="26">
        <v>0</v>
      </c>
      <c r="K171" s="172">
        <f t="shared" si="73"/>
        <v>0</v>
      </c>
      <c r="L171" s="172">
        <f t="shared" si="76"/>
        <v>0</v>
      </c>
      <c r="M171" s="26">
        <f>+'[2] ConsoJL'!AK351</f>
        <v>3086665</v>
      </c>
      <c r="O171" s="172">
        <f t="shared" si="74"/>
        <v>3086665</v>
      </c>
      <c r="P171" s="172">
        <f t="shared" si="75"/>
        <v>3086665</v>
      </c>
      <c r="T171" s="172">
        <v>1028888</v>
      </c>
    </row>
    <row r="172" spans="2:20" ht="15">
      <c r="B172" s="16" t="s">
        <v>267</v>
      </c>
      <c r="C172" s="200" t="s">
        <v>165</v>
      </c>
      <c r="D172" s="26">
        <v>0</v>
      </c>
      <c r="E172" s="26">
        <v>0</v>
      </c>
      <c r="F172" s="26">
        <v>0</v>
      </c>
      <c r="G172" s="26">
        <v>0</v>
      </c>
      <c r="H172" s="26">
        <v>0</v>
      </c>
      <c r="I172" s="26">
        <v>0</v>
      </c>
      <c r="J172" s="26">
        <v>0</v>
      </c>
      <c r="K172" s="172">
        <f t="shared" si="73"/>
        <v>0</v>
      </c>
      <c r="L172" s="172">
        <f t="shared" si="76"/>
        <v>0</v>
      </c>
      <c r="O172" s="172">
        <f t="shared" si="74"/>
        <v>0</v>
      </c>
      <c r="P172" s="172">
        <f t="shared" si="75"/>
        <v>0</v>
      </c>
      <c r="T172" s="172">
        <v>0</v>
      </c>
    </row>
    <row r="173" spans="2:20" ht="15">
      <c r="B173" s="16" t="s">
        <v>268</v>
      </c>
      <c r="C173" s="200"/>
      <c r="J173" s="26">
        <v>0</v>
      </c>
      <c r="K173" s="172">
        <f t="shared" si="73"/>
        <v>0</v>
      </c>
      <c r="L173" s="172">
        <f t="shared" si="76"/>
        <v>0</v>
      </c>
      <c r="O173" s="172">
        <f t="shared" si="74"/>
        <v>0</v>
      </c>
      <c r="P173" s="172">
        <f t="shared" si="75"/>
        <v>0</v>
      </c>
      <c r="T173" s="172">
        <v>0</v>
      </c>
    </row>
    <row r="174" spans="2:20" ht="15">
      <c r="B174" s="16" t="s">
        <v>269</v>
      </c>
      <c r="C174" s="200" t="s">
        <v>165</v>
      </c>
      <c r="D174" s="26">
        <f aca="true" t="shared" si="77" ref="D174:J174">-D304</f>
        <v>10405</v>
      </c>
      <c r="E174" s="26">
        <f t="shared" si="77"/>
        <v>0</v>
      </c>
      <c r="F174" s="26">
        <f t="shared" si="77"/>
        <v>3622</v>
      </c>
      <c r="G174" s="26">
        <f t="shared" si="77"/>
        <v>186276</v>
      </c>
      <c r="H174" s="26">
        <f t="shared" si="77"/>
        <v>0</v>
      </c>
      <c r="I174" s="26">
        <f t="shared" si="77"/>
        <v>0</v>
      </c>
      <c r="J174" s="26">
        <f t="shared" si="77"/>
        <v>5207</v>
      </c>
      <c r="K174" s="172">
        <f t="shared" si="73"/>
        <v>205510</v>
      </c>
      <c r="L174" s="172">
        <f t="shared" si="76"/>
        <v>205510</v>
      </c>
      <c r="O174" s="172">
        <f t="shared" si="74"/>
        <v>205510</v>
      </c>
      <c r="P174" s="172">
        <f t="shared" si="75"/>
        <v>205510</v>
      </c>
      <c r="T174" s="172">
        <v>68204</v>
      </c>
    </row>
    <row r="175" spans="2:20" ht="15">
      <c r="B175" s="16" t="s">
        <v>270</v>
      </c>
      <c r="C175" s="200" t="s">
        <v>165</v>
      </c>
      <c r="D175" s="26">
        <f>D216</f>
        <v>261523</v>
      </c>
      <c r="E175" s="26">
        <v>0</v>
      </c>
      <c r="F175" s="26">
        <f>F216</f>
        <v>0</v>
      </c>
      <c r="G175" s="26">
        <v>0</v>
      </c>
      <c r="H175" s="26">
        <v>0</v>
      </c>
      <c r="I175" s="26">
        <v>0</v>
      </c>
      <c r="J175" s="26">
        <f>J216</f>
        <v>0</v>
      </c>
      <c r="K175" s="172">
        <f t="shared" si="73"/>
        <v>261523</v>
      </c>
      <c r="L175" s="172">
        <f t="shared" si="76"/>
        <v>261523</v>
      </c>
      <c r="M175" s="26">
        <f>+M216</f>
        <v>0</v>
      </c>
      <c r="O175" s="172">
        <f t="shared" si="74"/>
        <v>261523</v>
      </c>
      <c r="P175" s="172">
        <f t="shared" si="75"/>
        <v>261523</v>
      </c>
      <c r="T175" s="172">
        <v>106771</v>
      </c>
    </row>
    <row r="176" spans="2:20" ht="15">
      <c r="B176" s="16" t="s">
        <v>271</v>
      </c>
      <c r="C176" s="200" t="s">
        <v>165</v>
      </c>
      <c r="D176" s="26">
        <v>0</v>
      </c>
      <c r="E176" s="26">
        <v>0</v>
      </c>
      <c r="F176" s="26">
        <v>0</v>
      </c>
      <c r="G176" s="26">
        <v>0</v>
      </c>
      <c r="H176" s="26">
        <v>0</v>
      </c>
      <c r="I176" s="26">
        <v>0</v>
      </c>
      <c r="J176" s="26">
        <v>0</v>
      </c>
      <c r="K176" s="172">
        <f t="shared" si="73"/>
        <v>0</v>
      </c>
      <c r="L176" s="172">
        <f t="shared" si="76"/>
        <v>0</v>
      </c>
      <c r="O176" s="172">
        <f t="shared" si="74"/>
        <v>0</v>
      </c>
      <c r="P176" s="172">
        <f t="shared" si="75"/>
        <v>0</v>
      </c>
      <c r="T176" s="172">
        <v>0</v>
      </c>
    </row>
    <row r="177" spans="2:11" ht="15">
      <c r="B177" s="16" t="s">
        <v>272</v>
      </c>
      <c r="J177" s="26">
        <v>0</v>
      </c>
      <c r="K177" s="172">
        <f t="shared" si="73"/>
        <v>0</v>
      </c>
    </row>
    <row r="178" spans="2:20" ht="15">
      <c r="B178" s="210" t="s">
        <v>273</v>
      </c>
      <c r="C178" s="200" t="s">
        <v>165</v>
      </c>
      <c r="D178" s="26">
        <v>0</v>
      </c>
      <c r="E178" s="26">
        <v>0</v>
      </c>
      <c r="F178" s="26">
        <v>0</v>
      </c>
      <c r="G178" s="26">
        <v>0</v>
      </c>
      <c r="H178" s="26">
        <v>0</v>
      </c>
      <c r="I178" s="26">
        <v>0</v>
      </c>
      <c r="J178" s="26">
        <v>0</v>
      </c>
      <c r="K178" s="172">
        <f t="shared" si="73"/>
        <v>0</v>
      </c>
      <c r="L178" s="172">
        <f t="shared" si="76"/>
        <v>0</v>
      </c>
      <c r="O178" s="172">
        <f t="shared" si="74"/>
        <v>0</v>
      </c>
      <c r="P178" s="172">
        <f t="shared" si="75"/>
        <v>0</v>
      </c>
      <c r="T178" s="172">
        <v>0</v>
      </c>
    </row>
    <row r="179" spans="2:20" ht="15">
      <c r="B179" s="210" t="s">
        <v>274</v>
      </c>
      <c r="C179" s="200" t="s">
        <v>165</v>
      </c>
      <c r="D179" s="26">
        <v>0</v>
      </c>
      <c r="E179" s="26">
        <v>0</v>
      </c>
      <c r="F179" s="26">
        <v>0</v>
      </c>
      <c r="G179" s="26">
        <v>0</v>
      </c>
      <c r="H179" s="26">
        <v>0</v>
      </c>
      <c r="I179" s="26">
        <v>0</v>
      </c>
      <c r="J179" s="26">
        <v>0</v>
      </c>
      <c r="K179" s="172">
        <f t="shared" si="73"/>
        <v>0</v>
      </c>
      <c r="L179" s="172">
        <f t="shared" si="76"/>
        <v>0</v>
      </c>
      <c r="O179" s="172">
        <f t="shared" si="74"/>
        <v>0</v>
      </c>
      <c r="P179" s="172">
        <f t="shared" si="75"/>
        <v>0</v>
      </c>
      <c r="T179" s="172">
        <v>0</v>
      </c>
    </row>
    <row r="180" spans="2:20" ht="15">
      <c r="B180" s="16" t="s">
        <v>275</v>
      </c>
      <c r="C180" s="200" t="s">
        <v>165</v>
      </c>
      <c r="D180" s="26">
        <v>0</v>
      </c>
      <c r="E180" s="26">
        <v>0</v>
      </c>
      <c r="F180" s="26">
        <v>0</v>
      </c>
      <c r="G180" s="26">
        <v>0</v>
      </c>
      <c r="H180" s="26">
        <v>0</v>
      </c>
      <c r="I180" s="26">
        <v>0</v>
      </c>
      <c r="J180" s="26">
        <v>0</v>
      </c>
      <c r="K180" s="172">
        <f t="shared" si="73"/>
        <v>0</v>
      </c>
      <c r="L180" s="172">
        <f t="shared" si="76"/>
        <v>0</v>
      </c>
      <c r="O180" s="172">
        <f t="shared" si="74"/>
        <v>0</v>
      </c>
      <c r="P180" s="172">
        <f t="shared" si="75"/>
        <v>0</v>
      </c>
      <c r="T180" s="172">
        <v>0</v>
      </c>
    </row>
    <row r="181" spans="2:20" ht="15">
      <c r="B181" s="16" t="s">
        <v>276</v>
      </c>
      <c r="C181" s="200" t="s">
        <v>165</v>
      </c>
      <c r="D181" s="26">
        <v>0</v>
      </c>
      <c r="E181" s="26">
        <v>0</v>
      </c>
      <c r="F181" s="26">
        <v>0</v>
      </c>
      <c r="G181" s="26">
        <v>0</v>
      </c>
      <c r="H181" s="26">
        <v>0</v>
      </c>
      <c r="I181" s="26">
        <v>0</v>
      </c>
      <c r="J181" s="26">
        <v>0</v>
      </c>
      <c r="K181" s="172">
        <f t="shared" si="73"/>
        <v>0</v>
      </c>
      <c r="L181" s="172">
        <f t="shared" si="76"/>
        <v>0</v>
      </c>
      <c r="O181" s="172">
        <f t="shared" si="74"/>
        <v>0</v>
      </c>
      <c r="P181" s="172">
        <f t="shared" si="75"/>
        <v>0</v>
      </c>
      <c r="T181" s="172">
        <v>0</v>
      </c>
    </row>
    <row r="182" spans="2:20" ht="15">
      <c r="B182" s="16" t="s">
        <v>277</v>
      </c>
      <c r="C182" s="200" t="s">
        <v>165</v>
      </c>
      <c r="D182" s="26">
        <v>0</v>
      </c>
      <c r="E182" s="26">
        <v>0</v>
      </c>
      <c r="F182" s="26">
        <v>0</v>
      </c>
      <c r="G182" s="26">
        <v>0</v>
      </c>
      <c r="H182" s="26">
        <v>0</v>
      </c>
      <c r="I182" s="26">
        <v>0</v>
      </c>
      <c r="J182" s="26">
        <v>0</v>
      </c>
      <c r="K182" s="172">
        <f t="shared" si="73"/>
        <v>0</v>
      </c>
      <c r="L182" s="172">
        <f t="shared" si="76"/>
        <v>0</v>
      </c>
      <c r="O182" s="172">
        <f t="shared" si="74"/>
        <v>0</v>
      </c>
      <c r="P182" s="172">
        <f t="shared" si="75"/>
        <v>0</v>
      </c>
      <c r="T182" s="172">
        <v>0</v>
      </c>
    </row>
    <row r="183" spans="2:20" ht="15">
      <c r="B183" s="16" t="s">
        <v>278</v>
      </c>
      <c r="C183" s="200" t="s">
        <v>165</v>
      </c>
      <c r="D183" s="26">
        <v>53400</v>
      </c>
      <c r="E183" s="26">
        <v>0</v>
      </c>
      <c r="F183" s="26">
        <v>0</v>
      </c>
      <c r="G183" s="26">
        <v>0</v>
      </c>
      <c r="H183" s="26">
        <v>0</v>
      </c>
      <c r="I183" s="26">
        <v>0</v>
      </c>
      <c r="J183" s="26">
        <v>33900</v>
      </c>
      <c r="K183" s="172">
        <f t="shared" si="73"/>
        <v>87300</v>
      </c>
      <c r="L183" s="172">
        <f t="shared" si="76"/>
        <v>87300</v>
      </c>
      <c r="N183" s="26">
        <f>'[2] ConsoJL'!AK375+'[2] ConsoJL'!AK376</f>
        <v>-87300</v>
      </c>
      <c r="O183" s="172">
        <f aca="true" t="shared" si="78" ref="O183:O188">N183+M183+L183</f>
        <v>0</v>
      </c>
      <c r="P183" s="172">
        <f t="shared" si="75"/>
        <v>0</v>
      </c>
      <c r="T183" s="172">
        <v>0</v>
      </c>
    </row>
    <row r="184" spans="2:20" ht="15">
      <c r="B184" s="16" t="s">
        <v>279</v>
      </c>
      <c r="C184" s="213" t="s">
        <v>165</v>
      </c>
      <c r="D184" s="26">
        <v>0</v>
      </c>
      <c r="E184" s="26">
        <v>0</v>
      </c>
      <c r="F184" s="26">
        <v>0</v>
      </c>
      <c r="G184" s="26">
        <v>0</v>
      </c>
      <c r="H184" s="26">
        <v>0</v>
      </c>
      <c r="I184" s="26">
        <v>0</v>
      </c>
      <c r="J184" s="26">
        <v>0</v>
      </c>
      <c r="K184" s="172">
        <f t="shared" si="73"/>
        <v>0</v>
      </c>
      <c r="L184" s="172">
        <f t="shared" si="76"/>
        <v>0</v>
      </c>
      <c r="O184" s="172">
        <f t="shared" si="78"/>
        <v>0</v>
      </c>
      <c r="P184" s="172">
        <f t="shared" si="75"/>
        <v>0</v>
      </c>
      <c r="T184" s="172">
        <v>55</v>
      </c>
    </row>
    <row r="185" spans="2:20" ht="15">
      <c r="B185" s="16" t="s">
        <v>280</v>
      </c>
      <c r="C185" s="200" t="s">
        <v>165</v>
      </c>
      <c r="D185" s="26">
        <v>0</v>
      </c>
      <c r="E185" s="26">
        <v>0</v>
      </c>
      <c r="F185" s="26">
        <v>0</v>
      </c>
      <c r="G185" s="26">
        <v>1350</v>
      </c>
      <c r="H185" s="26">
        <v>0</v>
      </c>
      <c r="I185" s="26">
        <v>0</v>
      </c>
      <c r="J185" s="26">
        <v>0</v>
      </c>
      <c r="K185" s="172">
        <f t="shared" si="73"/>
        <v>1350</v>
      </c>
      <c r="L185" s="172">
        <f>K185</f>
        <v>1350</v>
      </c>
      <c r="O185" s="172">
        <f t="shared" si="78"/>
        <v>1350</v>
      </c>
      <c r="P185" s="172">
        <f>O185</f>
        <v>1350</v>
      </c>
      <c r="T185" s="172">
        <v>1450</v>
      </c>
    </row>
    <row r="186" spans="2:20" ht="15">
      <c r="B186" s="16" t="s">
        <v>281</v>
      </c>
      <c r="C186" s="200" t="s">
        <v>165</v>
      </c>
      <c r="D186" s="26">
        <v>0</v>
      </c>
      <c r="E186" s="26">
        <v>0</v>
      </c>
      <c r="F186" s="26">
        <v>0</v>
      </c>
      <c r="G186" s="26">
        <v>0</v>
      </c>
      <c r="H186" s="26">
        <v>0</v>
      </c>
      <c r="I186" s="26">
        <v>0</v>
      </c>
      <c r="J186" s="26">
        <v>0</v>
      </c>
      <c r="K186" s="172">
        <f t="shared" si="73"/>
        <v>0</v>
      </c>
      <c r="L186" s="172">
        <f t="shared" si="76"/>
        <v>0</v>
      </c>
      <c r="O186" s="172">
        <f t="shared" si="78"/>
        <v>0</v>
      </c>
      <c r="P186" s="172">
        <f t="shared" si="75"/>
        <v>0</v>
      </c>
      <c r="T186" s="172">
        <v>0</v>
      </c>
    </row>
    <row r="187" spans="2:20" ht="15">
      <c r="B187" s="16" t="s">
        <v>282</v>
      </c>
      <c r="C187" s="200" t="s">
        <v>165</v>
      </c>
      <c r="D187" s="26">
        <v>0</v>
      </c>
      <c r="E187" s="26">
        <v>0</v>
      </c>
      <c r="F187" s="26">
        <v>0</v>
      </c>
      <c r="G187" s="26">
        <v>74299</v>
      </c>
      <c r="H187" s="26">
        <v>0</v>
      </c>
      <c r="I187" s="26">
        <v>0</v>
      </c>
      <c r="J187" s="26">
        <v>0</v>
      </c>
      <c r="K187" s="172">
        <f t="shared" si="73"/>
        <v>74299</v>
      </c>
      <c r="L187" s="172">
        <f>K187</f>
        <v>74299</v>
      </c>
      <c r="O187" s="172">
        <f t="shared" si="78"/>
        <v>74299</v>
      </c>
      <c r="P187" s="172">
        <f>O187</f>
        <v>74299</v>
      </c>
      <c r="T187" s="172">
        <v>13382</v>
      </c>
    </row>
    <row r="188" spans="2:20" ht="15">
      <c r="B188" s="16" t="s">
        <v>283</v>
      </c>
      <c r="C188" s="200" t="s">
        <v>165</v>
      </c>
      <c r="D188" s="26">
        <v>36958</v>
      </c>
      <c r="E188" s="26">
        <v>0</v>
      </c>
      <c r="F188" s="26">
        <v>0</v>
      </c>
      <c r="G188" s="26">
        <v>5126</v>
      </c>
      <c r="H188" s="26">
        <v>0</v>
      </c>
      <c r="I188" s="26">
        <v>0</v>
      </c>
      <c r="J188" s="26">
        <v>0</v>
      </c>
      <c r="K188" s="172">
        <f t="shared" si="73"/>
        <v>42084</v>
      </c>
      <c r="L188" s="172">
        <f>K188</f>
        <v>42084</v>
      </c>
      <c r="O188" s="172">
        <f t="shared" si="78"/>
        <v>42084</v>
      </c>
      <c r="P188" s="172">
        <f>O188</f>
        <v>42084</v>
      </c>
      <c r="T188" s="172">
        <v>23210</v>
      </c>
    </row>
    <row r="189" spans="2:11" ht="15">
      <c r="B189" s="16" t="s">
        <v>284</v>
      </c>
      <c r="C189" s="200"/>
      <c r="G189" s="26">
        <f>650+4080</f>
        <v>4730</v>
      </c>
      <c r="J189" s="26">
        <v>640</v>
      </c>
      <c r="K189" s="172">
        <f t="shared" si="73"/>
        <v>5370</v>
      </c>
    </row>
    <row r="190" spans="2:11" ht="15">
      <c r="B190" s="16" t="s">
        <v>285</v>
      </c>
      <c r="K190" s="172">
        <f t="shared" si="73"/>
        <v>0</v>
      </c>
    </row>
    <row r="191" spans="2:20" ht="15">
      <c r="B191" s="210" t="s">
        <v>286</v>
      </c>
      <c r="C191" s="200" t="s">
        <v>165</v>
      </c>
      <c r="D191" s="26">
        <f>460138+37018</f>
        <v>497156</v>
      </c>
      <c r="E191" s="26">
        <v>0</v>
      </c>
      <c r="F191" s="26">
        <v>0</v>
      </c>
      <c r="G191" s="26">
        <v>590667</v>
      </c>
      <c r="H191" s="26">
        <v>0</v>
      </c>
      <c r="I191" s="26">
        <v>0</v>
      </c>
      <c r="J191" s="26">
        <v>113692</v>
      </c>
      <c r="K191" s="172">
        <f t="shared" si="73"/>
        <v>1201515</v>
      </c>
      <c r="L191" s="172">
        <f t="shared" si="76"/>
        <v>1201515</v>
      </c>
      <c r="O191" s="172">
        <f aca="true" t="shared" si="79" ref="O191:O201">N191+M191+L191</f>
        <v>1201515</v>
      </c>
      <c r="P191" s="172">
        <f t="shared" si="75"/>
        <v>1201515</v>
      </c>
      <c r="T191" s="172">
        <v>209442</v>
      </c>
    </row>
    <row r="192" spans="2:20" ht="15">
      <c r="B192" s="210" t="s">
        <v>287</v>
      </c>
      <c r="C192" s="200" t="s">
        <v>165</v>
      </c>
      <c r="D192" s="26">
        <f>15369+94487+11045+7269+6821+8656+1615+1832+1571+23350</f>
        <v>172015</v>
      </c>
      <c r="E192" s="26">
        <v>0</v>
      </c>
      <c r="F192" s="26">
        <v>0</v>
      </c>
      <c r="G192" s="26">
        <v>0</v>
      </c>
      <c r="H192" s="26">
        <v>0</v>
      </c>
      <c r="I192" s="26">
        <v>0</v>
      </c>
      <c r="J192" s="26">
        <v>0</v>
      </c>
      <c r="K192" s="172">
        <f t="shared" si="73"/>
        <v>172015</v>
      </c>
      <c r="L192" s="172">
        <f t="shared" si="76"/>
        <v>172015</v>
      </c>
      <c r="O192" s="172">
        <f t="shared" si="79"/>
        <v>172015</v>
      </c>
      <c r="P192" s="172">
        <f t="shared" si="75"/>
        <v>172015</v>
      </c>
      <c r="T192" s="172">
        <v>238958</v>
      </c>
    </row>
    <row r="193" spans="2:20" ht="15">
      <c r="B193" s="16" t="s">
        <v>288</v>
      </c>
      <c r="K193" s="172">
        <f t="shared" si="73"/>
        <v>0</v>
      </c>
      <c r="L193" s="172">
        <f t="shared" si="76"/>
        <v>0</v>
      </c>
      <c r="O193" s="172">
        <f t="shared" si="79"/>
        <v>0</v>
      </c>
      <c r="P193" s="172">
        <f t="shared" si="75"/>
        <v>0</v>
      </c>
      <c r="T193" s="172">
        <v>0</v>
      </c>
    </row>
    <row r="194" spans="2:20" ht="15">
      <c r="B194" s="16" t="s">
        <v>239</v>
      </c>
      <c r="C194" s="200" t="s">
        <v>165</v>
      </c>
      <c r="D194" s="26">
        <v>0</v>
      </c>
      <c r="E194" s="26">
        <v>0</v>
      </c>
      <c r="F194" s="26">
        <v>0</v>
      </c>
      <c r="G194" s="26">
        <v>90000</v>
      </c>
      <c r="H194" s="26">
        <v>0</v>
      </c>
      <c r="I194" s="26">
        <v>0</v>
      </c>
      <c r="J194" s="26">
        <v>0</v>
      </c>
      <c r="K194" s="172">
        <f t="shared" si="73"/>
        <v>90000</v>
      </c>
      <c r="L194" s="172">
        <f t="shared" si="76"/>
        <v>90000</v>
      </c>
      <c r="N194" s="26">
        <f>-'[2] ConsoJL'!G374</f>
        <v>-90000</v>
      </c>
      <c r="O194" s="172">
        <f t="shared" si="79"/>
        <v>0</v>
      </c>
      <c r="P194" s="172">
        <f t="shared" si="75"/>
        <v>0</v>
      </c>
      <c r="T194" s="172">
        <v>0</v>
      </c>
    </row>
    <row r="195" spans="2:20" ht="15">
      <c r="B195" s="16" t="s">
        <v>240</v>
      </c>
      <c r="C195" s="200" t="s">
        <v>165</v>
      </c>
      <c r="D195" s="26">
        <v>0</v>
      </c>
      <c r="E195" s="26">
        <v>0</v>
      </c>
      <c r="F195" s="26">
        <v>0</v>
      </c>
      <c r="G195" s="26">
        <v>0</v>
      </c>
      <c r="H195" s="26">
        <v>0</v>
      </c>
      <c r="I195" s="26">
        <v>0</v>
      </c>
      <c r="J195" s="26">
        <v>0</v>
      </c>
      <c r="K195" s="172">
        <f t="shared" si="73"/>
        <v>0</v>
      </c>
      <c r="L195" s="172">
        <f t="shared" si="76"/>
        <v>0</v>
      </c>
      <c r="O195" s="172">
        <f t="shared" si="79"/>
        <v>0</v>
      </c>
      <c r="P195" s="172">
        <f t="shared" si="75"/>
        <v>0</v>
      </c>
      <c r="T195" s="172">
        <v>0</v>
      </c>
    </row>
    <row r="196" spans="2:20" ht="15">
      <c r="B196" s="210" t="s">
        <v>289</v>
      </c>
      <c r="C196" s="200"/>
      <c r="D196" s="26">
        <v>0</v>
      </c>
      <c r="E196" s="26">
        <v>0</v>
      </c>
      <c r="F196" s="26">
        <v>0</v>
      </c>
      <c r="G196" s="26">
        <v>0</v>
      </c>
      <c r="H196" s="26">
        <v>0</v>
      </c>
      <c r="I196" s="26">
        <v>0</v>
      </c>
      <c r="J196" s="26">
        <v>0</v>
      </c>
      <c r="K196" s="172">
        <f t="shared" si="73"/>
        <v>0</v>
      </c>
      <c r="L196" s="172">
        <f t="shared" si="76"/>
        <v>0</v>
      </c>
      <c r="O196" s="172">
        <f t="shared" si="79"/>
        <v>0</v>
      </c>
      <c r="P196" s="172">
        <f t="shared" si="75"/>
        <v>0</v>
      </c>
      <c r="T196" s="172">
        <v>0</v>
      </c>
    </row>
    <row r="197" spans="2:20" ht="15">
      <c r="B197" s="16" t="s">
        <v>290</v>
      </c>
      <c r="C197" s="200" t="s">
        <v>165</v>
      </c>
      <c r="D197" s="26">
        <v>0</v>
      </c>
      <c r="E197" s="26">
        <v>0</v>
      </c>
      <c r="F197" s="26">
        <v>0</v>
      </c>
      <c r="G197" s="26">
        <v>0</v>
      </c>
      <c r="H197" s="26">
        <v>0</v>
      </c>
      <c r="I197" s="26">
        <v>0</v>
      </c>
      <c r="J197" s="26">
        <v>0</v>
      </c>
      <c r="K197" s="172">
        <f t="shared" si="73"/>
        <v>0</v>
      </c>
      <c r="L197" s="172">
        <f t="shared" si="76"/>
        <v>0</v>
      </c>
      <c r="O197" s="172">
        <f t="shared" si="79"/>
        <v>0</v>
      </c>
      <c r="P197" s="172">
        <f t="shared" si="75"/>
        <v>0</v>
      </c>
      <c r="T197" s="172">
        <v>0</v>
      </c>
    </row>
    <row r="198" spans="2:20" ht="15">
      <c r="B198" s="16" t="s">
        <v>291</v>
      </c>
      <c r="C198" s="200" t="s">
        <v>165</v>
      </c>
      <c r="D198" s="26">
        <v>0</v>
      </c>
      <c r="E198" s="26">
        <v>0</v>
      </c>
      <c r="F198" s="26">
        <v>0</v>
      </c>
      <c r="G198" s="26">
        <v>0</v>
      </c>
      <c r="H198" s="26">
        <v>0</v>
      </c>
      <c r="I198" s="26">
        <v>0</v>
      </c>
      <c r="J198" s="26">
        <v>0</v>
      </c>
      <c r="K198" s="172">
        <f t="shared" si="73"/>
        <v>0</v>
      </c>
      <c r="L198" s="172">
        <f t="shared" si="76"/>
        <v>0</v>
      </c>
      <c r="O198" s="172">
        <f t="shared" si="79"/>
        <v>0</v>
      </c>
      <c r="P198" s="172">
        <f t="shared" si="75"/>
        <v>0</v>
      </c>
      <c r="T198" s="172">
        <v>0</v>
      </c>
    </row>
    <row r="199" spans="2:16" ht="15">
      <c r="B199" s="16" t="s">
        <v>292</v>
      </c>
      <c r="C199" s="213" t="s">
        <v>165</v>
      </c>
      <c r="D199" s="26">
        <v>74894</v>
      </c>
      <c r="E199" s="26">
        <v>0</v>
      </c>
      <c r="F199" s="26">
        <v>0</v>
      </c>
      <c r="G199" s="26">
        <v>0</v>
      </c>
      <c r="H199" s="26">
        <v>0</v>
      </c>
      <c r="I199" s="26">
        <v>0</v>
      </c>
      <c r="J199" s="26">
        <v>0</v>
      </c>
      <c r="K199" s="172">
        <f>SUM(D199:J199)</f>
        <v>74894</v>
      </c>
      <c r="L199" s="172">
        <f t="shared" si="76"/>
        <v>74894</v>
      </c>
      <c r="O199" s="172">
        <f>N199+M199+L199</f>
        <v>74894</v>
      </c>
      <c r="P199" s="172">
        <f t="shared" si="75"/>
        <v>74894</v>
      </c>
    </row>
    <row r="200" spans="2:20" ht="15">
      <c r="B200" s="16" t="s">
        <v>293</v>
      </c>
      <c r="C200" s="200" t="s">
        <v>165</v>
      </c>
      <c r="D200" s="26">
        <v>0</v>
      </c>
      <c r="E200" s="26">
        <v>0</v>
      </c>
      <c r="F200" s="26">
        <v>0</v>
      </c>
      <c r="G200" s="26" t="s">
        <v>294</v>
      </c>
      <c r="H200" s="26">
        <v>0</v>
      </c>
      <c r="I200" s="26">
        <v>0</v>
      </c>
      <c r="J200" s="26">
        <v>0</v>
      </c>
      <c r="K200" s="172">
        <f>SUM(D200:J200)</f>
        <v>0</v>
      </c>
      <c r="L200" s="172">
        <f t="shared" si="76"/>
        <v>0</v>
      </c>
      <c r="O200" s="172">
        <f t="shared" si="79"/>
        <v>0</v>
      </c>
      <c r="P200" s="172">
        <f t="shared" si="75"/>
        <v>0</v>
      </c>
      <c r="T200" s="172">
        <v>43017</v>
      </c>
    </row>
    <row r="201" ht="15">
      <c r="O201" s="172">
        <f t="shared" si="79"/>
        <v>0</v>
      </c>
    </row>
    <row r="202" ht="15">
      <c r="B202" s="169" t="s">
        <v>295</v>
      </c>
    </row>
    <row r="203" ht="15">
      <c r="B203" s="169" t="s">
        <v>296</v>
      </c>
    </row>
    <row r="204" ht="15">
      <c r="B204" s="16" t="s">
        <v>297</v>
      </c>
    </row>
    <row r="205" spans="2:20" ht="15">
      <c r="B205" s="210" t="s">
        <v>298</v>
      </c>
      <c r="C205" s="200" t="s">
        <v>165</v>
      </c>
      <c r="D205" s="199">
        <v>98250</v>
      </c>
      <c r="E205" s="26">
        <v>0</v>
      </c>
      <c r="F205" s="26">
        <v>0</v>
      </c>
      <c r="G205" s="26">
        <v>0</v>
      </c>
      <c r="H205" s="26">
        <v>0</v>
      </c>
      <c r="I205" s="26">
        <v>0</v>
      </c>
      <c r="J205" s="26">
        <v>0</v>
      </c>
      <c r="K205" s="172">
        <f>SUM(D205:J205)</f>
        <v>98250</v>
      </c>
      <c r="L205" s="172">
        <f>K205</f>
        <v>98250</v>
      </c>
      <c r="M205" s="26">
        <v>0</v>
      </c>
      <c r="O205" s="172">
        <f>SUM(L205:N205)</f>
        <v>98250</v>
      </c>
      <c r="P205" s="172">
        <f>O205</f>
        <v>98250</v>
      </c>
      <c r="T205" s="172">
        <v>0</v>
      </c>
    </row>
    <row r="206" spans="2:20" ht="15">
      <c r="B206" s="210" t="s">
        <v>299</v>
      </c>
      <c r="C206" s="200" t="s">
        <v>165</v>
      </c>
      <c r="D206" s="26">
        <f>155273+2000+6000</f>
        <v>163273</v>
      </c>
      <c r="E206" s="26">
        <v>0</v>
      </c>
      <c r="F206" s="26">
        <v>0</v>
      </c>
      <c r="G206" s="26">
        <v>0</v>
      </c>
      <c r="H206" s="26">
        <v>0</v>
      </c>
      <c r="I206" s="26">
        <v>0</v>
      </c>
      <c r="J206" s="26">
        <v>0</v>
      </c>
      <c r="K206" s="172">
        <f>SUM(D206:J206)</f>
        <v>163273</v>
      </c>
      <c r="L206" s="172">
        <f>K206</f>
        <v>163273</v>
      </c>
      <c r="M206" s="26">
        <v>0</v>
      </c>
      <c r="O206" s="172">
        <f>SUM(L206:N206)</f>
        <v>163273</v>
      </c>
      <c r="P206" s="172">
        <f>O206</f>
        <v>163273</v>
      </c>
      <c r="T206" s="172">
        <v>0</v>
      </c>
    </row>
    <row r="207" spans="2:20" ht="15">
      <c r="B207" s="210" t="s">
        <v>300</v>
      </c>
      <c r="C207" s="200" t="s">
        <v>165</v>
      </c>
      <c r="D207" s="26">
        <v>0</v>
      </c>
      <c r="E207" s="26">
        <v>0</v>
      </c>
      <c r="F207" s="26">
        <v>0</v>
      </c>
      <c r="G207" s="26">
        <v>0</v>
      </c>
      <c r="H207" s="26">
        <v>0</v>
      </c>
      <c r="I207" s="26">
        <v>0</v>
      </c>
      <c r="J207" s="26">
        <v>0</v>
      </c>
      <c r="K207" s="172">
        <f>SUM(D207:J207)</f>
        <v>0</v>
      </c>
      <c r="L207" s="172">
        <f>K207</f>
        <v>0</v>
      </c>
      <c r="O207" s="172">
        <f>SUM(L207:N207)</f>
        <v>0</v>
      </c>
      <c r="P207" s="172">
        <f>O207</f>
        <v>0</v>
      </c>
      <c r="T207" s="172">
        <v>0</v>
      </c>
    </row>
    <row r="208" spans="4:20" ht="15">
      <c r="D208" s="212">
        <f>SUM(D204:D207)</f>
        <v>261523</v>
      </c>
      <c r="E208" s="212">
        <f>SUM(E204:E207)</f>
        <v>0</v>
      </c>
      <c r="F208" s="212">
        <f>SUM(F204:F207)</f>
        <v>0</v>
      </c>
      <c r="G208" s="212">
        <f aca="true" t="shared" si="80" ref="G208:P208">SUM(G204:G207)</f>
        <v>0</v>
      </c>
      <c r="H208" s="212">
        <f t="shared" si="80"/>
        <v>0</v>
      </c>
      <c r="I208" s="212">
        <f t="shared" si="80"/>
        <v>0</v>
      </c>
      <c r="J208" s="212">
        <f>SUM(J204:J207)</f>
        <v>0</v>
      </c>
      <c r="K208" s="189">
        <f>SUM(D208:J208)</f>
        <v>261523</v>
      </c>
      <c r="L208" s="189">
        <f t="shared" si="80"/>
        <v>261523</v>
      </c>
      <c r="M208" s="212">
        <f t="shared" si="80"/>
        <v>0</v>
      </c>
      <c r="N208" s="212">
        <f t="shared" si="80"/>
        <v>0</v>
      </c>
      <c r="O208" s="189">
        <f t="shared" si="80"/>
        <v>261523</v>
      </c>
      <c r="P208" s="189">
        <f t="shared" si="80"/>
        <v>261523</v>
      </c>
      <c r="S208" s="189"/>
      <c r="T208" s="189">
        <v>0</v>
      </c>
    </row>
    <row r="209" ht="15">
      <c r="K209" s="172" t="s">
        <v>27</v>
      </c>
    </row>
    <row r="210" spans="2:11" ht="15">
      <c r="B210" s="210" t="s">
        <v>301</v>
      </c>
      <c r="K210" s="172" t="s">
        <v>27</v>
      </c>
    </row>
    <row r="211" spans="2:20" ht="15">
      <c r="B211" s="210" t="s">
        <v>298</v>
      </c>
      <c r="C211" s="200" t="s">
        <v>165</v>
      </c>
      <c r="D211" s="26">
        <v>0</v>
      </c>
      <c r="E211" s="26">
        <v>0</v>
      </c>
      <c r="F211" s="26">
        <v>0</v>
      </c>
      <c r="G211" s="26">
        <v>0</v>
      </c>
      <c r="H211" s="26">
        <v>0</v>
      </c>
      <c r="I211" s="26">
        <v>0</v>
      </c>
      <c r="J211" s="26">
        <v>0</v>
      </c>
      <c r="K211" s="172">
        <f>SUM(D211:J211)</f>
        <v>0</v>
      </c>
      <c r="L211" s="172">
        <f>K211</f>
        <v>0</v>
      </c>
      <c r="M211" s="26">
        <v>0</v>
      </c>
      <c r="O211" s="172">
        <f>SUM(L211:N211)</f>
        <v>0</v>
      </c>
      <c r="P211" s="172">
        <f>O211</f>
        <v>0</v>
      </c>
      <c r="T211" s="172">
        <v>40750</v>
      </c>
    </row>
    <row r="212" spans="2:20" ht="15">
      <c r="B212" s="210" t="s">
        <v>299</v>
      </c>
      <c r="C212" s="200" t="s">
        <v>165</v>
      </c>
      <c r="D212" s="26">
        <v>0</v>
      </c>
      <c r="E212" s="26">
        <v>0</v>
      </c>
      <c r="F212" s="26">
        <v>0</v>
      </c>
      <c r="G212" s="26">
        <v>0</v>
      </c>
      <c r="H212" s="26">
        <v>0</v>
      </c>
      <c r="I212" s="26">
        <v>0</v>
      </c>
      <c r="J212" s="26">
        <v>0</v>
      </c>
      <c r="K212" s="172">
        <f>SUM(D212:J212)</f>
        <v>0</v>
      </c>
      <c r="L212" s="172">
        <f>K212</f>
        <v>0</v>
      </c>
      <c r="M212" s="26">
        <v>0</v>
      </c>
      <c r="O212" s="172">
        <f>SUM(L212:N212)</f>
        <v>0</v>
      </c>
      <c r="P212" s="172">
        <f>O212</f>
        <v>0</v>
      </c>
      <c r="T212" s="172">
        <v>66021</v>
      </c>
    </row>
    <row r="213" spans="2:20" ht="15">
      <c r="B213" s="210" t="s">
        <v>300</v>
      </c>
      <c r="C213" s="200" t="s">
        <v>165</v>
      </c>
      <c r="D213" s="26">
        <v>0</v>
      </c>
      <c r="E213" s="26">
        <v>0</v>
      </c>
      <c r="F213" s="26">
        <v>0</v>
      </c>
      <c r="G213" s="26">
        <v>0</v>
      </c>
      <c r="H213" s="26">
        <v>0</v>
      </c>
      <c r="I213" s="26">
        <v>0</v>
      </c>
      <c r="K213" s="172">
        <f>SUM(D213:J213)</f>
        <v>0</v>
      </c>
      <c r="L213" s="172">
        <f>K213</f>
        <v>0</v>
      </c>
      <c r="O213" s="172">
        <f>SUM(L213:N213)</f>
        <v>0</v>
      </c>
      <c r="P213" s="172">
        <f>O213</f>
        <v>0</v>
      </c>
      <c r="T213" s="172">
        <v>0</v>
      </c>
    </row>
    <row r="214" spans="4:20" ht="15">
      <c r="D214" s="212">
        <f aca="true" t="shared" si="81" ref="D214:P214">SUM(D210:D213)</f>
        <v>0</v>
      </c>
      <c r="E214" s="212">
        <f t="shared" si="81"/>
        <v>0</v>
      </c>
      <c r="F214" s="212">
        <f t="shared" si="81"/>
        <v>0</v>
      </c>
      <c r="G214" s="212">
        <f t="shared" si="81"/>
        <v>0</v>
      </c>
      <c r="H214" s="212">
        <f t="shared" si="81"/>
        <v>0</v>
      </c>
      <c r="I214" s="212">
        <f t="shared" si="81"/>
        <v>0</v>
      </c>
      <c r="J214" s="212">
        <f>SUM(J210:J213)</f>
        <v>0</v>
      </c>
      <c r="K214" s="189">
        <f>SUM(D214:J214)</f>
        <v>0</v>
      </c>
      <c r="L214" s="189">
        <f t="shared" si="81"/>
        <v>0</v>
      </c>
      <c r="M214" s="212">
        <f t="shared" si="81"/>
        <v>0</v>
      </c>
      <c r="N214" s="212">
        <f t="shared" si="81"/>
        <v>0</v>
      </c>
      <c r="O214" s="189">
        <f t="shared" si="81"/>
        <v>0</v>
      </c>
      <c r="P214" s="189">
        <f t="shared" si="81"/>
        <v>0</v>
      </c>
      <c r="S214" s="189"/>
      <c r="T214" s="189">
        <v>106771</v>
      </c>
    </row>
    <row r="215" ht="15"/>
    <row r="216" spans="2:20" s="169" customFormat="1" ht="15.75" thickBot="1">
      <c r="B216" s="211" t="s">
        <v>51</v>
      </c>
      <c r="C216" s="170"/>
      <c r="D216" s="193">
        <f aca="true" t="shared" si="82" ref="D216:P216">D208+D214</f>
        <v>261523</v>
      </c>
      <c r="E216" s="193">
        <f t="shared" si="82"/>
        <v>0</v>
      </c>
      <c r="F216" s="193">
        <f t="shared" si="82"/>
        <v>0</v>
      </c>
      <c r="G216" s="193">
        <f t="shared" si="82"/>
        <v>0</v>
      </c>
      <c r="H216" s="193">
        <f t="shared" si="82"/>
        <v>0</v>
      </c>
      <c r="I216" s="193">
        <f>I208+I214</f>
        <v>0</v>
      </c>
      <c r="J216" s="193">
        <f t="shared" si="82"/>
        <v>0</v>
      </c>
      <c r="K216" s="193">
        <f t="shared" si="82"/>
        <v>261523</v>
      </c>
      <c r="L216" s="193">
        <f t="shared" si="82"/>
        <v>261523</v>
      </c>
      <c r="M216" s="193">
        <f t="shared" si="82"/>
        <v>0</v>
      </c>
      <c r="N216" s="193">
        <f t="shared" si="82"/>
        <v>0</v>
      </c>
      <c r="O216" s="193">
        <f t="shared" si="82"/>
        <v>261523</v>
      </c>
      <c r="P216" s="193">
        <f t="shared" si="82"/>
        <v>261523</v>
      </c>
      <c r="Q216" s="174"/>
      <c r="S216" s="193"/>
      <c r="T216" s="193">
        <v>106771</v>
      </c>
    </row>
    <row r="217" ht="15.75" thickTop="1"/>
    <row r="218" ht="15">
      <c r="B218" s="169" t="s">
        <v>302</v>
      </c>
    </row>
    <row r="219" ht="15">
      <c r="B219" s="169" t="s">
        <v>112</v>
      </c>
    </row>
    <row r="220" spans="2:20" ht="15">
      <c r="B220" s="16" t="s">
        <v>303</v>
      </c>
      <c r="C220" s="200" t="s">
        <v>165</v>
      </c>
      <c r="D220" s="26">
        <v>219531</v>
      </c>
      <c r="E220" s="26">
        <v>0</v>
      </c>
      <c r="F220" s="26">
        <v>0</v>
      </c>
      <c r="G220" s="287">
        <f>810164*0</f>
        <v>0</v>
      </c>
      <c r="H220" s="26">
        <v>0</v>
      </c>
      <c r="I220" s="26">
        <v>0</v>
      </c>
      <c r="J220" s="26">
        <v>0</v>
      </c>
      <c r="K220" s="172">
        <f>SUM(D220:J220)</f>
        <v>219531</v>
      </c>
      <c r="L220" s="172">
        <f>K220</f>
        <v>219531</v>
      </c>
      <c r="M220" s="26">
        <f>+'[2] ConsoJL'!AI438</f>
        <v>319469</v>
      </c>
      <c r="O220" s="172">
        <f>N220+M220+L220</f>
        <v>539000</v>
      </c>
      <c r="P220" s="172">
        <f>O220</f>
        <v>539000</v>
      </c>
      <c r="T220" s="172">
        <v>221970</v>
      </c>
    </row>
    <row r="221" spans="2:20" ht="15">
      <c r="B221" s="16" t="s">
        <v>304</v>
      </c>
      <c r="C221" s="200" t="s">
        <v>165</v>
      </c>
      <c r="D221" s="26">
        <v>0</v>
      </c>
      <c r="E221" s="26">
        <v>0</v>
      </c>
      <c r="F221" s="26">
        <v>0</v>
      </c>
      <c r="G221" s="26">
        <v>0</v>
      </c>
      <c r="H221" s="26">
        <v>0</v>
      </c>
      <c r="I221" s="26">
        <v>0</v>
      </c>
      <c r="J221" s="26">
        <v>0</v>
      </c>
      <c r="K221" s="172">
        <f>SUM(D221:J221)</f>
        <v>0</v>
      </c>
      <c r="L221" s="172">
        <f>K221</f>
        <v>0</v>
      </c>
      <c r="O221" s="172">
        <f>N221+M221+L221</f>
        <v>0</v>
      </c>
      <c r="P221" s="172">
        <f>O221</f>
        <v>0</v>
      </c>
      <c r="T221" s="172">
        <v>0</v>
      </c>
    </row>
    <row r="222" spans="2:20" ht="15">
      <c r="B222" s="16" t="s">
        <v>44</v>
      </c>
      <c r="C222" s="200" t="s">
        <v>165</v>
      </c>
      <c r="D222" s="26">
        <f>D631</f>
        <v>0</v>
      </c>
      <c r="E222" s="26">
        <f>E631</f>
        <v>0</v>
      </c>
      <c r="F222" s="199">
        <v>-334000</v>
      </c>
      <c r="G222" s="26">
        <v>0</v>
      </c>
      <c r="H222" s="26">
        <f>H631</f>
        <v>0</v>
      </c>
      <c r="I222" s="26">
        <f>I631</f>
        <v>0</v>
      </c>
      <c r="J222" s="26">
        <v>0</v>
      </c>
      <c r="K222" s="172">
        <f>SUM(D222:J222)</f>
        <v>-334000</v>
      </c>
      <c r="L222" s="172">
        <f>K222</f>
        <v>-334000</v>
      </c>
      <c r="N222" s="26">
        <v>0</v>
      </c>
      <c r="O222" s="172">
        <f>SUM(L222:N222)</f>
        <v>-334000</v>
      </c>
      <c r="P222" s="172">
        <f>O222</f>
        <v>-334000</v>
      </c>
      <c r="T222" s="172">
        <v>0</v>
      </c>
    </row>
    <row r="223" spans="4:20" ht="15">
      <c r="D223" s="189">
        <f aca="true" t="shared" si="83" ref="D223:P223">SUM(D218:D222)</f>
        <v>219531</v>
      </c>
      <c r="E223" s="189">
        <f t="shared" si="83"/>
        <v>0</v>
      </c>
      <c r="F223" s="189">
        <f t="shared" si="83"/>
        <v>-334000</v>
      </c>
      <c r="G223" s="189">
        <f>SUM(G220:G222)</f>
        <v>0</v>
      </c>
      <c r="H223" s="189">
        <f t="shared" si="83"/>
        <v>0</v>
      </c>
      <c r="I223" s="189">
        <f t="shared" si="83"/>
        <v>0</v>
      </c>
      <c r="J223" s="189">
        <f>SUM(J218:J222)</f>
        <v>0</v>
      </c>
      <c r="K223" s="189">
        <f t="shared" si="83"/>
        <v>-114469</v>
      </c>
      <c r="L223" s="189">
        <f t="shared" si="83"/>
        <v>-114469</v>
      </c>
      <c r="M223" s="189">
        <f t="shared" si="83"/>
        <v>319469</v>
      </c>
      <c r="N223" s="189">
        <f t="shared" si="83"/>
        <v>0</v>
      </c>
      <c r="O223" s="189">
        <f t="shared" si="83"/>
        <v>205000</v>
      </c>
      <c r="P223" s="189">
        <f t="shared" si="83"/>
        <v>205000</v>
      </c>
      <c r="S223" s="189"/>
      <c r="T223" s="189">
        <v>221970</v>
      </c>
    </row>
    <row r="224" ht="15"/>
    <row r="225" ht="15">
      <c r="B225" s="169" t="s">
        <v>305</v>
      </c>
    </row>
    <row r="226" ht="15">
      <c r="B226" s="169" t="s">
        <v>306</v>
      </c>
    </row>
    <row r="227" ht="15">
      <c r="B227" s="202" t="s">
        <v>307</v>
      </c>
    </row>
    <row r="228" spans="2:20" ht="15">
      <c r="B228" s="16" t="s">
        <v>308</v>
      </c>
      <c r="C228" s="200" t="s">
        <v>165</v>
      </c>
      <c r="D228" s="26">
        <v>0</v>
      </c>
      <c r="E228" s="26">
        <v>0</v>
      </c>
      <c r="F228" s="26">
        <v>0</v>
      </c>
      <c r="G228" s="26">
        <v>0</v>
      </c>
      <c r="H228" s="26">
        <v>0</v>
      </c>
      <c r="I228" s="26">
        <v>0</v>
      </c>
      <c r="J228" s="26">
        <v>0</v>
      </c>
      <c r="K228" s="172">
        <f>SUM(D228:J228)</f>
        <v>0</v>
      </c>
      <c r="L228" s="172">
        <f aca="true" t="shared" si="84" ref="L228:L235">K228</f>
        <v>0</v>
      </c>
      <c r="M228" s="26">
        <v>0</v>
      </c>
      <c r="N228" s="26">
        <v>0</v>
      </c>
      <c r="O228" s="172">
        <f aca="true" t="shared" si="85" ref="O228:O235">SUM(L228:N228)</f>
        <v>0</v>
      </c>
      <c r="P228" s="172">
        <f aca="true" t="shared" si="86" ref="P228:P235">O228</f>
        <v>0</v>
      </c>
      <c r="T228" s="172">
        <v>0</v>
      </c>
    </row>
    <row r="229" spans="2:20" ht="15">
      <c r="B229" s="16" t="s">
        <v>309</v>
      </c>
      <c r="C229" s="200" t="s">
        <v>165</v>
      </c>
      <c r="D229" s="26">
        <v>0</v>
      </c>
      <c r="E229" s="26">
        <v>0</v>
      </c>
      <c r="F229" s="26">
        <v>0</v>
      </c>
      <c r="G229" s="26">
        <v>0</v>
      </c>
      <c r="H229" s="26">
        <v>0</v>
      </c>
      <c r="I229" s="26">
        <v>0</v>
      </c>
      <c r="J229" s="26">
        <v>0</v>
      </c>
      <c r="K229" s="172">
        <f aca="true" t="shared" si="87" ref="K229:K235">SUM(D229:J229)</f>
        <v>0</v>
      </c>
      <c r="L229" s="172">
        <f t="shared" si="84"/>
        <v>0</v>
      </c>
      <c r="M229" s="26">
        <v>0</v>
      </c>
      <c r="N229" s="26">
        <v>0</v>
      </c>
      <c r="O229" s="172">
        <f t="shared" si="85"/>
        <v>0</v>
      </c>
      <c r="P229" s="172">
        <f t="shared" si="86"/>
        <v>0</v>
      </c>
      <c r="T229" s="172">
        <v>0</v>
      </c>
    </row>
    <row r="230" spans="2:20" ht="15">
      <c r="B230" s="16" t="s">
        <v>310</v>
      </c>
      <c r="C230" s="200" t="s">
        <v>165</v>
      </c>
      <c r="D230" s="26">
        <v>0</v>
      </c>
      <c r="E230" s="26">
        <v>0</v>
      </c>
      <c r="F230" s="26">
        <v>0</v>
      </c>
      <c r="G230" s="26">
        <v>3756750</v>
      </c>
      <c r="H230" s="26">
        <v>0</v>
      </c>
      <c r="I230" s="26">
        <v>0</v>
      </c>
      <c r="J230" s="26">
        <v>0</v>
      </c>
      <c r="K230" s="172">
        <f t="shared" si="87"/>
        <v>3756750</v>
      </c>
      <c r="L230" s="172">
        <f t="shared" si="84"/>
        <v>3756750</v>
      </c>
      <c r="M230" s="26">
        <v>0</v>
      </c>
      <c r="N230" s="26">
        <v>0</v>
      </c>
      <c r="O230" s="172">
        <f t="shared" si="85"/>
        <v>3756750</v>
      </c>
      <c r="P230" s="172">
        <f t="shared" si="86"/>
        <v>3756750</v>
      </c>
      <c r="T230" s="172">
        <v>3756750</v>
      </c>
    </row>
    <row r="231" spans="2:20" ht="15">
      <c r="B231" s="16" t="s">
        <v>311</v>
      </c>
      <c r="C231" s="200" t="s">
        <v>165</v>
      </c>
      <c r="D231" s="26">
        <v>0</v>
      </c>
      <c r="E231" s="26">
        <v>0</v>
      </c>
      <c r="F231" s="26">
        <v>0</v>
      </c>
      <c r="G231" s="26">
        <v>0</v>
      </c>
      <c r="H231" s="26">
        <v>0</v>
      </c>
      <c r="I231" s="26">
        <v>0</v>
      </c>
      <c r="J231" s="26">
        <v>0</v>
      </c>
      <c r="K231" s="172">
        <f t="shared" si="87"/>
        <v>0</v>
      </c>
      <c r="L231" s="172">
        <f t="shared" si="84"/>
        <v>0</v>
      </c>
      <c r="M231" s="26">
        <v>0</v>
      </c>
      <c r="N231" s="26">
        <v>0</v>
      </c>
      <c r="O231" s="172">
        <f t="shared" si="85"/>
        <v>0</v>
      </c>
      <c r="P231" s="172">
        <f t="shared" si="86"/>
        <v>0</v>
      </c>
      <c r="T231" s="172">
        <v>0</v>
      </c>
    </row>
    <row r="232" spans="2:20" ht="15">
      <c r="B232" s="16" t="s">
        <v>312</v>
      </c>
      <c r="C232" s="200" t="s">
        <v>165</v>
      </c>
      <c r="D232" s="26">
        <v>95509</v>
      </c>
      <c r="E232" s="26">
        <v>0</v>
      </c>
      <c r="F232" s="26">
        <v>106816</v>
      </c>
      <c r="G232" s="26">
        <v>1602059</v>
      </c>
      <c r="H232" s="26">
        <v>0</v>
      </c>
      <c r="I232" s="26">
        <v>0</v>
      </c>
      <c r="J232" s="26">
        <v>0</v>
      </c>
      <c r="K232" s="172">
        <f t="shared" si="87"/>
        <v>1804384</v>
      </c>
      <c r="L232" s="172">
        <f t="shared" si="84"/>
        <v>1804384</v>
      </c>
      <c r="M232" s="26">
        <v>0</v>
      </c>
      <c r="N232" s="26">
        <v>0</v>
      </c>
      <c r="O232" s="172">
        <f t="shared" si="85"/>
        <v>1804384</v>
      </c>
      <c r="P232" s="172">
        <f t="shared" si="86"/>
        <v>1804384</v>
      </c>
      <c r="T232" s="172">
        <v>1804384</v>
      </c>
    </row>
    <row r="233" spans="2:20" ht="15">
      <c r="B233" s="16" t="s">
        <v>313</v>
      </c>
      <c r="C233" s="200" t="s">
        <v>165</v>
      </c>
      <c r="D233" s="26">
        <v>96053</v>
      </c>
      <c r="E233" s="26">
        <v>0</v>
      </c>
      <c r="F233" s="26">
        <v>144904</v>
      </c>
      <c r="G233" s="26">
        <v>1071030</v>
      </c>
      <c r="H233" s="26">
        <v>0</v>
      </c>
      <c r="I233" s="26">
        <v>0</v>
      </c>
      <c r="J233" s="26">
        <v>206680</v>
      </c>
      <c r="K233" s="172">
        <f t="shared" si="87"/>
        <v>1518667</v>
      </c>
      <c r="L233" s="172">
        <f t="shared" si="84"/>
        <v>1518667</v>
      </c>
      <c r="M233" s="26">
        <v>0</v>
      </c>
      <c r="N233" s="26">
        <v>0</v>
      </c>
      <c r="O233" s="172">
        <f t="shared" si="85"/>
        <v>1518667</v>
      </c>
      <c r="P233" s="172">
        <f t="shared" si="86"/>
        <v>1518667</v>
      </c>
      <c r="T233" s="172">
        <v>1518667</v>
      </c>
    </row>
    <row r="234" spans="2:20" ht="15">
      <c r="B234" s="16" t="s">
        <v>314</v>
      </c>
      <c r="C234" s="200" t="s">
        <v>165</v>
      </c>
      <c r="D234" s="26">
        <v>0</v>
      </c>
      <c r="E234" s="26">
        <v>0</v>
      </c>
      <c r="F234" s="26">
        <v>0</v>
      </c>
      <c r="G234" s="26">
        <v>2424249</v>
      </c>
      <c r="H234" s="26">
        <v>0</v>
      </c>
      <c r="I234" s="26">
        <v>0</v>
      </c>
      <c r="J234" s="26">
        <v>1600</v>
      </c>
      <c r="K234" s="172">
        <f t="shared" si="87"/>
        <v>2425849</v>
      </c>
      <c r="L234" s="172">
        <f t="shared" si="84"/>
        <v>2425849</v>
      </c>
      <c r="M234" s="26">
        <v>0</v>
      </c>
      <c r="N234" s="26">
        <v>0</v>
      </c>
      <c r="O234" s="172">
        <f t="shared" si="85"/>
        <v>2425849</v>
      </c>
      <c r="P234" s="172">
        <f t="shared" si="86"/>
        <v>2425849</v>
      </c>
      <c r="T234" s="172">
        <v>2425849</v>
      </c>
    </row>
    <row r="235" spans="2:20" ht="15">
      <c r="B235" s="16" t="s">
        <v>229</v>
      </c>
      <c r="C235" s="200" t="s">
        <v>165</v>
      </c>
      <c r="D235" s="26">
        <v>0</v>
      </c>
      <c r="E235" s="26">
        <v>0</v>
      </c>
      <c r="F235" s="26">
        <v>0</v>
      </c>
      <c r="G235" s="26">
        <v>0</v>
      </c>
      <c r="H235" s="26">
        <v>0</v>
      </c>
      <c r="I235" s="26">
        <v>0</v>
      </c>
      <c r="J235" s="26">
        <v>0</v>
      </c>
      <c r="K235" s="172">
        <f t="shared" si="87"/>
        <v>0</v>
      </c>
      <c r="L235" s="172">
        <f t="shared" si="84"/>
        <v>0</v>
      </c>
      <c r="M235" s="26">
        <v>0</v>
      </c>
      <c r="N235" s="26">
        <v>0</v>
      </c>
      <c r="O235" s="172">
        <f t="shared" si="85"/>
        <v>0</v>
      </c>
      <c r="P235" s="172">
        <f t="shared" si="86"/>
        <v>0</v>
      </c>
      <c r="T235" s="172">
        <v>0</v>
      </c>
    </row>
    <row r="236" ht="15"/>
    <row r="237" spans="4:20" ht="15">
      <c r="D237" s="212">
        <f aca="true" t="shared" si="88" ref="D237:P237">SUM(D227:D236)</f>
        <v>191562</v>
      </c>
      <c r="E237" s="212">
        <f t="shared" si="88"/>
        <v>0</v>
      </c>
      <c r="F237" s="212">
        <f t="shared" si="88"/>
        <v>251720</v>
      </c>
      <c r="G237" s="212">
        <f t="shared" si="88"/>
        <v>8854088</v>
      </c>
      <c r="H237" s="212">
        <f t="shared" si="88"/>
        <v>0</v>
      </c>
      <c r="I237" s="212">
        <f t="shared" si="88"/>
        <v>0</v>
      </c>
      <c r="J237" s="212">
        <f>SUM(J227:J236)</f>
        <v>208280</v>
      </c>
      <c r="K237" s="189">
        <f t="shared" si="88"/>
        <v>9505650</v>
      </c>
      <c r="L237" s="189">
        <f t="shared" si="88"/>
        <v>9505650</v>
      </c>
      <c r="M237" s="212">
        <f t="shared" si="88"/>
        <v>0</v>
      </c>
      <c r="N237" s="212">
        <f t="shared" si="88"/>
        <v>0</v>
      </c>
      <c r="O237" s="189">
        <f t="shared" si="88"/>
        <v>9505650</v>
      </c>
      <c r="P237" s="189">
        <f t="shared" si="88"/>
        <v>9505650</v>
      </c>
      <c r="S237" s="189"/>
      <c r="T237" s="189">
        <v>9505650</v>
      </c>
    </row>
    <row r="238" ht="15"/>
    <row r="239" ht="15">
      <c r="B239" s="202" t="s">
        <v>315</v>
      </c>
    </row>
    <row r="240" spans="2:20" ht="15">
      <c r="B240" s="16" t="s">
        <v>308</v>
      </c>
      <c r="C240" s="200" t="s">
        <v>165</v>
      </c>
      <c r="D240" s="26">
        <v>0</v>
      </c>
      <c r="E240" s="26">
        <v>0</v>
      </c>
      <c r="F240" s="26">
        <v>0</v>
      </c>
      <c r="G240" s="26">
        <v>0</v>
      </c>
      <c r="H240" s="26">
        <v>0</v>
      </c>
      <c r="I240" s="26">
        <v>0</v>
      </c>
      <c r="J240" s="26">
        <v>0</v>
      </c>
      <c r="K240" s="172">
        <f aca="true" t="shared" si="89" ref="K240:K247">SUM(D240:J240)</f>
        <v>0</v>
      </c>
      <c r="L240" s="172">
        <f aca="true" t="shared" si="90" ref="L240:L247">K240</f>
        <v>0</v>
      </c>
      <c r="M240" s="26">
        <v>0</v>
      </c>
      <c r="N240" s="26">
        <v>0</v>
      </c>
      <c r="O240" s="172">
        <f aca="true" t="shared" si="91" ref="O240:O247">SUM(L240:N240)</f>
        <v>0</v>
      </c>
      <c r="P240" s="172">
        <f aca="true" t="shared" si="92" ref="P240:P247">O240</f>
        <v>0</v>
      </c>
      <c r="T240" s="172">
        <v>0</v>
      </c>
    </row>
    <row r="241" spans="2:20" ht="15">
      <c r="B241" s="16" t="s">
        <v>309</v>
      </c>
      <c r="C241" s="200" t="s">
        <v>165</v>
      </c>
      <c r="D241" s="26">
        <v>0</v>
      </c>
      <c r="E241" s="26">
        <v>0</v>
      </c>
      <c r="F241" s="26">
        <v>0</v>
      </c>
      <c r="G241" s="26">
        <v>0</v>
      </c>
      <c r="H241" s="26">
        <v>0</v>
      </c>
      <c r="I241" s="26">
        <v>0</v>
      </c>
      <c r="J241" s="26">
        <v>0</v>
      </c>
      <c r="K241" s="172">
        <f t="shared" si="89"/>
        <v>0</v>
      </c>
      <c r="L241" s="172">
        <f t="shared" si="90"/>
        <v>0</v>
      </c>
      <c r="M241" s="26">
        <v>0</v>
      </c>
      <c r="N241" s="26">
        <v>0</v>
      </c>
      <c r="O241" s="172">
        <f t="shared" si="91"/>
        <v>0</v>
      </c>
      <c r="P241" s="172">
        <f t="shared" si="92"/>
        <v>0</v>
      </c>
      <c r="T241" s="172">
        <v>0</v>
      </c>
    </row>
    <row r="242" spans="2:20" ht="15">
      <c r="B242" s="16" t="s">
        <v>310</v>
      </c>
      <c r="C242" s="200" t="s">
        <v>165</v>
      </c>
      <c r="D242" s="26">
        <v>0</v>
      </c>
      <c r="E242" s="26">
        <v>0</v>
      </c>
      <c r="F242" s="26">
        <v>0</v>
      </c>
      <c r="G242" s="26">
        <v>0</v>
      </c>
      <c r="H242" s="26">
        <v>0</v>
      </c>
      <c r="I242" s="26">
        <v>0</v>
      </c>
      <c r="J242" s="26">
        <v>0</v>
      </c>
      <c r="K242" s="172">
        <f t="shared" si="89"/>
        <v>0</v>
      </c>
      <c r="L242" s="172">
        <f t="shared" si="90"/>
        <v>0</v>
      </c>
      <c r="M242" s="26">
        <v>0</v>
      </c>
      <c r="N242" s="26">
        <v>0</v>
      </c>
      <c r="O242" s="172">
        <f t="shared" si="91"/>
        <v>0</v>
      </c>
      <c r="P242" s="172">
        <f t="shared" si="92"/>
        <v>0</v>
      </c>
      <c r="T242" s="172">
        <v>0</v>
      </c>
    </row>
    <row r="243" spans="2:20" ht="15">
      <c r="B243" s="16" t="s">
        <v>311</v>
      </c>
      <c r="C243" s="200" t="s">
        <v>165</v>
      </c>
      <c r="D243" s="26">
        <v>0</v>
      </c>
      <c r="E243" s="26">
        <v>0</v>
      </c>
      <c r="F243" s="26">
        <v>0</v>
      </c>
      <c r="G243" s="26">
        <v>0</v>
      </c>
      <c r="H243" s="26">
        <v>0</v>
      </c>
      <c r="I243" s="26">
        <v>0</v>
      </c>
      <c r="J243" s="26">
        <v>0</v>
      </c>
      <c r="K243" s="172">
        <f t="shared" si="89"/>
        <v>0</v>
      </c>
      <c r="L243" s="172">
        <f t="shared" si="90"/>
        <v>0</v>
      </c>
      <c r="M243" s="26">
        <v>0</v>
      </c>
      <c r="N243" s="26">
        <v>0</v>
      </c>
      <c r="O243" s="172">
        <f t="shared" si="91"/>
        <v>0</v>
      </c>
      <c r="P243" s="172">
        <f t="shared" si="92"/>
        <v>0</v>
      </c>
      <c r="T243" s="172">
        <v>0</v>
      </c>
    </row>
    <row r="244" spans="2:20" ht="15">
      <c r="B244" s="16" t="s">
        <v>312</v>
      </c>
      <c r="C244" s="200" t="s">
        <v>165</v>
      </c>
      <c r="D244" s="26">
        <f>95509-D232</f>
        <v>0</v>
      </c>
      <c r="E244" s="26">
        <v>0</v>
      </c>
      <c r="F244" s="26">
        <v>0</v>
      </c>
      <c r="G244" s="26">
        <v>0</v>
      </c>
      <c r="H244" s="26">
        <v>0</v>
      </c>
      <c r="I244" s="26">
        <v>0</v>
      </c>
      <c r="J244" s="26">
        <v>0</v>
      </c>
      <c r="K244" s="172">
        <f t="shared" si="89"/>
        <v>0</v>
      </c>
      <c r="L244" s="172">
        <f t="shared" si="90"/>
        <v>0</v>
      </c>
      <c r="M244" s="26">
        <v>0</v>
      </c>
      <c r="N244" s="26">
        <v>0</v>
      </c>
      <c r="O244" s="172">
        <f t="shared" si="91"/>
        <v>0</v>
      </c>
      <c r="P244" s="172">
        <f t="shared" si="92"/>
        <v>0</v>
      </c>
      <c r="T244" s="172">
        <v>0</v>
      </c>
    </row>
    <row r="245" spans="2:20" ht="15">
      <c r="B245" s="16" t="s">
        <v>313</v>
      </c>
      <c r="C245" s="200" t="s">
        <v>165</v>
      </c>
      <c r="D245" s="26">
        <f>137886+13292-D233</f>
        <v>55125</v>
      </c>
      <c r="E245" s="26">
        <v>0</v>
      </c>
      <c r="F245" s="26">
        <v>0</v>
      </c>
      <c r="G245" s="26">
        <v>0</v>
      </c>
      <c r="H245" s="26">
        <v>0</v>
      </c>
      <c r="I245" s="26">
        <v>0</v>
      </c>
      <c r="J245" s="26">
        <f>208519-1600-J233</f>
        <v>239</v>
      </c>
      <c r="K245" s="172">
        <f t="shared" si="89"/>
        <v>55364</v>
      </c>
      <c r="L245" s="172">
        <f t="shared" si="90"/>
        <v>55364</v>
      </c>
      <c r="M245" s="26">
        <v>0</v>
      </c>
      <c r="N245" s="26">
        <v>0</v>
      </c>
      <c r="O245" s="172">
        <f t="shared" si="91"/>
        <v>55364</v>
      </c>
      <c r="P245" s="172">
        <f t="shared" si="92"/>
        <v>55364</v>
      </c>
      <c r="T245" s="172">
        <v>0</v>
      </c>
    </row>
    <row r="246" spans="2:20" ht="15">
      <c r="B246" s="16" t="s">
        <v>314</v>
      </c>
      <c r="C246" s="200" t="s">
        <v>165</v>
      </c>
      <c r="D246" s="26">
        <v>0</v>
      </c>
      <c r="E246" s="26">
        <v>0</v>
      </c>
      <c r="F246" s="26">
        <v>0</v>
      </c>
      <c r="G246" s="26">
        <v>0</v>
      </c>
      <c r="H246" s="26">
        <v>0</v>
      </c>
      <c r="I246" s="26">
        <v>0</v>
      </c>
      <c r="J246" s="26">
        <v>0</v>
      </c>
      <c r="K246" s="172">
        <f t="shared" si="89"/>
        <v>0</v>
      </c>
      <c r="L246" s="172">
        <f t="shared" si="90"/>
        <v>0</v>
      </c>
      <c r="M246" s="26">
        <v>0</v>
      </c>
      <c r="N246" s="26">
        <v>0</v>
      </c>
      <c r="O246" s="172">
        <f t="shared" si="91"/>
        <v>0</v>
      </c>
      <c r="P246" s="172">
        <f t="shared" si="92"/>
        <v>0</v>
      </c>
      <c r="T246" s="172">
        <v>0</v>
      </c>
    </row>
    <row r="247" spans="2:20" ht="15">
      <c r="B247" s="16" t="s">
        <v>229</v>
      </c>
      <c r="C247" s="200" t="s">
        <v>165</v>
      </c>
      <c r="D247" s="26">
        <v>0</v>
      </c>
      <c r="E247" s="26">
        <v>0</v>
      </c>
      <c r="F247" s="26">
        <v>0</v>
      </c>
      <c r="G247" s="26">
        <v>0</v>
      </c>
      <c r="H247" s="26">
        <v>0</v>
      </c>
      <c r="I247" s="26">
        <v>0</v>
      </c>
      <c r="J247" s="26">
        <v>0</v>
      </c>
      <c r="K247" s="172">
        <f t="shared" si="89"/>
        <v>0</v>
      </c>
      <c r="L247" s="172">
        <f t="shared" si="90"/>
        <v>0</v>
      </c>
      <c r="M247" s="26">
        <v>0</v>
      </c>
      <c r="N247" s="26">
        <v>0</v>
      </c>
      <c r="O247" s="172">
        <f t="shared" si="91"/>
        <v>0</v>
      </c>
      <c r="P247" s="172">
        <f t="shared" si="92"/>
        <v>0</v>
      </c>
      <c r="T247" s="172">
        <v>0</v>
      </c>
    </row>
    <row r="248" spans="4:20" ht="15">
      <c r="D248" s="212">
        <f aca="true" t="shared" si="93" ref="D248:P248">SUM(D239:D247)</f>
        <v>55125</v>
      </c>
      <c r="E248" s="212">
        <f t="shared" si="93"/>
        <v>0</v>
      </c>
      <c r="F248" s="212">
        <f t="shared" si="93"/>
        <v>0</v>
      </c>
      <c r="G248" s="212">
        <f t="shared" si="93"/>
        <v>0</v>
      </c>
      <c r="H248" s="212">
        <f t="shared" si="93"/>
        <v>0</v>
      </c>
      <c r="I248" s="212">
        <f t="shared" si="93"/>
        <v>0</v>
      </c>
      <c r="J248" s="212">
        <f>SUM(J239:J247)</f>
        <v>239</v>
      </c>
      <c r="K248" s="189">
        <f t="shared" si="93"/>
        <v>55364</v>
      </c>
      <c r="L248" s="189">
        <f t="shared" si="93"/>
        <v>55364</v>
      </c>
      <c r="M248" s="212">
        <f t="shared" si="93"/>
        <v>0</v>
      </c>
      <c r="N248" s="212">
        <f t="shared" si="93"/>
        <v>0</v>
      </c>
      <c r="O248" s="189">
        <f t="shared" si="93"/>
        <v>55364</v>
      </c>
      <c r="P248" s="189">
        <f t="shared" si="93"/>
        <v>55364</v>
      </c>
      <c r="S248" s="189"/>
      <c r="T248" s="189">
        <v>0</v>
      </c>
    </row>
    <row r="249" ht="15"/>
    <row r="250" ht="15">
      <c r="B250" s="202" t="s">
        <v>316</v>
      </c>
    </row>
    <row r="251" spans="2:20" ht="15">
      <c r="B251" s="16" t="s">
        <v>308</v>
      </c>
      <c r="C251" s="200" t="s">
        <v>165</v>
      </c>
      <c r="D251" s="26">
        <v>0</v>
      </c>
      <c r="E251" s="26">
        <v>0</v>
      </c>
      <c r="F251" s="26">
        <v>0</v>
      </c>
      <c r="G251" s="26">
        <v>0</v>
      </c>
      <c r="H251" s="26">
        <v>0</v>
      </c>
      <c r="I251" s="26">
        <v>0</v>
      </c>
      <c r="J251" s="26">
        <v>0</v>
      </c>
      <c r="K251" s="172">
        <f aca="true" t="shared" si="94" ref="K251:K258">SUM(D251:J251)</f>
        <v>0</v>
      </c>
      <c r="L251" s="172">
        <f>K251</f>
        <v>0</v>
      </c>
      <c r="M251" s="26">
        <v>0</v>
      </c>
      <c r="N251" s="26">
        <v>0</v>
      </c>
      <c r="O251" s="172">
        <f aca="true" t="shared" si="95" ref="O251:O258">SUM(L251:N251)</f>
        <v>0</v>
      </c>
      <c r="P251" s="172">
        <f aca="true" t="shared" si="96" ref="P251:P258">O251</f>
        <v>0</v>
      </c>
      <c r="T251" s="172">
        <v>0</v>
      </c>
    </row>
    <row r="252" spans="2:20" ht="15">
      <c r="B252" s="16" t="s">
        <v>309</v>
      </c>
      <c r="C252" s="200" t="s">
        <v>165</v>
      </c>
      <c r="D252" s="26">
        <v>0</v>
      </c>
      <c r="E252" s="26">
        <v>0</v>
      </c>
      <c r="F252" s="26">
        <v>0</v>
      </c>
      <c r="G252" s="26">
        <v>0</v>
      </c>
      <c r="H252" s="26">
        <v>0</v>
      </c>
      <c r="I252" s="26">
        <v>0</v>
      </c>
      <c r="J252" s="26">
        <v>0</v>
      </c>
      <c r="K252" s="172">
        <f t="shared" si="94"/>
        <v>0</v>
      </c>
      <c r="L252" s="172">
        <f aca="true" t="shared" si="97" ref="L252:L258">K252</f>
        <v>0</v>
      </c>
      <c r="M252" s="26">
        <v>0</v>
      </c>
      <c r="N252" s="26">
        <v>0</v>
      </c>
      <c r="O252" s="172">
        <f t="shared" si="95"/>
        <v>0</v>
      </c>
      <c r="P252" s="172">
        <f t="shared" si="96"/>
        <v>0</v>
      </c>
      <c r="T252" s="172">
        <v>0</v>
      </c>
    </row>
    <row r="253" spans="2:20" ht="15">
      <c r="B253" s="16" t="s">
        <v>310</v>
      </c>
      <c r="C253" s="200" t="s">
        <v>165</v>
      </c>
      <c r="D253" s="26">
        <v>0</v>
      </c>
      <c r="E253" s="26">
        <v>0</v>
      </c>
      <c r="F253" s="26">
        <v>0</v>
      </c>
      <c r="G253" s="26">
        <v>0</v>
      </c>
      <c r="H253" s="26">
        <v>0</v>
      </c>
      <c r="I253" s="26">
        <v>0</v>
      </c>
      <c r="J253" s="26">
        <v>0</v>
      </c>
      <c r="K253" s="172">
        <f t="shared" si="94"/>
        <v>0</v>
      </c>
      <c r="L253" s="172">
        <f t="shared" si="97"/>
        <v>0</v>
      </c>
      <c r="M253" s="26">
        <v>0</v>
      </c>
      <c r="N253" s="26">
        <v>0</v>
      </c>
      <c r="O253" s="172">
        <f t="shared" si="95"/>
        <v>0</v>
      </c>
      <c r="P253" s="172">
        <f t="shared" si="96"/>
        <v>0</v>
      </c>
      <c r="T253" s="172">
        <v>0</v>
      </c>
    </row>
    <row r="254" spans="2:20" ht="15">
      <c r="B254" s="16" t="s">
        <v>311</v>
      </c>
      <c r="C254" s="200" t="s">
        <v>165</v>
      </c>
      <c r="D254" s="26">
        <v>0</v>
      </c>
      <c r="E254" s="26">
        <v>0</v>
      </c>
      <c r="F254" s="26">
        <v>0</v>
      </c>
      <c r="G254" s="26">
        <v>0</v>
      </c>
      <c r="H254" s="26">
        <v>0</v>
      </c>
      <c r="I254" s="26">
        <v>0</v>
      </c>
      <c r="J254" s="26">
        <v>0</v>
      </c>
      <c r="K254" s="172">
        <f t="shared" si="94"/>
        <v>0</v>
      </c>
      <c r="L254" s="172">
        <f t="shared" si="97"/>
        <v>0</v>
      </c>
      <c r="M254" s="26">
        <v>0</v>
      </c>
      <c r="N254" s="26">
        <v>0</v>
      </c>
      <c r="O254" s="172">
        <f t="shared" si="95"/>
        <v>0</v>
      </c>
      <c r="P254" s="172">
        <f t="shared" si="96"/>
        <v>0</v>
      </c>
      <c r="T254" s="172">
        <v>0</v>
      </c>
    </row>
    <row r="255" spans="2:20" ht="15">
      <c r="B255" s="16" t="s">
        <v>312</v>
      </c>
      <c r="C255" s="200" t="s">
        <v>165</v>
      </c>
      <c r="D255" s="26">
        <v>0</v>
      </c>
      <c r="E255" s="26">
        <v>0</v>
      </c>
      <c r="F255" s="26">
        <v>0</v>
      </c>
      <c r="G255" s="26">
        <v>0</v>
      </c>
      <c r="H255" s="26">
        <v>0</v>
      </c>
      <c r="I255" s="26">
        <v>0</v>
      </c>
      <c r="J255" s="26">
        <v>0</v>
      </c>
      <c r="K255" s="172">
        <f t="shared" si="94"/>
        <v>0</v>
      </c>
      <c r="L255" s="172">
        <f t="shared" si="97"/>
        <v>0</v>
      </c>
      <c r="M255" s="26">
        <v>0</v>
      </c>
      <c r="N255" s="26">
        <v>0</v>
      </c>
      <c r="O255" s="172">
        <f t="shared" si="95"/>
        <v>0</v>
      </c>
      <c r="P255" s="172">
        <f t="shared" si="96"/>
        <v>0</v>
      </c>
      <c r="T255" s="172">
        <v>0</v>
      </c>
    </row>
    <row r="256" spans="2:20" ht="15">
      <c r="B256" s="16" t="s">
        <v>313</v>
      </c>
      <c r="C256" s="200" t="s">
        <v>165</v>
      </c>
      <c r="D256" s="26">
        <v>0</v>
      </c>
      <c r="E256" s="26">
        <v>0</v>
      </c>
      <c r="F256" s="26">
        <v>0</v>
      </c>
      <c r="G256" s="26">
        <v>0</v>
      </c>
      <c r="H256" s="26">
        <v>0</v>
      </c>
      <c r="I256" s="26">
        <v>0</v>
      </c>
      <c r="J256" s="26">
        <v>0</v>
      </c>
      <c r="K256" s="172">
        <f t="shared" si="94"/>
        <v>0</v>
      </c>
      <c r="L256" s="172">
        <f t="shared" si="97"/>
        <v>0</v>
      </c>
      <c r="M256" s="26">
        <v>0</v>
      </c>
      <c r="N256" s="26">
        <v>0</v>
      </c>
      <c r="O256" s="172">
        <f t="shared" si="95"/>
        <v>0</v>
      </c>
      <c r="P256" s="172">
        <f t="shared" si="96"/>
        <v>0</v>
      </c>
      <c r="T256" s="172">
        <v>0</v>
      </c>
    </row>
    <row r="257" spans="2:20" ht="15">
      <c r="B257" s="16" t="s">
        <v>314</v>
      </c>
      <c r="C257" s="200" t="s">
        <v>165</v>
      </c>
      <c r="D257" s="26">
        <v>0</v>
      </c>
      <c r="E257" s="26">
        <v>0</v>
      </c>
      <c r="F257" s="26">
        <v>0</v>
      </c>
      <c r="G257" s="26">
        <v>0</v>
      </c>
      <c r="H257" s="26">
        <v>0</v>
      </c>
      <c r="I257" s="26">
        <v>0</v>
      </c>
      <c r="J257" s="26">
        <v>0</v>
      </c>
      <c r="K257" s="172">
        <f t="shared" si="94"/>
        <v>0</v>
      </c>
      <c r="L257" s="172">
        <f t="shared" si="97"/>
        <v>0</v>
      </c>
      <c r="M257" s="26">
        <v>0</v>
      </c>
      <c r="N257" s="26">
        <v>0</v>
      </c>
      <c r="O257" s="172">
        <f t="shared" si="95"/>
        <v>0</v>
      </c>
      <c r="P257" s="172">
        <f t="shared" si="96"/>
        <v>0</v>
      </c>
      <c r="T257" s="172">
        <v>0</v>
      </c>
    </row>
    <row r="258" spans="2:20" ht="15">
      <c r="B258" s="16" t="s">
        <v>229</v>
      </c>
      <c r="C258" s="200" t="s">
        <v>165</v>
      </c>
      <c r="D258" s="26">
        <v>0</v>
      </c>
      <c r="E258" s="26">
        <v>0</v>
      </c>
      <c r="F258" s="26">
        <v>0</v>
      </c>
      <c r="G258" s="26">
        <v>0</v>
      </c>
      <c r="H258" s="26">
        <v>0</v>
      </c>
      <c r="I258" s="26">
        <v>0</v>
      </c>
      <c r="J258" s="26">
        <v>0</v>
      </c>
      <c r="K258" s="172">
        <f t="shared" si="94"/>
        <v>0</v>
      </c>
      <c r="L258" s="172">
        <f t="shared" si="97"/>
        <v>0</v>
      </c>
      <c r="M258" s="26">
        <v>0</v>
      </c>
      <c r="N258" s="26">
        <v>0</v>
      </c>
      <c r="O258" s="172">
        <f t="shared" si="95"/>
        <v>0</v>
      </c>
      <c r="P258" s="172">
        <f t="shared" si="96"/>
        <v>0</v>
      </c>
      <c r="T258" s="172">
        <v>0</v>
      </c>
    </row>
    <row r="259" spans="4:20" ht="15">
      <c r="D259" s="212">
        <f aca="true" t="shared" si="98" ref="D259:P259">SUM(D250:D258)</f>
        <v>0</v>
      </c>
      <c r="E259" s="212">
        <f t="shared" si="98"/>
        <v>0</v>
      </c>
      <c r="F259" s="212">
        <f t="shared" si="98"/>
        <v>0</v>
      </c>
      <c r="G259" s="212">
        <f t="shared" si="98"/>
        <v>0</v>
      </c>
      <c r="H259" s="212">
        <f t="shared" si="98"/>
        <v>0</v>
      </c>
      <c r="I259" s="212">
        <f t="shared" si="98"/>
        <v>0</v>
      </c>
      <c r="J259" s="212">
        <f>SUM(J250:J258)</f>
        <v>0</v>
      </c>
      <c r="K259" s="189">
        <f t="shared" si="98"/>
        <v>0</v>
      </c>
      <c r="L259" s="189">
        <f t="shared" si="98"/>
        <v>0</v>
      </c>
      <c r="M259" s="212">
        <f t="shared" si="98"/>
        <v>0</v>
      </c>
      <c r="N259" s="212">
        <f t="shared" si="98"/>
        <v>0</v>
      </c>
      <c r="O259" s="189">
        <f t="shared" si="98"/>
        <v>0</v>
      </c>
      <c r="P259" s="189">
        <f t="shared" si="98"/>
        <v>0</v>
      </c>
      <c r="S259" s="189"/>
      <c r="T259" s="189">
        <v>0</v>
      </c>
    </row>
    <row r="260" ht="15"/>
    <row r="261" ht="15">
      <c r="B261" s="202" t="s">
        <v>317</v>
      </c>
    </row>
    <row r="262" spans="2:20" ht="15">
      <c r="B262" s="16" t="s">
        <v>308</v>
      </c>
      <c r="C262" s="200" t="s">
        <v>165</v>
      </c>
      <c r="D262" s="26">
        <v>0</v>
      </c>
      <c r="E262" s="26">
        <v>0</v>
      </c>
      <c r="F262" s="26">
        <v>0</v>
      </c>
      <c r="G262" s="26">
        <v>0</v>
      </c>
      <c r="H262" s="26">
        <v>0</v>
      </c>
      <c r="I262" s="26">
        <v>0</v>
      </c>
      <c r="J262" s="26">
        <v>0</v>
      </c>
      <c r="K262" s="172">
        <f aca="true" t="shared" si="99" ref="K262:K269">SUM(D262:J262)</f>
        <v>0</v>
      </c>
      <c r="L262" s="172">
        <f aca="true" t="shared" si="100" ref="L262:L269">K262</f>
        <v>0</v>
      </c>
      <c r="M262" s="26">
        <v>0</v>
      </c>
      <c r="N262" s="26">
        <v>0</v>
      </c>
      <c r="O262" s="172">
        <f aca="true" t="shared" si="101" ref="O262:O269">SUM(L262:N262)</f>
        <v>0</v>
      </c>
      <c r="P262" s="172">
        <f aca="true" t="shared" si="102" ref="P262:P269">O262</f>
        <v>0</v>
      </c>
      <c r="T262" s="172">
        <v>0</v>
      </c>
    </row>
    <row r="263" spans="2:20" ht="15">
      <c r="B263" s="16" t="s">
        <v>309</v>
      </c>
      <c r="C263" s="200" t="s">
        <v>165</v>
      </c>
      <c r="D263" s="26">
        <v>0</v>
      </c>
      <c r="E263" s="26">
        <v>0</v>
      </c>
      <c r="F263" s="26">
        <v>0</v>
      </c>
      <c r="G263" s="26">
        <v>0</v>
      </c>
      <c r="H263" s="26">
        <v>0</v>
      </c>
      <c r="I263" s="26">
        <v>0</v>
      </c>
      <c r="J263" s="26">
        <v>0</v>
      </c>
      <c r="K263" s="172">
        <f t="shared" si="99"/>
        <v>0</v>
      </c>
      <c r="L263" s="172">
        <f t="shared" si="100"/>
        <v>0</v>
      </c>
      <c r="M263" s="26">
        <v>0</v>
      </c>
      <c r="N263" s="26">
        <v>0</v>
      </c>
      <c r="O263" s="172">
        <f t="shared" si="101"/>
        <v>0</v>
      </c>
      <c r="P263" s="172">
        <f t="shared" si="102"/>
        <v>0</v>
      </c>
      <c r="T263" s="172">
        <v>0</v>
      </c>
    </row>
    <row r="264" spans="2:20" ht="15">
      <c r="B264" s="16" t="s">
        <v>310</v>
      </c>
      <c r="C264" s="200" t="s">
        <v>165</v>
      </c>
      <c r="D264" s="26">
        <v>0</v>
      </c>
      <c r="E264" s="26">
        <v>0</v>
      </c>
      <c r="F264" s="26">
        <v>0</v>
      </c>
      <c r="G264" s="26">
        <v>0</v>
      </c>
      <c r="H264" s="26">
        <v>0</v>
      </c>
      <c r="I264" s="26">
        <v>0</v>
      </c>
      <c r="J264" s="26">
        <v>0</v>
      </c>
      <c r="K264" s="172">
        <f t="shared" si="99"/>
        <v>0</v>
      </c>
      <c r="L264" s="172">
        <f t="shared" si="100"/>
        <v>0</v>
      </c>
      <c r="M264" s="26">
        <v>0</v>
      </c>
      <c r="N264" s="26">
        <v>0</v>
      </c>
      <c r="O264" s="172">
        <f t="shared" si="101"/>
        <v>0</v>
      </c>
      <c r="P264" s="172">
        <f t="shared" si="102"/>
        <v>0</v>
      </c>
      <c r="T264" s="172">
        <v>0</v>
      </c>
    </row>
    <row r="265" spans="2:20" ht="15">
      <c r="B265" s="16" t="s">
        <v>311</v>
      </c>
      <c r="C265" s="200" t="s">
        <v>165</v>
      </c>
      <c r="D265" s="26">
        <v>0</v>
      </c>
      <c r="E265" s="26">
        <v>0</v>
      </c>
      <c r="F265" s="26">
        <v>0</v>
      </c>
      <c r="G265" s="26">
        <v>0</v>
      </c>
      <c r="H265" s="26">
        <v>0</v>
      </c>
      <c r="I265" s="26">
        <v>0</v>
      </c>
      <c r="J265" s="26">
        <v>0</v>
      </c>
      <c r="K265" s="172">
        <f t="shared" si="99"/>
        <v>0</v>
      </c>
      <c r="L265" s="172">
        <f t="shared" si="100"/>
        <v>0</v>
      </c>
      <c r="M265" s="26">
        <v>0</v>
      </c>
      <c r="N265" s="26">
        <v>0</v>
      </c>
      <c r="O265" s="172">
        <f t="shared" si="101"/>
        <v>0</v>
      </c>
      <c r="P265" s="172">
        <f t="shared" si="102"/>
        <v>0</v>
      </c>
      <c r="T265" s="172">
        <v>0</v>
      </c>
    </row>
    <row r="266" spans="2:20" ht="15">
      <c r="B266" s="16" t="s">
        <v>312</v>
      </c>
      <c r="C266" s="200" t="s">
        <v>165</v>
      </c>
      <c r="D266" s="26">
        <v>0</v>
      </c>
      <c r="E266" s="26">
        <v>0</v>
      </c>
      <c r="F266" s="26">
        <v>0</v>
      </c>
      <c r="G266" s="26">
        <v>0</v>
      </c>
      <c r="H266" s="26">
        <v>0</v>
      </c>
      <c r="I266" s="26">
        <v>0</v>
      </c>
      <c r="J266" s="26">
        <v>0</v>
      </c>
      <c r="K266" s="172">
        <f t="shared" si="99"/>
        <v>0</v>
      </c>
      <c r="L266" s="172">
        <f t="shared" si="100"/>
        <v>0</v>
      </c>
      <c r="M266" s="26">
        <v>0</v>
      </c>
      <c r="N266" s="26">
        <v>0</v>
      </c>
      <c r="O266" s="172">
        <f t="shared" si="101"/>
        <v>0</v>
      </c>
      <c r="P266" s="172">
        <f t="shared" si="102"/>
        <v>0</v>
      </c>
      <c r="T266" s="172">
        <v>0</v>
      </c>
    </row>
    <row r="267" spans="2:20" ht="15">
      <c r="B267" s="16" t="s">
        <v>313</v>
      </c>
      <c r="C267" s="200" t="s">
        <v>165</v>
      </c>
      <c r="D267" s="26">
        <v>0</v>
      </c>
      <c r="E267" s="26">
        <v>0</v>
      </c>
      <c r="F267" s="26">
        <v>0</v>
      </c>
      <c r="G267" s="26">
        <v>0</v>
      </c>
      <c r="H267" s="26">
        <v>0</v>
      </c>
      <c r="I267" s="26">
        <v>0</v>
      </c>
      <c r="J267" s="26">
        <v>0</v>
      </c>
      <c r="K267" s="172">
        <f t="shared" si="99"/>
        <v>0</v>
      </c>
      <c r="L267" s="172">
        <f t="shared" si="100"/>
        <v>0</v>
      </c>
      <c r="M267" s="26">
        <v>0</v>
      </c>
      <c r="N267" s="26">
        <v>0</v>
      </c>
      <c r="O267" s="172">
        <f t="shared" si="101"/>
        <v>0</v>
      </c>
      <c r="P267" s="172">
        <f t="shared" si="102"/>
        <v>0</v>
      </c>
      <c r="T267" s="172">
        <v>0</v>
      </c>
    </row>
    <row r="268" spans="2:20" ht="15">
      <c r="B268" s="16" t="s">
        <v>314</v>
      </c>
      <c r="C268" s="200" t="s">
        <v>165</v>
      </c>
      <c r="D268" s="26">
        <v>0</v>
      </c>
      <c r="E268" s="26">
        <v>0</v>
      </c>
      <c r="F268" s="26">
        <v>0</v>
      </c>
      <c r="G268" s="26">
        <v>0</v>
      </c>
      <c r="H268" s="26">
        <v>0</v>
      </c>
      <c r="I268" s="26">
        <v>0</v>
      </c>
      <c r="J268" s="26">
        <v>0</v>
      </c>
      <c r="K268" s="172">
        <f t="shared" si="99"/>
        <v>0</v>
      </c>
      <c r="L268" s="172">
        <f t="shared" si="100"/>
        <v>0</v>
      </c>
      <c r="M268" s="26">
        <v>0</v>
      </c>
      <c r="N268" s="26">
        <v>0</v>
      </c>
      <c r="O268" s="172">
        <f t="shared" si="101"/>
        <v>0</v>
      </c>
      <c r="P268" s="172">
        <f t="shared" si="102"/>
        <v>0</v>
      </c>
      <c r="T268" s="172">
        <v>0</v>
      </c>
    </row>
    <row r="269" spans="2:20" ht="15">
      <c r="B269" s="16" t="s">
        <v>229</v>
      </c>
      <c r="C269" s="200" t="s">
        <v>165</v>
      </c>
      <c r="E269" s="26">
        <v>0</v>
      </c>
      <c r="F269" s="26">
        <v>0</v>
      </c>
      <c r="G269" s="26">
        <v>0</v>
      </c>
      <c r="H269" s="26">
        <v>0</v>
      </c>
      <c r="I269" s="26">
        <v>0</v>
      </c>
      <c r="J269" s="26">
        <v>0</v>
      </c>
      <c r="K269" s="172">
        <f t="shared" si="99"/>
        <v>0</v>
      </c>
      <c r="L269" s="172">
        <f t="shared" si="100"/>
        <v>0</v>
      </c>
      <c r="M269" s="26">
        <v>0</v>
      </c>
      <c r="N269" s="26">
        <v>0</v>
      </c>
      <c r="O269" s="172">
        <f t="shared" si="101"/>
        <v>0</v>
      </c>
      <c r="P269" s="172">
        <f t="shared" si="102"/>
        <v>0</v>
      </c>
      <c r="T269" s="172">
        <v>0</v>
      </c>
    </row>
    <row r="270" spans="4:20" ht="15">
      <c r="D270" s="212">
        <f aca="true" t="shared" si="103" ref="D270:P270">SUM(D261:D269)</f>
        <v>0</v>
      </c>
      <c r="E270" s="212">
        <f t="shared" si="103"/>
        <v>0</v>
      </c>
      <c r="F270" s="212">
        <f t="shared" si="103"/>
        <v>0</v>
      </c>
      <c r="G270" s="212">
        <f t="shared" si="103"/>
        <v>0</v>
      </c>
      <c r="H270" s="212">
        <f t="shared" si="103"/>
        <v>0</v>
      </c>
      <c r="I270" s="212">
        <f t="shared" si="103"/>
        <v>0</v>
      </c>
      <c r="J270" s="212">
        <f>SUM(J261:J269)</f>
        <v>0</v>
      </c>
      <c r="K270" s="189">
        <f t="shared" si="103"/>
        <v>0</v>
      </c>
      <c r="L270" s="189">
        <f t="shared" si="103"/>
        <v>0</v>
      </c>
      <c r="M270" s="212">
        <f t="shared" si="103"/>
        <v>0</v>
      </c>
      <c r="N270" s="212">
        <f t="shared" si="103"/>
        <v>0</v>
      </c>
      <c r="O270" s="189">
        <f t="shared" si="103"/>
        <v>0</v>
      </c>
      <c r="P270" s="189">
        <f t="shared" si="103"/>
        <v>0</v>
      </c>
      <c r="S270" s="189"/>
      <c r="T270" s="189">
        <v>0</v>
      </c>
    </row>
    <row r="271" ht="15"/>
    <row r="272" ht="15">
      <c r="B272" s="202" t="s">
        <v>318</v>
      </c>
    </row>
    <row r="273" spans="2:20" ht="15">
      <c r="B273" s="16" t="s">
        <v>308</v>
      </c>
      <c r="C273" s="200"/>
      <c r="D273" s="26">
        <f aca="true" t="shared" si="104" ref="D273:J280">D228+D240+D251+D262</f>
        <v>0</v>
      </c>
      <c r="E273" s="26">
        <f t="shared" si="104"/>
        <v>0</v>
      </c>
      <c r="F273" s="26">
        <f t="shared" si="104"/>
        <v>0</v>
      </c>
      <c r="G273" s="26">
        <f t="shared" si="104"/>
        <v>0</v>
      </c>
      <c r="H273" s="26">
        <f t="shared" si="104"/>
        <v>0</v>
      </c>
      <c r="I273" s="26">
        <f t="shared" si="104"/>
        <v>0</v>
      </c>
      <c r="J273" s="26">
        <f t="shared" si="104"/>
        <v>0</v>
      </c>
      <c r="K273" s="172">
        <f aca="true" t="shared" si="105" ref="K273:K280">SUM(D273:J273)</f>
        <v>0</v>
      </c>
      <c r="L273" s="172">
        <f aca="true" t="shared" si="106" ref="L273:L280">K273</f>
        <v>0</v>
      </c>
      <c r="M273" s="26">
        <v>0</v>
      </c>
      <c r="N273" s="26">
        <v>0</v>
      </c>
      <c r="O273" s="172">
        <f aca="true" t="shared" si="107" ref="O273:O280">SUM(L273:N273)</f>
        <v>0</v>
      </c>
      <c r="P273" s="172">
        <f aca="true" t="shared" si="108" ref="P273:P280">O273</f>
        <v>0</v>
      </c>
      <c r="T273" s="172">
        <v>0</v>
      </c>
    </row>
    <row r="274" spans="2:20" ht="15">
      <c r="B274" s="16" t="s">
        <v>309</v>
      </c>
      <c r="C274" s="200"/>
      <c r="D274" s="26">
        <f t="shared" si="104"/>
        <v>0</v>
      </c>
      <c r="E274" s="26">
        <f t="shared" si="104"/>
        <v>0</v>
      </c>
      <c r="F274" s="26">
        <f t="shared" si="104"/>
        <v>0</v>
      </c>
      <c r="G274" s="26">
        <f t="shared" si="104"/>
        <v>0</v>
      </c>
      <c r="H274" s="26">
        <f t="shared" si="104"/>
        <v>0</v>
      </c>
      <c r="I274" s="26">
        <f t="shared" si="104"/>
        <v>0</v>
      </c>
      <c r="J274" s="26">
        <f t="shared" si="104"/>
        <v>0</v>
      </c>
      <c r="K274" s="172">
        <f t="shared" si="105"/>
        <v>0</v>
      </c>
      <c r="L274" s="172">
        <f t="shared" si="106"/>
        <v>0</v>
      </c>
      <c r="M274" s="26">
        <v>0</v>
      </c>
      <c r="N274" s="26">
        <v>0</v>
      </c>
      <c r="O274" s="172">
        <f t="shared" si="107"/>
        <v>0</v>
      </c>
      <c r="P274" s="172">
        <f t="shared" si="108"/>
        <v>0</v>
      </c>
      <c r="T274" s="172">
        <v>0</v>
      </c>
    </row>
    <row r="275" spans="2:20" ht="15">
      <c r="B275" s="16" t="s">
        <v>310</v>
      </c>
      <c r="C275" s="200"/>
      <c r="D275" s="26">
        <f t="shared" si="104"/>
        <v>0</v>
      </c>
      <c r="E275" s="26">
        <f t="shared" si="104"/>
        <v>0</v>
      </c>
      <c r="F275" s="26">
        <f t="shared" si="104"/>
        <v>0</v>
      </c>
      <c r="G275" s="26">
        <f t="shared" si="104"/>
        <v>3756750</v>
      </c>
      <c r="H275" s="26">
        <f t="shared" si="104"/>
        <v>0</v>
      </c>
      <c r="I275" s="26">
        <f t="shared" si="104"/>
        <v>0</v>
      </c>
      <c r="J275" s="26">
        <f t="shared" si="104"/>
        <v>0</v>
      </c>
      <c r="K275" s="172">
        <f t="shared" si="105"/>
        <v>3756750</v>
      </c>
      <c r="L275" s="172">
        <f t="shared" si="106"/>
        <v>3756750</v>
      </c>
      <c r="M275" s="26">
        <v>0</v>
      </c>
      <c r="N275" s="26">
        <v>0</v>
      </c>
      <c r="O275" s="172">
        <f t="shared" si="107"/>
        <v>3756750</v>
      </c>
      <c r="P275" s="172">
        <f t="shared" si="108"/>
        <v>3756750</v>
      </c>
      <c r="T275" s="172">
        <v>3756750</v>
      </c>
    </row>
    <row r="276" spans="2:20" ht="15">
      <c r="B276" s="16" t="s">
        <v>311</v>
      </c>
      <c r="C276" s="200"/>
      <c r="D276" s="26">
        <f t="shared" si="104"/>
        <v>0</v>
      </c>
      <c r="E276" s="26">
        <f t="shared" si="104"/>
        <v>0</v>
      </c>
      <c r="F276" s="26">
        <f t="shared" si="104"/>
        <v>0</v>
      </c>
      <c r="G276" s="26">
        <f t="shared" si="104"/>
        <v>0</v>
      </c>
      <c r="H276" s="26">
        <f t="shared" si="104"/>
        <v>0</v>
      </c>
      <c r="I276" s="26">
        <f t="shared" si="104"/>
        <v>0</v>
      </c>
      <c r="J276" s="26">
        <f t="shared" si="104"/>
        <v>0</v>
      </c>
      <c r="K276" s="172">
        <f t="shared" si="105"/>
        <v>0</v>
      </c>
      <c r="L276" s="172">
        <f t="shared" si="106"/>
        <v>0</v>
      </c>
      <c r="M276" s="26">
        <v>0</v>
      </c>
      <c r="N276" s="26">
        <v>0</v>
      </c>
      <c r="O276" s="172">
        <f t="shared" si="107"/>
        <v>0</v>
      </c>
      <c r="P276" s="172">
        <f t="shared" si="108"/>
        <v>0</v>
      </c>
      <c r="T276" s="172">
        <v>0</v>
      </c>
    </row>
    <row r="277" spans="2:20" ht="15">
      <c r="B277" s="16" t="s">
        <v>312</v>
      </c>
      <c r="C277" s="200"/>
      <c r="D277" s="26">
        <f t="shared" si="104"/>
        <v>95509</v>
      </c>
      <c r="E277" s="26">
        <f t="shared" si="104"/>
        <v>0</v>
      </c>
      <c r="F277" s="26">
        <f t="shared" si="104"/>
        <v>106816</v>
      </c>
      <c r="G277" s="26">
        <f t="shared" si="104"/>
        <v>1602059</v>
      </c>
      <c r="H277" s="26">
        <f t="shared" si="104"/>
        <v>0</v>
      </c>
      <c r="I277" s="26">
        <f t="shared" si="104"/>
        <v>0</v>
      </c>
      <c r="J277" s="26">
        <f t="shared" si="104"/>
        <v>0</v>
      </c>
      <c r="K277" s="172">
        <f t="shared" si="105"/>
        <v>1804384</v>
      </c>
      <c r="L277" s="172">
        <f t="shared" si="106"/>
        <v>1804384</v>
      </c>
      <c r="M277" s="26">
        <v>0</v>
      </c>
      <c r="N277" s="26">
        <v>0</v>
      </c>
      <c r="O277" s="172">
        <f t="shared" si="107"/>
        <v>1804384</v>
      </c>
      <c r="P277" s="172">
        <f t="shared" si="108"/>
        <v>1804384</v>
      </c>
      <c r="T277" s="172">
        <v>1804384</v>
      </c>
    </row>
    <row r="278" spans="2:20" ht="15">
      <c r="B278" s="16" t="s">
        <v>313</v>
      </c>
      <c r="C278" s="200"/>
      <c r="D278" s="26">
        <f t="shared" si="104"/>
        <v>151178</v>
      </c>
      <c r="E278" s="26">
        <f t="shared" si="104"/>
        <v>0</v>
      </c>
      <c r="F278" s="26">
        <f t="shared" si="104"/>
        <v>144904</v>
      </c>
      <c r="G278" s="26">
        <f t="shared" si="104"/>
        <v>1071030</v>
      </c>
      <c r="H278" s="26">
        <f t="shared" si="104"/>
        <v>0</v>
      </c>
      <c r="I278" s="26">
        <f t="shared" si="104"/>
        <v>0</v>
      </c>
      <c r="J278" s="26">
        <f t="shared" si="104"/>
        <v>206919</v>
      </c>
      <c r="K278" s="172">
        <f t="shared" si="105"/>
        <v>1574031</v>
      </c>
      <c r="L278" s="172">
        <f t="shared" si="106"/>
        <v>1574031</v>
      </c>
      <c r="M278" s="26">
        <v>0</v>
      </c>
      <c r="N278" s="26">
        <v>0</v>
      </c>
      <c r="O278" s="172">
        <f t="shared" si="107"/>
        <v>1574031</v>
      </c>
      <c r="P278" s="172">
        <f t="shared" si="108"/>
        <v>1574031</v>
      </c>
      <c r="T278" s="172">
        <v>1518667</v>
      </c>
    </row>
    <row r="279" spans="2:20" ht="15">
      <c r="B279" s="16" t="s">
        <v>314</v>
      </c>
      <c r="C279" s="200"/>
      <c r="D279" s="26">
        <f t="shared" si="104"/>
        <v>0</v>
      </c>
      <c r="E279" s="26">
        <f t="shared" si="104"/>
        <v>0</v>
      </c>
      <c r="F279" s="26">
        <f t="shared" si="104"/>
        <v>0</v>
      </c>
      <c r="G279" s="26">
        <f t="shared" si="104"/>
        <v>2424249</v>
      </c>
      <c r="H279" s="26">
        <f t="shared" si="104"/>
        <v>0</v>
      </c>
      <c r="I279" s="26">
        <f t="shared" si="104"/>
        <v>0</v>
      </c>
      <c r="J279" s="26">
        <f t="shared" si="104"/>
        <v>1600</v>
      </c>
      <c r="K279" s="172">
        <f t="shared" si="105"/>
        <v>2425849</v>
      </c>
      <c r="L279" s="172">
        <f t="shared" si="106"/>
        <v>2425849</v>
      </c>
      <c r="M279" s="26">
        <v>0</v>
      </c>
      <c r="N279" s="26">
        <v>0</v>
      </c>
      <c r="O279" s="172">
        <f t="shared" si="107"/>
        <v>2425849</v>
      </c>
      <c r="P279" s="172">
        <f t="shared" si="108"/>
        <v>2425849</v>
      </c>
      <c r="T279" s="172">
        <v>2425849</v>
      </c>
    </row>
    <row r="280" spans="2:20" ht="15">
      <c r="B280" s="16" t="s">
        <v>229</v>
      </c>
      <c r="C280" s="200"/>
      <c r="D280" s="26">
        <f t="shared" si="104"/>
        <v>0</v>
      </c>
      <c r="E280" s="26">
        <f t="shared" si="104"/>
        <v>0</v>
      </c>
      <c r="F280" s="26">
        <f t="shared" si="104"/>
        <v>0</v>
      </c>
      <c r="G280" s="26">
        <f t="shared" si="104"/>
        <v>0</v>
      </c>
      <c r="H280" s="26">
        <f t="shared" si="104"/>
        <v>0</v>
      </c>
      <c r="I280" s="26">
        <f t="shared" si="104"/>
        <v>0</v>
      </c>
      <c r="J280" s="26">
        <f t="shared" si="104"/>
        <v>0</v>
      </c>
      <c r="K280" s="172">
        <f t="shared" si="105"/>
        <v>0</v>
      </c>
      <c r="L280" s="172">
        <f t="shared" si="106"/>
        <v>0</v>
      </c>
      <c r="M280" s="26">
        <v>0</v>
      </c>
      <c r="N280" s="26">
        <v>0</v>
      </c>
      <c r="O280" s="172">
        <f t="shared" si="107"/>
        <v>0</v>
      </c>
      <c r="P280" s="172">
        <f t="shared" si="108"/>
        <v>0</v>
      </c>
      <c r="T280" s="172">
        <v>0</v>
      </c>
    </row>
    <row r="281" spans="4:20" ht="15">
      <c r="D281" s="212">
        <f aca="true" t="shared" si="109" ref="D281:P281">SUM(D272:D280)</f>
        <v>246687</v>
      </c>
      <c r="E281" s="212">
        <f t="shared" si="109"/>
        <v>0</v>
      </c>
      <c r="F281" s="212">
        <f t="shared" si="109"/>
        <v>251720</v>
      </c>
      <c r="G281" s="212">
        <f t="shared" si="109"/>
        <v>8854088</v>
      </c>
      <c r="H281" s="212">
        <f t="shared" si="109"/>
        <v>0</v>
      </c>
      <c r="I281" s="212">
        <f t="shared" si="109"/>
        <v>0</v>
      </c>
      <c r="J281" s="212">
        <f>SUM(J272:J280)</f>
        <v>208519</v>
      </c>
      <c r="K281" s="189">
        <f t="shared" si="109"/>
        <v>9561014</v>
      </c>
      <c r="L281" s="189">
        <f t="shared" si="109"/>
        <v>9561014</v>
      </c>
      <c r="M281" s="212">
        <f t="shared" si="109"/>
        <v>0</v>
      </c>
      <c r="N281" s="212">
        <f t="shared" si="109"/>
        <v>0</v>
      </c>
      <c r="O281" s="189">
        <f t="shared" si="109"/>
        <v>9561014</v>
      </c>
      <c r="P281" s="189">
        <f t="shared" si="109"/>
        <v>9561014</v>
      </c>
      <c r="S281" s="189"/>
      <c r="T281" s="189">
        <v>9505650</v>
      </c>
    </row>
    <row r="282" spans="4:12" ht="15">
      <c r="D282" s="174"/>
      <c r="E282" s="174"/>
      <c r="F282" s="174"/>
      <c r="G282" s="174"/>
      <c r="H282" s="174"/>
      <c r="I282" s="174"/>
      <c r="J282" s="174"/>
      <c r="K282" s="176"/>
      <c r="L282" s="176"/>
    </row>
    <row r="283" spans="2:12" ht="15">
      <c r="B283" s="169" t="s">
        <v>319</v>
      </c>
      <c r="D283" s="174"/>
      <c r="E283" s="174"/>
      <c r="F283" s="174"/>
      <c r="G283" s="174"/>
      <c r="H283" s="174"/>
      <c r="I283" s="174"/>
      <c r="J283" s="174"/>
      <c r="K283" s="176"/>
      <c r="L283" s="176"/>
    </row>
    <row r="284" ht="15">
      <c r="B284" s="202" t="s">
        <v>320</v>
      </c>
    </row>
    <row r="285" spans="2:20" ht="15">
      <c r="B285" s="16" t="s">
        <v>308</v>
      </c>
      <c r="C285" s="200" t="s">
        <v>165</v>
      </c>
      <c r="D285" s="26">
        <v>0</v>
      </c>
      <c r="E285" s="26">
        <v>0</v>
      </c>
      <c r="F285" s="26">
        <v>0</v>
      </c>
      <c r="G285" s="26">
        <v>0</v>
      </c>
      <c r="H285" s="26">
        <v>0</v>
      </c>
      <c r="I285" s="26">
        <v>0</v>
      </c>
      <c r="J285" s="26">
        <v>0</v>
      </c>
      <c r="K285" s="172">
        <f>SUM(D285:J285)</f>
        <v>0</v>
      </c>
      <c r="L285" s="172">
        <f aca="true" t="shared" si="110" ref="L285:L292">K285</f>
        <v>0</v>
      </c>
      <c r="M285" s="26">
        <v>0</v>
      </c>
      <c r="N285" s="26">
        <v>0</v>
      </c>
      <c r="O285" s="172">
        <f aca="true" t="shared" si="111" ref="O285:O292">SUM(L285:N285)</f>
        <v>0</v>
      </c>
      <c r="P285" s="172">
        <f aca="true" t="shared" si="112" ref="P285:P292">O285</f>
        <v>0</v>
      </c>
      <c r="T285" s="172">
        <v>0</v>
      </c>
    </row>
    <row r="286" spans="2:20" ht="15">
      <c r="B286" s="16" t="s">
        <v>309</v>
      </c>
      <c r="C286" s="200" t="s">
        <v>165</v>
      </c>
      <c r="D286" s="26">
        <v>0</v>
      </c>
      <c r="E286" s="26">
        <v>0</v>
      </c>
      <c r="F286" s="26">
        <v>0</v>
      </c>
      <c r="G286" s="26">
        <v>0</v>
      </c>
      <c r="H286" s="26">
        <v>0</v>
      </c>
      <c r="I286" s="26">
        <v>0</v>
      </c>
      <c r="J286" s="26">
        <v>0</v>
      </c>
      <c r="K286" s="172">
        <f aca="true" t="shared" si="113" ref="K286:K292">SUM(D286:J286)</f>
        <v>0</v>
      </c>
      <c r="L286" s="172">
        <f t="shared" si="110"/>
        <v>0</v>
      </c>
      <c r="M286" s="26">
        <v>0</v>
      </c>
      <c r="N286" s="26">
        <v>0</v>
      </c>
      <c r="O286" s="172">
        <f t="shared" si="111"/>
        <v>0</v>
      </c>
      <c r="P286" s="172">
        <f t="shared" si="112"/>
        <v>0</v>
      </c>
      <c r="T286" s="172">
        <v>0</v>
      </c>
    </row>
    <row r="287" spans="2:20" ht="15">
      <c r="B287" s="16" t="s">
        <v>310</v>
      </c>
      <c r="C287" s="200" t="s">
        <v>165</v>
      </c>
      <c r="D287" s="26">
        <v>0</v>
      </c>
      <c r="E287" s="26">
        <v>0</v>
      </c>
      <c r="F287" s="26">
        <v>0</v>
      </c>
      <c r="G287" s="26">
        <v>-356891</v>
      </c>
      <c r="H287" s="26">
        <v>0</v>
      </c>
      <c r="I287" s="26">
        <v>0</v>
      </c>
      <c r="J287" s="26">
        <v>0</v>
      </c>
      <c r="K287" s="172">
        <f t="shared" si="113"/>
        <v>-356891</v>
      </c>
      <c r="L287" s="172">
        <f t="shared" si="110"/>
        <v>-356891</v>
      </c>
      <c r="M287" s="26">
        <v>0</v>
      </c>
      <c r="N287" s="26">
        <v>0</v>
      </c>
      <c r="O287" s="172">
        <f t="shared" si="111"/>
        <v>-356891</v>
      </c>
      <c r="P287" s="172">
        <f t="shared" si="112"/>
        <v>-356891</v>
      </c>
      <c r="T287" s="172">
        <v>-356891</v>
      </c>
    </row>
    <row r="288" spans="2:20" ht="15">
      <c r="B288" s="16" t="s">
        <v>311</v>
      </c>
      <c r="C288" s="200" t="s">
        <v>165</v>
      </c>
      <c r="D288" s="26">
        <v>0</v>
      </c>
      <c r="E288" s="26">
        <v>0</v>
      </c>
      <c r="F288" s="26">
        <v>0</v>
      </c>
      <c r="G288" s="26">
        <v>0</v>
      </c>
      <c r="H288" s="26">
        <v>0</v>
      </c>
      <c r="I288" s="26">
        <v>0</v>
      </c>
      <c r="J288" s="26">
        <v>0</v>
      </c>
      <c r="K288" s="172">
        <f t="shared" si="113"/>
        <v>0</v>
      </c>
      <c r="L288" s="172">
        <f t="shared" si="110"/>
        <v>0</v>
      </c>
      <c r="M288" s="26">
        <v>0</v>
      </c>
      <c r="N288" s="26">
        <v>0</v>
      </c>
      <c r="O288" s="172">
        <f t="shared" si="111"/>
        <v>0</v>
      </c>
      <c r="P288" s="172">
        <f t="shared" si="112"/>
        <v>0</v>
      </c>
      <c r="T288" s="172">
        <v>0</v>
      </c>
    </row>
    <row r="289" spans="2:20" ht="15">
      <c r="B289" s="16" t="s">
        <v>312</v>
      </c>
      <c r="C289" s="200" t="s">
        <v>165</v>
      </c>
      <c r="D289" s="26">
        <v>-25469</v>
      </c>
      <c r="E289" s="26">
        <v>0</v>
      </c>
      <c r="F289" s="26">
        <v>-106812</v>
      </c>
      <c r="G289" s="26">
        <v>-1268862</v>
      </c>
      <c r="H289" s="26">
        <v>0</v>
      </c>
      <c r="I289" s="26">
        <v>0</v>
      </c>
      <c r="J289" s="26">
        <v>0</v>
      </c>
      <c r="K289" s="172">
        <f t="shared" si="113"/>
        <v>-1401143</v>
      </c>
      <c r="L289" s="172">
        <f t="shared" si="110"/>
        <v>-1401143</v>
      </c>
      <c r="M289" s="26">
        <v>0</v>
      </c>
      <c r="N289" s="26">
        <v>0</v>
      </c>
      <c r="O289" s="172">
        <f t="shared" si="111"/>
        <v>-1401143</v>
      </c>
      <c r="P289" s="172">
        <f t="shared" si="112"/>
        <v>-1401143</v>
      </c>
      <c r="T289" s="172">
        <v>-1401143</v>
      </c>
    </row>
    <row r="290" spans="2:20" ht="15">
      <c r="B290" s="16" t="s">
        <v>313</v>
      </c>
      <c r="C290" s="200" t="s">
        <v>165</v>
      </c>
      <c r="D290" s="26">
        <v>-16377</v>
      </c>
      <c r="E290" s="26">
        <v>0</v>
      </c>
      <c r="F290" s="26">
        <v>-112295</v>
      </c>
      <c r="G290" s="26">
        <v>-447439</v>
      </c>
      <c r="H290" s="26">
        <v>0</v>
      </c>
      <c r="I290" s="26">
        <v>0</v>
      </c>
      <c r="J290" s="26">
        <v>-50169</v>
      </c>
      <c r="K290" s="172">
        <f t="shared" si="113"/>
        <v>-626280</v>
      </c>
      <c r="L290" s="172">
        <f t="shared" si="110"/>
        <v>-626280</v>
      </c>
      <c r="M290" s="26">
        <v>0</v>
      </c>
      <c r="N290" s="26">
        <v>0</v>
      </c>
      <c r="O290" s="172">
        <f t="shared" si="111"/>
        <v>-626280</v>
      </c>
      <c r="P290" s="172">
        <f t="shared" si="112"/>
        <v>-626280</v>
      </c>
      <c r="T290" s="172">
        <v>-626280</v>
      </c>
    </row>
    <row r="291" spans="2:20" ht="15">
      <c r="B291" s="16" t="s">
        <v>314</v>
      </c>
      <c r="C291" s="200" t="s">
        <v>165</v>
      </c>
      <c r="D291" s="26">
        <v>0</v>
      </c>
      <c r="E291" s="26">
        <v>0</v>
      </c>
      <c r="F291" s="26">
        <v>0</v>
      </c>
      <c r="G291" s="26">
        <v>-990418</v>
      </c>
      <c r="H291" s="26">
        <v>0</v>
      </c>
      <c r="I291" s="26">
        <v>0</v>
      </c>
      <c r="J291" s="26">
        <v>-1240</v>
      </c>
      <c r="K291" s="172">
        <f t="shared" si="113"/>
        <v>-991658</v>
      </c>
      <c r="L291" s="172">
        <f t="shared" si="110"/>
        <v>-991658</v>
      </c>
      <c r="M291" s="26">
        <v>0</v>
      </c>
      <c r="N291" s="26">
        <v>0</v>
      </c>
      <c r="O291" s="172">
        <f t="shared" si="111"/>
        <v>-991658</v>
      </c>
      <c r="P291" s="172">
        <f t="shared" si="112"/>
        <v>-991658</v>
      </c>
      <c r="T291" s="172">
        <v>-991658</v>
      </c>
    </row>
    <row r="292" spans="2:20" ht="15">
      <c r="B292" s="16" t="s">
        <v>229</v>
      </c>
      <c r="C292" s="200" t="s">
        <v>165</v>
      </c>
      <c r="D292" s="26">
        <v>0</v>
      </c>
      <c r="E292" s="26">
        <v>0</v>
      </c>
      <c r="F292" s="26">
        <v>0</v>
      </c>
      <c r="G292" s="26">
        <v>0</v>
      </c>
      <c r="H292" s="26">
        <v>0</v>
      </c>
      <c r="I292" s="26">
        <v>0</v>
      </c>
      <c r="J292" s="26">
        <v>0</v>
      </c>
      <c r="K292" s="172">
        <f t="shared" si="113"/>
        <v>0</v>
      </c>
      <c r="L292" s="172">
        <f t="shared" si="110"/>
        <v>0</v>
      </c>
      <c r="M292" s="26">
        <v>0</v>
      </c>
      <c r="N292" s="26">
        <v>0</v>
      </c>
      <c r="O292" s="172">
        <f t="shared" si="111"/>
        <v>0</v>
      </c>
      <c r="P292" s="172">
        <f t="shared" si="112"/>
        <v>0</v>
      </c>
      <c r="T292" s="172">
        <v>0</v>
      </c>
    </row>
    <row r="293" spans="4:20" ht="15">
      <c r="D293" s="212">
        <f aca="true" t="shared" si="114" ref="D293:P293">SUM(D285:D292)</f>
        <v>-41846</v>
      </c>
      <c r="E293" s="212">
        <f t="shared" si="114"/>
        <v>0</v>
      </c>
      <c r="F293" s="212">
        <f t="shared" si="114"/>
        <v>-219107</v>
      </c>
      <c r="G293" s="212">
        <f t="shared" si="114"/>
        <v>-3063610</v>
      </c>
      <c r="H293" s="212">
        <f t="shared" si="114"/>
        <v>0</v>
      </c>
      <c r="I293" s="212">
        <f t="shared" si="114"/>
        <v>0</v>
      </c>
      <c r="J293" s="212">
        <f>SUM(J285:J292)</f>
        <v>-51409</v>
      </c>
      <c r="K293" s="189">
        <f t="shared" si="114"/>
        <v>-3375972</v>
      </c>
      <c r="L293" s="189">
        <f t="shared" si="114"/>
        <v>-3375972</v>
      </c>
      <c r="M293" s="212">
        <f t="shared" si="114"/>
        <v>0</v>
      </c>
      <c r="N293" s="212">
        <f t="shared" si="114"/>
        <v>0</v>
      </c>
      <c r="O293" s="189">
        <f t="shared" si="114"/>
        <v>-3375972</v>
      </c>
      <c r="P293" s="189">
        <f t="shared" si="114"/>
        <v>-3375972</v>
      </c>
      <c r="S293" s="189"/>
      <c r="T293" s="189">
        <v>-3375972</v>
      </c>
    </row>
    <row r="294" ht="15"/>
    <row r="295" ht="15">
      <c r="B295" s="202" t="s">
        <v>321</v>
      </c>
    </row>
    <row r="296" spans="2:20" ht="15">
      <c r="B296" s="16" t="s">
        <v>308</v>
      </c>
      <c r="C296" s="200" t="s">
        <v>165</v>
      </c>
      <c r="D296" s="26">
        <v>0</v>
      </c>
      <c r="E296" s="26">
        <v>0</v>
      </c>
      <c r="F296" s="26">
        <v>0</v>
      </c>
      <c r="G296" s="26">
        <v>0</v>
      </c>
      <c r="H296" s="26">
        <v>0</v>
      </c>
      <c r="I296" s="26">
        <v>0</v>
      </c>
      <c r="J296" s="26">
        <v>0</v>
      </c>
      <c r="K296" s="172">
        <f aca="true" t="shared" si="115" ref="K296:K303">SUM(D296:J296)</f>
        <v>0</v>
      </c>
      <c r="L296" s="172">
        <f aca="true" t="shared" si="116" ref="L296:L303">K296</f>
        <v>0</v>
      </c>
      <c r="M296" s="26">
        <v>0</v>
      </c>
      <c r="N296" s="26">
        <v>0</v>
      </c>
      <c r="O296" s="172">
        <f aca="true" t="shared" si="117" ref="O296:O303">SUM(L296:N296)</f>
        <v>0</v>
      </c>
      <c r="P296" s="172">
        <f aca="true" t="shared" si="118" ref="P296:P303">O296</f>
        <v>0</v>
      </c>
      <c r="T296" s="172">
        <v>0</v>
      </c>
    </row>
    <row r="297" spans="2:20" ht="15">
      <c r="B297" s="16" t="s">
        <v>309</v>
      </c>
      <c r="C297" s="200" t="s">
        <v>165</v>
      </c>
      <c r="D297" s="26">
        <v>0</v>
      </c>
      <c r="E297" s="26">
        <v>0</v>
      </c>
      <c r="F297" s="26">
        <v>0</v>
      </c>
      <c r="G297" s="26">
        <v>0</v>
      </c>
      <c r="H297" s="26">
        <v>0</v>
      </c>
      <c r="I297" s="26">
        <v>0</v>
      </c>
      <c r="J297" s="26">
        <v>0</v>
      </c>
      <c r="K297" s="172">
        <f t="shared" si="115"/>
        <v>0</v>
      </c>
      <c r="L297" s="172">
        <f t="shared" si="116"/>
        <v>0</v>
      </c>
      <c r="M297" s="26">
        <v>0</v>
      </c>
      <c r="N297" s="26">
        <v>0</v>
      </c>
      <c r="O297" s="172">
        <f t="shared" si="117"/>
        <v>0</v>
      </c>
      <c r="P297" s="172">
        <f t="shared" si="118"/>
        <v>0</v>
      </c>
      <c r="T297" s="172">
        <v>0</v>
      </c>
    </row>
    <row r="298" spans="2:20" ht="15">
      <c r="B298" s="16" t="s">
        <v>310</v>
      </c>
      <c r="C298" s="200" t="s">
        <v>165</v>
      </c>
      <c r="D298" s="26">
        <v>0</v>
      </c>
      <c r="E298" s="26">
        <v>0</v>
      </c>
      <c r="F298" s="26">
        <v>0</v>
      </c>
      <c r="G298" s="26">
        <f>-375675-G287</f>
        <v>-18784</v>
      </c>
      <c r="H298" s="26">
        <v>0</v>
      </c>
      <c r="I298" s="26">
        <v>0</v>
      </c>
      <c r="J298" s="26">
        <v>0</v>
      </c>
      <c r="K298" s="172">
        <f t="shared" si="115"/>
        <v>-18784</v>
      </c>
      <c r="L298" s="172">
        <f t="shared" si="116"/>
        <v>-18784</v>
      </c>
      <c r="M298" s="26">
        <v>0</v>
      </c>
      <c r="N298" s="26">
        <v>0</v>
      </c>
      <c r="O298" s="172">
        <f t="shared" si="117"/>
        <v>-18784</v>
      </c>
      <c r="P298" s="172">
        <f t="shared" si="118"/>
        <v>-18784</v>
      </c>
      <c r="T298" s="172">
        <v>-6261</v>
      </c>
    </row>
    <row r="299" spans="2:20" ht="15">
      <c r="B299" s="16" t="s">
        <v>311</v>
      </c>
      <c r="C299" s="200" t="s">
        <v>165</v>
      </c>
      <c r="D299" s="26">
        <v>0</v>
      </c>
      <c r="E299" s="26">
        <v>0</v>
      </c>
      <c r="F299" s="26">
        <v>0</v>
      </c>
      <c r="G299" s="26">
        <v>0</v>
      </c>
      <c r="H299" s="26">
        <v>0</v>
      </c>
      <c r="I299" s="26">
        <v>0</v>
      </c>
      <c r="J299" s="26">
        <v>0</v>
      </c>
      <c r="K299" s="172">
        <f t="shared" si="115"/>
        <v>0</v>
      </c>
      <c r="L299" s="172">
        <f t="shared" si="116"/>
        <v>0</v>
      </c>
      <c r="M299" s="26">
        <v>0</v>
      </c>
      <c r="N299" s="26">
        <v>0</v>
      </c>
      <c r="O299" s="172">
        <f t="shared" si="117"/>
        <v>0</v>
      </c>
      <c r="P299" s="172">
        <f t="shared" si="118"/>
        <v>0</v>
      </c>
      <c r="T299" s="172">
        <v>0</v>
      </c>
    </row>
    <row r="300" spans="2:20" ht="15">
      <c r="B300" s="16" t="s">
        <v>312</v>
      </c>
      <c r="C300" s="200" t="s">
        <v>165</v>
      </c>
      <c r="D300" s="26">
        <f>-30245-D289</f>
        <v>-4776</v>
      </c>
      <c r="E300" s="26">
        <v>0</v>
      </c>
      <c r="F300" s="26">
        <v>0</v>
      </c>
      <c r="G300" s="26">
        <f>-1348964-G289</f>
        <v>-80102</v>
      </c>
      <c r="H300" s="26">
        <v>0</v>
      </c>
      <c r="I300" s="26">
        <v>0</v>
      </c>
      <c r="J300" s="26">
        <v>0</v>
      </c>
      <c r="K300" s="172">
        <f t="shared" si="115"/>
        <v>-84878</v>
      </c>
      <c r="L300" s="172">
        <f t="shared" si="116"/>
        <v>-84878</v>
      </c>
      <c r="M300" s="26">
        <v>0</v>
      </c>
      <c r="N300" s="26">
        <v>0</v>
      </c>
      <c r="O300" s="172">
        <f t="shared" si="117"/>
        <v>-84878</v>
      </c>
      <c r="P300" s="172">
        <f t="shared" si="118"/>
        <v>-84878</v>
      </c>
      <c r="T300" s="172">
        <v>-28293</v>
      </c>
    </row>
    <row r="301" spans="2:20" ht="15">
      <c r="B301" s="16" t="s">
        <v>313</v>
      </c>
      <c r="C301" s="200" t="s">
        <v>165</v>
      </c>
      <c r="D301" s="26">
        <f>-22006-D290</f>
        <v>-5629</v>
      </c>
      <c r="E301" s="26">
        <v>0</v>
      </c>
      <c r="F301" s="26">
        <f>-222729-F289-F290-F300</f>
        <v>-3622</v>
      </c>
      <c r="G301" s="26">
        <f>-3249886-G290-G331-G333-G335</f>
        <v>-26784</v>
      </c>
      <c r="H301" s="26">
        <v>0</v>
      </c>
      <c r="I301" s="26">
        <v>0</v>
      </c>
      <c r="J301" s="26">
        <f>-56616-J290-J291-J302</f>
        <v>-5167</v>
      </c>
      <c r="K301" s="172">
        <f t="shared" si="115"/>
        <v>-41202</v>
      </c>
      <c r="L301" s="172">
        <f t="shared" si="116"/>
        <v>-41202</v>
      </c>
      <c r="M301" s="26">
        <v>0</v>
      </c>
      <c r="N301" s="26">
        <v>0</v>
      </c>
      <c r="O301" s="172">
        <f t="shared" si="117"/>
        <v>-41202</v>
      </c>
      <c r="P301" s="172">
        <f t="shared" si="118"/>
        <v>-41202</v>
      </c>
      <c r="T301" s="172">
        <v>-13435</v>
      </c>
    </row>
    <row r="302" spans="2:20" ht="15">
      <c r="B302" s="16" t="s">
        <v>314</v>
      </c>
      <c r="C302" s="200" t="s">
        <v>165</v>
      </c>
      <c r="D302" s="26">
        <v>0</v>
      </c>
      <c r="E302" s="26">
        <v>0</v>
      </c>
      <c r="G302" s="26">
        <f>-1051024-G291</f>
        <v>-60606</v>
      </c>
      <c r="H302" s="26">
        <v>0</v>
      </c>
      <c r="I302" s="26">
        <v>0</v>
      </c>
      <c r="J302" s="26">
        <f>-1280-J291</f>
        <v>-40</v>
      </c>
      <c r="K302" s="172">
        <f t="shared" si="115"/>
        <v>-60646</v>
      </c>
      <c r="L302" s="172">
        <f t="shared" si="116"/>
        <v>-60646</v>
      </c>
      <c r="M302" s="26">
        <v>0</v>
      </c>
      <c r="N302" s="26">
        <v>0</v>
      </c>
      <c r="O302" s="172">
        <f t="shared" si="117"/>
        <v>-60646</v>
      </c>
      <c r="P302" s="172">
        <f t="shared" si="118"/>
        <v>-60646</v>
      </c>
      <c r="T302" s="172">
        <v>-20215</v>
      </c>
    </row>
    <row r="303" spans="2:20" ht="15">
      <c r="B303" s="16" t="s">
        <v>229</v>
      </c>
      <c r="C303" s="200" t="s">
        <v>165</v>
      </c>
      <c r="D303" s="26">
        <v>0</v>
      </c>
      <c r="E303" s="26">
        <v>0</v>
      </c>
      <c r="F303" s="26">
        <v>0</v>
      </c>
      <c r="G303" s="26">
        <v>0</v>
      </c>
      <c r="H303" s="26">
        <v>0</v>
      </c>
      <c r="I303" s="26">
        <v>0</v>
      </c>
      <c r="J303" s="26">
        <v>0</v>
      </c>
      <c r="K303" s="172">
        <f t="shared" si="115"/>
        <v>0</v>
      </c>
      <c r="L303" s="172">
        <f t="shared" si="116"/>
        <v>0</v>
      </c>
      <c r="M303" s="26">
        <v>0</v>
      </c>
      <c r="N303" s="26">
        <v>0</v>
      </c>
      <c r="O303" s="172">
        <f t="shared" si="117"/>
        <v>0</v>
      </c>
      <c r="P303" s="172">
        <f t="shared" si="118"/>
        <v>0</v>
      </c>
      <c r="T303" s="172">
        <v>0</v>
      </c>
    </row>
    <row r="304" spans="4:20" ht="15">
      <c r="D304" s="212">
        <f aca="true" t="shared" si="119" ref="D304:P304">SUM(D295:D303)</f>
        <v>-10405</v>
      </c>
      <c r="E304" s="212">
        <f t="shared" si="119"/>
        <v>0</v>
      </c>
      <c r="F304" s="212">
        <f t="shared" si="119"/>
        <v>-3622</v>
      </c>
      <c r="G304" s="212">
        <f t="shared" si="119"/>
        <v>-186276</v>
      </c>
      <c r="H304" s="212">
        <f t="shared" si="119"/>
        <v>0</v>
      </c>
      <c r="I304" s="212">
        <f t="shared" si="119"/>
        <v>0</v>
      </c>
      <c r="J304" s="212">
        <f>SUM(J295:J303)</f>
        <v>-5207</v>
      </c>
      <c r="K304" s="189">
        <f t="shared" si="119"/>
        <v>-205510</v>
      </c>
      <c r="L304" s="189">
        <f t="shared" si="119"/>
        <v>-205510</v>
      </c>
      <c r="M304" s="212">
        <f t="shared" si="119"/>
        <v>0</v>
      </c>
      <c r="N304" s="212">
        <f t="shared" si="119"/>
        <v>0</v>
      </c>
      <c r="O304" s="189">
        <f t="shared" si="119"/>
        <v>-205510</v>
      </c>
      <c r="P304" s="189">
        <f t="shared" si="119"/>
        <v>-205510</v>
      </c>
      <c r="S304" s="189"/>
      <c r="T304" s="189">
        <v>-68204</v>
      </c>
    </row>
    <row r="305" spans="4:12" ht="15">
      <c r="D305" s="174">
        <f aca="true" t="shared" si="120" ref="D305:I305">+D304+D174</f>
        <v>0</v>
      </c>
      <c r="E305" s="174">
        <f t="shared" si="120"/>
        <v>0</v>
      </c>
      <c r="F305" s="174">
        <f t="shared" si="120"/>
        <v>0</v>
      </c>
      <c r="G305" s="174">
        <f t="shared" si="120"/>
        <v>0</v>
      </c>
      <c r="H305" s="174">
        <f t="shared" si="120"/>
        <v>0</v>
      </c>
      <c r="I305" s="174">
        <f t="shared" si="120"/>
        <v>0</v>
      </c>
      <c r="J305" s="174">
        <f>+J304+J174</f>
        <v>0</v>
      </c>
      <c r="K305" s="176"/>
      <c r="L305" s="176"/>
    </row>
    <row r="306" spans="2:12" ht="15">
      <c r="B306" s="169" t="s">
        <v>322</v>
      </c>
      <c r="D306" s="174"/>
      <c r="E306" s="174"/>
      <c r="F306" s="174"/>
      <c r="G306" s="174"/>
      <c r="H306" s="174"/>
      <c r="I306" s="174"/>
      <c r="J306" s="174"/>
      <c r="K306" s="176"/>
      <c r="L306" s="176"/>
    </row>
    <row r="307" spans="2:20" ht="15">
      <c r="B307" s="16" t="s">
        <v>308</v>
      </c>
      <c r="C307" s="200" t="s">
        <v>165</v>
      </c>
      <c r="D307" s="174">
        <v>0</v>
      </c>
      <c r="E307" s="174">
        <v>0</v>
      </c>
      <c r="F307" s="174">
        <v>0</v>
      </c>
      <c r="G307" s="174">
        <v>0</v>
      </c>
      <c r="H307" s="174">
        <v>0</v>
      </c>
      <c r="I307" s="174">
        <v>0</v>
      </c>
      <c r="J307" s="174">
        <v>0</v>
      </c>
      <c r="K307" s="172">
        <f aca="true" t="shared" si="121" ref="K307:K314">SUM(D307:J307)</f>
        <v>0</v>
      </c>
      <c r="L307" s="172">
        <f aca="true" t="shared" si="122" ref="L307:L314">K307</f>
        <v>0</v>
      </c>
      <c r="M307" s="26">
        <v>0</v>
      </c>
      <c r="N307" s="26">
        <v>0</v>
      </c>
      <c r="O307" s="172">
        <f aca="true" t="shared" si="123" ref="O307:O314">SUM(L307:N307)</f>
        <v>0</v>
      </c>
      <c r="P307" s="172">
        <f aca="true" t="shared" si="124" ref="P307:P314">O307</f>
        <v>0</v>
      </c>
      <c r="T307" s="172">
        <v>0</v>
      </c>
    </row>
    <row r="308" spans="2:20" ht="15">
      <c r="B308" s="16" t="s">
        <v>309</v>
      </c>
      <c r="C308" s="200" t="s">
        <v>165</v>
      </c>
      <c r="D308" s="174">
        <v>0</v>
      </c>
      <c r="E308" s="174">
        <v>0</v>
      </c>
      <c r="F308" s="174">
        <v>0</v>
      </c>
      <c r="G308" s="174">
        <v>0</v>
      </c>
      <c r="H308" s="174">
        <v>0</v>
      </c>
      <c r="I308" s="174">
        <v>0</v>
      </c>
      <c r="J308" s="174">
        <v>0</v>
      </c>
      <c r="K308" s="172">
        <f t="shared" si="121"/>
        <v>0</v>
      </c>
      <c r="L308" s="172">
        <f t="shared" si="122"/>
        <v>0</v>
      </c>
      <c r="M308" s="26">
        <v>0</v>
      </c>
      <c r="N308" s="26">
        <v>0</v>
      </c>
      <c r="O308" s="172">
        <f t="shared" si="123"/>
        <v>0</v>
      </c>
      <c r="P308" s="172">
        <f t="shared" si="124"/>
        <v>0</v>
      </c>
      <c r="T308" s="172">
        <v>0</v>
      </c>
    </row>
    <row r="309" spans="2:20" ht="15">
      <c r="B309" s="16" t="s">
        <v>310</v>
      </c>
      <c r="C309" s="200" t="s">
        <v>165</v>
      </c>
      <c r="D309" s="174">
        <v>0</v>
      </c>
      <c r="E309" s="174">
        <v>0</v>
      </c>
      <c r="F309" s="174">
        <v>0</v>
      </c>
      <c r="G309" s="174">
        <v>0</v>
      </c>
      <c r="H309" s="174">
        <v>0</v>
      </c>
      <c r="I309" s="174">
        <v>0</v>
      </c>
      <c r="J309" s="174">
        <v>0</v>
      </c>
      <c r="K309" s="172">
        <f t="shared" si="121"/>
        <v>0</v>
      </c>
      <c r="L309" s="172">
        <f t="shared" si="122"/>
        <v>0</v>
      </c>
      <c r="M309" s="26">
        <v>0</v>
      </c>
      <c r="N309" s="26">
        <v>0</v>
      </c>
      <c r="O309" s="172">
        <f t="shared" si="123"/>
        <v>0</v>
      </c>
      <c r="P309" s="172">
        <f t="shared" si="124"/>
        <v>0</v>
      </c>
      <c r="T309" s="172">
        <v>0</v>
      </c>
    </row>
    <row r="310" spans="2:20" ht="15">
      <c r="B310" s="16" t="s">
        <v>311</v>
      </c>
      <c r="C310" s="200" t="s">
        <v>165</v>
      </c>
      <c r="D310" s="174">
        <v>0</v>
      </c>
      <c r="E310" s="174">
        <v>0</v>
      </c>
      <c r="F310" s="174">
        <v>0</v>
      </c>
      <c r="G310" s="174">
        <v>0</v>
      </c>
      <c r="H310" s="174">
        <v>0</v>
      </c>
      <c r="I310" s="174">
        <v>0</v>
      </c>
      <c r="J310" s="174">
        <v>0</v>
      </c>
      <c r="K310" s="172">
        <f t="shared" si="121"/>
        <v>0</v>
      </c>
      <c r="L310" s="172">
        <f t="shared" si="122"/>
        <v>0</v>
      </c>
      <c r="M310" s="26">
        <v>0</v>
      </c>
      <c r="N310" s="26">
        <v>0</v>
      </c>
      <c r="O310" s="172">
        <f t="shared" si="123"/>
        <v>0</v>
      </c>
      <c r="P310" s="172">
        <f t="shared" si="124"/>
        <v>0</v>
      </c>
      <c r="T310" s="172">
        <v>0</v>
      </c>
    </row>
    <row r="311" spans="2:20" ht="15">
      <c r="B311" s="16" t="s">
        <v>312</v>
      </c>
      <c r="C311" s="200" t="s">
        <v>165</v>
      </c>
      <c r="D311" s="174">
        <v>0</v>
      </c>
      <c r="E311" s="174">
        <v>0</v>
      </c>
      <c r="F311" s="174">
        <v>0</v>
      </c>
      <c r="G311" s="174">
        <v>0</v>
      </c>
      <c r="H311" s="174">
        <v>0</v>
      </c>
      <c r="I311" s="174">
        <v>0</v>
      </c>
      <c r="J311" s="174">
        <v>0</v>
      </c>
      <c r="K311" s="172">
        <f t="shared" si="121"/>
        <v>0</v>
      </c>
      <c r="L311" s="172">
        <f t="shared" si="122"/>
        <v>0</v>
      </c>
      <c r="M311" s="26">
        <v>0</v>
      </c>
      <c r="N311" s="26">
        <v>0</v>
      </c>
      <c r="O311" s="172">
        <f t="shared" si="123"/>
        <v>0</v>
      </c>
      <c r="P311" s="172">
        <f t="shared" si="124"/>
        <v>0</v>
      </c>
      <c r="T311" s="172">
        <v>0</v>
      </c>
    </row>
    <row r="312" spans="2:20" ht="15">
      <c r="B312" s="16" t="s">
        <v>313</v>
      </c>
      <c r="C312" s="200" t="s">
        <v>165</v>
      </c>
      <c r="D312" s="174">
        <v>0</v>
      </c>
      <c r="E312" s="174">
        <v>0</v>
      </c>
      <c r="F312" s="174">
        <v>0</v>
      </c>
      <c r="G312" s="174">
        <v>0</v>
      </c>
      <c r="H312" s="174">
        <v>0</v>
      </c>
      <c r="I312" s="174">
        <v>0</v>
      </c>
      <c r="J312" s="174">
        <v>0</v>
      </c>
      <c r="K312" s="172">
        <f t="shared" si="121"/>
        <v>0</v>
      </c>
      <c r="L312" s="172">
        <f t="shared" si="122"/>
        <v>0</v>
      </c>
      <c r="M312" s="26">
        <v>0</v>
      </c>
      <c r="N312" s="26">
        <v>0</v>
      </c>
      <c r="O312" s="172">
        <f t="shared" si="123"/>
        <v>0</v>
      </c>
      <c r="P312" s="172">
        <f t="shared" si="124"/>
        <v>0</v>
      </c>
      <c r="T312" s="172">
        <v>0</v>
      </c>
    </row>
    <row r="313" spans="2:20" ht="15">
      <c r="B313" s="16" t="s">
        <v>314</v>
      </c>
      <c r="C313" s="200" t="s">
        <v>165</v>
      </c>
      <c r="D313" s="174">
        <v>0</v>
      </c>
      <c r="E313" s="174">
        <v>0</v>
      </c>
      <c r="F313" s="174">
        <v>0</v>
      </c>
      <c r="G313" s="174">
        <v>0</v>
      </c>
      <c r="H313" s="174">
        <v>0</v>
      </c>
      <c r="I313" s="174">
        <v>0</v>
      </c>
      <c r="J313" s="174">
        <v>0</v>
      </c>
      <c r="K313" s="172">
        <f t="shared" si="121"/>
        <v>0</v>
      </c>
      <c r="L313" s="172">
        <f t="shared" si="122"/>
        <v>0</v>
      </c>
      <c r="M313" s="26">
        <v>0</v>
      </c>
      <c r="N313" s="26">
        <v>0</v>
      </c>
      <c r="O313" s="172">
        <f t="shared" si="123"/>
        <v>0</v>
      </c>
      <c r="P313" s="172">
        <f t="shared" si="124"/>
        <v>0</v>
      </c>
      <c r="T313" s="172">
        <v>0</v>
      </c>
    </row>
    <row r="314" spans="2:20" ht="15">
      <c r="B314" s="16" t="s">
        <v>229</v>
      </c>
      <c r="C314" s="200" t="s">
        <v>165</v>
      </c>
      <c r="D314" s="174">
        <v>0</v>
      </c>
      <c r="E314" s="174">
        <v>0</v>
      </c>
      <c r="F314" s="174">
        <v>0</v>
      </c>
      <c r="G314" s="174">
        <v>0</v>
      </c>
      <c r="H314" s="174">
        <v>0</v>
      </c>
      <c r="I314" s="174">
        <v>0</v>
      </c>
      <c r="J314" s="174">
        <v>0</v>
      </c>
      <c r="K314" s="172">
        <f t="shared" si="121"/>
        <v>0</v>
      </c>
      <c r="L314" s="172">
        <f t="shared" si="122"/>
        <v>0</v>
      </c>
      <c r="M314" s="26">
        <v>0</v>
      </c>
      <c r="N314" s="26">
        <v>0</v>
      </c>
      <c r="O314" s="172">
        <f t="shared" si="123"/>
        <v>0</v>
      </c>
      <c r="P314" s="172">
        <f t="shared" si="124"/>
        <v>0</v>
      </c>
      <c r="T314" s="172">
        <v>0</v>
      </c>
    </row>
    <row r="315" spans="4:20" ht="15">
      <c r="D315" s="212">
        <f aca="true" t="shared" si="125" ref="D315:P315">SUM(D306:D314)</f>
        <v>0</v>
      </c>
      <c r="E315" s="212">
        <f t="shared" si="125"/>
        <v>0</v>
      </c>
      <c r="F315" s="212">
        <f t="shared" si="125"/>
        <v>0</v>
      </c>
      <c r="G315" s="212">
        <f t="shared" si="125"/>
        <v>0</v>
      </c>
      <c r="H315" s="212">
        <f t="shared" si="125"/>
        <v>0</v>
      </c>
      <c r="I315" s="212">
        <f t="shared" si="125"/>
        <v>0</v>
      </c>
      <c r="J315" s="212">
        <f>SUM(J306:J314)</f>
        <v>0</v>
      </c>
      <c r="K315" s="189">
        <f t="shared" si="125"/>
        <v>0</v>
      </c>
      <c r="L315" s="189">
        <f t="shared" si="125"/>
        <v>0</v>
      </c>
      <c r="M315" s="212">
        <f t="shared" si="125"/>
        <v>0</v>
      </c>
      <c r="N315" s="212">
        <f t="shared" si="125"/>
        <v>0</v>
      </c>
      <c r="O315" s="189">
        <f t="shared" si="125"/>
        <v>0</v>
      </c>
      <c r="P315" s="189">
        <f t="shared" si="125"/>
        <v>0</v>
      </c>
      <c r="S315" s="189"/>
      <c r="T315" s="189">
        <v>0</v>
      </c>
    </row>
    <row r="316" spans="4:12" ht="15">
      <c r="D316" s="174"/>
      <c r="E316" s="174"/>
      <c r="F316" s="174"/>
      <c r="G316" s="174"/>
      <c r="H316" s="174"/>
      <c r="I316" s="174"/>
      <c r="J316" s="174"/>
      <c r="K316" s="176"/>
      <c r="L316" s="176"/>
    </row>
    <row r="317" spans="2:12" ht="15">
      <c r="B317" s="169" t="s">
        <v>323</v>
      </c>
      <c r="D317" s="174"/>
      <c r="E317" s="174"/>
      <c r="F317" s="174"/>
      <c r="G317" s="174"/>
      <c r="H317" s="174"/>
      <c r="I317" s="174"/>
      <c r="J317" s="174"/>
      <c r="K317" s="176"/>
      <c r="L317" s="176"/>
    </row>
    <row r="318" spans="2:20" ht="15">
      <c r="B318" s="16" t="s">
        <v>308</v>
      </c>
      <c r="C318" s="200" t="s">
        <v>165</v>
      </c>
      <c r="D318" s="174">
        <v>0</v>
      </c>
      <c r="E318" s="174">
        <v>0</v>
      </c>
      <c r="F318" s="174">
        <v>0</v>
      </c>
      <c r="G318" s="174">
        <v>0</v>
      </c>
      <c r="H318" s="174">
        <v>0</v>
      </c>
      <c r="I318" s="174">
        <v>0</v>
      </c>
      <c r="J318" s="174">
        <v>0</v>
      </c>
      <c r="K318" s="172">
        <f aca="true" t="shared" si="126" ref="K318:K325">SUM(D318:J318)</f>
        <v>0</v>
      </c>
      <c r="L318" s="172">
        <f aca="true" t="shared" si="127" ref="L318:L325">K318</f>
        <v>0</v>
      </c>
      <c r="M318" s="26">
        <v>0</v>
      </c>
      <c r="N318" s="26">
        <v>0</v>
      </c>
      <c r="O318" s="172">
        <f aca="true" t="shared" si="128" ref="O318:O325">SUM(L318:N318)</f>
        <v>0</v>
      </c>
      <c r="P318" s="172">
        <f aca="true" t="shared" si="129" ref="P318:P325">O318</f>
        <v>0</v>
      </c>
      <c r="T318" s="172">
        <v>0</v>
      </c>
    </row>
    <row r="319" spans="2:20" ht="15">
      <c r="B319" s="16" t="s">
        <v>309</v>
      </c>
      <c r="C319" s="200" t="s">
        <v>165</v>
      </c>
      <c r="D319" s="174">
        <v>0</v>
      </c>
      <c r="E319" s="174">
        <v>0</v>
      </c>
      <c r="F319" s="174">
        <v>0</v>
      </c>
      <c r="G319" s="174">
        <v>0</v>
      </c>
      <c r="H319" s="174">
        <v>0</v>
      </c>
      <c r="I319" s="174">
        <v>0</v>
      </c>
      <c r="J319" s="174">
        <v>0</v>
      </c>
      <c r="K319" s="172">
        <f t="shared" si="126"/>
        <v>0</v>
      </c>
      <c r="L319" s="172">
        <f t="shared" si="127"/>
        <v>0</v>
      </c>
      <c r="M319" s="26">
        <v>0</v>
      </c>
      <c r="N319" s="26">
        <v>0</v>
      </c>
      <c r="O319" s="172">
        <f t="shared" si="128"/>
        <v>0</v>
      </c>
      <c r="P319" s="172">
        <f t="shared" si="129"/>
        <v>0</v>
      </c>
      <c r="T319" s="172">
        <v>0</v>
      </c>
    </row>
    <row r="320" spans="2:20" ht="15">
      <c r="B320" s="16" t="s">
        <v>310</v>
      </c>
      <c r="C320" s="200" t="s">
        <v>165</v>
      </c>
      <c r="D320" s="174">
        <v>0</v>
      </c>
      <c r="E320" s="174">
        <v>0</v>
      </c>
      <c r="F320" s="174">
        <v>0</v>
      </c>
      <c r="G320" s="174">
        <v>0</v>
      </c>
      <c r="H320" s="174">
        <v>0</v>
      </c>
      <c r="I320" s="174">
        <v>0</v>
      </c>
      <c r="J320" s="174">
        <v>0</v>
      </c>
      <c r="K320" s="172">
        <f t="shared" si="126"/>
        <v>0</v>
      </c>
      <c r="L320" s="172">
        <f t="shared" si="127"/>
        <v>0</v>
      </c>
      <c r="M320" s="26">
        <v>0</v>
      </c>
      <c r="N320" s="26">
        <v>0</v>
      </c>
      <c r="O320" s="172">
        <f t="shared" si="128"/>
        <v>0</v>
      </c>
      <c r="P320" s="172">
        <f t="shared" si="129"/>
        <v>0</v>
      </c>
      <c r="T320" s="172">
        <v>0</v>
      </c>
    </row>
    <row r="321" spans="2:20" ht="15">
      <c r="B321" s="16" t="s">
        <v>311</v>
      </c>
      <c r="C321" s="200" t="s">
        <v>165</v>
      </c>
      <c r="D321" s="174">
        <v>0</v>
      </c>
      <c r="E321" s="174">
        <v>0</v>
      </c>
      <c r="F321" s="174">
        <v>0</v>
      </c>
      <c r="G321" s="174">
        <v>0</v>
      </c>
      <c r="H321" s="174">
        <v>0</v>
      </c>
      <c r="I321" s="174">
        <v>0</v>
      </c>
      <c r="J321" s="174">
        <v>0</v>
      </c>
      <c r="K321" s="172">
        <f t="shared" si="126"/>
        <v>0</v>
      </c>
      <c r="L321" s="172">
        <f t="shared" si="127"/>
        <v>0</v>
      </c>
      <c r="M321" s="26">
        <v>0</v>
      </c>
      <c r="N321" s="26">
        <v>0</v>
      </c>
      <c r="O321" s="172">
        <f t="shared" si="128"/>
        <v>0</v>
      </c>
      <c r="P321" s="172">
        <f t="shared" si="129"/>
        <v>0</v>
      </c>
      <c r="T321" s="172">
        <v>0</v>
      </c>
    </row>
    <row r="322" spans="2:20" ht="15">
      <c r="B322" s="16" t="s">
        <v>312</v>
      </c>
      <c r="C322" s="200" t="s">
        <v>165</v>
      </c>
      <c r="D322" s="174">
        <v>0</v>
      </c>
      <c r="E322" s="174">
        <v>0</v>
      </c>
      <c r="F322" s="174">
        <v>0</v>
      </c>
      <c r="G322" s="174">
        <v>0</v>
      </c>
      <c r="H322" s="174">
        <v>0</v>
      </c>
      <c r="I322" s="174">
        <v>0</v>
      </c>
      <c r="J322" s="174">
        <v>0</v>
      </c>
      <c r="K322" s="172">
        <f t="shared" si="126"/>
        <v>0</v>
      </c>
      <c r="L322" s="172">
        <f t="shared" si="127"/>
        <v>0</v>
      </c>
      <c r="M322" s="26">
        <v>0</v>
      </c>
      <c r="N322" s="26">
        <v>0</v>
      </c>
      <c r="O322" s="172">
        <f t="shared" si="128"/>
        <v>0</v>
      </c>
      <c r="P322" s="172">
        <f t="shared" si="129"/>
        <v>0</v>
      </c>
      <c r="T322" s="172">
        <v>0</v>
      </c>
    </row>
    <row r="323" spans="2:20" ht="15">
      <c r="B323" s="16" t="s">
        <v>313</v>
      </c>
      <c r="C323" s="200" t="s">
        <v>165</v>
      </c>
      <c r="D323" s="174">
        <v>0</v>
      </c>
      <c r="E323" s="174">
        <v>0</v>
      </c>
      <c r="F323" s="174">
        <v>0</v>
      </c>
      <c r="G323" s="174">
        <v>0</v>
      </c>
      <c r="H323" s="174">
        <v>0</v>
      </c>
      <c r="I323" s="174">
        <v>0</v>
      </c>
      <c r="J323" s="174">
        <v>0</v>
      </c>
      <c r="K323" s="172">
        <f t="shared" si="126"/>
        <v>0</v>
      </c>
      <c r="L323" s="172">
        <f t="shared" si="127"/>
        <v>0</v>
      </c>
      <c r="M323" s="26">
        <v>0</v>
      </c>
      <c r="N323" s="26">
        <v>0</v>
      </c>
      <c r="O323" s="172">
        <f t="shared" si="128"/>
        <v>0</v>
      </c>
      <c r="P323" s="172">
        <f t="shared" si="129"/>
        <v>0</v>
      </c>
      <c r="T323" s="172">
        <v>0</v>
      </c>
    </row>
    <row r="324" spans="2:20" ht="15">
      <c r="B324" s="16" t="s">
        <v>314</v>
      </c>
      <c r="C324" s="200" t="s">
        <v>165</v>
      </c>
      <c r="D324" s="174">
        <v>0</v>
      </c>
      <c r="E324" s="174">
        <v>0</v>
      </c>
      <c r="F324" s="174">
        <v>0</v>
      </c>
      <c r="G324" s="174">
        <v>0</v>
      </c>
      <c r="H324" s="174">
        <v>0</v>
      </c>
      <c r="I324" s="174">
        <v>0</v>
      </c>
      <c r="J324" s="174">
        <v>0</v>
      </c>
      <c r="K324" s="172">
        <f t="shared" si="126"/>
        <v>0</v>
      </c>
      <c r="L324" s="172">
        <f t="shared" si="127"/>
        <v>0</v>
      </c>
      <c r="M324" s="26">
        <v>0</v>
      </c>
      <c r="N324" s="26">
        <v>0</v>
      </c>
      <c r="O324" s="172">
        <f t="shared" si="128"/>
        <v>0</v>
      </c>
      <c r="P324" s="172">
        <f t="shared" si="129"/>
        <v>0</v>
      </c>
      <c r="T324" s="172">
        <v>0</v>
      </c>
    </row>
    <row r="325" spans="2:20" ht="15">
      <c r="B325" s="16" t="s">
        <v>229</v>
      </c>
      <c r="C325" s="200" t="s">
        <v>165</v>
      </c>
      <c r="D325" s="174">
        <v>0</v>
      </c>
      <c r="E325" s="174">
        <v>0</v>
      </c>
      <c r="F325" s="174">
        <v>0</v>
      </c>
      <c r="G325" s="174">
        <v>0</v>
      </c>
      <c r="H325" s="174">
        <v>0</v>
      </c>
      <c r="I325" s="174">
        <v>0</v>
      </c>
      <c r="J325" s="174">
        <v>0</v>
      </c>
      <c r="K325" s="172">
        <f t="shared" si="126"/>
        <v>0</v>
      </c>
      <c r="L325" s="172">
        <f t="shared" si="127"/>
        <v>0</v>
      </c>
      <c r="M325" s="26">
        <v>0</v>
      </c>
      <c r="N325" s="26">
        <v>0</v>
      </c>
      <c r="O325" s="172">
        <f t="shared" si="128"/>
        <v>0</v>
      </c>
      <c r="P325" s="172">
        <f t="shared" si="129"/>
        <v>0</v>
      </c>
      <c r="T325" s="172">
        <v>0</v>
      </c>
    </row>
    <row r="326" spans="4:20" ht="15">
      <c r="D326" s="212">
        <f aca="true" t="shared" si="130" ref="D326:P326">SUM(D317:D325)</f>
        <v>0</v>
      </c>
      <c r="E326" s="212">
        <f t="shared" si="130"/>
        <v>0</v>
      </c>
      <c r="F326" s="212">
        <f t="shared" si="130"/>
        <v>0</v>
      </c>
      <c r="G326" s="212">
        <f t="shared" si="130"/>
        <v>0</v>
      </c>
      <c r="H326" s="212">
        <f t="shared" si="130"/>
        <v>0</v>
      </c>
      <c r="I326" s="212">
        <f t="shared" si="130"/>
        <v>0</v>
      </c>
      <c r="J326" s="212">
        <f>SUM(J317:J325)</f>
        <v>0</v>
      </c>
      <c r="K326" s="189">
        <f t="shared" si="130"/>
        <v>0</v>
      </c>
      <c r="L326" s="189">
        <f t="shared" si="130"/>
        <v>0</v>
      </c>
      <c r="M326" s="212">
        <f t="shared" si="130"/>
        <v>0</v>
      </c>
      <c r="N326" s="212">
        <f t="shared" si="130"/>
        <v>0</v>
      </c>
      <c r="O326" s="189">
        <f t="shared" si="130"/>
        <v>0</v>
      </c>
      <c r="P326" s="189">
        <f t="shared" si="130"/>
        <v>0</v>
      </c>
      <c r="S326" s="189"/>
      <c r="T326" s="189">
        <v>0</v>
      </c>
    </row>
    <row r="327" spans="4:12" ht="15">
      <c r="D327" s="174"/>
      <c r="E327" s="174"/>
      <c r="F327" s="174"/>
      <c r="G327" s="174"/>
      <c r="H327" s="174"/>
      <c r="I327" s="174"/>
      <c r="J327" s="174"/>
      <c r="K327" s="176"/>
      <c r="L327" s="176"/>
    </row>
    <row r="328" spans="2:12" ht="15">
      <c r="B328" s="169" t="s">
        <v>324</v>
      </c>
      <c r="D328" s="174"/>
      <c r="E328" s="174"/>
      <c r="F328" s="174"/>
      <c r="G328" s="174"/>
      <c r="H328" s="174"/>
      <c r="I328" s="174"/>
      <c r="J328" s="174"/>
      <c r="K328" s="176"/>
      <c r="L328" s="176"/>
    </row>
    <row r="329" spans="2:20" ht="15">
      <c r="B329" s="16" t="s">
        <v>308</v>
      </c>
      <c r="C329" s="200"/>
      <c r="D329" s="174">
        <f aca="true" t="shared" si="131" ref="D329:J336">D285+D296+D307+D318</f>
        <v>0</v>
      </c>
      <c r="E329" s="174">
        <f t="shared" si="131"/>
        <v>0</v>
      </c>
      <c r="F329" s="174">
        <f t="shared" si="131"/>
        <v>0</v>
      </c>
      <c r="G329" s="174">
        <f t="shared" si="131"/>
        <v>0</v>
      </c>
      <c r="H329" s="174">
        <f t="shared" si="131"/>
        <v>0</v>
      </c>
      <c r="I329" s="174">
        <f>I285+I296+I307+I318</f>
        <v>0</v>
      </c>
      <c r="J329" s="174">
        <f t="shared" si="131"/>
        <v>0</v>
      </c>
      <c r="K329" s="172">
        <f aca="true" t="shared" si="132" ref="K329:K336">SUM(D329:J329)</f>
        <v>0</v>
      </c>
      <c r="L329" s="172">
        <f aca="true" t="shared" si="133" ref="L329:L336">K329</f>
        <v>0</v>
      </c>
      <c r="M329" s="26">
        <v>0</v>
      </c>
      <c r="N329" s="26">
        <v>0</v>
      </c>
      <c r="O329" s="172">
        <f aca="true" t="shared" si="134" ref="O329:O336">SUM(L329:N329)</f>
        <v>0</v>
      </c>
      <c r="P329" s="172">
        <f aca="true" t="shared" si="135" ref="P329:P336">O329</f>
        <v>0</v>
      </c>
      <c r="T329" s="172">
        <v>0</v>
      </c>
    </row>
    <row r="330" spans="2:20" ht="15">
      <c r="B330" s="16" t="s">
        <v>309</v>
      </c>
      <c r="C330" s="200"/>
      <c r="D330" s="174">
        <f t="shared" si="131"/>
        <v>0</v>
      </c>
      <c r="E330" s="174">
        <f t="shared" si="131"/>
        <v>0</v>
      </c>
      <c r="F330" s="174">
        <f t="shared" si="131"/>
        <v>0</v>
      </c>
      <c r="G330" s="174">
        <v>0</v>
      </c>
      <c r="H330" s="174">
        <f t="shared" si="131"/>
        <v>0</v>
      </c>
      <c r="I330" s="174">
        <f t="shared" si="131"/>
        <v>0</v>
      </c>
      <c r="J330" s="174">
        <f t="shared" si="131"/>
        <v>0</v>
      </c>
      <c r="K330" s="172">
        <f t="shared" si="132"/>
        <v>0</v>
      </c>
      <c r="L330" s="172">
        <f t="shared" si="133"/>
        <v>0</v>
      </c>
      <c r="M330" s="26">
        <v>0</v>
      </c>
      <c r="N330" s="26">
        <v>0</v>
      </c>
      <c r="O330" s="172">
        <f t="shared" si="134"/>
        <v>0</v>
      </c>
      <c r="P330" s="172">
        <f t="shared" si="135"/>
        <v>0</v>
      </c>
      <c r="T330" s="172">
        <v>0</v>
      </c>
    </row>
    <row r="331" spans="2:20" ht="15">
      <c r="B331" s="16" t="s">
        <v>310</v>
      </c>
      <c r="C331" s="200"/>
      <c r="D331" s="174">
        <f t="shared" si="131"/>
        <v>0</v>
      </c>
      <c r="E331" s="174">
        <f t="shared" si="131"/>
        <v>0</v>
      </c>
      <c r="F331" s="174">
        <f t="shared" si="131"/>
        <v>0</v>
      </c>
      <c r="G331" s="174">
        <f t="shared" si="131"/>
        <v>-375675</v>
      </c>
      <c r="H331" s="174">
        <f t="shared" si="131"/>
        <v>0</v>
      </c>
      <c r="I331" s="174">
        <f t="shared" si="131"/>
        <v>0</v>
      </c>
      <c r="J331" s="174">
        <f t="shared" si="131"/>
        <v>0</v>
      </c>
      <c r="K331" s="172">
        <f t="shared" si="132"/>
        <v>-375675</v>
      </c>
      <c r="L331" s="172">
        <f t="shared" si="133"/>
        <v>-375675</v>
      </c>
      <c r="M331" s="26">
        <v>0</v>
      </c>
      <c r="N331" s="26">
        <v>0</v>
      </c>
      <c r="O331" s="172">
        <f t="shared" si="134"/>
        <v>-375675</v>
      </c>
      <c r="P331" s="172">
        <f t="shared" si="135"/>
        <v>-375675</v>
      </c>
      <c r="T331" s="172">
        <v>-363152</v>
      </c>
    </row>
    <row r="332" spans="2:20" ht="15">
      <c r="B332" s="16" t="s">
        <v>311</v>
      </c>
      <c r="C332" s="200"/>
      <c r="D332" s="174">
        <f t="shared" si="131"/>
        <v>0</v>
      </c>
      <c r="E332" s="174">
        <f t="shared" si="131"/>
        <v>0</v>
      </c>
      <c r="F332" s="174">
        <f t="shared" si="131"/>
        <v>0</v>
      </c>
      <c r="G332" s="174">
        <f t="shared" si="131"/>
        <v>0</v>
      </c>
      <c r="H332" s="174">
        <f t="shared" si="131"/>
        <v>0</v>
      </c>
      <c r="I332" s="174">
        <f t="shared" si="131"/>
        <v>0</v>
      </c>
      <c r="J332" s="174">
        <f t="shared" si="131"/>
        <v>0</v>
      </c>
      <c r="K332" s="172">
        <f t="shared" si="132"/>
        <v>0</v>
      </c>
      <c r="L332" s="172">
        <f t="shared" si="133"/>
        <v>0</v>
      </c>
      <c r="M332" s="26">
        <v>0</v>
      </c>
      <c r="N332" s="26">
        <v>0</v>
      </c>
      <c r="O332" s="172">
        <f t="shared" si="134"/>
        <v>0</v>
      </c>
      <c r="P332" s="172">
        <f t="shared" si="135"/>
        <v>0</v>
      </c>
      <c r="T332" s="172">
        <v>0</v>
      </c>
    </row>
    <row r="333" spans="2:20" ht="15">
      <c r="B333" s="16" t="s">
        <v>312</v>
      </c>
      <c r="C333" s="200"/>
      <c r="D333" s="174">
        <f t="shared" si="131"/>
        <v>-30245</v>
      </c>
      <c r="E333" s="174">
        <f t="shared" si="131"/>
        <v>0</v>
      </c>
      <c r="F333" s="174">
        <f t="shared" si="131"/>
        <v>-106812</v>
      </c>
      <c r="G333" s="174">
        <f t="shared" si="131"/>
        <v>-1348964</v>
      </c>
      <c r="H333" s="174">
        <f t="shared" si="131"/>
        <v>0</v>
      </c>
      <c r="I333" s="174">
        <f t="shared" si="131"/>
        <v>0</v>
      </c>
      <c r="J333" s="174">
        <f t="shared" si="131"/>
        <v>0</v>
      </c>
      <c r="K333" s="172">
        <f t="shared" si="132"/>
        <v>-1486021</v>
      </c>
      <c r="L333" s="172">
        <f t="shared" si="133"/>
        <v>-1486021</v>
      </c>
      <c r="M333" s="26">
        <v>0</v>
      </c>
      <c r="N333" s="26">
        <v>0</v>
      </c>
      <c r="O333" s="172">
        <f t="shared" si="134"/>
        <v>-1486021</v>
      </c>
      <c r="P333" s="172">
        <f t="shared" si="135"/>
        <v>-1486021</v>
      </c>
      <c r="T333" s="172">
        <v>-1429436</v>
      </c>
    </row>
    <row r="334" spans="2:20" ht="15">
      <c r="B334" s="16" t="s">
        <v>313</v>
      </c>
      <c r="C334" s="200"/>
      <c r="D334" s="174">
        <f t="shared" si="131"/>
        <v>-22006</v>
      </c>
      <c r="E334" s="174">
        <f t="shared" si="131"/>
        <v>0</v>
      </c>
      <c r="F334" s="174">
        <f t="shared" si="131"/>
        <v>-115917</v>
      </c>
      <c r="G334" s="174">
        <f t="shared" si="131"/>
        <v>-474223</v>
      </c>
      <c r="H334" s="174">
        <f t="shared" si="131"/>
        <v>0</v>
      </c>
      <c r="I334" s="174">
        <f t="shared" si="131"/>
        <v>0</v>
      </c>
      <c r="J334" s="174">
        <f t="shared" si="131"/>
        <v>-55336</v>
      </c>
      <c r="K334" s="172">
        <f t="shared" si="132"/>
        <v>-667482</v>
      </c>
      <c r="L334" s="172">
        <f t="shared" si="133"/>
        <v>-667482</v>
      </c>
      <c r="M334" s="26">
        <v>0</v>
      </c>
      <c r="N334" s="26">
        <v>0</v>
      </c>
      <c r="O334" s="172">
        <f t="shared" si="134"/>
        <v>-667482</v>
      </c>
      <c r="P334" s="172">
        <f t="shared" si="135"/>
        <v>-667482</v>
      </c>
      <c r="T334" s="172">
        <v>-639715</v>
      </c>
    </row>
    <row r="335" spans="2:20" ht="15">
      <c r="B335" s="16" t="s">
        <v>314</v>
      </c>
      <c r="C335" s="200"/>
      <c r="D335" s="174">
        <f t="shared" si="131"/>
        <v>0</v>
      </c>
      <c r="E335" s="174">
        <f t="shared" si="131"/>
        <v>0</v>
      </c>
      <c r="F335" s="174">
        <f t="shared" si="131"/>
        <v>0</v>
      </c>
      <c r="G335" s="174">
        <f>G291+G302+G313+G324</f>
        <v>-1051024</v>
      </c>
      <c r="H335" s="174">
        <f t="shared" si="131"/>
        <v>0</v>
      </c>
      <c r="I335" s="174">
        <f t="shared" si="131"/>
        <v>0</v>
      </c>
      <c r="J335" s="174">
        <f t="shared" si="131"/>
        <v>-1280</v>
      </c>
      <c r="K335" s="172">
        <f t="shared" si="132"/>
        <v>-1052304</v>
      </c>
      <c r="L335" s="172">
        <f t="shared" si="133"/>
        <v>-1052304</v>
      </c>
      <c r="M335" s="26">
        <v>0</v>
      </c>
      <c r="N335" s="26">
        <v>0</v>
      </c>
      <c r="O335" s="172">
        <f t="shared" si="134"/>
        <v>-1052304</v>
      </c>
      <c r="P335" s="172">
        <f t="shared" si="135"/>
        <v>-1052304</v>
      </c>
      <c r="T335" s="172">
        <v>-1011873</v>
      </c>
    </row>
    <row r="336" spans="2:20" ht="15">
      <c r="B336" s="16" t="s">
        <v>229</v>
      </c>
      <c r="C336" s="200"/>
      <c r="D336" s="174">
        <f t="shared" si="131"/>
        <v>0</v>
      </c>
      <c r="E336" s="174">
        <f t="shared" si="131"/>
        <v>0</v>
      </c>
      <c r="F336" s="174">
        <f t="shared" si="131"/>
        <v>0</v>
      </c>
      <c r="G336" s="174">
        <f t="shared" si="131"/>
        <v>0</v>
      </c>
      <c r="H336" s="174">
        <f t="shared" si="131"/>
        <v>0</v>
      </c>
      <c r="I336" s="174">
        <f t="shared" si="131"/>
        <v>0</v>
      </c>
      <c r="J336" s="174">
        <f t="shared" si="131"/>
        <v>0</v>
      </c>
      <c r="K336" s="172">
        <f t="shared" si="132"/>
        <v>0</v>
      </c>
      <c r="L336" s="172">
        <f t="shared" si="133"/>
        <v>0</v>
      </c>
      <c r="M336" s="26">
        <v>0</v>
      </c>
      <c r="N336" s="26">
        <v>0</v>
      </c>
      <c r="O336" s="172">
        <f t="shared" si="134"/>
        <v>0</v>
      </c>
      <c r="P336" s="172">
        <f t="shared" si="135"/>
        <v>0</v>
      </c>
      <c r="T336" s="172">
        <v>0</v>
      </c>
    </row>
    <row r="337" spans="4:20" ht="15">
      <c r="D337" s="212">
        <f aca="true" t="shared" si="136" ref="D337:P337">SUM(D328:D336)</f>
        <v>-52251</v>
      </c>
      <c r="E337" s="212">
        <f t="shared" si="136"/>
        <v>0</v>
      </c>
      <c r="F337" s="212">
        <f t="shared" si="136"/>
        <v>-222729</v>
      </c>
      <c r="G337" s="212">
        <f t="shared" si="136"/>
        <v>-3249886</v>
      </c>
      <c r="H337" s="212">
        <f t="shared" si="136"/>
        <v>0</v>
      </c>
      <c r="I337" s="212">
        <f t="shared" si="136"/>
        <v>0</v>
      </c>
      <c r="J337" s="212">
        <f>SUM(J328:J336)</f>
        <v>-56616</v>
      </c>
      <c r="K337" s="189">
        <f>SUM(K329:K336)</f>
        <v>-3581482</v>
      </c>
      <c r="L337" s="189">
        <f t="shared" si="136"/>
        <v>-3581482</v>
      </c>
      <c r="M337" s="212">
        <f t="shared" si="136"/>
        <v>0</v>
      </c>
      <c r="N337" s="212">
        <f t="shared" si="136"/>
        <v>0</v>
      </c>
      <c r="O337" s="189">
        <f t="shared" si="136"/>
        <v>-3581482</v>
      </c>
      <c r="P337" s="189">
        <f t="shared" si="136"/>
        <v>-3581482</v>
      </c>
      <c r="S337" s="189"/>
      <c r="T337" s="189">
        <v>-3444176</v>
      </c>
    </row>
    <row r="338" spans="4:12" ht="15">
      <c r="D338" s="174"/>
      <c r="E338" s="174"/>
      <c r="F338" s="174"/>
      <c r="G338" s="174"/>
      <c r="H338" s="174"/>
      <c r="I338" s="174"/>
      <c r="J338" s="174"/>
      <c r="K338" s="176"/>
      <c r="L338" s="176"/>
    </row>
    <row r="339" spans="4:12" ht="15">
      <c r="D339" s="174"/>
      <c r="E339" s="174"/>
      <c r="F339" s="174"/>
      <c r="G339" s="174"/>
      <c r="H339" s="174"/>
      <c r="I339" s="174"/>
      <c r="J339" s="174"/>
      <c r="K339" s="176"/>
      <c r="L339" s="176"/>
    </row>
    <row r="340" spans="2:12" ht="15">
      <c r="B340" s="169" t="s">
        <v>325</v>
      </c>
      <c r="D340" s="174"/>
      <c r="E340" s="174"/>
      <c r="F340" s="174"/>
      <c r="G340" s="174"/>
      <c r="H340" s="174"/>
      <c r="I340" s="174"/>
      <c r="J340" s="174"/>
      <c r="K340" s="176"/>
      <c r="L340" s="176"/>
    </row>
    <row r="341" spans="2:12" ht="15">
      <c r="B341" s="169" t="s">
        <v>326</v>
      </c>
      <c r="D341" s="174"/>
      <c r="E341" s="174"/>
      <c r="F341" s="174"/>
      <c r="G341" s="174"/>
      <c r="H341" s="174"/>
      <c r="I341" s="174"/>
      <c r="J341" s="174"/>
      <c r="K341" s="176"/>
      <c r="L341" s="176"/>
    </row>
    <row r="342" spans="2:20" ht="15">
      <c r="B342" s="16" t="s">
        <v>308</v>
      </c>
      <c r="D342" s="174">
        <f aca="true" t="shared" si="137" ref="D342:J349">D273+D329</f>
        <v>0</v>
      </c>
      <c r="E342" s="174">
        <f t="shared" si="137"/>
        <v>0</v>
      </c>
      <c r="F342" s="174">
        <f t="shared" si="137"/>
        <v>0</v>
      </c>
      <c r="G342" s="174">
        <f t="shared" si="137"/>
        <v>0</v>
      </c>
      <c r="H342" s="174">
        <f t="shared" si="137"/>
        <v>0</v>
      </c>
      <c r="I342" s="174">
        <f>I273+I329</f>
        <v>0</v>
      </c>
      <c r="J342" s="174">
        <f t="shared" si="137"/>
        <v>0</v>
      </c>
      <c r="K342" s="172">
        <f aca="true" t="shared" si="138" ref="K342:K349">SUM(D342:J342)</f>
        <v>0</v>
      </c>
      <c r="L342" s="172">
        <f aca="true" t="shared" si="139" ref="L342:L349">K342</f>
        <v>0</v>
      </c>
      <c r="M342" s="26">
        <v>0</v>
      </c>
      <c r="N342" s="26">
        <v>0</v>
      </c>
      <c r="O342" s="172">
        <f aca="true" t="shared" si="140" ref="O342:O349">SUM(L342:N342)</f>
        <v>0</v>
      </c>
      <c r="P342" s="172">
        <f aca="true" t="shared" si="141" ref="P342:P349">O342</f>
        <v>0</v>
      </c>
      <c r="T342" s="172">
        <v>0</v>
      </c>
    </row>
    <row r="343" spans="2:20" ht="15">
      <c r="B343" s="16" t="s">
        <v>309</v>
      </c>
      <c r="D343" s="174">
        <f t="shared" si="137"/>
        <v>0</v>
      </c>
      <c r="E343" s="174">
        <f t="shared" si="137"/>
        <v>0</v>
      </c>
      <c r="F343" s="174">
        <f t="shared" si="137"/>
        <v>0</v>
      </c>
      <c r="G343" s="174">
        <f t="shared" si="137"/>
        <v>0</v>
      </c>
      <c r="H343" s="174">
        <f t="shared" si="137"/>
        <v>0</v>
      </c>
      <c r="I343" s="174">
        <f t="shared" si="137"/>
        <v>0</v>
      </c>
      <c r="J343" s="174">
        <f t="shared" si="137"/>
        <v>0</v>
      </c>
      <c r="K343" s="172">
        <f t="shared" si="138"/>
        <v>0</v>
      </c>
      <c r="L343" s="172">
        <f t="shared" si="139"/>
        <v>0</v>
      </c>
      <c r="M343" s="26">
        <v>0</v>
      </c>
      <c r="N343" s="26">
        <v>0</v>
      </c>
      <c r="O343" s="172">
        <f t="shared" si="140"/>
        <v>0</v>
      </c>
      <c r="P343" s="172">
        <f t="shared" si="141"/>
        <v>0</v>
      </c>
      <c r="T343" s="172">
        <v>0</v>
      </c>
    </row>
    <row r="344" spans="2:20" ht="15">
      <c r="B344" s="16" t="s">
        <v>310</v>
      </c>
      <c r="D344" s="174">
        <f t="shared" si="137"/>
        <v>0</v>
      </c>
      <c r="E344" s="174">
        <f t="shared" si="137"/>
        <v>0</v>
      </c>
      <c r="F344" s="174">
        <f t="shared" si="137"/>
        <v>0</v>
      </c>
      <c r="G344" s="174">
        <f t="shared" si="137"/>
        <v>3381075</v>
      </c>
      <c r="H344" s="174">
        <f t="shared" si="137"/>
        <v>0</v>
      </c>
      <c r="I344" s="174">
        <f t="shared" si="137"/>
        <v>0</v>
      </c>
      <c r="J344" s="174">
        <f t="shared" si="137"/>
        <v>0</v>
      </c>
      <c r="K344" s="172">
        <f t="shared" si="138"/>
        <v>3381075</v>
      </c>
      <c r="L344" s="172">
        <f t="shared" si="139"/>
        <v>3381075</v>
      </c>
      <c r="M344" s="26">
        <v>0</v>
      </c>
      <c r="N344" s="26">
        <v>0</v>
      </c>
      <c r="O344" s="172">
        <f t="shared" si="140"/>
        <v>3381075</v>
      </c>
      <c r="P344" s="172">
        <f t="shared" si="141"/>
        <v>3381075</v>
      </c>
      <c r="T344" s="172">
        <v>3393598</v>
      </c>
    </row>
    <row r="345" spans="2:20" ht="15">
      <c r="B345" s="16" t="s">
        <v>311</v>
      </c>
      <c r="D345" s="174">
        <f t="shared" si="137"/>
        <v>0</v>
      </c>
      <c r="E345" s="174">
        <f t="shared" si="137"/>
        <v>0</v>
      </c>
      <c r="F345" s="174">
        <f t="shared" si="137"/>
        <v>0</v>
      </c>
      <c r="G345" s="174">
        <f t="shared" si="137"/>
        <v>0</v>
      </c>
      <c r="H345" s="174">
        <f t="shared" si="137"/>
        <v>0</v>
      </c>
      <c r="I345" s="174">
        <f t="shared" si="137"/>
        <v>0</v>
      </c>
      <c r="J345" s="174">
        <f t="shared" si="137"/>
        <v>0</v>
      </c>
      <c r="K345" s="172">
        <f t="shared" si="138"/>
        <v>0</v>
      </c>
      <c r="L345" s="172">
        <f t="shared" si="139"/>
        <v>0</v>
      </c>
      <c r="M345" s="26">
        <v>0</v>
      </c>
      <c r="N345" s="26">
        <v>0</v>
      </c>
      <c r="O345" s="172">
        <f t="shared" si="140"/>
        <v>0</v>
      </c>
      <c r="P345" s="172">
        <f t="shared" si="141"/>
        <v>0</v>
      </c>
      <c r="T345" s="172">
        <v>0</v>
      </c>
    </row>
    <row r="346" spans="2:20" ht="15">
      <c r="B346" s="16" t="s">
        <v>312</v>
      </c>
      <c r="D346" s="174">
        <f t="shared" si="137"/>
        <v>65264</v>
      </c>
      <c r="E346" s="174">
        <f t="shared" si="137"/>
        <v>0</v>
      </c>
      <c r="F346" s="174">
        <f t="shared" si="137"/>
        <v>4</v>
      </c>
      <c r="G346" s="174">
        <f t="shared" si="137"/>
        <v>253095</v>
      </c>
      <c r="H346" s="174">
        <f t="shared" si="137"/>
        <v>0</v>
      </c>
      <c r="I346" s="174">
        <f t="shared" si="137"/>
        <v>0</v>
      </c>
      <c r="J346" s="174">
        <f t="shared" si="137"/>
        <v>0</v>
      </c>
      <c r="K346" s="172">
        <f t="shared" si="138"/>
        <v>318363</v>
      </c>
      <c r="L346" s="172">
        <f t="shared" si="139"/>
        <v>318363</v>
      </c>
      <c r="M346" s="26">
        <v>0</v>
      </c>
      <c r="N346" s="26">
        <v>0</v>
      </c>
      <c r="O346" s="172">
        <f t="shared" si="140"/>
        <v>318363</v>
      </c>
      <c r="P346" s="172">
        <f t="shared" si="141"/>
        <v>318363</v>
      </c>
      <c r="T346" s="172">
        <v>374948</v>
      </c>
    </row>
    <row r="347" spans="2:20" ht="15">
      <c r="B347" s="16" t="s">
        <v>313</v>
      </c>
      <c r="D347" s="174">
        <f t="shared" si="137"/>
        <v>129172</v>
      </c>
      <c r="E347" s="174">
        <f t="shared" si="137"/>
        <v>0</v>
      </c>
      <c r="F347" s="174">
        <f t="shared" si="137"/>
        <v>28987</v>
      </c>
      <c r="G347" s="174">
        <f t="shared" si="137"/>
        <v>596807</v>
      </c>
      <c r="H347" s="174">
        <f t="shared" si="137"/>
        <v>0</v>
      </c>
      <c r="I347" s="174">
        <f t="shared" si="137"/>
        <v>0</v>
      </c>
      <c r="J347" s="174">
        <f t="shared" si="137"/>
        <v>151583</v>
      </c>
      <c r="K347" s="172">
        <f t="shared" si="138"/>
        <v>906549</v>
      </c>
      <c r="L347" s="172">
        <f t="shared" si="139"/>
        <v>906549</v>
      </c>
      <c r="M347" s="26">
        <v>0</v>
      </c>
      <c r="N347" s="26">
        <v>0</v>
      </c>
      <c r="O347" s="172">
        <f t="shared" si="140"/>
        <v>906549</v>
      </c>
      <c r="P347" s="172">
        <f t="shared" si="141"/>
        <v>906549</v>
      </c>
      <c r="T347" s="172">
        <v>878952</v>
      </c>
    </row>
    <row r="348" spans="2:20" ht="15">
      <c r="B348" s="16" t="s">
        <v>314</v>
      </c>
      <c r="D348" s="174">
        <f t="shared" si="137"/>
        <v>0</v>
      </c>
      <c r="E348" s="174">
        <f t="shared" si="137"/>
        <v>0</v>
      </c>
      <c r="F348" s="174">
        <f t="shared" si="137"/>
        <v>0</v>
      </c>
      <c r="G348" s="174">
        <f t="shared" si="137"/>
        <v>1373225</v>
      </c>
      <c r="H348" s="174">
        <f t="shared" si="137"/>
        <v>0</v>
      </c>
      <c r="I348" s="174">
        <f t="shared" si="137"/>
        <v>0</v>
      </c>
      <c r="J348" s="174">
        <f t="shared" si="137"/>
        <v>320</v>
      </c>
      <c r="K348" s="172">
        <f t="shared" si="138"/>
        <v>1373545</v>
      </c>
      <c r="L348" s="172">
        <f t="shared" si="139"/>
        <v>1373545</v>
      </c>
      <c r="M348" s="26">
        <v>0</v>
      </c>
      <c r="N348" s="26">
        <v>0</v>
      </c>
      <c r="O348" s="172">
        <f t="shared" si="140"/>
        <v>1373545</v>
      </c>
      <c r="P348" s="172">
        <f t="shared" si="141"/>
        <v>1373545</v>
      </c>
      <c r="T348" s="172">
        <v>1413976</v>
      </c>
    </row>
    <row r="349" spans="2:20" ht="15">
      <c r="B349" s="16" t="s">
        <v>229</v>
      </c>
      <c r="D349" s="174">
        <f t="shared" si="137"/>
        <v>0</v>
      </c>
      <c r="E349" s="174">
        <f t="shared" si="137"/>
        <v>0</v>
      </c>
      <c r="F349" s="174">
        <f t="shared" si="137"/>
        <v>0</v>
      </c>
      <c r="G349" s="174">
        <f t="shared" si="137"/>
        <v>0</v>
      </c>
      <c r="H349" s="174">
        <f t="shared" si="137"/>
        <v>0</v>
      </c>
      <c r="I349" s="174">
        <f t="shared" si="137"/>
        <v>0</v>
      </c>
      <c r="J349" s="174">
        <f t="shared" si="137"/>
        <v>0</v>
      </c>
      <c r="K349" s="172">
        <f t="shared" si="138"/>
        <v>0</v>
      </c>
      <c r="L349" s="172">
        <f t="shared" si="139"/>
        <v>0</v>
      </c>
      <c r="M349" s="26">
        <v>0</v>
      </c>
      <c r="N349" s="26">
        <v>0</v>
      </c>
      <c r="O349" s="172">
        <f t="shared" si="140"/>
        <v>0</v>
      </c>
      <c r="P349" s="172">
        <f t="shared" si="141"/>
        <v>0</v>
      </c>
      <c r="T349" s="172">
        <v>0</v>
      </c>
    </row>
    <row r="350" spans="3:20" s="169" customFormat="1" ht="15">
      <c r="C350" s="170"/>
      <c r="D350" s="189">
        <f aca="true" t="shared" si="142" ref="D350:P350">SUM(D341:D349)</f>
        <v>194436</v>
      </c>
      <c r="E350" s="189">
        <f t="shared" si="142"/>
        <v>0</v>
      </c>
      <c r="F350" s="189">
        <f t="shared" si="142"/>
        <v>28991</v>
      </c>
      <c r="G350" s="189">
        <f t="shared" si="142"/>
        <v>5604202</v>
      </c>
      <c r="H350" s="189">
        <f t="shared" si="142"/>
        <v>0</v>
      </c>
      <c r="I350" s="189">
        <f t="shared" si="142"/>
        <v>0</v>
      </c>
      <c r="J350" s="212">
        <f>SUM(J341:J349)</f>
        <v>151903</v>
      </c>
      <c r="K350" s="189">
        <f t="shared" si="142"/>
        <v>5979532</v>
      </c>
      <c r="L350" s="189">
        <f t="shared" si="142"/>
        <v>5979532</v>
      </c>
      <c r="M350" s="189">
        <f t="shared" si="142"/>
        <v>0</v>
      </c>
      <c r="N350" s="189">
        <f t="shared" si="142"/>
        <v>0</v>
      </c>
      <c r="O350" s="189">
        <f t="shared" si="142"/>
        <v>5979532</v>
      </c>
      <c r="P350" s="189">
        <f t="shared" si="142"/>
        <v>5979532</v>
      </c>
      <c r="Q350" s="174"/>
      <c r="S350" s="189"/>
      <c r="T350" s="189">
        <v>6061474</v>
      </c>
    </row>
    <row r="351" spans="4:12" ht="15">
      <c r="D351" s="174"/>
      <c r="E351" s="174"/>
      <c r="F351" s="174"/>
      <c r="G351" s="174"/>
      <c r="H351" s="174"/>
      <c r="I351" s="174"/>
      <c r="J351" s="174"/>
      <c r="K351" s="176"/>
      <c r="L351" s="176"/>
    </row>
    <row r="352" spans="2:12" ht="15">
      <c r="B352" s="169" t="s">
        <v>327</v>
      </c>
      <c r="D352" s="174"/>
      <c r="E352" s="174"/>
      <c r="F352" s="174"/>
      <c r="G352" s="174"/>
      <c r="H352" s="174"/>
      <c r="I352" s="174"/>
      <c r="J352" s="174"/>
      <c r="K352" s="176"/>
      <c r="L352" s="176"/>
    </row>
    <row r="353" spans="2:12" ht="15">
      <c r="B353" s="169" t="s">
        <v>185</v>
      </c>
      <c r="D353" s="174"/>
      <c r="E353" s="174"/>
      <c r="F353" s="174"/>
      <c r="G353" s="174"/>
      <c r="H353" s="174"/>
      <c r="I353" s="174"/>
      <c r="J353" s="174"/>
      <c r="K353" s="176"/>
      <c r="L353" s="176"/>
    </row>
    <row r="354" spans="2:12" ht="15">
      <c r="B354" s="214" t="s">
        <v>328</v>
      </c>
      <c r="D354" s="174"/>
      <c r="E354" s="174"/>
      <c r="F354" s="174"/>
      <c r="G354" s="174"/>
      <c r="H354" s="174"/>
      <c r="I354" s="174"/>
      <c r="J354" s="174"/>
      <c r="K354" s="176"/>
      <c r="L354" s="176"/>
    </row>
    <row r="355" spans="2:20" ht="15">
      <c r="B355" s="16" t="s">
        <v>329</v>
      </c>
      <c r="C355" s="200" t="s">
        <v>165</v>
      </c>
      <c r="D355" s="174">
        <v>295960000</v>
      </c>
      <c r="E355" s="174">
        <v>51000000</v>
      </c>
      <c r="F355" s="174">
        <v>0</v>
      </c>
      <c r="G355" s="174">
        <v>550</v>
      </c>
      <c r="H355" s="174">
        <v>0</v>
      </c>
      <c r="I355" s="174">
        <v>10000000</v>
      </c>
      <c r="J355" s="174">
        <v>0</v>
      </c>
      <c r="K355" s="172">
        <f>SUM(D355:J355)</f>
        <v>356960550</v>
      </c>
      <c r="L355" s="172">
        <f>K355</f>
        <v>356960550</v>
      </c>
      <c r="M355" s="26">
        <v>0</v>
      </c>
      <c r="N355" s="26">
        <f>+'[2] ConsoJL'!H438-M363</f>
        <v>-356960550</v>
      </c>
      <c r="O355" s="172">
        <f>N355+M355+L355</f>
        <v>0</v>
      </c>
      <c r="P355" s="172">
        <f>O355</f>
        <v>0</v>
      </c>
      <c r="T355" s="172">
        <v>0</v>
      </c>
    </row>
    <row r="356" spans="2:20" ht="15">
      <c r="B356" s="16" t="s">
        <v>330</v>
      </c>
      <c r="C356" s="200" t="s">
        <v>165</v>
      </c>
      <c r="D356" s="174">
        <v>0</v>
      </c>
      <c r="E356" s="174">
        <v>0</v>
      </c>
      <c r="F356" s="174">
        <v>0</v>
      </c>
      <c r="G356" s="174">
        <v>0</v>
      </c>
      <c r="H356" s="174">
        <v>0</v>
      </c>
      <c r="I356" s="174">
        <v>0</v>
      </c>
      <c r="J356" s="174">
        <v>0</v>
      </c>
      <c r="K356" s="172">
        <f>SUM(D356:J356)</f>
        <v>0</v>
      </c>
      <c r="L356" s="172">
        <f>K356</f>
        <v>0</v>
      </c>
      <c r="M356" s="26">
        <v>0</v>
      </c>
      <c r="N356" s="26">
        <f>+'[2] ConsoJL'!H441</f>
        <v>0</v>
      </c>
      <c r="O356" s="172">
        <f>SUM(L356:N356)</f>
        <v>0</v>
      </c>
      <c r="P356" s="172">
        <f>O356</f>
        <v>0</v>
      </c>
      <c r="T356" s="172">
        <v>0</v>
      </c>
    </row>
    <row r="357" spans="2:20" ht="15">
      <c r="B357" s="16" t="s">
        <v>331</v>
      </c>
      <c r="C357" s="200" t="s">
        <v>165</v>
      </c>
      <c r="D357" s="174">
        <v>0</v>
      </c>
      <c r="E357" s="174">
        <v>0</v>
      </c>
      <c r="F357" s="174">
        <v>0</v>
      </c>
      <c r="G357" s="174">
        <v>0</v>
      </c>
      <c r="H357" s="174">
        <v>0</v>
      </c>
      <c r="I357" s="174">
        <v>0</v>
      </c>
      <c r="J357" s="174">
        <v>0</v>
      </c>
      <c r="K357" s="172">
        <f>SUM(D357:J357)</f>
        <v>0</v>
      </c>
      <c r="L357" s="172">
        <f>K357</f>
        <v>0</v>
      </c>
      <c r="M357" s="26">
        <v>0</v>
      </c>
      <c r="N357" s="26">
        <v>0</v>
      </c>
      <c r="O357" s="172">
        <f>SUM(L357:N357)</f>
        <v>0</v>
      </c>
      <c r="P357" s="172">
        <f>O357</f>
        <v>0</v>
      </c>
      <c r="T357" s="172">
        <v>0</v>
      </c>
    </row>
    <row r="358" spans="2:20" ht="15">
      <c r="B358" s="16" t="s">
        <v>332</v>
      </c>
      <c r="C358" s="200" t="s">
        <v>165</v>
      </c>
      <c r="D358" s="26">
        <v>0</v>
      </c>
      <c r="E358" s="26">
        <v>0</v>
      </c>
      <c r="F358" s="26">
        <v>0</v>
      </c>
      <c r="G358" s="174">
        <v>0</v>
      </c>
      <c r="K358" s="172">
        <f>SUM(D358:J358)</f>
        <v>0</v>
      </c>
      <c r="L358" s="172">
        <f>K358</f>
        <v>0</v>
      </c>
      <c r="M358" s="26">
        <v>0</v>
      </c>
      <c r="N358" s="26">
        <v>0</v>
      </c>
      <c r="O358" s="172">
        <f>SUM(L358:N358)</f>
        <v>0</v>
      </c>
      <c r="P358" s="172">
        <f>O358</f>
        <v>0</v>
      </c>
      <c r="T358" s="172">
        <v>0</v>
      </c>
    </row>
    <row r="359" spans="2:20" ht="15">
      <c r="B359" s="16" t="s">
        <v>333</v>
      </c>
      <c r="C359" s="204" t="s">
        <v>334</v>
      </c>
      <c r="D359" s="189">
        <f aca="true" t="shared" si="143" ref="D359:P359">SUM(D353:D358)</f>
        <v>295960000</v>
      </c>
      <c r="E359" s="189">
        <f t="shared" si="143"/>
        <v>51000000</v>
      </c>
      <c r="F359" s="189">
        <f t="shared" si="143"/>
        <v>0</v>
      </c>
      <c r="G359" s="189">
        <f t="shared" si="143"/>
        <v>550</v>
      </c>
      <c r="H359" s="189">
        <f t="shared" si="143"/>
        <v>0</v>
      </c>
      <c r="I359" s="189">
        <f t="shared" si="143"/>
        <v>10000000</v>
      </c>
      <c r="J359" s="189">
        <f>SUM(J353:J358)</f>
        <v>0</v>
      </c>
      <c r="K359" s="189">
        <f t="shared" si="143"/>
        <v>356960550</v>
      </c>
      <c r="L359" s="189">
        <f t="shared" si="143"/>
        <v>356960550</v>
      </c>
      <c r="M359" s="189">
        <f t="shared" si="143"/>
        <v>0</v>
      </c>
      <c r="N359" s="189">
        <f t="shared" si="143"/>
        <v>-356960550</v>
      </c>
      <c r="O359" s="189">
        <f>SUM(O353:O358)</f>
        <v>0</v>
      </c>
      <c r="P359" s="189">
        <f t="shared" si="143"/>
        <v>0</v>
      </c>
      <c r="S359" s="189"/>
      <c r="T359" s="189">
        <v>0</v>
      </c>
    </row>
    <row r="360" spans="4:12" ht="15">
      <c r="D360" s="174"/>
      <c r="E360" s="174"/>
      <c r="F360" s="174"/>
      <c r="G360" s="174"/>
      <c r="H360" s="174"/>
      <c r="I360" s="174"/>
      <c r="J360" s="174"/>
      <c r="K360" s="176"/>
      <c r="L360" s="176"/>
    </row>
    <row r="361" spans="2:12" ht="15">
      <c r="B361" s="214" t="s">
        <v>335</v>
      </c>
      <c r="D361" s="174"/>
      <c r="E361" s="174"/>
      <c r="F361" s="174"/>
      <c r="G361" s="174"/>
      <c r="H361" s="174"/>
      <c r="I361" s="174"/>
      <c r="J361" s="174"/>
      <c r="K361" s="176"/>
      <c r="L361" s="176"/>
    </row>
    <row r="362" spans="2:20" ht="15">
      <c r="B362" s="16" t="s">
        <v>320</v>
      </c>
      <c r="C362" s="200" t="s">
        <v>165</v>
      </c>
      <c r="D362" s="174">
        <v>0</v>
      </c>
      <c r="E362" s="174">
        <v>0</v>
      </c>
      <c r="F362" s="174">
        <v>0</v>
      </c>
      <c r="G362" s="174">
        <f>0</f>
        <v>0</v>
      </c>
      <c r="H362" s="174">
        <v>0</v>
      </c>
      <c r="I362" s="174">
        <v>0</v>
      </c>
      <c r="J362" s="174">
        <v>0</v>
      </c>
      <c r="K362" s="172">
        <f>SUM(D362:J362)</f>
        <v>0</v>
      </c>
      <c r="L362" s="172">
        <f>K362</f>
        <v>0</v>
      </c>
      <c r="O362" s="172">
        <f>SUM(L362:N362)</f>
        <v>0</v>
      </c>
      <c r="P362" s="172">
        <f>O362</f>
        <v>0</v>
      </c>
      <c r="T362" s="172">
        <v>0</v>
      </c>
    </row>
    <row r="363" spans="2:20" ht="15">
      <c r="B363" s="16" t="s">
        <v>336</v>
      </c>
      <c r="C363" s="200" t="s">
        <v>165</v>
      </c>
      <c r="D363" s="174">
        <v>0</v>
      </c>
      <c r="E363" s="174">
        <v>0</v>
      </c>
      <c r="F363" s="174">
        <v>0</v>
      </c>
      <c r="G363" s="174">
        <v>0</v>
      </c>
      <c r="H363" s="174">
        <v>0</v>
      </c>
      <c r="I363" s="174">
        <v>0</v>
      </c>
      <c r="J363" s="174">
        <v>0</v>
      </c>
      <c r="K363" s="172">
        <f>SUM(D363:J363)</f>
        <v>0</v>
      </c>
      <c r="L363" s="172">
        <f>K363</f>
        <v>0</v>
      </c>
      <c r="M363" s="26">
        <v>0</v>
      </c>
      <c r="O363" s="172">
        <f>SUM(L363:N363)</f>
        <v>0</v>
      </c>
      <c r="P363" s="172">
        <f>O363</f>
        <v>0</v>
      </c>
      <c r="T363" s="172">
        <v>0</v>
      </c>
    </row>
    <row r="364" spans="2:20" ht="15">
      <c r="B364" s="16" t="s">
        <v>337</v>
      </c>
      <c r="C364" s="200" t="s">
        <v>165</v>
      </c>
      <c r="D364" s="174">
        <v>0</v>
      </c>
      <c r="E364" s="174">
        <v>0</v>
      </c>
      <c r="F364" s="174">
        <v>0</v>
      </c>
      <c r="G364" s="174">
        <v>0</v>
      </c>
      <c r="H364" s="174">
        <v>0</v>
      </c>
      <c r="I364" s="174">
        <v>0</v>
      </c>
      <c r="J364" s="174">
        <v>0</v>
      </c>
      <c r="K364" s="172">
        <f>SUM(D364:J364)</f>
        <v>0</v>
      </c>
      <c r="L364" s="172">
        <f>K364</f>
        <v>0</v>
      </c>
      <c r="O364" s="172">
        <f>SUM(L364:N364)</f>
        <v>0</v>
      </c>
      <c r="P364" s="172">
        <f>O364</f>
        <v>0</v>
      </c>
      <c r="T364" s="172">
        <v>0</v>
      </c>
    </row>
    <row r="365" spans="2:20" ht="15">
      <c r="B365" s="16" t="s">
        <v>338</v>
      </c>
      <c r="C365" s="204" t="s">
        <v>339</v>
      </c>
      <c r="D365" s="212">
        <f aca="true" t="shared" si="144" ref="D365:P365">SUM(D361:D364)</f>
        <v>0</v>
      </c>
      <c r="E365" s="212">
        <f t="shared" si="144"/>
        <v>0</v>
      </c>
      <c r="F365" s="212">
        <f t="shared" si="144"/>
        <v>0</v>
      </c>
      <c r="G365" s="212">
        <f t="shared" si="144"/>
        <v>0</v>
      </c>
      <c r="H365" s="212">
        <f t="shared" si="144"/>
        <v>0</v>
      </c>
      <c r="I365" s="212">
        <f t="shared" si="144"/>
        <v>0</v>
      </c>
      <c r="J365" s="212">
        <f>SUM(J361:J364)</f>
        <v>0</v>
      </c>
      <c r="K365" s="189">
        <f t="shared" si="144"/>
        <v>0</v>
      </c>
      <c r="L365" s="189">
        <f t="shared" si="144"/>
        <v>0</v>
      </c>
      <c r="M365" s="212">
        <f t="shared" si="144"/>
        <v>0</v>
      </c>
      <c r="N365" s="212">
        <f t="shared" si="144"/>
        <v>0</v>
      </c>
      <c r="O365" s="189">
        <f t="shared" si="144"/>
        <v>0</v>
      </c>
      <c r="P365" s="189">
        <f t="shared" si="144"/>
        <v>0</v>
      </c>
      <c r="S365" s="189"/>
      <c r="T365" s="189">
        <v>0</v>
      </c>
    </row>
    <row r="366" spans="4:20" ht="15">
      <c r="D366" s="174"/>
      <c r="E366" s="174"/>
      <c r="F366" s="174"/>
      <c r="G366" s="174"/>
      <c r="H366" s="174"/>
      <c r="I366" s="174"/>
      <c r="J366" s="174"/>
      <c r="K366" s="176"/>
      <c r="L366" s="176"/>
      <c r="M366" s="174"/>
      <c r="N366" s="174"/>
      <c r="O366" s="176"/>
      <c r="P366" s="176"/>
      <c r="S366" s="176"/>
      <c r="T366" s="176"/>
    </row>
    <row r="367" spans="2:20" s="169" customFormat="1" ht="15.75" thickBot="1">
      <c r="B367" s="169" t="s">
        <v>340</v>
      </c>
      <c r="C367" s="204" t="s">
        <v>341</v>
      </c>
      <c r="D367" s="193">
        <f aca="true" t="shared" si="145" ref="D367:P367">D359+D365</f>
        <v>295960000</v>
      </c>
      <c r="E367" s="193">
        <f t="shared" si="145"/>
        <v>51000000</v>
      </c>
      <c r="F367" s="193">
        <f t="shared" si="145"/>
        <v>0</v>
      </c>
      <c r="G367" s="193">
        <f>G359+G365</f>
        <v>550</v>
      </c>
      <c r="H367" s="193">
        <f t="shared" si="145"/>
        <v>0</v>
      </c>
      <c r="I367" s="193">
        <f>I359+I365</f>
        <v>10000000</v>
      </c>
      <c r="J367" s="193">
        <f t="shared" si="145"/>
        <v>0</v>
      </c>
      <c r="K367" s="193">
        <f t="shared" si="145"/>
        <v>356960550</v>
      </c>
      <c r="L367" s="193">
        <f t="shared" si="145"/>
        <v>356960550</v>
      </c>
      <c r="M367" s="193">
        <f t="shared" si="145"/>
        <v>0</v>
      </c>
      <c r="N367" s="193">
        <f t="shared" si="145"/>
        <v>-356960550</v>
      </c>
      <c r="O367" s="193">
        <f>O359+O365</f>
        <v>0</v>
      </c>
      <c r="P367" s="193">
        <f t="shared" si="145"/>
        <v>0</v>
      </c>
      <c r="Q367" s="174"/>
      <c r="S367" s="193"/>
      <c r="T367" s="193">
        <v>0</v>
      </c>
    </row>
    <row r="368" spans="4:12" ht="15.75" thickTop="1">
      <c r="D368" s="174"/>
      <c r="E368" s="174"/>
      <c r="F368" s="174"/>
      <c r="G368" s="174"/>
      <c r="H368" s="174"/>
      <c r="I368" s="174"/>
      <c r="J368" s="174"/>
      <c r="K368" s="176"/>
      <c r="L368" s="176"/>
    </row>
    <row r="369" spans="4:12" ht="15">
      <c r="D369" s="174"/>
      <c r="E369" s="174"/>
      <c r="F369" s="174"/>
      <c r="G369" s="174"/>
      <c r="H369" s="174"/>
      <c r="I369" s="174"/>
      <c r="J369" s="174"/>
      <c r="K369" s="176"/>
      <c r="L369" s="176"/>
    </row>
    <row r="370" spans="2:12" ht="15">
      <c r="B370" s="169" t="s">
        <v>342</v>
      </c>
      <c r="D370" s="174"/>
      <c r="E370" s="174"/>
      <c r="F370" s="174"/>
      <c r="G370" s="174"/>
      <c r="H370" s="174"/>
      <c r="I370" s="174"/>
      <c r="J370" s="174"/>
      <c r="K370" s="176"/>
      <c r="L370" s="176"/>
    </row>
    <row r="371" spans="2:12" ht="15">
      <c r="B371" s="169" t="s">
        <v>187</v>
      </c>
      <c r="D371" s="174"/>
      <c r="E371" s="174"/>
      <c r="F371" s="174"/>
      <c r="G371" s="174"/>
      <c r="H371" s="174"/>
      <c r="I371" s="174"/>
      <c r="J371" s="174"/>
      <c r="K371" s="176"/>
      <c r="L371" s="176"/>
    </row>
    <row r="372" spans="2:20" s="169" customFormat="1" ht="15">
      <c r="B372" s="169" t="s">
        <v>320</v>
      </c>
      <c r="C372" s="200" t="s">
        <v>165</v>
      </c>
      <c r="D372" s="174">
        <v>0</v>
      </c>
      <c r="E372" s="176">
        <v>0</v>
      </c>
      <c r="F372" s="176">
        <v>0</v>
      </c>
      <c r="G372" s="176">
        <v>0</v>
      </c>
      <c r="H372" s="176">
        <v>0</v>
      </c>
      <c r="I372" s="176">
        <v>0</v>
      </c>
      <c r="J372" s="176">
        <v>0</v>
      </c>
      <c r="K372" s="172">
        <f>SUM(D372:J372)</f>
        <v>0</v>
      </c>
      <c r="L372" s="172">
        <f>K372</f>
        <v>0</v>
      </c>
      <c r="M372" s="172">
        <f>'[2] ConsoJL'!J21+'[2] ConsoJL'!J36+'[2] ConsoJL'!J64</f>
        <v>246933253</v>
      </c>
      <c r="N372" s="172"/>
      <c r="O372" s="172">
        <f>SUM(L372:N372)</f>
        <v>246933253</v>
      </c>
      <c r="P372" s="172">
        <f>O372</f>
        <v>246933253</v>
      </c>
      <c r="Q372" s="174"/>
      <c r="S372" s="172"/>
      <c r="T372" s="172">
        <v>246933253</v>
      </c>
    </row>
    <row r="373" spans="2:20" ht="15">
      <c r="B373" s="16" t="s">
        <v>343</v>
      </c>
      <c r="C373" s="200" t="s">
        <v>165</v>
      </c>
      <c r="D373" s="174">
        <v>0</v>
      </c>
      <c r="E373" s="174">
        <v>0</v>
      </c>
      <c r="F373" s="174">
        <v>0</v>
      </c>
      <c r="G373" s="174">
        <v>0</v>
      </c>
      <c r="H373" s="174">
        <v>0</v>
      </c>
      <c r="I373" s="174">
        <v>0</v>
      </c>
      <c r="J373" s="174">
        <v>0</v>
      </c>
      <c r="K373" s="172">
        <f>SUM(D373:J373)</f>
        <v>0</v>
      </c>
      <c r="L373" s="172">
        <f>K373</f>
        <v>0</v>
      </c>
      <c r="O373" s="172">
        <f>SUM(L373:N373)</f>
        <v>0</v>
      </c>
      <c r="P373" s="172">
        <f>O373</f>
        <v>0</v>
      </c>
      <c r="T373" s="172">
        <v>0</v>
      </c>
    </row>
    <row r="374" spans="2:20" ht="15">
      <c r="B374" s="16" t="s">
        <v>116</v>
      </c>
      <c r="C374" s="200" t="s">
        <v>165</v>
      </c>
      <c r="D374" s="174">
        <v>0</v>
      </c>
      <c r="E374" s="174">
        <v>0</v>
      </c>
      <c r="F374" s="174">
        <v>0</v>
      </c>
      <c r="G374" s="174">
        <v>0</v>
      </c>
      <c r="H374" s="174">
        <v>0</v>
      </c>
      <c r="I374" s="174">
        <v>0</v>
      </c>
      <c r="J374" s="174">
        <v>0</v>
      </c>
      <c r="K374" s="172">
        <f>SUM(D374:J374)</f>
        <v>0</v>
      </c>
      <c r="L374" s="172">
        <f>K374</f>
        <v>0</v>
      </c>
      <c r="M374" s="26">
        <v>0</v>
      </c>
      <c r="O374" s="172">
        <f>SUM(L374:N374)</f>
        <v>0</v>
      </c>
      <c r="P374" s="172">
        <f>O374</f>
        <v>0</v>
      </c>
      <c r="T374" s="172">
        <v>0</v>
      </c>
    </row>
    <row r="375" spans="2:20" s="169" customFormat="1" ht="15">
      <c r="B375" s="169" t="s">
        <v>338</v>
      </c>
      <c r="C375" s="200" t="s">
        <v>334</v>
      </c>
      <c r="D375" s="189">
        <f aca="true" t="shared" si="146" ref="D375:P375">SUM(D371:D374)</f>
        <v>0</v>
      </c>
      <c r="E375" s="189">
        <f t="shared" si="146"/>
        <v>0</v>
      </c>
      <c r="F375" s="189">
        <f t="shared" si="146"/>
        <v>0</v>
      </c>
      <c r="G375" s="189">
        <f t="shared" si="146"/>
        <v>0</v>
      </c>
      <c r="H375" s="189">
        <f t="shared" si="146"/>
        <v>0</v>
      </c>
      <c r="I375" s="189">
        <f t="shared" si="146"/>
        <v>0</v>
      </c>
      <c r="J375" s="189">
        <f>SUM(J371:J374)</f>
        <v>0</v>
      </c>
      <c r="K375" s="189">
        <f t="shared" si="146"/>
        <v>0</v>
      </c>
      <c r="L375" s="189">
        <f t="shared" si="146"/>
        <v>0</v>
      </c>
      <c r="M375" s="189">
        <f t="shared" si="146"/>
        <v>246933253</v>
      </c>
      <c r="N375" s="189">
        <f t="shared" si="146"/>
        <v>0</v>
      </c>
      <c r="O375" s="189">
        <f t="shared" si="146"/>
        <v>246933253</v>
      </c>
      <c r="P375" s="189">
        <f t="shared" si="146"/>
        <v>246933253</v>
      </c>
      <c r="Q375" s="174"/>
      <c r="S375" s="189"/>
      <c r="T375" s="189">
        <v>246933253</v>
      </c>
    </row>
    <row r="376" spans="4:12" ht="15">
      <c r="D376" s="174"/>
      <c r="E376" s="174"/>
      <c r="F376" s="174"/>
      <c r="G376" s="174"/>
      <c r="H376" s="174"/>
      <c r="I376" s="174"/>
      <c r="J376" s="174"/>
      <c r="K376" s="176"/>
      <c r="L376" s="176"/>
    </row>
    <row r="377" spans="2:12" ht="15">
      <c r="B377" s="169" t="s">
        <v>344</v>
      </c>
      <c r="D377" s="174"/>
      <c r="E377" s="174"/>
      <c r="F377" s="174"/>
      <c r="G377" s="174"/>
      <c r="H377" s="174"/>
      <c r="I377" s="174"/>
      <c r="J377" s="174"/>
      <c r="K377" s="176"/>
      <c r="L377" s="176"/>
    </row>
    <row r="378" spans="2:20" ht="15">
      <c r="B378" s="169" t="s">
        <v>320</v>
      </c>
      <c r="C378" s="200" t="s">
        <v>165</v>
      </c>
      <c r="D378" s="174">
        <v>0</v>
      </c>
      <c r="E378" s="174">
        <v>0</v>
      </c>
      <c r="F378" s="174">
        <v>0</v>
      </c>
      <c r="G378" s="174">
        <v>0</v>
      </c>
      <c r="H378" s="174">
        <v>0</v>
      </c>
      <c r="I378" s="174">
        <v>0</v>
      </c>
      <c r="J378" s="174">
        <v>0</v>
      </c>
      <c r="K378" s="172">
        <f>SUM(D378:J378)</f>
        <v>0</v>
      </c>
      <c r="L378" s="172">
        <f>K378</f>
        <v>0</v>
      </c>
      <c r="M378" s="26">
        <v>0</v>
      </c>
      <c r="N378" s="26">
        <f>'[2] ConsoJL'!J75</f>
        <v>-37583448</v>
      </c>
      <c r="O378" s="172">
        <f>SUM(L378:N378)</f>
        <v>-37583448</v>
      </c>
      <c r="P378" s="172">
        <f>O378</f>
        <v>-37583448</v>
      </c>
      <c r="T378" s="172">
        <v>-37583448</v>
      </c>
    </row>
    <row r="379" spans="2:20" ht="15">
      <c r="B379" s="16" t="s">
        <v>345</v>
      </c>
      <c r="C379" s="200" t="s">
        <v>165</v>
      </c>
      <c r="D379" s="174">
        <v>0</v>
      </c>
      <c r="E379" s="174">
        <v>0</v>
      </c>
      <c r="F379" s="174">
        <v>0</v>
      </c>
      <c r="G379" s="174">
        <v>0</v>
      </c>
      <c r="H379" s="174">
        <v>0</v>
      </c>
      <c r="I379" s="174">
        <v>0</v>
      </c>
      <c r="J379" s="174">
        <v>0</v>
      </c>
      <c r="K379" s="172">
        <f>SUM(D379:J379)</f>
        <v>0</v>
      </c>
      <c r="L379" s="172">
        <f>K379</f>
        <v>0</v>
      </c>
      <c r="M379" s="26">
        <v>0</v>
      </c>
      <c r="N379" s="26">
        <f>+'[2] ConsoJL'!J352</f>
        <v>-3086665</v>
      </c>
      <c r="O379" s="172">
        <f>SUM(L379:N379)</f>
        <v>-3086665</v>
      </c>
      <c r="P379" s="172">
        <f>O379</f>
        <v>-3086665</v>
      </c>
      <c r="T379" s="172">
        <v>-1028888</v>
      </c>
    </row>
    <row r="380" spans="2:20" ht="15">
      <c r="B380" s="16" t="s">
        <v>346</v>
      </c>
      <c r="C380" s="200" t="s">
        <v>165</v>
      </c>
      <c r="D380" s="174">
        <v>0</v>
      </c>
      <c r="E380" s="174">
        <v>0</v>
      </c>
      <c r="F380" s="174">
        <v>0</v>
      </c>
      <c r="G380" s="174">
        <v>0</v>
      </c>
      <c r="H380" s="174">
        <v>0</v>
      </c>
      <c r="I380" s="174">
        <v>0</v>
      </c>
      <c r="J380" s="174">
        <v>0</v>
      </c>
      <c r="K380" s="172">
        <f>SUM(D380:J380)</f>
        <v>0</v>
      </c>
      <c r="L380" s="172">
        <f>K380</f>
        <v>0</v>
      </c>
      <c r="M380" s="26">
        <v>0</v>
      </c>
      <c r="N380" s="26">
        <v>0</v>
      </c>
      <c r="O380" s="172">
        <f>SUM(L380:N380)</f>
        <v>0</v>
      </c>
      <c r="P380" s="172">
        <f>O380</f>
        <v>0</v>
      </c>
      <c r="T380" s="172">
        <v>0</v>
      </c>
    </row>
    <row r="381" spans="2:20" ht="15">
      <c r="B381" s="169" t="s">
        <v>338</v>
      </c>
      <c r="C381" s="200" t="s">
        <v>339</v>
      </c>
      <c r="D381" s="212">
        <f aca="true" t="shared" si="147" ref="D381:P381">SUM(D377:D380)</f>
        <v>0</v>
      </c>
      <c r="E381" s="212">
        <f t="shared" si="147"/>
        <v>0</v>
      </c>
      <c r="F381" s="212">
        <f t="shared" si="147"/>
        <v>0</v>
      </c>
      <c r="G381" s="212">
        <f t="shared" si="147"/>
        <v>0</v>
      </c>
      <c r="H381" s="212">
        <f t="shared" si="147"/>
        <v>0</v>
      </c>
      <c r="I381" s="212">
        <f t="shared" si="147"/>
        <v>0</v>
      </c>
      <c r="J381" s="212">
        <f>SUM(J377:J380)</f>
        <v>0</v>
      </c>
      <c r="K381" s="189">
        <f t="shared" si="147"/>
        <v>0</v>
      </c>
      <c r="L381" s="189">
        <f t="shared" si="147"/>
        <v>0</v>
      </c>
      <c r="M381" s="212">
        <f t="shared" si="147"/>
        <v>0</v>
      </c>
      <c r="N381" s="212">
        <f>SUM(N377:N380)</f>
        <v>-40670113</v>
      </c>
      <c r="O381" s="189">
        <f>SUM(O377:O380)</f>
        <v>-40670113</v>
      </c>
      <c r="P381" s="189">
        <f t="shared" si="147"/>
        <v>-40670113</v>
      </c>
      <c r="S381" s="189"/>
      <c r="T381" s="189">
        <v>-38612336</v>
      </c>
    </row>
    <row r="382" spans="4:20" ht="15">
      <c r="D382" s="174"/>
      <c r="E382" s="174"/>
      <c r="F382" s="174"/>
      <c r="G382" s="174"/>
      <c r="H382" s="174"/>
      <c r="I382" s="174"/>
      <c r="J382" s="174"/>
      <c r="K382" s="176"/>
      <c r="L382" s="176"/>
      <c r="M382" s="174"/>
      <c r="N382" s="174"/>
      <c r="O382" s="176"/>
      <c r="P382" s="176"/>
      <c r="S382" s="176"/>
      <c r="T382" s="176"/>
    </row>
    <row r="383" spans="2:20" ht="15.75" thickBot="1">
      <c r="B383" s="169" t="s">
        <v>347</v>
      </c>
      <c r="C383" s="200" t="s">
        <v>348</v>
      </c>
      <c r="D383" s="215">
        <f aca="true" t="shared" si="148" ref="D383:P383">D375+D381</f>
        <v>0</v>
      </c>
      <c r="E383" s="215">
        <f t="shared" si="148"/>
        <v>0</v>
      </c>
      <c r="F383" s="215">
        <f t="shared" si="148"/>
        <v>0</v>
      </c>
      <c r="G383" s="215">
        <f t="shared" si="148"/>
        <v>0</v>
      </c>
      <c r="H383" s="215">
        <f t="shared" si="148"/>
        <v>0</v>
      </c>
      <c r="I383" s="215">
        <f>I375+I381</f>
        <v>0</v>
      </c>
      <c r="J383" s="215">
        <f t="shared" si="148"/>
        <v>0</v>
      </c>
      <c r="K383" s="193">
        <f t="shared" si="148"/>
        <v>0</v>
      </c>
      <c r="L383" s="193">
        <f t="shared" si="148"/>
        <v>0</v>
      </c>
      <c r="M383" s="215">
        <f t="shared" si="148"/>
        <v>246933253</v>
      </c>
      <c r="N383" s="215">
        <f>N375+N381</f>
        <v>-40670113</v>
      </c>
      <c r="O383" s="193">
        <f t="shared" si="148"/>
        <v>206263140</v>
      </c>
      <c r="P383" s="193">
        <f t="shared" si="148"/>
        <v>206263140</v>
      </c>
      <c r="S383" s="193"/>
      <c r="T383" s="193">
        <v>208320917</v>
      </c>
    </row>
    <row r="384" spans="2:12" ht="15.75" thickTop="1">
      <c r="B384" s="16" t="s">
        <v>27</v>
      </c>
      <c r="D384" s="174"/>
      <c r="E384" s="174"/>
      <c r="F384" s="174"/>
      <c r="G384" s="174"/>
      <c r="H384" s="174"/>
      <c r="I384" s="174"/>
      <c r="J384" s="174"/>
      <c r="K384" s="176"/>
      <c r="L384" s="176"/>
    </row>
    <row r="385" spans="4:12" ht="15">
      <c r="D385" s="174"/>
      <c r="E385" s="174"/>
      <c r="F385" s="174"/>
      <c r="G385" s="174"/>
      <c r="H385" s="174"/>
      <c r="I385" s="174"/>
      <c r="J385" s="174"/>
      <c r="K385" s="176"/>
      <c r="L385" s="176"/>
    </row>
    <row r="386" spans="2:12" ht="15">
      <c r="B386" s="169" t="s">
        <v>349</v>
      </c>
      <c r="D386" s="174"/>
      <c r="E386" s="174"/>
      <c r="F386" s="174"/>
      <c r="G386" s="174"/>
      <c r="H386" s="174"/>
      <c r="I386" s="174"/>
      <c r="J386" s="174"/>
      <c r="K386" s="176"/>
      <c r="L386" s="176"/>
    </row>
    <row r="387" spans="2:12" ht="15">
      <c r="B387" s="169" t="s">
        <v>350</v>
      </c>
      <c r="D387" s="174"/>
      <c r="E387" s="174"/>
      <c r="F387" s="174"/>
      <c r="G387" s="174"/>
      <c r="H387" s="174"/>
      <c r="I387" s="174"/>
      <c r="J387" s="174"/>
      <c r="K387" s="176"/>
      <c r="L387" s="176"/>
    </row>
    <row r="388" spans="2:12" ht="15">
      <c r="B388" s="214" t="s">
        <v>351</v>
      </c>
      <c r="D388" s="174"/>
      <c r="E388" s="174"/>
      <c r="F388" s="174"/>
      <c r="G388" s="174"/>
      <c r="H388" s="174"/>
      <c r="I388" s="174"/>
      <c r="J388" s="174"/>
      <c r="K388" s="176"/>
      <c r="L388" s="176"/>
    </row>
    <row r="389" spans="2:20" ht="15">
      <c r="B389" s="16" t="s">
        <v>352</v>
      </c>
      <c r="C389" s="200" t="s">
        <v>165</v>
      </c>
      <c r="D389" s="174">
        <v>0</v>
      </c>
      <c r="E389" s="174">
        <v>0</v>
      </c>
      <c r="F389" s="174">
        <v>0</v>
      </c>
      <c r="G389" s="174">
        <v>0</v>
      </c>
      <c r="H389" s="174">
        <v>0</v>
      </c>
      <c r="I389" s="174">
        <v>0</v>
      </c>
      <c r="J389" s="174">
        <v>0</v>
      </c>
      <c r="K389" s="172">
        <f>SUM(D389:J389)</f>
        <v>0</v>
      </c>
      <c r="L389" s="172">
        <f>K389</f>
        <v>0</v>
      </c>
      <c r="M389" s="26">
        <f>'[2] ConsoJL'!Q441</f>
        <v>9672471</v>
      </c>
      <c r="N389" s="26">
        <v>0</v>
      </c>
      <c r="O389" s="172">
        <f>SUM(L389:N389)</f>
        <v>9672471</v>
      </c>
      <c r="P389" s="172">
        <f>O389</f>
        <v>9672471</v>
      </c>
      <c r="T389" s="172">
        <v>9672471</v>
      </c>
    </row>
    <row r="390" spans="2:20" ht="15">
      <c r="B390" s="16" t="s">
        <v>330</v>
      </c>
      <c r="C390" s="200" t="s">
        <v>165</v>
      </c>
      <c r="E390" s="182">
        <v>0</v>
      </c>
      <c r="F390" s="182">
        <v>0</v>
      </c>
      <c r="G390" s="182">
        <v>0</v>
      </c>
      <c r="H390" s="182">
        <v>0</v>
      </c>
      <c r="I390" s="182">
        <v>0</v>
      </c>
      <c r="J390" s="182">
        <v>0</v>
      </c>
      <c r="K390" s="172">
        <f>SUM(D390:J390)</f>
        <v>0</v>
      </c>
      <c r="L390" s="172">
        <f>K390</f>
        <v>0</v>
      </c>
      <c r="N390" s="26">
        <v>0</v>
      </c>
      <c r="O390" s="172">
        <f>SUM(L390:N390)</f>
        <v>0</v>
      </c>
      <c r="P390" s="172">
        <f>O390</f>
        <v>0</v>
      </c>
      <c r="T390" s="172">
        <v>0</v>
      </c>
    </row>
    <row r="391" spans="2:20" ht="15">
      <c r="B391" s="16" t="s">
        <v>338</v>
      </c>
      <c r="C391" s="200" t="s">
        <v>334</v>
      </c>
      <c r="D391" s="212"/>
      <c r="E391" s="212">
        <f aca="true" t="shared" si="149" ref="E391:P391">SUM(E387:E390)</f>
        <v>0</v>
      </c>
      <c r="F391" s="212">
        <f t="shared" si="149"/>
        <v>0</v>
      </c>
      <c r="G391" s="212">
        <f t="shared" si="149"/>
        <v>0</v>
      </c>
      <c r="H391" s="212">
        <f t="shared" si="149"/>
        <v>0</v>
      </c>
      <c r="I391" s="212">
        <f t="shared" si="149"/>
        <v>0</v>
      </c>
      <c r="J391" s="212">
        <f>SUM(J387:J390)</f>
        <v>0</v>
      </c>
      <c r="K391" s="189">
        <f t="shared" si="149"/>
        <v>0</v>
      </c>
      <c r="L391" s="189">
        <f t="shared" si="149"/>
        <v>0</v>
      </c>
      <c r="M391" s="212">
        <f t="shared" si="149"/>
        <v>9672471</v>
      </c>
      <c r="N391" s="212">
        <f t="shared" si="149"/>
        <v>0</v>
      </c>
      <c r="O391" s="189">
        <f t="shared" si="149"/>
        <v>9672471</v>
      </c>
      <c r="P391" s="189">
        <f t="shared" si="149"/>
        <v>9672471</v>
      </c>
      <c r="S391" s="189"/>
      <c r="T391" s="189">
        <v>9672471</v>
      </c>
    </row>
    <row r="392" spans="4:12" ht="15">
      <c r="D392" s="174"/>
      <c r="E392" s="174"/>
      <c r="F392" s="174"/>
      <c r="G392" s="174"/>
      <c r="H392" s="174"/>
      <c r="I392" s="174"/>
      <c r="J392" s="174"/>
      <c r="K392" s="176"/>
      <c r="L392" s="176"/>
    </row>
    <row r="393" spans="2:12" ht="15">
      <c r="B393" s="214" t="s">
        <v>353</v>
      </c>
      <c r="D393" s="174"/>
      <c r="E393" s="174"/>
      <c r="F393" s="174"/>
      <c r="G393" s="174"/>
      <c r="H393" s="174"/>
      <c r="I393" s="174"/>
      <c r="J393" s="174"/>
      <c r="K393" s="176"/>
      <c r="L393" s="176"/>
    </row>
    <row r="394" spans="2:20" ht="15">
      <c r="B394" s="16" t="s">
        <v>352</v>
      </c>
      <c r="C394" s="200" t="s">
        <v>165</v>
      </c>
      <c r="D394" s="174">
        <v>0</v>
      </c>
      <c r="E394" s="174">
        <v>0</v>
      </c>
      <c r="F394" s="174">
        <v>0</v>
      </c>
      <c r="G394" s="174">
        <v>0</v>
      </c>
      <c r="H394" s="174">
        <v>0</v>
      </c>
      <c r="I394" s="174">
        <v>0</v>
      </c>
      <c r="J394" s="174">
        <v>0</v>
      </c>
      <c r="K394" s="172">
        <f>SUM(D394:J394)</f>
        <v>0</v>
      </c>
      <c r="L394" s="172">
        <f>K394</f>
        <v>0</v>
      </c>
      <c r="M394" s="26">
        <f>'[2] ConsoJL'!Q442+'[2] ConsoJL'!Q438</f>
        <v>-9672471.198600002</v>
      </c>
      <c r="N394" s="26">
        <v>0</v>
      </c>
      <c r="O394" s="172">
        <f>SUM(L394:N394)</f>
        <v>-9672471.198600002</v>
      </c>
      <c r="P394" s="172">
        <f>O394</f>
        <v>-9672471.198600002</v>
      </c>
      <c r="T394" s="172">
        <v>-9546832.198600002</v>
      </c>
    </row>
    <row r="395" spans="2:20" ht="15">
      <c r="B395" s="16" t="s">
        <v>330</v>
      </c>
      <c r="C395" s="200" t="s">
        <v>165</v>
      </c>
      <c r="D395" s="182">
        <v>0</v>
      </c>
      <c r="E395" s="174">
        <v>0</v>
      </c>
      <c r="F395" s="174">
        <v>0</v>
      </c>
      <c r="G395" s="182">
        <v>0</v>
      </c>
      <c r="H395" s="182">
        <v>0</v>
      </c>
      <c r="I395" s="182">
        <v>0</v>
      </c>
      <c r="J395" s="174">
        <v>0</v>
      </c>
      <c r="K395" s="172">
        <f>SUM(D395:J395)</f>
        <v>0</v>
      </c>
      <c r="L395" s="172">
        <f>K395</f>
        <v>0</v>
      </c>
      <c r="M395" s="26">
        <v>0</v>
      </c>
      <c r="N395" s="26">
        <v>0</v>
      </c>
      <c r="O395" s="172">
        <f>SUM(L395:N395)</f>
        <v>0</v>
      </c>
      <c r="P395" s="172">
        <f>O395</f>
        <v>0</v>
      </c>
      <c r="T395" s="172">
        <v>0</v>
      </c>
    </row>
    <row r="396" spans="2:20" ht="15">
      <c r="B396" s="16" t="s">
        <v>338</v>
      </c>
      <c r="C396" s="200" t="s">
        <v>339</v>
      </c>
      <c r="D396" s="212">
        <f aca="true" t="shared" si="150" ref="D396:P396">SUM(D393:D395)</f>
        <v>0</v>
      </c>
      <c r="E396" s="212">
        <f t="shared" si="150"/>
        <v>0</v>
      </c>
      <c r="F396" s="212">
        <f t="shared" si="150"/>
        <v>0</v>
      </c>
      <c r="G396" s="212">
        <f t="shared" si="150"/>
        <v>0</v>
      </c>
      <c r="H396" s="212">
        <f t="shared" si="150"/>
        <v>0</v>
      </c>
      <c r="I396" s="212">
        <f t="shared" si="150"/>
        <v>0</v>
      </c>
      <c r="J396" s="212">
        <f>SUM(J393:J395)</f>
        <v>0</v>
      </c>
      <c r="K396" s="189">
        <f t="shared" si="150"/>
        <v>0</v>
      </c>
      <c r="L396" s="189">
        <f t="shared" si="150"/>
        <v>0</v>
      </c>
      <c r="M396" s="212">
        <f t="shared" si="150"/>
        <v>-9672471.198600002</v>
      </c>
      <c r="N396" s="212">
        <f t="shared" si="150"/>
        <v>0</v>
      </c>
      <c r="O396" s="189">
        <f t="shared" si="150"/>
        <v>-9672471.198600002</v>
      </c>
      <c r="P396" s="189">
        <f t="shared" si="150"/>
        <v>-9672471.198600002</v>
      </c>
      <c r="S396" s="189"/>
      <c r="T396" s="189">
        <v>-9546832.198600002</v>
      </c>
    </row>
    <row r="397" spans="4:12" ht="15">
      <c r="D397" s="174"/>
      <c r="E397" s="174"/>
      <c r="F397" s="174"/>
      <c r="G397" s="174"/>
      <c r="H397" s="174"/>
      <c r="I397" s="174"/>
      <c r="J397" s="174"/>
      <c r="K397" s="176"/>
      <c r="L397" s="176"/>
    </row>
    <row r="398" spans="3:20" ht="15.75" thickBot="1">
      <c r="C398" s="200" t="s">
        <v>348</v>
      </c>
      <c r="D398" s="215">
        <f>D391+D396</f>
        <v>0</v>
      </c>
      <c r="E398" s="215">
        <f aca="true" t="shared" si="151" ref="E398:P398">E391+E396</f>
        <v>0</v>
      </c>
      <c r="F398" s="215">
        <f t="shared" si="151"/>
        <v>0</v>
      </c>
      <c r="G398" s="215">
        <f>G391+G396</f>
        <v>0</v>
      </c>
      <c r="H398" s="215">
        <f>H391+H396</f>
        <v>0</v>
      </c>
      <c r="I398" s="215">
        <f>I391+I396</f>
        <v>0</v>
      </c>
      <c r="J398" s="215">
        <f>J391+J396</f>
        <v>0</v>
      </c>
      <c r="K398" s="193">
        <f t="shared" si="151"/>
        <v>0</v>
      </c>
      <c r="L398" s="193">
        <f t="shared" si="151"/>
        <v>0</v>
      </c>
      <c r="M398" s="215">
        <f t="shared" si="151"/>
        <v>-0.19860000163316727</v>
      </c>
      <c r="N398" s="215">
        <f t="shared" si="151"/>
        <v>0</v>
      </c>
      <c r="O398" s="193">
        <f>O391+O396</f>
        <v>-0.19860000163316727</v>
      </c>
      <c r="P398" s="193">
        <f t="shared" si="151"/>
        <v>-0.19860000163316727</v>
      </c>
      <c r="S398" s="193"/>
      <c r="T398" s="193">
        <v>125638.80139999837</v>
      </c>
    </row>
    <row r="399" spans="4:12" ht="15.75" thickTop="1">
      <c r="D399" s="174"/>
      <c r="E399" s="174"/>
      <c r="F399" s="174"/>
      <c r="G399" s="174"/>
      <c r="H399" s="174"/>
      <c r="I399" s="174"/>
      <c r="J399" s="174"/>
      <c r="K399" s="176"/>
      <c r="L399" s="176"/>
    </row>
    <row r="400" spans="2:12" ht="15">
      <c r="B400" s="16" t="s">
        <v>354</v>
      </c>
      <c r="D400" s="174"/>
      <c r="E400" s="174"/>
      <c r="F400" s="174"/>
      <c r="G400" s="174"/>
      <c r="H400" s="174"/>
      <c r="I400" s="174"/>
      <c r="J400" s="174"/>
      <c r="K400" s="176"/>
      <c r="L400" s="176"/>
    </row>
    <row r="401" spans="2:12" ht="15">
      <c r="B401" s="16" t="s">
        <v>355</v>
      </c>
      <c r="D401" s="174"/>
      <c r="E401" s="174"/>
      <c r="F401" s="174"/>
      <c r="G401" s="174"/>
      <c r="H401" s="174"/>
      <c r="I401" s="174"/>
      <c r="J401" s="174"/>
      <c r="K401" s="176"/>
      <c r="L401" s="176"/>
    </row>
    <row r="402" spans="2:20" ht="15">
      <c r="B402" s="16" t="s">
        <v>356</v>
      </c>
      <c r="C402" s="200" t="s">
        <v>165</v>
      </c>
      <c r="D402" s="174">
        <v>0</v>
      </c>
      <c r="E402" s="174">
        <v>0</v>
      </c>
      <c r="F402" s="174">
        <v>0</v>
      </c>
      <c r="G402" s="174">
        <v>0</v>
      </c>
      <c r="H402" s="174">
        <v>0</v>
      </c>
      <c r="I402" s="174">
        <v>0</v>
      </c>
      <c r="J402" s="174">
        <v>0</v>
      </c>
      <c r="K402" s="172">
        <f aca="true" t="shared" si="152" ref="K402:K408">SUM(D402:J402)</f>
        <v>0</v>
      </c>
      <c r="L402" s="172">
        <f aca="true" t="shared" si="153" ref="L402:L408">K402</f>
        <v>0</v>
      </c>
      <c r="M402" s="26">
        <v>0</v>
      </c>
      <c r="N402" s="26">
        <v>0</v>
      </c>
      <c r="O402" s="172">
        <f aca="true" t="shared" si="154" ref="O402:O408">SUM(L402:N402)</f>
        <v>0</v>
      </c>
      <c r="P402" s="172">
        <f aca="true" t="shared" si="155" ref="P402:P408">O402</f>
        <v>0</v>
      </c>
      <c r="T402" s="172">
        <v>0</v>
      </c>
    </row>
    <row r="403" spans="2:20" ht="15">
      <c r="B403" s="16" t="s">
        <v>357</v>
      </c>
      <c r="C403" s="200" t="s">
        <v>165</v>
      </c>
      <c r="D403" s="174">
        <v>0</v>
      </c>
      <c r="E403" s="174">
        <v>0</v>
      </c>
      <c r="F403" s="174">
        <v>0</v>
      </c>
      <c r="G403" s="174">
        <v>0</v>
      </c>
      <c r="H403" s="174">
        <v>0</v>
      </c>
      <c r="I403" s="174">
        <v>0</v>
      </c>
      <c r="J403" s="174">
        <v>0</v>
      </c>
      <c r="K403" s="172">
        <f t="shared" si="152"/>
        <v>0</v>
      </c>
      <c r="L403" s="172">
        <f t="shared" si="153"/>
        <v>0</v>
      </c>
      <c r="M403" s="26">
        <v>0</v>
      </c>
      <c r="N403" s="26">
        <v>0</v>
      </c>
      <c r="O403" s="172">
        <f t="shared" si="154"/>
        <v>0</v>
      </c>
      <c r="P403" s="172">
        <f t="shared" si="155"/>
        <v>0</v>
      </c>
      <c r="T403" s="172">
        <v>0</v>
      </c>
    </row>
    <row r="404" spans="2:20" ht="15">
      <c r="B404" s="16" t="s">
        <v>358</v>
      </c>
      <c r="C404" s="200" t="s">
        <v>165</v>
      </c>
      <c r="D404" s="174">
        <v>0</v>
      </c>
      <c r="E404" s="174">
        <v>0</v>
      </c>
      <c r="F404" s="174">
        <v>0</v>
      </c>
      <c r="G404" s="174">
        <v>0</v>
      </c>
      <c r="H404" s="174">
        <v>0</v>
      </c>
      <c r="I404" s="174">
        <v>0</v>
      </c>
      <c r="J404" s="174">
        <v>0</v>
      </c>
      <c r="K404" s="172">
        <f t="shared" si="152"/>
        <v>0</v>
      </c>
      <c r="L404" s="172">
        <f t="shared" si="153"/>
        <v>0</v>
      </c>
      <c r="M404" s="26">
        <v>0</v>
      </c>
      <c r="N404" s="26">
        <v>0</v>
      </c>
      <c r="O404" s="172">
        <f t="shared" si="154"/>
        <v>0</v>
      </c>
      <c r="P404" s="172">
        <f t="shared" si="155"/>
        <v>0</v>
      </c>
      <c r="T404" s="172">
        <v>0</v>
      </c>
    </row>
    <row r="405" spans="2:20" ht="15">
      <c r="B405" s="16" t="s">
        <v>359</v>
      </c>
      <c r="C405" s="200" t="s">
        <v>165</v>
      </c>
      <c r="D405" s="174">
        <v>0</v>
      </c>
      <c r="E405" s="174">
        <v>0</v>
      </c>
      <c r="F405" s="174">
        <v>0</v>
      </c>
      <c r="G405" s="174">
        <v>0</v>
      </c>
      <c r="H405" s="174">
        <v>0</v>
      </c>
      <c r="I405" s="174">
        <v>0</v>
      </c>
      <c r="J405" s="174">
        <v>0</v>
      </c>
      <c r="K405" s="172">
        <f t="shared" si="152"/>
        <v>0</v>
      </c>
      <c r="L405" s="172">
        <f t="shared" si="153"/>
        <v>0</v>
      </c>
      <c r="M405" s="26">
        <v>0</v>
      </c>
      <c r="N405" s="26">
        <v>0</v>
      </c>
      <c r="O405" s="172">
        <f t="shared" si="154"/>
        <v>0</v>
      </c>
      <c r="P405" s="172">
        <f t="shared" si="155"/>
        <v>0</v>
      </c>
      <c r="T405" s="172">
        <v>0</v>
      </c>
    </row>
    <row r="406" spans="2:20" ht="15">
      <c r="B406" s="16" t="s">
        <v>360</v>
      </c>
      <c r="C406" s="200" t="s">
        <v>165</v>
      </c>
      <c r="D406" s="174">
        <v>0</v>
      </c>
      <c r="E406" s="174">
        <v>0</v>
      </c>
      <c r="F406" s="174">
        <v>0</v>
      </c>
      <c r="G406" s="174">
        <v>0</v>
      </c>
      <c r="H406" s="174">
        <v>0</v>
      </c>
      <c r="I406" s="174">
        <v>0</v>
      </c>
      <c r="J406" s="174">
        <v>0</v>
      </c>
      <c r="K406" s="172">
        <f t="shared" si="152"/>
        <v>0</v>
      </c>
      <c r="L406" s="172">
        <f t="shared" si="153"/>
        <v>0</v>
      </c>
      <c r="M406" s="26">
        <v>0</v>
      </c>
      <c r="N406" s="26">
        <v>0</v>
      </c>
      <c r="O406" s="172">
        <f t="shared" si="154"/>
        <v>0</v>
      </c>
      <c r="P406" s="172">
        <f t="shared" si="155"/>
        <v>0</v>
      </c>
      <c r="T406" s="172">
        <v>0</v>
      </c>
    </row>
    <row r="407" spans="2:20" ht="15">
      <c r="B407" s="16" t="s">
        <v>361</v>
      </c>
      <c r="C407" s="200" t="s">
        <v>165</v>
      </c>
      <c r="D407" s="174">
        <v>0</v>
      </c>
      <c r="E407" s="174">
        <v>0</v>
      </c>
      <c r="F407" s="174">
        <f>0</f>
        <v>0</v>
      </c>
      <c r="G407" s="174">
        <v>0</v>
      </c>
      <c r="H407" s="174">
        <v>0</v>
      </c>
      <c r="I407" s="174">
        <v>0</v>
      </c>
      <c r="J407" s="174">
        <v>0</v>
      </c>
      <c r="K407" s="172">
        <f t="shared" si="152"/>
        <v>0</v>
      </c>
      <c r="L407" s="172">
        <f t="shared" si="153"/>
        <v>0</v>
      </c>
      <c r="M407" s="26">
        <v>0</v>
      </c>
      <c r="N407" s="26">
        <v>0</v>
      </c>
      <c r="O407" s="172">
        <f t="shared" si="154"/>
        <v>0</v>
      </c>
      <c r="P407" s="172">
        <f t="shared" si="155"/>
        <v>0</v>
      </c>
      <c r="T407" s="172">
        <v>0</v>
      </c>
    </row>
    <row r="408" spans="2:20" ht="15">
      <c r="B408" s="16" t="s">
        <v>362</v>
      </c>
      <c r="C408" s="200" t="s">
        <v>165</v>
      </c>
      <c r="D408" s="174">
        <v>0</v>
      </c>
      <c r="E408" s="174">
        <v>0</v>
      </c>
      <c r="F408" s="174">
        <v>0</v>
      </c>
      <c r="G408" s="174">
        <v>0</v>
      </c>
      <c r="H408" s="174">
        <v>0</v>
      </c>
      <c r="I408" s="174">
        <v>0</v>
      </c>
      <c r="J408" s="174">
        <v>0</v>
      </c>
      <c r="K408" s="172">
        <f t="shared" si="152"/>
        <v>0</v>
      </c>
      <c r="L408" s="172">
        <f t="shared" si="153"/>
        <v>0</v>
      </c>
      <c r="O408" s="172">
        <f t="shared" si="154"/>
        <v>0</v>
      </c>
      <c r="P408" s="172">
        <f t="shared" si="155"/>
        <v>0</v>
      </c>
      <c r="T408" s="172">
        <v>0</v>
      </c>
    </row>
    <row r="409" spans="4:12" ht="15">
      <c r="D409" s="174"/>
      <c r="E409" s="174"/>
      <c r="F409" s="174"/>
      <c r="G409" s="174"/>
      <c r="H409" s="174"/>
      <c r="I409" s="174"/>
      <c r="J409" s="174"/>
      <c r="K409" s="176"/>
      <c r="L409" s="176"/>
    </row>
    <row r="410" spans="4:12" ht="15">
      <c r="D410" s="174"/>
      <c r="E410" s="174"/>
      <c r="F410" s="174"/>
      <c r="G410" s="174"/>
      <c r="H410" s="174"/>
      <c r="I410" s="174"/>
      <c r="J410" s="174"/>
      <c r="K410" s="176"/>
      <c r="L410" s="176"/>
    </row>
    <row r="411" spans="2:12" ht="15">
      <c r="B411" s="169" t="s">
        <v>363</v>
      </c>
      <c r="D411" s="174"/>
      <c r="E411" s="174"/>
      <c r="F411" s="174"/>
      <c r="G411" s="174"/>
      <c r="H411" s="174"/>
      <c r="I411" s="174"/>
      <c r="J411" s="174"/>
      <c r="K411" s="176"/>
      <c r="L411" s="176"/>
    </row>
    <row r="412" spans="2:12" ht="15">
      <c r="B412" s="169" t="s">
        <v>191</v>
      </c>
      <c r="D412" s="174"/>
      <c r="E412" s="174"/>
      <c r="F412" s="174"/>
      <c r="G412" s="174"/>
      <c r="H412" s="174"/>
      <c r="I412" s="174"/>
      <c r="J412" s="174"/>
      <c r="K412" s="176"/>
      <c r="L412" s="176"/>
    </row>
    <row r="413" spans="2:10" ht="15">
      <c r="B413" s="210"/>
      <c r="C413" s="200"/>
      <c r="D413" s="174"/>
      <c r="E413" s="174"/>
      <c r="G413" s="174"/>
      <c r="H413" s="174"/>
      <c r="I413" s="174"/>
      <c r="J413" s="174"/>
    </row>
    <row r="414" spans="2:20" ht="15">
      <c r="B414" s="210" t="s">
        <v>364</v>
      </c>
      <c r="C414" s="200" t="s">
        <v>165</v>
      </c>
      <c r="D414" s="174">
        <v>0</v>
      </c>
      <c r="E414" s="174">
        <v>0</v>
      </c>
      <c r="F414" s="174">
        <v>118264464</v>
      </c>
      <c r="G414" s="174">
        <v>0</v>
      </c>
      <c r="H414" s="174">
        <v>0</v>
      </c>
      <c r="I414" s="174">
        <v>0</v>
      </c>
      <c r="J414" s="174">
        <v>0</v>
      </c>
      <c r="K414" s="172">
        <f aca="true" t="shared" si="156" ref="K414:K420">SUM(D414:J414)</f>
        <v>118264464</v>
      </c>
      <c r="L414" s="172">
        <f aca="true" t="shared" si="157" ref="L414:L420">K414</f>
        <v>118264464</v>
      </c>
      <c r="M414" s="26">
        <v>0</v>
      </c>
      <c r="N414" s="26">
        <v>0</v>
      </c>
      <c r="O414" s="172">
        <f>SUM(L414:N414)</f>
        <v>118264464</v>
      </c>
      <c r="P414" s="172">
        <f aca="true" t="shared" si="158" ref="P414:P420">O414</f>
        <v>118264464</v>
      </c>
      <c r="T414" s="172">
        <v>118264464</v>
      </c>
    </row>
    <row r="415" spans="2:20" ht="15">
      <c r="B415" s="210" t="s">
        <v>365</v>
      </c>
      <c r="C415" s="200" t="s">
        <v>165</v>
      </c>
      <c r="D415" s="174">
        <v>0</v>
      </c>
      <c r="E415" s="174">
        <v>0</v>
      </c>
      <c r="F415" s="174">
        <f>F414*3</f>
        <v>354793392</v>
      </c>
      <c r="G415" s="174">
        <v>0</v>
      </c>
      <c r="H415" s="174">
        <v>0</v>
      </c>
      <c r="I415" s="174">
        <v>0</v>
      </c>
      <c r="J415" s="174">
        <v>0</v>
      </c>
      <c r="K415" s="172">
        <f t="shared" si="156"/>
        <v>354793392</v>
      </c>
      <c r="L415" s="172">
        <f t="shared" si="157"/>
        <v>354793392</v>
      </c>
      <c r="M415" s="26">
        <v>0</v>
      </c>
      <c r="N415" s="26">
        <v>0</v>
      </c>
      <c r="O415" s="172">
        <f>SUM(L415:N415)</f>
        <v>354793392</v>
      </c>
      <c r="P415" s="172">
        <f t="shared" si="158"/>
        <v>354793392</v>
      </c>
      <c r="T415" s="172">
        <v>354793392</v>
      </c>
    </row>
    <row r="416" spans="2:20" ht="15">
      <c r="B416" s="210" t="s">
        <v>366</v>
      </c>
      <c r="C416" s="200" t="s">
        <v>165</v>
      </c>
      <c r="D416" s="182">
        <v>0</v>
      </c>
      <c r="E416" s="182">
        <v>0</v>
      </c>
      <c r="F416" s="182">
        <f>2694145744+274872670-F415</f>
        <v>2614225022</v>
      </c>
      <c r="G416" s="182">
        <v>0</v>
      </c>
      <c r="H416" s="182">
        <v>0</v>
      </c>
      <c r="I416" s="182">
        <v>0</v>
      </c>
      <c r="J416" s="182">
        <v>0</v>
      </c>
      <c r="K416" s="183">
        <f t="shared" si="156"/>
        <v>2614225022</v>
      </c>
      <c r="L416" s="183">
        <f t="shared" si="157"/>
        <v>2614225022</v>
      </c>
      <c r="M416" s="182">
        <v>0</v>
      </c>
      <c r="N416" s="182">
        <f>'[2] ConsoJL'!R438</f>
        <v>0</v>
      </c>
      <c r="O416" s="183">
        <f>SUM(L416:N416)</f>
        <v>2614225022</v>
      </c>
      <c r="P416" s="183">
        <f t="shared" si="158"/>
        <v>2614225022</v>
      </c>
      <c r="S416" s="183"/>
      <c r="T416" s="183">
        <v>2359062547</v>
      </c>
    </row>
    <row r="417" spans="4:20" ht="15">
      <c r="D417" s="174">
        <f aca="true" t="shared" si="159" ref="D417:P417">SUM(D412:D416)</f>
        <v>0</v>
      </c>
      <c r="E417" s="174">
        <f t="shared" si="159"/>
        <v>0</v>
      </c>
      <c r="F417" s="174">
        <f t="shared" si="159"/>
        <v>3087282878</v>
      </c>
      <c r="G417" s="174">
        <f t="shared" si="159"/>
        <v>0</v>
      </c>
      <c r="H417" s="174">
        <f t="shared" si="159"/>
        <v>0</v>
      </c>
      <c r="I417" s="174">
        <f t="shared" si="159"/>
        <v>0</v>
      </c>
      <c r="J417" s="174">
        <v>0</v>
      </c>
      <c r="K417" s="176">
        <f t="shared" si="159"/>
        <v>3087282878</v>
      </c>
      <c r="L417" s="176">
        <f t="shared" si="159"/>
        <v>3087282878</v>
      </c>
      <c r="M417" s="174">
        <f t="shared" si="159"/>
        <v>0</v>
      </c>
      <c r="N417" s="174">
        <f t="shared" si="159"/>
        <v>0</v>
      </c>
      <c r="O417" s="176">
        <f t="shared" si="159"/>
        <v>3087282878</v>
      </c>
      <c r="P417" s="176">
        <f t="shared" si="159"/>
        <v>3087282878</v>
      </c>
      <c r="S417" s="176"/>
      <c r="T417" s="176">
        <v>2832120403</v>
      </c>
    </row>
    <row r="418" spans="2:20" ht="15">
      <c r="B418" s="16" t="s">
        <v>367</v>
      </c>
      <c r="C418" s="200" t="s">
        <v>165</v>
      </c>
      <c r="D418" s="182">
        <v>0</v>
      </c>
      <c r="E418" s="182">
        <v>0</v>
      </c>
      <c r="F418" s="182">
        <v>-1643719550</v>
      </c>
      <c r="G418" s="182">
        <v>0</v>
      </c>
      <c r="H418" s="182">
        <v>0</v>
      </c>
      <c r="I418" s="182">
        <v>0</v>
      </c>
      <c r="J418" s="182">
        <v>0</v>
      </c>
      <c r="K418" s="183">
        <f t="shared" si="156"/>
        <v>-1643719550</v>
      </c>
      <c r="L418" s="183">
        <f t="shared" si="157"/>
        <v>-1643719550</v>
      </c>
      <c r="M418" s="182"/>
      <c r="N418" s="182"/>
      <c r="O418" s="183">
        <f>SUM(L418:N418)</f>
        <v>-1643719550</v>
      </c>
      <c r="P418" s="183">
        <f t="shared" si="158"/>
        <v>-1643719550</v>
      </c>
      <c r="S418" s="183"/>
      <c r="T418" s="183">
        <v>-1661303268</v>
      </c>
    </row>
    <row r="419" spans="4:20" ht="15">
      <c r="D419" s="174">
        <f aca="true" t="shared" si="160" ref="D419:P419">D417+D418</f>
        <v>0</v>
      </c>
      <c r="E419" s="174">
        <f t="shared" si="160"/>
        <v>0</v>
      </c>
      <c r="F419" s="174">
        <f>F417+F418</f>
        <v>1443563328</v>
      </c>
      <c r="G419" s="174">
        <f t="shared" si="160"/>
        <v>0</v>
      </c>
      <c r="H419" s="174">
        <f t="shared" si="160"/>
        <v>0</v>
      </c>
      <c r="I419" s="174">
        <f t="shared" si="160"/>
        <v>0</v>
      </c>
      <c r="J419" s="174">
        <f>J417+J418</f>
        <v>0</v>
      </c>
      <c r="K419" s="176">
        <f t="shared" si="160"/>
        <v>1443563328</v>
      </c>
      <c r="L419" s="176">
        <f t="shared" si="160"/>
        <v>1443563328</v>
      </c>
      <c r="M419" s="174">
        <f t="shared" si="160"/>
        <v>0</v>
      </c>
      <c r="N419" s="174">
        <f t="shared" si="160"/>
        <v>0</v>
      </c>
      <c r="O419" s="176">
        <f t="shared" si="160"/>
        <v>1443563328</v>
      </c>
      <c r="P419" s="176">
        <f t="shared" si="160"/>
        <v>1443563328</v>
      </c>
      <c r="S419" s="176"/>
      <c r="T419" s="176">
        <v>1170817135</v>
      </c>
    </row>
    <row r="420" spans="2:20" ht="15">
      <c r="B420" s="16" t="s">
        <v>368</v>
      </c>
      <c r="C420" s="200" t="s">
        <v>165</v>
      </c>
      <c r="D420" s="174"/>
      <c r="E420" s="174"/>
      <c r="F420" s="174">
        <v>-125000000</v>
      </c>
      <c r="G420" s="174"/>
      <c r="H420" s="174"/>
      <c r="I420" s="174"/>
      <c r="J420" s="174"/>
      <c r="K420" s="176">
        <f t="shared" si="156"/>
        <v>-125000000</v>
      </c>
      <c r="L420" s="183">
        <f t="shared" si="157"/>
        <v>-125000000</v>
      </c>
      <c r="M420" s="174"/>
      <c r="N420" s="174"/>
      <c r="O420" s="183">
        <f>SUM(L420:N420)</f>
        <v>-125000000</v>
      </c>
      <c r="P420" s="183">
        <f t="shared" si="158"/>
        <v>-125000000</v>
      </c>
      <c r="S420" s="183"/>
      <c r="T420" s="183">
        <v>-125000000</v>
      </c>
    </row>
    <row r="421" spans="4:20" ht="15.75" thickBot="1">
      <c r="D421" s="215">
        <f aca="true" t="shared" si="161" ref="D421:P421">SUM(D419:D420)</f>
        <v>0</v>
      </c>
      <c r="E421" s="215">
        <f t="shared" si="161"/>
        <v>0</v>
      </c>
      <c r="F421" s="215">
        <f>SUM(F419:F420)</f>
        <v>1318563328</v>
      </c>
      <c r="G421" s="215">
        <f t="shared" si="161"/>
        <v>0</v>
      </c>
      <c r="H421" s="215">
        <f t="shared" si="161"/>
        <v>0</v>
      </c>
      <c r="I421" s="215">
        <f t="shared" si="161"/>
        <v>0</v>
      </c>
      <c r="J421" s="215">
        <f>SUM(J419:J420)</f>
        <v>0</v>
      </c>
      <c r="K421" s="193">
        <f t="shared" si="161"/>
        <v>1318563328</v>
      </c>
      <c r="L421" s="193">
        <f t="shared" si="161"/>
        <v>1318563328</v>
      </c>
      <c r="M421" s="215">
        <f t="shared" si="161"/>
        <v>0</v>
      </c>
      <c r="N421" s="215">
        <f t="shared" si="161"/>
        <v>0</v>
      </c>
      <c r="O421" s="193">
        <f t="shared" si="161"/>
        <v>1318563328</v>
      </c>
      <c r="P421" s="193">
        <f t="shared" si="161"/>
        <v>1318563328</v>
      </c>
      <c r="S421" s="193"/>
      <c r="T421" s="193">
        <v>1045817135</v>
      </c>
    </row>
    <row r="422" spans="4:20" ht="15.75" thickTop="1">
      <c r="D422" s="174"/>
      <c r="E422" s="174"/>
      <c r="F422" s="174"/>
      <c r="G422" s="174"/>
      <c r="H422" s="174"/>
      <c r="I422" s="174"/>
      <c r="J422" s="174"/>
      <c r="K422" s="176"/>
      <c r="L422" s="176"/>
      <c r="M422" s="174"/>
      <c r="N422" s="174"/>
      <c r="O422" s="176"/>
      <c r="P422" s="176"/>
      <c r="S422" s="176"/>
      <c r="T422" s="176"/>
    </row>
    <row r="423" spans="4:12" ht="15">
      <c r="D423" s="174"/>
      <c r="E423" s="174"/>
      <c r="F423" s="174"/>
      <c r="G423" s="174"/>
      <c r="H423" s="174"/>
      <c r="I423" s="174"/>
      <c r="J423" s="174"/>
      <c r="K423" s="176"/>
      <c r="L423" s="176"/>
    </row>
    <row r="424" spans="2:12" ht="15">
      <c r="B424" s="169" t="s">
        <v>369</v>
      </c>
      <c r="D424" s="174"/>
      <c r="E424" s="174"/>
      <c r="F424" s="174"/>
      <c r="G424" s="174"/>
      <c r="H424" s="174"/>
      <c r="I424" s="174"/>
      <c r="J424" s="174"/>
      <c r="K424" s="176"/>
      <c r="L424" s="176"/>
    </row>
    <row r="425" spans="2:12" ht="15">
      <c r="B425" s="169" t="s">
        <v>193</v>
      </c>
      <c r="D425" s="174"/>
      <c r="E425" s="174"/>
      <c r="F425" s="174"/>
      <c r="G425" s="174"/>
      <c r="H425" s="174"/>
      <c r="I425" s="174"/>
      <c r="J425" s="174"/>
      <c r="K425" s="176"/>
      <c r="L425" s="176"/>
    </row>
    <row r="426" spans="2:12" ht="15">
      <c r="B426" s="214" t="s">
        <v>370</v>
      </c>
      <c r="D426" s="174"/>
      <c r="E426" s="174"/>
      <c r="F426" s="174"/>
      <c r="G426" s="174"/>
      <c r="H426" s="174"/>
      <c r="I426" s="174"/>
      <c r="J426" s="174"/>
      <c r="K426" s="176"/>
      <c r="L426" s="176"/>
    </row>
    <row r="427" spans="2:20" ht="15">
      <c r="B427" s="16" t="s">
        <v>371</v>
      </c>
      <c r="C427" s="200" t="s">
        <v>165</v>
      </c>
      <c r="D427" s="174">
        <v>0</v>
      </c>
      <c r="E427" s="174">
        <v>0</v>
      </c>
      <c r="F427" s="174">
        <v>0</v>
      </c>
      <c r="G427" s="174">
        <v>0</v>
      </c>
      <c r="H427" s="174">
        <v>0</v>
      </c>
      <c r="I427" s="174">
        <v>0</v>
      </c>
      <c r="J427" s="174">
        <v>0</v>
      </c>
      <c r="K427" s="176">
        <f>SUM(D427:J427)</f>
        <v>0</v>
      </c>
      <c r="L427" s="176">
        <f>K427</f>
        <v>0</v>
      </c>
      <c r="M427" s="26">
        <v>0</v>
      </c>
      <c r="N427" s="26">
        <v>0</v>
      </c>
      <c r="O427" s="172">
        <f>SUM(L427:N427)</f>
        <v>0</v>
      </c>
      <c r="P427" s="172">
        <f>O427</f>
        <v>0</v>
      </c>
      <c r="T427" s="172">
        <v>0</v>
      </c>
    </row>
    <row r="428" spans="2:20" ht="15">
      <c r="B428" s="16" t="s">
        <v>372</v>
      </c>
      <c r="C428" s="200" t="s">
        <v>165</v>
      </c>
      <c r="D428" s="174">
        <v>0</v>
      </c>
      <c r="E428" s="174">
        <v>0</v>
      </c>
      <c r="F428" s="174">
        <v>0</v>
      </c>
      <c r="G428" s="174">
        <v>0</v>
      </c>
      <c r="H428" s="174">
        <v>0</v>
      </c>
      <c r="I428" s="174">
        <v>0</v>
      </c>
      <c r="J428" s="174">
        <v>0</v>
      </c>
      <c r="K428" s="176">
        <f>SUM(D428:J428)</f>
        <v>0</v>
      </c>
      <c r="L428" s="176">
        <f>K428</f>
        <v>0</v>
      </c>
      <c r="M428" s="26">
        <v>0</v>
      </c>
      <c r="N428" s="26">
        <v>0</v>
      </c>
      <c r="O428" s="172">
        <f>SUM(L428:N428)</f>
        <v>0</v>
      </c>
      <c r="P428" s="172">
        <f>O428</f>
        <v>0</v>
      </c>
      <c r="T428" s="172">
        <v>0</v>
      </c>
    </row>
    <row r="429" spans="2:20" ht="15">
      <c r="B429" s="16" t="s">
        <v>373</v>
      </c>
      <c r="C429" s="200" t="s">
        <v>165</v>
      </c>
      <c r="D429" s="174">
        <v>0</v>
      </c>
      <c r="E429" s="174">
        <v>0</v>
      </c>
      <c r="F429" s="174">
        <v>0</v>
      </c>
      <c r="G429" s="174">
        <v>0</v>
      </c>
      <c r="H429" s="174">
        <v>0</v>
      </c>
      <c r="I429" s="174">
        <v>0</v>
      </c>
      <c r="J429" s="174">
        <v>0</v>
      </c>
      <c r="K429" s="176">
        <f>SUM(D429:J429)</f>
        <v>0</v>
      </c>
      <c r="L429" s="176">
        <f>K429</f>
        <v>0</v>
      </c>
      <c r="M429" s="26">
        <v>0</v>
      </c>
      <c r="N429" s="26">
        <v>0</v>
      </c>
      <c r="O429" s="172">
        <f>SUM(L429:N429)</f>
        <v>0</v>
      </c>
      <c r="P429" s="172">
        <f>O429</f>
        <v>0</v>
      </c>
      <c r="T429" s="172">
        <v>0</v>
      </c>
    </row>
    <row r="430" spans="2:20" ht="15">
      <c r="B430" s="16" t="s">
        <v>374</v>
      </c>
      <c r="C430" s="200" t="s">
        <v>165</v>
      </c>
      <c r="D430" s="174">
        <v>0</v>
      </c>
      <c r="E430" s="174">
        <v>0</v>
      </c>
      <c r="F430" s="174">
        <v>0</v>
      </c>
      <c r="G430" s="174">
        <v>0</v>
      </c>
      <c r="H430" s="174">
        <v>0</v>
      </c>
      <c r="I430" s="174">
        <v>0</v>
      </c>
      <c r="J430" s="174">
        <v>0</v>
      </c>
      <c r="K430" s="176">
        <f>SUM(D430:J430)</f>
        <v>0</v>
      </c>
      <c r="L430" s="176">
        <f>K430</f>
        <v>0</v>
      </c>
      <c r="M430" s="26">
        <v>0</v>
      </c>
      <c r="N430" s="26">
        <v>0</v>
      </c>
      <c r="O430" s="172">
        <f>SUM(L430:N430)</f>
        <v>0</v>
      </c>
      <c r="P430" s="172">
        <f>O430</f>
        <v>0</v>
      </c>
      <c r="T430" s="172">
        <v>0</v>
      </c>
    </row>
    <row r="431" spans="3:20" ht="15">
      <c r="C431" s="200" t="s">
        <v>334</v>
      </c>
      <c r="D431" s="212">
        <f aca="true" t="shared" si="162" ref="D431:P431">SUM(D425:D430)</f>
        <v>0</v>
      </c>
      <c r="E431" s="212">
        <f t="shared" si="162"/>
        <v>0</v>
      </c>
      <c r="F431" s="212">
        <f t="shared" si="162"/>
        <v>0</v>
      </c>
      <c r="G431" s="212">
        <f t="shared" si="162"/>
        <v>0</v>
      </c>
      <c r="H431" s="212">
        <f t="shared" si="162"/>
        <v>0</v>
      </c>
      <c r="I431" s="212">
        <f t="shared" si="162"/>
        <v>0</v>
      </c>
      <c r="J431" s="212">
        <f>SUM(J425:J430)</f>
        <v>0</v>
      </c>
      <c r="K431" s="189">
        <f t="shared" si="162"/>
        <v>0</v>
      </c>
      <c r="L431" s="189">
        <f t="shared" si="162"/>
        <v>0</v>
      </c>
      <c r="M431" s="212">
        <f t="shared" si="162"/>
        <v>0</v>
      </c>
      <c r="N431" s="212">
        <f t="shared" si="162"/>
        <v>0</v>
      </c>
      <c r="O431" s="189">
        <f t="shared" si="162"/>
        <v>0</v>
      </c>
      <c r="P431" s="189">
        <f t="shared" si="162"/>
        <v>0</v>
      </c>
      <c r="S431" s="189"/>
      <c r="T431" s="189">
        <v>0</v>
      </c>
    </row>
    <row r="432" spans="4:12" ht="15">
      <c r="D432" s="174"/>
      <c r="E432" s="174"/>
      <c r="F432" s="174"/>
      <c r="G432" s="174"/>
      <c r="H432" s="174"/>
      <c r="I432" s="174"/>
      <c r="J432" s="174"/>
      <c r="K432" s="176"/>
      <c r="L432" s="176"/>
    </row>
    <row r="433" spans="2:12" ht="15">
      <c r="B433" s="214" t="s">
        <v>375</v>
      </c>
      <c r="D433" s="174"/>
      <c r="E433" s="174"/>
      <c r="F433" s="174"/>
      <c r="G433" s="174"/>
      <c r="H433" s="174"/>
      <c r="I433" s="174"/>
      <c r="J433" s="174"/>
      <c r="K433" s="176"/>
      <c r="L433" s="176"/>
    </row>
    <row r="434" spans="2:20" ht="15">
      <c r="B434" s="16" t="s">
        <v>371</v>
      </c>
      <c r="C434" s="200" t="s">
        <v>165</v>
      </c>
      <c r="D434" s="174">
        <v>0</v>
      </c>
      <c r="E434" s="174">
        <v>0</v>
      </c>
      <c r="F434" s="174">
        <v>0</v>
      </c>
      <c r="G434" s="174">
        <v>0</v>
      </c>
      <c r="H434" s="174">
        <v>0</v>
      </c>
      <c r="I434" s="174">
        <v>0</v>
      </c>
      <c r="J434" s="174">
        <v>0</v>
      </c>
      <c r="K434" s="176">
        <f>SUM(D434:J434)</f>
        <v>0</v>
      </c>
      <c r="L434" s="176">
        <f>K434</f>
        <v>0</v>
      </c>
      <c r="M434" s="26">
        <v>0</v>
      </c>
      <c r="N434" s="26">
        <v>0</v>
      </c>
      <c r="O434" s="172">
        <f>SUM(L434:N434)</f>
        <v>0</v>
      </c>
      <c r="P434" s="172">
        <f>O434</f>
        <v>0</v>
      </c>
      <c r="T434" s="172">
        <v>0</v>
      </c>
    </row>
    <row r="435" spans="2:20" ht="15">
      <c r="B435" s="16" t="s">
        <v>372</v>
      </c>
      <c r="C435" s="200" t="s">
        <v>165</v>
      </c>
      <c r="D435" s="174">
        <v>0</v>
      </c>
      <c r="E435" s="174">
        <v>0</v>
      </c>
      <c r="F435" s="174">
        <v>0</v>
      </c>
      <c r="G435" s="174">
        <v>0</v>
      </c>
      <c r="H435" s="174">
        <v>0</v>
      </c>
      <c r="I435" s="174">
        <v>0</v>
      </c>
      <c r="J435" s="174">
        <v>0</v>
      </c>
      <c r="K435" s="176">
        <f>SUM(D435:J435)</f>
        <v>0</v>
      </c>
      <c r="L435" s="176">
        <f>K435</f>
        <v>0</v>
      </c>
      <c r="M435" s="26">
        <v>0</v>
      </c>
      <c r="N435" s="26">
        <v>0</v>
      </c>
      <c r="O435" s="172">
        <f>SUM(L435:N435)</f>
        <v>0</v>
      </c>
      <c r="P435" s="172">
        <f>O435</f>
        <v>0</v>
      </c>
      <c r="T435" s="172">
        <v>0</v>
      </c>
    </row>
    <row r="436" spans="2:20" ht="15">
      <c r="B436" s="16" t="s">
        <v>373</v>
      </c>
      <c r="C436" s="200" t="s">
        <v>165</v>
      </c>
      <c r="D436" s="174">
        <v>0</v>
      </c>
      <c r="E436" s="174">
        <v>0</v>
      </c>
      <c r="F436" s="174">
        <v>0</v>
      </c>
      <c r="G436" s="174">
        <v>0</v>
      </c>
      <c r="H436" s="174">
        <v>0</v>
      </c>
      <c r="I436" s="174">
        <v>0</v>
      </c>
      <c r="J436" s="174">
        <v>0</v>
      </c>
      <c r="K436" s="176">
        <f>SUM(D436:J436)</f>
        <v>0</v>
      </c>
      <c r="L436" s="176">
        <f>K436</f>
        <v>0</v>
      </c>
      <c r="M436" s="26">
        <v>0</v>
      </c>
      <c r="N436" s="26">
        <v>0</v>
      </c>
      <c r="O436" s="172">
        <f>SUM(L436:N436)</f>
        <v>0</v>
      </c>
      <c r="P436" s="172">
        <f>O436</f>
        <v>0</v>
      </c>
      <c r="T436" s="172">
        <v>0</v>
      </c>
    </row>
    <row r="437" spans="2:20" ht="15">
      <c r="B437" s="16" t="s">
        <v>374</v>
      </c>
      <c r="C437" s="200" t="s">
        <v>165</v>
      </c>
      <c r="D437" s="174">
        <v>0</v>
      </c>
      <c r="E437" s="174">
        <v>0</v>
      </c>
      <c r="F437" s="174">
        <v>0</v>
      </c>
      <c r="G437" s="174">
        <v>0</v>
      </c>
      <c r="H437" s="174">
        <v>0</v>
      </c>
      <c r="I437" s="174">
        <v>0</v>
      </c>
      <c r="J437" s="174">
        <v>0</v>
      </c>
      <c r="K437" s="176">
        <f>SUM(D437:J437)</f>
        <v>0</v>
      </c>
      <c r="L437" s="176">
        <f>K437</f>
        <v>0</v>
      </c>
      <c r="M437" s="26">
        <v>0</v>
      </c>
      <c r="N437" s="26">
        <v>0</v>
      </c>
      <c r="O437" s="172">
        <f>SUM(L437:N437)</f>
        <v>0</v>
      </c>
      <c r="P437" s="172">
        <f>O437</f>
        <v>0</v>
      </c>
      <c r="T437" s="172">
        <v>0</v>
      </c>
    </row>
    <row r="438" spans="3:20" ht="15">
      <c r="C438" s="200" t="s">
        <v>339</v>
      </c>
      <c r="D438" s="212">
        <f aca="true" t="shared" si="163" ref="D438:P438">SUM(D433:D437)</f>
        <v>0</v>
      </c>
      <c r="E438" s="212">
        <f t="shared" si="163"/>
        <v>0</v>
      </c>
      <c r="F438" s="212">
        <f t="shared" si="163"/>
        <v>0</v>
      </c>
      <c r="G438" s="212">
        <f t="shared" si="163"/>
        <v>0</v>
      </c>
      <c r="H438" s="212">
        <f t="shared" si="163"/>
        <v>0</v>
      </c>
      <c r="I438" s="212">
        <f t="shared" si="163"/>
        <v>0</v>
      </c>
      <c r="J438" s="212">
        <f>SUM(J433:J437)</f>
        <v>0</v>
      </c>
      <c r="K438" s="189">
        <f t="shared" si="163"/>
        <v>0</v>
      </c>
      <c r="L438" s="189">
        <f t="shared" si="163"/>
        <v>0</v>
      </c>
      <c r="M438" s="212">
        <f t="shared" si="163"/>
        <v>0</v>
      </c>
      <c r="N438" s="212">
        <f t="shared" si="163"/>
        <v>0</v>
      </c>
      <c r="O438" s="189">
        <f t="shared" si="163"/>
        <v>0</v>
      </c>
      <c r="P438" s="189">
        <f t="shared" si="163"/>
        <v>0</v>
      </c>
      <c r="S438" s="189"/>
      <c r="T438" s="189">
        <v>0</v>
      </c>
    </row>
    <row r="439" spans="4:12" ht="15">
      <c r="D439" s="174"/>
      <c r="E439" s="174"/>
      <c r="F439" s="174"/>
      <c r="G439" s="174"/>
      <c r="H439" s="174"/>
      <c r="I439" s="174"/>
      <c r="J439" s="174"/>
      <c r="K439" s="176"/>
      <c r="L439" s="176"/>
    </row>
    <row r="440" spans="3:20" ht="15.75" thickBot="1">
      <c r="C440" s="200" t="s">
        <v>348</v>
      </c>
      <c r="D440" s="193">
        <f>D438+D431</f>
        <v>0</v>
      </c>
      <c r="E440" s="193">
        <f aca="true" t="shared" si="164" ref="E440:N440">E438+E431</f>
        <v>0</v>
      </c>
      <c r="F440" s="193">
        <f t="shared" si="164"/>
        <v>0</v>
      </c>
      <c r="G440" s="193">
        <f>G438+G431</f>
        <v>0</v>
      </c>
      <c r="H440" s="193">
        <f>H438+H431</f>
        <v>0</v>
      </c>
      <c r="I440" s="193">
        <f>I438+I431</f>
        <v>0</v>
      </c>
      <c r="J440" s="193">
        <f>J438+J431</f>
        <v>0</v>
      </c>
      <c r="K440" s="193">
        <f t="shared" si="164"/>
        <v>0</v>
      </c>
      <c r="L440" s="193">
        <f t="shared" si="164"/>
        <v>0</v>
      </c>
      <c r="M440" s="193">
        <f t="shared" si="164"/>
        <v>0</v>
      </c>
      <c r="N440" s="193">
        <f t="shared" si="164"/>
        <v>0</v>
      </c>
      <c r="O440" s="193">
        <f>O438+O431</f>
        <v>0</v>
      </c>
      <c r="P440" s="193">
        <f>P438+P431</f>
        <v>0</v>
      </c>
      <c r="S440" s="193"/>
      <c r="T440" s="193">
        <v>0</v>
      </c>
    </row>
    <row r="441" spans="4:12" ht="15.75" thickTop="1">
      <c r="D441" s="174"/>
      <c r="E441" s="174"/>
      <c r="F441" s="174"/>
      <c r="G441" s="174"/>
      <c r="H441" s="174"/>
      <c r="I441" s="174"/>
      <c r="J441" s="174"/>
      <c r="K441" s="176"/>
      <c r="L441" s="176"/>
    </row>
    <row r="442" spans="2:12" ht="15">
      <c r="B442" s="169" t="s">
        <v>376</v>
      </c>
      <c r="D442" s="174"/>
      <c r="E442" s="174"/>
      <c r="F442" s="174"/>
      <c r="G442" s="174"/>
      <c r="H442" s="174"/>
      <c r="I442" s="174"/>
      <c r="J442" s="174"/>
      <c r="K442" s="176"/>
      <c r="L442" s="176"/>
    </row>
    <row r="443" spans="2:12" ht="15">
      <c r="B443" s="169" t="s">
        <v>194</v>
      </c>
      <c r="D443" s="174"/>
      <c r="E443" s="174"/>
      <c r="F443" s="174"/>
      <c r="G443" s="174"/>
      <c r="H443" s="174"/>
      <c r="I443" s="174"/>
      <c r="J443" s="174"/>
      <c r="K443" s="176"/>
      <c r="L443" s="176"/>
    </row>
    <row r="444" spans="2:20" ht="15">
      <c r="B444" s="16" t="s">
        <v>338</v>
      </c>
      <c r="C444" s="200" t="s">
        <v>165</v>
      </c>
      <c r="D444" s="174">
        <v>0</v>
      </c>
      <c r="E444" s="174">
        <v>0</v>
      </c>
      <c r="F444" s="174">
        <f>144718374</f>
        <v>144718374</v>
      </c>
      <c r="G444" s="174">
        <v>0</v>
      </c>
      <c r="H444" s="174"/>
      <c r="I444" s="174"/>
      <c r="J444" s="174">
        <v>0</v>
      </c>
      <c r="K444" s="176">
        <f>SUM(D444:J444)</f>
        <v>144718374</v>
      </c>
      <c r="L444" s="176">
        <f>K444</f>
        <v>144718374</v>
      </c>
      <c r="N444" s="26">
        <f>'[2] ConsoJL'!S438</f>
        <v>0</v>
      </c>
      <c r="O444" s="172">
        <f>N444+M444+L444</f>
        <v>144718374</v>
      </c>
      <c r="P444" s="172">
        <f>O444</f>
        <v>144718374</v>
      </c>
      <c r="T444" s="172">
        <v>419591044</v>
      </c>
    </row>
    <row r="445" spans="2:20" ht="15">
      <c r="B445" s="16" t="s">
        <v>377</v>
      </c>
      <c r="C445" s="200" t="s">
        <v>334</v>
      </c>
      <c r="D445" s="174">
        <f aca="true" t="shared" si="165" ref="D445:I445">D453</f>
        <v>0</v>
      </c>
      <c r="E445" s="174">
        <f t="shared" si="165"/>
        <v>0</v>
      </c>
      <c r="F445" s="174">
        <f t="shared" si="165"/>
        <v>0</v>
      </c>
      <c r="G445" s="174">
        <f t="shared" si="165"/>
        <v>0</v>
      </c>
      <c r="H445" s="174">
        <f t="shared" si="165"/>
        <v>0</v>
      </c>
      <c r="I445" s="174">
        <f t="shared" si="165"/>
        <v>0</v>
      </c>
      <c r="J445" s="174">
        <v>0</v>
      </c>
      <c r="K445" s="176">
        <f>SUM(D445:J445)</f>
        <v>0</v>
      </c>
      <c r="L445" s="176">
        <f>K445</f>
        <v>0</v>
      </c>
      <c r="O445" s="172">
        <f>N445+M445+L445</f>
        <v>0</v>
      </c>
      <c r="P445" s="172">
        <f>O445</f>
        <v>0</v>
      </c>
      <c r="T445" s="172">
        <v>0</v>
      </c>
    </row>
    <row r="446" spans="2:20" s="169" customFormat="1" ht="15">
      <c r="B446" s="169" t="s">
        <v>338</v>
      </c>
      <c r="C446" s="170"/>
      <c r="D446" s="189">
        <f aca="true" t="shared" si="166" ref="D446:P446">SUM(D443:D445)</f>
        <v>0</v>
      </c>
      <c r="E446" s="189">
        <f t="shared" si="166"/>
        <v>0</v>
      </c>
      <c r="F446" s="189">
        <f t="shared" si="166"/>
        <v>144718374</v>
      </c>
      <c r="G446" s="189">
        <f t="shared" si="166"/>
        <v>0</v>
      </c>
      <c r="H446" s="189">
        <f t="shared" si="166"/>
        <v>0</v>
      </c>
      <c r="I446" s="189">
        <f t="shared" si="166"/>
        <v>0</v>
      </c>
      <c r="J446" s="189">
        <f>SUM(J443:J445)</f>
        <v>0</v>
      </c>
      <c r="K446" s="189">
        <f t="shared" si="166"/>
        <v>144718374</v>
      </c>
      <c r="L446" s="189">
        <f>SUM(L444:L445)</f>
        <v>144718374</v>
      </c>
      <c r="M446" s="189">
        <f t="shared" si="166"/>
        <v>0</v>
      </c>
      <c r="N446" s="189">
        <f t="shared" si="166"/>
        <v>0</v>
      </c>
      <c r="O446" s="189">
        <f t="shared" si="166"/>
        <v>144718374</v>
      </c>
      <c r="P446" s="189">
        <f t="shared" si="166"/>
        <v>144718374</v>
      </c>
      <c r="Q446" s="174"/>
      <c r="S446" s="189"/>
      <c r="T446" s="189">
        <v>419591044</v>
      </c>
    </row>
    <row r="447" spans="4:12" ht="15">
      <c r="D447" s="174"/>
      <c r="E447" s="174"/>
      <c r="F447" s="174"/>
      <c r="G447" s="174"/>
      <c r="H447" s="174"/>
      <c r="I447" s="174"/>
      <c r="J447" s="174"/>
      <c r="K447" s="176"/>
      <c r="L447" s="176"/>
    </row>
    <row r="448" spans="2:12" ht="15">
      <c r="B448" s="169" t="s">
        <v>264</v>
      </c>
      <c r="D448" s="174"/>
      <c r="E448" s="174"/>
      <c r="F448" s="174"/>
      <c r="G448" s="174"/>
      <c r="H448" s="174"/>
      <c r="I448" s="174"/>
      <c r="J448" s="174"/>
      <c r="K448" s="176"/>
      <c r="L448" s="176"/>
    </row>
    <row r="449" spans="2:20" s="169" customFormat="1" ht="15">
      <c r="B449" s="169" t="s">
        <v>320</v>
      </c>
      <c r="C449" s="200" t="s">
        <v>165</v>
      </c>
      <c r="D449" s="174">
        <v>0</v>
      </c>
      <c r="E449" s="174">
        <v>0</v>
      </c>
      <c r="F449" s="174">
        <v>0</v>
      </c>
      <c r="G449" s="176">
        <v>0</v>
      </c>
      <c r="H449" s="174">
        <v>0</v>
      </c>
      <c r="I449" s="174">
        <v>0</v>
      </c>
      <c r="J449" s="176">
        <v>0</v>
      </c>
      <c r="K449" s="176">
        <f>SUM(D449:J449)</f>
        <v>0</v>
      </c>
      <c r="L449" s="176">
        <f>K449</f>
        <v>0</v>
      </c>
      <c r="M449" s="172">
        <v>0</v>
      </c>
      <c r="N449" s="172">
        <v>0</v>
      </c>
      <c r="O449" s="172">
        <f>SUM(L449:N449)</f>
        <v>0</v>
      </c>
      <c r="P449" s="172">
        <f>O449</f>
        <v>0</v>
      </c>
      <c r="Q449" s="174"/>
      <c r="S449" s="172"/>
      <c r="T449" s="172">
        <v>0</v>
      </c>
    </row>
    <row r="450" spans="2:20" ht="15">
      <c r="B450" s="16" t="s">
        <v>378</v>
      </c>
      <c r="C450" s="200" t="s">
        <v>165</v>
      </c>
      <c r="D450" s="174">
        <v>0</v>
      </c>
      <c r="E450" s="174">
        <v>0</v>
      </c>
      <c r="F450" s="174">
        <v>0</v>
      </c>
      <c r="G450" s="174">
        <v>0</v>
      </c>
      <c r="H450" s="174">
        <v>0</v>
      </c>
      <c r="I450" s="174">
        <v>0</v>
      </c>
      <c r="J450" s="174">
        <v>0</v>
      </c>
      <c r="K450" s="176">
        <f>SUM(D450:J450)</f>
        <v>0</v>
      </c>
      <c r="L450" s="176">
        <f>K450</f>
        <v>0</v>
      </c>
      <c r="M450" s="172">
        <v>0</v>
      </c>
      <c r="N450" s="172">
        <v>0</v>
      </c>
      <c r="O450" s="172">
        <f>SUM(L450:N450)</f>
        <v>0</v>
      </c>
      <c r="P450" s="172">
        <f>O450</f>
        <v>0</v>
      </c>
      <c r="T450" s="172">
        <v>0</v>
      </c>
    </row>
    <row r="451" spans="2:20" ht="15">
      <c r="B451" s="16" t="s">
        <v>379</v>
      </c>
      <c r="C451" s="200" t="s">
        <v>165</v>
      </c>
      <c r="D451" s="174">
        <v>0</v>
      </c>
      <c r="E451" s="174">
        <v>0</v>
      </c>
      <c r="F451" s="174">
        <v>0</v>
      </c>
      <c r="G451" s="174">
        <v>0</v>
      </c>
      <c r="H451" s="174">
        <v>0</v>
      </c>
      <c r="I451" s="174">
        <v>0</v>
      </c>
      <c r="J451" s="174">
        <v>0</v>
      </c>
      <c r="K451" s="176">
        <f>SUM(D451:J451)</f>
        <v>0</v>
      </c>
      <c r="L451" s="176">
        <f>K451</f>
        <v>0</v>
      </c>
      <c r="M451" s="172">
        <v>0</v>
      </c>
      <c r="N451" s="172">
        <v>0</v>
      </c>
      <c r="O451" s="172">
        <f>SUM(L451:N451)</f>
        <v>0</v>
      </c>
      <c r="P451" s="172">
        <f>O451</f>
        <v>0</v>
      </c>
      <c r="T451" s="172">
        <v>0</v>
      </c>
    </row>
    <row r="452" spans="2:20" ht="15">
      <c r="B452" s="16" t="s">
        <v>380</v>
      </c>
      <c r="C452" s="200" t="s">
        <v>165</v>
      </c>
      <c r="D452" s="174">
        <v>0</v>
      </c>
      <c r="E452" s="174">
        <v>0</v>
      </c>
      <c r="F452" s="174">
        <v>0</v>
      </c>
      <c r="G452" s="174">
        <v>0</v>
      </c>
      <c r="H452" s="174">
        <v>0</v>
      </c>
      <c r="I452" s="174">
        <v>0</v>
      </c>
      <c r="J452" s="174">
        <v>0</v>
      </c>
      <c r="K452" s="176">
        <f>SUM(D452:J452)</f>
        <v>0</v>
      </c>
      <c r="L452" s="176">
        <f>K452</f>
        <v>0</v>
      </c>
      <c r="M452" s="172">
        <v>0</v>
      </c>
      <c r="N452" s="172">
        <v>0</v>
      </c>
      <c r="O452" s="172">
        <f>SUM(L452:N452)</f>
        <v>0</v>
      </c>
      <c r="P452" s="172">
        <f>O452</f>
        <v>0</v>
      </c>
      <c r="T452" s="172">
        <v>0</v>
      </c>
    </row>
    <row r="453" spans="2:20" s="169" customFormat="1" ht="15">
      <c r="B453" s="169" t="s">
        <v>338</v>
      </c>
      <c r="C453" s="200" t="s">
        <v>334</v>
      </c>
      <c r="D453" s="189">
        <f aca="true" t="shared" si="167" ref="D453:P453">SUM(D448:D452)</f>
        <v>0</v>
      </c>
      <c r="E453" s="189">
        <f t="shared" si="167"/>
        <v>0</v>
      </c>
      <c r="F453" s="189">
        <f t="shared" si="167"/>
        <v>0</v>
      </c>
      <c r="G453" s="189">
        <f t="shared" si="167"/>
        <v>0</v>
      </c>
      <c r="H453" s="189">
        <f t="shared" si="167"/>
        <v>0</v>
      </c>
      <c r="I453" s="189">
        <f t="shared" si="167"/>
        <v>0</v>
      </c>
      <c r="J453" s="189">
        <f>SUM(J448:J452)</f>
        <v>0</v>
      </c>
      <c r="K453" s="189">
        <f t="shared" si="167"/>
        <v>0</v>
      </c>
      <c r="L453" s="189">
        <f t="shared" si="167"/>
        <v>0</v>
      </c>
      <c r="M453" s="189">
        <f t="shared" si="167"/>
        <v>0</v>
      </c>
      <c r="N453" s="189">
        <f t="shared" si="167"/>
        <v>0</v>
      </c>
      <c r="O453" s="189">
        <f t="shared" si="167"/>
        <v>0</v>
      </c>
      <c r="P453" s="189">
        <f t="shared" si="167"/>
        <v>0</v>
      </c>
      <c r="Q453" s="174"/>
      <c r="S453" s="189"/>
      <c r="T453" s="189">
        <v>0</v>
      </c>
    </row>
    <row r="454" spans="4:12" ht="15">
      <c r="D454" s="174"/>
      <c r="E454" s="174"/>
      <c r="F454" s="174"/>
      <c r="G454" s="174"/>
      <c r="H454" s="174"/>
      <c r="I454" s="174"/>
      <c r="J454" s="174"/>
      <c r="K454" s="176"/>
      <c r="L454" s="176"/>
    </row>
    <row r="455" spans="2:12" ht="15">
      <c r="B455" s="169" t="s">
        <v>381</v>
      </c>
      <c r="D455" s="174"/>
      <c r="E455" s="174"/>
      <c r="F455" s="174"/>
      <c r="G455" s="174"/>
      <c r="H455" s="174"/>
      <c r="I455" s="174"/>
      <c r="J455" s="174"/>
      <c r="K455" s="176"/>
      <c r="L455" s="176"/>
    </row>
    <row r="456" spans="2:12" ht="15">
      <c r="B456" s="169" t="s">
        <v>26</v>
      </c>
      <c r="D456" s="174"/>
      <c r="E456" s="174"/>
      <c r="F456" s="174"/>
      <c r="G456" s="174"/>
      <c r="H456" s="174"/>
      <c r="I456" s="174"/>
      <c r="J456" s="174"/>
      <c r="K456" s="176"/>
      <c r="L456" s="176"/>
    </row>
    <row r="457" spans="2:20" ht="15">
      <c r="B457" s="16" t="s">
        <v>382</v>
      </c>
      <c r="C457" s="200" t="s">
        <v>165</v>
      </c>
      <c r="D457" s="174"/>
      <c r="E457" s="174">
        <v>0</v>
      </c>
      <c r="F457" s="174">
        <v>0</v>
      </c>
      <c r="G457" s="174">
        <f>122493-G460-G458-G461</f>
        <v>83210</v>
      </c>
      <c r="H457" s="174">
        <v>0</v>
      </c>
      <c r="I457" s="174">
        <v>0</v>
      </c>
      <c r="J457" s="174">
        <v>0</v>
      </c>
      <c r="K457" s="176">
        <f aca="true" t="shared" si="168" ref="K457:K465">SUM(D457:J457)</f>
        <v>83210</v>
      </c>
      <c r="L457" s="176">
        <f aca="true" t="shared" si="169" ref="L457:L465">K457</f>
        <v>83210</v>
      </c>
      <c r="M457" s="26">
        <f>'[2] ConsoJL'!Y289</f>
        <v>580000</v>
      </c>
      <c r="N457" s="26">
        <f>+'[2] ConsoJL'!Y294</f>
        <v>-580000</v>
      </c>
      <c r="O457" s="172">
        <f>SUM(L457:N457)</f>
        <v>83210</v>
      </c>
      <c r="P457" s="172">
        <f aca="true" t="shared" si="170" ref="P457:P465">O457</f>
        <v>83210</v>
      </c>
      <c r="T457" s="172">
        <v>60882</v>
      </c>
    </row>
    <row r="458" spans="2:20" ht="15">
      <c r="B458" s="16" t="s">
        <v>383</v>
      </c>
      <c r="C458" s="200" t="s">
        <v>165</v>
      </c>
      <c r="D458" s="174">
        <v>3912</v>
      </c>
      <c r="E458" s="174">
        <v>0</v>
      </c>
      <c r="F458" s="174">
        <v>1688780</v>
      </c>
      <c r="G458" s="174">
        <v>400</v>
      </c>
      <c r="H458" s="174">
        <v>0</v>
      </c>
      <c r="I458" s="174">
        <v>0</v>
      </c>
      <c r="J458" s="174">
        <v>3000</v>
      </c>
      <c r="K458" s="176">
        <f t="shared" si="168"/>
        <v>1696092</v>
      </c>
      <c r="L458" s="176">
        <f t="shared" si="169"/>
        <v>1696092</v>
      </c>
      <c r="M458" s="26">
        <v>0</v>
      </c>
      <c r="N458" s="26">
        <v>0</v>
      </c>
      <c r="O458" s="172">
        <f aca="true" t="shared" si="171" ref="O458:O463">SUM(L458:N458)</f>
        <v>1696092</v>
      </c>
      <c r="P458" s="172">
        <f t="shared" si="170"/>
        <v>1696092</v>
      </c>
      <c r="T458" s="172">
        <v>1796573</v>
      </c>
    </row>
    <row r="459" spans="2:20" ht="15">
      <c r="B459" s="16" t="s">
        <v>384</v>
      </c>
      <c r="C459" s="200" t="s">
        <v>165</v>
      </c>
      <c r="D459" s="174">
        <v>0</v>
      </c>
      <c r="E459" s="174">
        <v>0</v>
      </c>
      <c r="F459" s="174">
        <v>0</v>
      </c>
      <c r="G459" s="174">
        <v>580000</v>
      </c>
      <c r="H459" s="174">
        <v>0</v>
      </c>
      <c r="I459" s="174">
        <v>0</v>
      </c>
      <c r="J459" s="174">
        <v>0</v>
      </c>
      <c r="K459" s="176">
        <f t="shared" si="168"/>
        <v>580000</v>
      </c>
      <c r="L459" s="176">
        <f t="shared" si="169"/>
        <v>580000</v>
      </c>
      <c r="M459" s="26">
        <v>0</v>
      </c>
      <c r="N459" s="26">
        <v>0</v>
      </c>
      <c r="O459" s="172">
        <f t="shared" si="171"/>
        <v>580000</v>
      </c>
      <c r="P459" s="172">
        <f t="shared" si="170"/>
        <v>580000</v>
      </c>
      <c r="T459" s="172">
        <v>580000</v>
      </c>
    </row>
    <row r="460" spans="2:20" ht="15">
      <c r="B460" s="16" t="s">
        <v>95</v>
      </c>
      <c r="C460" s="200" t="s">
        <v>165</v>
      </c>
      <c r="D460" s="174">
        <v>7925</v>
      </c>
      <c r="E460" s="174">
        <v>0</v>
      </c>
      <c r="F460" s="174">
        <v>0</v>
      </c>
      <c r="G460" s="174">
        <v>34473</v>
      </c>
      <c r="H460" s="174">
        <v>0</v>
      </c>
      <c r="I460" s="174">
        <v>0</v>
      </c>
      <c r="J460" s="174">
        <v>1860311</v>
      </c>
      <c r="K460" s="176">
        <f t="shared" si="168"/>
        <v>1902709</v>
      </c>
      <c r="L460" s="176">
        <f t="shared" si="169"/>
        <v>1902709</v>
      </c>
      <c r="M460" s="26">
        <v>0</v>
      </c>
      <c r="N460" s="26">
        <v>0</v>
      </c>
      <c r="O460" s="172">
        <f t="shared" si="171"/>
        <v>1902709</v>
      </c>
      <c r="P460" s="172">
        <f t="shared" si="170"/>
        <v>1902709</v>
      </c>
      <c r="T460" s="172">
        <v>1906309</v>
      </c>
    </row>
    <row r="461" spans="2:20" ht="15">
      <c r="B461" s="16" t="s">
        <v>385</v>
      </c>
      <c r="C461" s="200" t="s">
        <v>165</v>
      </c>
      <c r="D461" s="174">
        <v>100</v>
      </c>
      <c r="E461" s="174">
        <v>0</v>
      </c>
      <c r="F461" s="174">
        <v>0</v>
      </c>
      <c r="G461" s="174">
        <v>4410</v>
      </c>
      <c r="H461" s="174">
        <v>0</v>
      </c>
      <c r="I461" s="174">
        <v>0</v>
      </c>
      <c r="J461" s="174">
        <v>0</v>
      </c>
      <c r="K461" s="176">
        <f t="shared" si="168"/>
        <v>4510</v>
      </c>
      <c r="L461" s="176">
        <f t="shared" si="169"/>
        <v>4510</v>
      </c>
      <c r="M461" s="26">
        <v>0</v>
      </c>
      <c r="N461" s="26">
        <v>0</v>
      </c>
      <c r="O461" s="172">
        <f t="shared" si="171"/>
        <v>4510</v>
      </c>
      <c r="P461" s="172">
        <f t="shared" si="170"/>
        <v>4510</v>
      </c>
      <c r="T461" s="172">
        <v>4810</v>
      </c>
    </row>
    <row r="462" spans="2:20" ht="15">
      <c r="B462" s="16" t="s">
        <v>386</v>
      </c>
      <c r="C462" s="200"/>
      <c r="D462" s="203">
        <f>6040041-1200000</f>
        <v>4840041</v>
      </c>
      <c r="E462" s="174"/>
      <c r="F462" s="174"/>
      <c r="G462" s="174"/>
      <c r="H462" s="174"/>
      <c r="I462" s="174"/>
      <c r="J462" s="174"/>
      <c r="K462" s="176">
        <f t="shared" si="168"/>
        <v>4840041</v>
      </c>
      <c r="L462" s="176">
        <f t="shared" si="169"/>
        <v>4840041</v>
      </c>
      <c r="O462" s="172">
        <f t="shared" si="171"/>
        <v>4840041</v>
      </c>
      <c r="P462" s="172">
        <f t="shared" si="170"/>
        <v>4840041</v>
      </c>
      <c r="T462" s="172">
        <v>7229740</v>
      </c>
    </row>
    <row r="463" spans="2:20" ht="15">
      <c r="B463" s="16" t="s">
        <v>229</v>
      </c>
      <c r="C463" s="200" t="s">
        <v>165</v>
      </c>
      <c r="D463" s="182">
        <v>113633</v>
      </c>
      <c r="E463" s="182">
        <v>0</v>
      </c>
      <c r="F463" s="182">
        <v>0</v>
      </c>
      <c r="G463" s="182">
        <v>51889379</v>
      </c>
      <c r="H463" s="182">
        <v>0</v>
      </c>
      <c r="I463" s="182">
        <v>0</v>
      </c>
      <c r="J463" s="182">
        <v>1698000</v>
      </c>
      <c r="K463" s="183">
        <f t="shared" si="168"/>
        <v>53701012</v>
      </c>
      <c r="L463" s="183">
        <f t="shared" si="169"/>
        <v>53701012</v>
      </c>
      <c r="M463" s="182">
        <v>0</v>
      </c>
      <c r="N463" s="182">
        <f>'[2] ConsoJL'!Y322</f>
        <v>-51889379</v>
      </c>
      <c r="O463" s="183">
        <f t="shared" si="171"/>
        <v>1811633</v>
      </c>
      <c r="P463" s="183">
        <f t="shared" si="170"/>
        <v>1811633</v>
      </c>
      <c r="S463" s="183"/>
      <c r="T463" s="183">
        <v>-2841571</v>
      </c>
    </row>
    <row r="464" spans="2:20" ht="15">
      <c r="B464" s="169"/>
      <c r="D464" s="174">
        <f>SUM(D456:D463)</f>
        <v>4965611</v>
      </c>
      <c r="E464" s="174">
        <f aca="true" t="shared" si="172" ref="E464:P464">SUM(E456:E463)</f>
        <v>0</v>
      </c>
      <c r="F464" s="174">
        <f t="shared" si="172"/>
        <v>1688780</v>
      </c>
      <c r="G464" s="174">
        <f>SUM(G456:G463)</f>
        <v>52591872</v>
      </c>
      <c r="H464" s="174">
        <f t="shared" si="172"/>
        <v>0</v>
      </c>
      <c r="I464" s="174">
        <f t="shared" si="172"/>
        <v>0</v>
      </c>
      <c r="J464" s="174">
        <f>SUM(J456:J463)</f>
        <v>3561311</v>
      </c>
      <c r="K464" s="176">
        <f t="shared" si="172"/>
        <v>62807574</v>
      </c>
      <c r="L464" s="176">
        <f t="shared" si="172"/>
        <v>62807574</v>
      </c>
      <c r="M464" s="174">
        <f t="shared" si="172"/>
        <v>580000</v>
      </c>
      <c r="N464" s="174">
        <f>SUM(N456:N463)</f>
        <v>-52469379</v>
      </c>
      <c r="O464" s="176">
        <f t="shared" si="172"/>
        <v>10918195</v>
      </c>
      <c r="P464" s="176">
        <f t="shared" si="172"/>
        <v>10918195</v>
      </c>
      <c r="S464" s="176"/>
      <c r="T464" s="176">
        <v>8736743</v>
      </c>
    </row>
    <row r="465" spans="2:20" ht="15">
      <c r="B465" s="16" t="s">
        <v>387</v>
      </c>
      <c r="C465" s="200" t="s">
        <v>334</v>
      </c>
      <c r="D465" s="174">
        <f aca="true" t="shared" si="173" ref="D465:J465">-D472</f>
        <v>0</v>
      </c>
      <c r="E465" s="174">
        <f t="shared" si="173"/>
        <v>0</v>
      </c>
      <c r="F465" s="174">
        <f t="shared" si="173"/>
        <v>0</v>
      </c>
      <c r="G465" s="174">
        <f t="shared" si="173"/>
        <v>-580000</v>
      </c>
      <c r="H465" s="174">
        <f t="shared" si="173"/>
        <v>0</v>
      </c>
      <c r="I465" s="174">
        <f>-I472</f>
        <v>0</v>
      </c>
      <c r="J465" s="174">
        <f t="shared" si="173"/>
        <v>0</v>
      </c>
      <c r="K465" s="176">
        <f t="shared" si="168"/>
        <v>-580000</v>
      </c>
      <c r="L465" s="174">
        <f t="shared" si="169"/>
        <v>-580000</v>
      </c>
      <c r="M465" s="174"/>
      <c r="N465" s="174"/>
      <c r="O465" s="183">
        <f>SUM(L465:N465)</f>
        <v>-580000</v>
      </c>
      <c r="P465" s="183">
        <f t="shared" si="170"/>
        <v>-580000</v>
      </c>
      <c r="S465" s="183"/>
      <c r="T465" s="183">
        <v>-580000</v>
      </c>
    </row>
    <row r="466" spans="4:20" ht="15">
      <c r="D466" s="212">
        <f aca="true" t="shared" si="174" ref="D466:P466">SUM(D464:D465)</f>
        <v>4965611</v>
      </c>
      <c r="E466" s="212">
        <f t="shared" si="174"/>
        <v>0</v>
      </c>
      <c r="F466" s="212">
        <f t="shared" si="174"/>
        <v>1688780</v>
      </c>
      <c r="G466" s="212">
        <f t="shared" si="174"/>
        <v>52011872</v>
      </c>
      <c r="H466" s="212">
        <f t="shared" si="174"/>
        <v>0</v>
      </c>
      <c r="I466" s="212">
        <f t="shared" si="174"/>
        <v>0</v>
      </c>
      <c r="J466" s="212">
        <f>SUM(J464:J465)</f>
        <v>3561311</v>
      </c>
      <c r="K466" s="212">
        <f t="shared" si="174"/>
        <v>62227574</v>
      </c>
      <c r="L466" s="212">
        <f t="shared" si="174"/>
        <v>62227574</v>
      </c>
      <c r="M466" s="212">
        <f t="shared" si="174"/>
        <v>580000</v>
      </c>
      <c r="N466" s="212">
        <f t="shared" si="174"/>
        <v>-52469379</v>
      </c>
      <c r="O466" s="189">
        <f t="shared" si="174"/>
        <v>10338195</v>
      </c>
      <c r="P466" s="189">
        <f t="shared" si="174"/>
        <v>10338195</v>
      </c>
      <c r="S466" s="189"/>
      <c r="T466" s="189">
        <v>8156743</v>
      </c>
    </row>
    <row r="467" spans="4:12" ht="15">
      <c r="D467" s="174"/>
      <c r="E467" s="174"/>
      <c r="F467" s="174"/>
      <c r="G467" s="174"/>
      <c r="H467" s="174"/>
      <c r="I467" s="174"/>
      <c r="J467" s="174"/>
      <c r="K467" s="176"/>
      <c r="L467" s="176"/>
    </row>
    <row r="468" spans="2:12" ht="15">
      <c r="B468" s="169" t="s">
        <v>388</v>
      </c>
      <c r="D468" s="174"/>
      <c r="E468" s="174"/>
      <c r="F468" s="174"/>
      <c r="G468" s="174"/>
      <c r="H468" s="174"/>
      <c r="I468" s="174"/>
      <c r="J468" s="174"/>
      <c r="K468" s="176"/>
      <c r="L468" s="176"/>
    </row>
    <row r="469" spans="2:20" s="169" customFormat="1" ht="15">
      <c r="B469" s="169" t="s">
        <v>320</v>
      </c>
      <c r="C469" s="170"/>
      <c r="D469" s="176">
        <v>0</v>
      </c>
      <c r="E469" s="176">
        <v>0</v>
      </c>
      <c r="F469" s="176">
        <v>0</v>
      </c>
      <c r="G469" s="174">
        <v>580000</v>
      </c>
      <c r="H469" s="176">
        <v>0</v>
      </c>
      <c r="I469" s="176">
        <v>0</v>
      </c>
      <c r="J469" s="176">
        <v>0</v>
      </c>
      <c r="K469" s="176">
        <f>SUM(D469:J469)</f>
        <v>580000</v>
      </c>
      <c r="L469" s="176">
        <f>-K469</f>
        <v>-580000</v>
      </c>
      <c r="M469" s="172"/>
      <c r="N469" s="172"/>
      <c r="O469" s="172">
        <f>SUM(L469:N469)</f>
        <v>-580000</v>
      </c>
      <c r="P469" s="172">
        <f>-O469</f>
        <v>580000</v>
      </c>
      <c r="Q469" s="174"/>
      <c r="S469" s="172"/>
      <c r="T469" s="172">
        <v>580000</v>
      </c>
    </row>
    <row r="470" spans="2:20" ht="15">
      <c r="B470" s="16" t="s">
        <v>389</v>
      </c>
      <c r="C470" s="200" t="s">
        <v>165</v>
      </c>
      <c r="D470" s="174">
        <v>0</v>
      </c>
      <c r="E470" s="176">
        <v>0</v>
      </c>
      <c r="F470" s="174">
        <v>0</v>
      </c>
      <c r="G470" s="174">
        <v>0</v>
      </c>
      <c r="H470" s="174">
        <v>0</v>
      </c>
      <c r="I470" s="174">
        <v>0</v>
      </c>
      <c r="J470" s="174">
        <v>0</v>
      </c>
      <c r="K470" s="176">
        <f>SUM(D470:J470)</f>
        <v>0</v>
      </c>
      <c r="L470" s="176">
        <f>-K470</f>
        <v>0</v>
      </c>
      <c r="M470" s="26">
        <v>0</v>
      </c>
      <c r="N470" s="26">
        <v>0</v>
      </c>
      <c r="O470" s="172">
        <f>SUM(L470:N470)</f>
        <v>0</v>
      </c>
      <c r="P470" s="172">
        <f>-O470</f>
        <v>0</v>
      </c>
      <c r="T470" s="172">
        <v>0</v>
      </c>
    </row>
    <row r="471" spans="2:20" ht="15">
      <c r="B471" s="16" t="s">
        <v>390</v>
      </c>
      <c r="C471" s="200" t="s">
        <v>165</v>
      </c>
      <c r="D471" s="174">
        <v>0</v>
      </c>
      <c r="E471" s="176">
        <v>0</v>
      </c>
      <c r="F471" s="174">
        <v>0</v>
      </c>
      <c r="G471" s="174">
        <v>0</v>
      </c>
      <c r="H471" s="174">
        <v>0</v>
      </c>
      <c r="I471" s="174">
        <v>0</v>
      </c>
      <c r="J471" s="174">
        <v>0</v>
      </c>
      <c r="K471" s="176">
        <f>SUM(D471:J471)</f>
        <v>0</v>
      </c>
      <c r="L471" s="176">
        <f>-K471</f>
        <v>0</v>
      </c>
      <c r="M471" s="26">
        <v>0</v>
      </c>
      <c r="N471" s="26">
        <v>0</v>
      </c>
      <c r="O471" s="172">
        <f>SUM(L471:N471)</f>
        <v>0</v>
      </c>
      <c r="P471" s="172">
        <f>-O471</f>
        <v>0</v>
      </c>
      <c r="T471" s="172">
        <v>0</v>
      </c>
    </row>
    <row r="472" spans="2:20" s="169" customFormat="1" ht="15">
      <c r="B472" s="169" t="s">
        <v>338</v>
      </c>
      <c r="C472" s="200" t="s">
        <v>334</v>
      </c>
      <c r="D472" s="189">
        <f aca="true" t="shared" si="175" ref="D472:P472">SUM(D468:D471)</f>
        <v>0</v>
      </c>
      <c r="E472" s="189">
        <f t="shared" si="175"/>
        <v>0</v>
      </c>
      <c r="F472" s="189">
        <f t="shared" si="175"/>
        <v>0</v>
      </c>
      <c r="G472" s="189">
        <f t="shared" si="175"/>
        <v>580000</v>
      </c>
      <c r="H472" s="189">
        <f t="shared" si="175"/>
        <v>0</v>
      </c>
      <c r="I472" s="189">
        <f t="shared" si="175"/>
        <v>0</v>
      </c>
      <c r="J472" s="189">
        <f>SUM(J468:J471)</f>
        <v>0</v>
      </c>
      <c r="K472" s="189">
        <f t="shared" si="175"/>
        <v>580000</v>
      </c>
      <c r="L472" s="189">
        <f t="shared" si="175"/>
        <v>-580000</v>
      </c>
      <c r="M472" s="189">
        <f t="shared" si="175"/>
        <v>0</v>
      </c>
      <c r="N472" s="189">
        <f t="shared" si="175"/>
        <v>0</v>
      </c>
      <c r="O472" s="189">
        <f t="shared" si="175"/>
        <v>-580000</v>
      </c>
      <c r="P472" s="189">
        <f t="shared" si="175"/>
        <v>580000</v>
      </c>
      <c r="Q472" s="174"/>
      <c r="S472" s="189"/>
      <c r="T472" s="189">
        <v>580000</v>
      </c>
    </row>
    <row r="473" spans="4:12" ht="15">
      <c r="D473" s="174"/>
      <c r="E473" s="174"/>
      <c r="F473" s="174"/>
      <c r="G473" s="174"/>
      <c r="H473" s="174"/>
      <c r="I473" s="174"/>
      <c r="J473" s="174"/>
      <c r="K473" s="176"/>
      <c r="L473" s="176"/>
    </row>
    <row r="474" spans="4:12" ht="15">
      <c r="D474" s="174"/>
      <c r="E474" s="174"/>
      <c r="F474" s="174"/>
      <c r="G474" s="174"/>
      <c r="H474" s="174"/>
      <c r="I474" s="174"/>
      <c r="J474" s="174"/>
      <c r="K474" s="176"/>
      <c r="L474" s="176"/>
    </row>
    <row r="475" spans="2:12" ht="15">
      <c r="B475" s="169" t="s">
        <v>391</v>
      </c>
      <c r="D475" s="174"/>
      <c r="E475" s="174"/>
      <c r="F475" s="174"/>
      <c r="G475" s="174"/>
      <c r="H475" s="174"/>
      <c r="I475" s="174"/>
      <c r="J475" s="174"/>
      <c r="K475" s="176"/>
      <c r="L475" s="176"/>
    </row>
    <row r="476" spans="2:12" ht="15">
      <c r="B476" s="169" t="s">
        <v>392</v>
      </c>
      <c r="D476" s="174"/>
      <c r="E476" s="174"/>
      <c r="F476" s="174"/>
      <c r="G476" s="174"/>
      <c r="H476" s="174"/>
      <c r="I476" s="174"/>
      <c r="J476" s="174"/>
      <c r="K476" s="176"/>
      <c r="L476" s="176"/>
    </row>
    <row r="477" spans="2:20" ht="15">
      <c r="B477" s="16" t="s">
        <v>393</v>
      </c>
      <c r="C477" s="200" t="s">
        <v>165</v>
      </c>
      <c r="D477" s="174">
        <v>0</v>
      </c>
      <c r="E477" s="174">
        <v>704120</v>
      </c>
      <c r="F477" s="174">
        <v>0</v>
      </c>
      <c r="G477" s="174">
        <v>5583056</v>
      </c>
      <c r="H477" s="174">
        <v>0</v>
      </c>
      <c r="I477" s="174">
        <v>0</v>
      </c>
      <c r="J477" s="174">
        <v>0</v>
      </c>
      <c r="K477" s="176">
        <f aca="true" t="shared" si="176" ref="K477:K484">SUM(D477:J477)</f>
        <v>6287176</v>
      </c>
      <c r="L477" s="176">
        <f aca="true" t="shared" si="177" ref="L477:L484">K477</f>
        <v>6287176</v>
      </c>
      <c r="M477" s="26">
        <v>0</v>
      </c>
      <c r="N477" s="26">
        <f>'[2] ConsoJL'!X314</f>
        <v>-6287176</v>
      </c>
      <c r="O477" s="172">
        <f aca="true" t="shared" si="178" ref="O477:O483">N477+M477+L477</f>
        <v>0</v>
      </c>
      <c r="P477" s="172">
        <f aca="true" t="shared" si="179" ref="P477:P484">O477</f>
        <v>0</v>
      </c>
      <c r="T477" s="172">
        <v>0</v>
      </c>
    </row>
    <row r="478" spans="2:20" ht="15">
      <c r="B478" s="16" t="s">
        <v>394</v>
      </c>
      <c r="C478" s="200" t="s">
        <v>165</v>
      </c>
      <c r="D478" s="174" t="s">
        <v>395</v>
      </c>
      <c r="E478" s="174">
        <v>0</v>
      </c>
      <c r="F478" s="174">
        <v>0</v>
      </c>
      <c r="G478" s="174">
        <v>12382957</v>
      </c>
      <c r="H478" s="174">
        <v>0</v>
      </c>
      <c r="I478" s="174">
        <v>0</v>
      </c>
      <c r="J478" s="174">
        <v>0</v>
      </c>
      <c r="K478" s="176">
        <f t="shared" si="176"/>
        <v>12382957</v>
      </c>
      <c r="L478" s="176">
        <f t="shared" si="177"/>
        <v>12382957</v>
      </c>
      <c r="M478" s="26">
        <v>0</v>
      </c>
      <c r="N478" s="26">
        <f>'[2] ConsoJL'!X311</f>
        <v>-12382957</v>
      </c>
      <c r="O478" s="172">
        <f t="shared" si="178"/>
        <v>0</v>
      </c>
      <c r="P478" s="172">
        <f t="shared" si="179"/>
        <v>0</v>
      </c>
      <c r="T478" s="172">
        <v>0</v>
      </c>
    </row>
    <row r="479" spans="2:20" ht="15">
      <c r="B479" s="16" t="s">
        <v>396</v>
      </c>
      <c r="C479" s="200" t="s">
        <v>165</v>
      </c>
      <c r="D479" s="174">
        <v>0</v>
      </c>
      <c r="E479" s="174">
        <v>6976335</v>
      </c>
      <c r="F479" s="174">
        <v>0</v>
      </c>
      <c r="G479" s="174">
        <v>0</v>
      </c>
      <c r="H479" s="174">
        <v>0</v>
      </c>
      <c r="I479" s="174">
        <v>0</v>
      </c>
      <c r="J479" s="174">
        <v>0</v>
      </c>
      <c r="K479" s="176">
        <f t="shared" si="176"/>
        <v>6976335</v>
      </c>
      <c r="L479" s="176">
        <f t="shared" si="177"/>
        <v>6976335</v>
      </c>
      <c r="M479" s="26">
        <v>0</v>
      </c>
      <c r="N479" s="26">
        <f>'[2] ConsoJL'!X309</f>
        <v>-6976335</v>
      </c>
      <c r="O479" s="172">
        <f t="shared" si="178"/>
        <v>0</v>
      </c>
      <c r="P479" s="172">
        <f t="shared" si="179"/>
        <v>0</v>
      </c>
      <c r="T479" s="172">
        <v>0</v>
      </c>
    </row>
    <row r="480" spans="2:20" ht="15">
      <c r="B480" s="16" t="s">
        <v>397</v>
      </c>
      <c r="C480" s="200" t="s">
        <v>165</v>
      </c>
      <c r="D480" s="174">
        <v>0</v>
      </c>
      <c r="E480" s="174"/>
      <c r="F480" s="174">
        <v>55445504</v>
      </c>
      <c r="G480" s="174">
        <v>0</v>
      </c>
      <c r="H480" s="174">
        <v>0</v>
      </c>
      <c r="I480" s="174">
        <v>0</v>
      </c>
      <c r="J480" s="174">
        <v>0</v>
      </c>
      <c r="K480" s="176">
        <f t="shared" si="176"/>
        <v>55445504</v>
      </c>
      <c r="L480" s="176">
        <f>K480</f>
        <v>55445504</v>
      </c>
      <c r="M480" s="26">
        <v>0</v>
      </c>
      <c r="N480" s="26">
        <f>'[2] ConsoJL'!X310</f>
        <v>-55445504</v>
      </c>
      <c r="O480" s="172">
        <f t="shared" si="178"/>
        <v>0</v>
      </c>
      <c r="P480" s="172">
        <f t="shared" si="179"/>
        <v>0</v>
      </c>
      <c r="T480" s="172">
        <v>0</v>
      </c>
    </row>
    <row r="481" spans="2:20" ht="15">
      <c r="B481" s="16" t="s">
        <v>398</v>
      </c>
      <c r="C481" s="200" t="s">
        <v>165</v>
      </c>
      <c r="D481" s="174">
        <v>0</v>
      </c>
      <c r="E481" s="174">
        <v>0</v>
      </c>
      <c r="F481" s="174">
        <v>0</v>
      </c>
      <c r="G481" s="174">
        <v>16014</v>
      </c>
      <c r="H481" s="174">
        <v>0</v>
      </c>
      <c r="I481" s="174">
        <v>0</v>
      </c>
      <c r="J481" s="174">
        <v>0</v>
      </c>
      <c r="K481" s="176">
        <f t="shared" si="176"/>
        <v>16014</v>
      </c>
      <c r="L481" s="176">
        <f t="shared" si="177"/>
        <v>16014</v>
      </c>
      <c r="M481" s="26">
        <v>0</v>
      </c>
      <c r="N481" s="26">
        <f>'[2] ConsoJL'!X308</f>
        <v>-16014</v>
      </c>
      <c r="O481" s="172">
        <f t="shared" si="178"/>
        <v>0</v>
      </c>
      <c r="P481" s="172">
        <f t="shared" si="179"/>
        <v>0</v>
      </c>
      <c r="T481" s="172">
        <v>0</v>
      </c>
    </row>
    <row r="482" spans="2:20" ht="15">
      <c r="B482" s="16" t="s">
        <v>399</v>
      </c>
      <c r="C482" s="200"/>
      <c r="D482" s="174">
        <v>296249</v>
      </c>
      <c r="E482" s="174"/>
      <c r="F482" s="174"/>
      <c r="G482" s="174">
        <v>541126</v>
      </c>
      <c r="H482" s="174"/>
      <c r="I482" s="174">
        <v>8481674</v>
      </c>
      <c r="J482" s="174"/>
      <c r="K482" s="176">
        <f t="shared" si="176"/>
        <v>9319049</v>
      </c>
      <c r="L482" s="176">
        <f t="shared" si="177"/>
        <v>9319049</v>
      </c>
      <c r="M482" s="26">
        <v>0</v>
      </c>
      <c r="N482" s="26">
        <f>'[2] ConsoJL'!X312</f>
        <v>-9319049</v>
      </c>
      <c r="O482" s="172">
        <f t="shared" si="178"/>
        <v>0</v>
      </c>
      <c r="P482" s="172">
        <f t="shared" si="179"/>
        <v>0</v>
      </c>
      <c r="T482" s="172">
        <v>0</v>
      </c>
    </row>
    <row r="483" spans="2:20" ht="15">
      <c r="B483" s="16" t="s">
        <v>400</v>
      </c>
      <c r="C483" s="200"/>
      <c r="D483" s="174">
        <v>1284315</v>
      </c>
      <c r="E483" s="174"/>
      <c r="F483" s="174"/>
      <c r="G483" s="174"/>
      <c r="H483" s="174"/>
      <c r="I483" s="174"/>
      <c r="J483" s="174"/>
      <c r="K483" s="176">
        <f t="shared" si="176"/>
        <v>1284315</v>
      </c>
      <c r="L483" s="176">
        <f t="shared" si="177"/>
        <v>1284315</v>
      </c>
      <c r="N483" s="26">
        <f>+'[2] ConsoJL'!X313</f>
        <v>-1284315</v>
      </c>
      <c r="O483" s="172">
        <f t="shared" si="178"/>
        <v>0</v>
      </c>
      <c r="P483" s="172">
        <f t="shared" si="179"/>
        <v>0</v>
      </c>
      <c r="T483" s="172">
        <v>0</v>
      </c>
    </row>
    <row r="484" spans="2:20" ht="15">
      <c r="B484" s="16" t="s">
        <v>401</v>
      </c>
      <c r="C484" s="200" t="s">
        <v>165</v>
      </c>
      <c r="D484" s="174">
        <v>0</v>
      </c>
      <c r="E484" s="174">
        <v>0</v>
      </c>
      <c r="F484" s="174">
        <v>0</v>
      </c>
      <c r="G484" s="174">
        <v>0</v>
      </c>
      <c r="H484" s="174">
        <v>0</v>
      </c>
      <c r="I484" s="174">
        <v>0</v>
      </c>
      <c r="J484" s="174">
        <v>0</v>
      </c>
      <c r="K484" s="176">
        <f t="shared" si="176"/>
        <v>0</v>
      </c>
      <c r="L484" s="176">
        <f t="shared" si="177"/>
        <v>0</v>
      </c>
      <c r="M484" s="26">
        <v>0</v>
      </c>
      <c r="N484" s="26">
        <v>0</v>
      </c>
      <c r="O484" s="172">
        <f>SUM(L484:N484)</f>
        <v>0</v>
      </c>
      <c r="P484" s="172">
        <f t="shared" si="179"/>
        <v>0</v>
      </c>
      <c r="T484" s="172">
        <v>0</v>
      </c>
    </row>
    <row r="485" spans="2:20" ht="15">
      <c r="B485" s="211" t="s">
        <v>51</v>
      </c>
      <c r="D485" s="212">
        <f aca="true" t="shared" si="180" ref="D485:P485">SUM(D476:D484)</f>
        <v>1580564</v>
      </c>
      <c r="E485" s="212">
        <f t="shared" si="180"/>
        <v>7680455</v>
      </c>
      <c r="F485" s="212">
        <f t="shared" si="180"/>
        <v>55445504</v>
      </c>
      <c r="G485" s="212">
        <f t="shared" si="180"/>
        <v>18523153</v>
      </c>
      <c r="H485" s="212">
        <f t="shared" si="180"/>
        <v>0</v>
      </c>
      <c r="I485" s="212">
        <f t="shared" si="180"/>
        <v>8481674</v>
      </c>
      <c r="J485" s="212">
        <f>SUM(J476:J484)</f>
        <v>0</v>
      </c>
      <c r="K485" s="189">
        <f t="shared" si="180"/>
        <v>91711350</v>
      </c>
      <c r="L485" s="189">
        <f t="shared" si="180"/>
        <v>91711350</v>
      </c>
      <c r="M485" s="212">
        <f t="shared" si="180"/>
        <v>0</v>
      </c>
      <c r="N485" s="212">
        <f>SUM(N476:N484)</f>
        <v>-91711350</v>
      </c>
      <c r="O485" s="189">
        <f t="shared" si="180"/>
        <v>0</v>
      </c>
      <c r="P485" s="189">
        <f t="shared" si="180"/>
        <v>0</v>
      </c>
      <c r="S485" s="189"/>
      <c r="T485" s="189">
        <v>0</v>
      </c>
    </row>
    <row r="486" spans="4:12" ht="15">
      <c r="D486" s="174"/>
      <c r="E486" s="174"/>
      <c r="F486" s="174"/>
      <c r="G486" s="174"/>
      <c r="H486" s="174"/>
      <c r="I486" s="174"/>
      <c r="J486" s="174"/>
      <c r="K486" s="176"/>
      <c r="L486" s="176"/>
    </row>
    <row r="487" spans="4:12" ht="15">
      <c r="D487" s="174"/>
      <c r="E487" s="174"/>
      <c r="F487" s="174"/>
      <c r="G487" s="174"/>
      <c r="H487" s="174"/>
      <c r="I487" s="174"/>
      <c r="J487" s="174"/>
      <c r="K487" s="176"/>
      <c r="L487" s="176"/>
    </row>
    <row r="488" spans="2:12" ht="15">
      <c r="B488" s="169" t="s">
        <v>402</v>
      </c>
      <c r="D488" s="174"/>
      <c r="E488" s="174"/>
      <c r="F488" s="174"/>
      <c r="G488" s="174"/>
      <c r="H488" s="174"/>
      <c r="I488" s="174"/>
      <c r="J488" s="174"/>
      <c r="K488" s="176"/>
      <c r="L488" s="176"/>
    </row>
    <row r="489" spans="2:12" ht="15">
      <c r="B489" s="169" t="s">
        <v>403</v>
      </c>
      <c r="D489" s="174"/>
      <c r="E489" s="174"/>
      <c r="F489" s="174"/>
      <c r="G489" s="174"/>
      <c r="H489" s="174"/>
      <c r="I489" s="174"/>
      <c r="J489" s="174"/>
      <c r="K489" s="176"/>
      <c r="L489" s="176"/>
    </row>
    <row r="490" spans="2:12" ht="15">
      <c r="B490" s="16" t="s">
        <v>404</v>
      </c>
      <c r="D490" s="174"/>
      <c r="E490" s="174"/>
      <c r="F490" s="174"/>
      <c r="G490" s="174"/>
      <c r="H490" s="174"/>
      <c r="I490" s="174"/>
      <c r="J490" s="174"/>
      <c r="K490" s="176"/>
      <c r="L490" s="176"/>
    </row>
    <row r="491" spans="2:20" ht="15">
      <c r="B491" s="210" t="s">
        <v>405</v>
      </c>
      <c r="C491" s="200" t="s">
        <v>165</v>
      </c>
      <c r="D491" s="174">
        <v>0</v>
      </c>
      <c r="E491" s="174">
        <v>0</v>
      </c>
      <c r="F491" s="174">
        <v>0</v>
      </c>
      <c r="G491" s="174">
        <v>0</v>
      </c>
      <c r="H491" s="174">
        <v>0</v>
      </c>
      <c r="I491" s="174">
        <v>0</v>
      </c>
      <c r="J491" s="174">
        <v>0</v>
      </c>
      <c r="K491" s="176">
        <f>SUM(D491:J491)</f>
        <v>0</v>
      </c>
      <c r="L491" s="176">
        <f>K491</f>
        <v>0</v>
      </c>
      <c r="M491" s="26">
        <v>0</v>
      </c>
      <c r="N491" s="26">
        <v>0</v>
      </c>
      <c r="O491" s="172">
        <f>SUM(L491:N491)</f>
        <v>0</v>
      </c>
      <c r="P491" s="172">
        <f>O491</f>
        <v>0</v>
      </c>
      <c r="T491" s="172">
        <v>0</v>
      </c>
    </row>
    <row r="492" spans="2:20" ht="15">
      <c r="B492" s="210" t="s">
        <v>406</v>
      </c>
      <c r="C492" s="200" t="s">
        <v>165</v>
      </c>
      <c r="D492" s="174">
        <v>0</v>
      </c>
      <c r="E492" s="174">
        <v>0</v>
      </c>
      <c r="F492" s="174">
        <v>53323625</v>
      </c>
      <c r="G492" s="174">
        <v>0</v>
      </c>
      <c r="H492" s="174">
        <v>0</v>
      </c>
      <c r="I492" s="174">
        <v>0</v>
      </c>
      <c r="J492" s="174">
        <v>200000</v>
      </c>
      <c r="K492" s="176">
        <f>SUM(D492:J492)</f>
        <v>53523625</v>
      </c>
      <c r="L492" s="176">
        <f>K492</f>
        <v>53523625</v>
      </c>
      <c r="M492" s="26">
        <v>0</v>
      </c>
      <c r="N492" s="26">
        <v>0</v>
      </c>
      <c r="O492" s="172">
        <f>SUM(L492:N492)</f>
        <v>53523625</v>
      </c>
      <c r="P492" s="172">
        <f>O492</f>
        <v>53523625</v>
      </c>
      <c r="T492" s="172">
        <v>47718640</v>
      </c>
    </row>
    <row r="493" spans="2:20" ht="15">
      <c r="B493" s="16" t="s">
        <v>407</v>
      </c>
      <c r="C493" s="200" t="s">
        <v>165</v>
      </c>
      <c r="D493" s="26">
        <f>1920555+302</f>
        <v>1920857</v>
      </c>
      <c r="E493" s="26">
        <v>3553</v>
      </c>
      <c r="F493" s="26">
        <v>44572</v>
      </c>
      <c r="G493" s="26">
        <v>144501</v>
      </c>
      <c r="H493" s="26">
        <v>2</v>
      </c>
      <c r="I493" s="26">
        <v>32142</v>
      </c>
      <c r="J493" s="26">
        <v>883265</v>
      </c>
      <c r="K493" s="176">
        <f>SUM(D493:J493)</f>
        <v>3028892</v>
      </c>
      <c r="L493" s="176">
        <f>K493</f>
        <v>3028892</v>
      </c>
      <c r="M493" s="26">
        <f>'[2] ConsoJL'!AB438</f>
        <v>0</v>
      </c>
      <c r="N493" s="26">
        <v>0</v>
      </c>
      <c r="O493" s="172">
        <f>SUM(L493:N493)</f>
        <v>3028892</v>
      </c>
      <c r="P493" s="172">
        <f>O493</f>
        <v>3028892</v>
      </c>
      <c r="T493" s="172">
        <v>6106876</v>
      </c>
    </row>
    <row r="494" spans="2:20" ht="15">
      <c r="B494" s="211" t="s">
        <v>51</v>
      </c>
      <c r="C494" s="204" t="s">
        <v>334</v>
      </c>
      <c r="D494" s="189">
        <f aca="true" t="shared" si="181" ref="D494:P494">SUM(D489:D493)</f>
        <v>1920857</v>
      </c>
      <c r="E494" s="189">
        <f t="shared" si="181"/>
        <v>3553</v>
      </c>
      <c r="F494" s="189">
        <f t="shared" si="181"/>
        <v>53368197</v>
      </c>
      <c r="G494" s="189">
        <f t="shared" si="181"/>
        <v>144501</v>
      </c>
      <c r="H494" s="189">
        <f t="shared" si="181"/>
        <v>2</v>
      </c>
      <c r="I494" s="189">
        <f t="shared" si="181"/>
        <v>32142</v>
      </c>
      <c r="J494" s="189">
        <f>SUM(J489:J493)</f>
        <v>1083265</v>
      </c>
      <c r="K494" s="189">
        <f t="shared" si="181"/>
        <v>56552517</v>
      </c>
      <c r="L494" s="189">
        <f t="shared" si="181"/>
        <v>56552517</v>
      </c>
      <c r="M494" s="189">
        <f t="shared" si="181"/>
        <v>0</v>
      </c>
      <c r="N494" s="189">
        <f t="shared" si="181"/>
        <v>0</v>
      </c>
      <c r="O494" s="189">
        <f t="shared" si="181"/>
        <v>56552517</v>
      </c>
      <c r="P494" s="189">
        <f t="shared" si="181"/>
        <v>56552517</v>
      </c>
      <c r="S494" s="189"/>
      <c r="T494" s="189">
        <v>53825516</v>
      </c>
    </row>
    <row r="495" spans="4:12" ht="15">
      <c r="D495" s="174"/>
      <c r="E495" s="174"/>
      <c r="F495" s="174"/>
      <c r="G495" s="174"/>
      <c r="H495" s="174"/>
      <c r="I495" s="174"/>
      <c r="J495" s="174"/>
      <c r="K495" s="176"/>
      <c r="L495" s="176"/>
    </row>
    <row r="496" spans="2:12" ht="15">
      <c r="B496" s="169" t="s">
        <v>408</v>
      </c>
      <c r="D496" s="174"/>
      <c r="E496" s="174"/>
      <c r="F496" s="174"/>
      <c r="G496" s="174"/>
      <c r="H496" s="174"/>
      <c r="I496" s="174"/>
      <c r="J496" s="174"/>
      <c r="K496" s="176"/>
      <c r="L496" s="176"/>
    </row>
    <row r="497" spans="2:12" ht="15">
      <c r="B497" s="210" t="s">
        <v>409</v>
      </c>
      <c r="D497" s="174"/>
      <c r="E497" s="174"/>
      <c r="F497" s="174"/>
      <c r="G497" s="174"/>
      <c r="H497" s="174"/>
      <c r="I497" s="174"/>
      <c r="J497" s="174"/>
      <c r="K497" s="176"/>
      <c r="L497" s="176"/>
    </row>
    <row r="498" spans="2:20" ht="15">
      <c r="B498" s="16" t="s">
        <v>410</v>
      </c>
      <c r="C498" s="200" t="s">
        <v>165</v>
      </c>
      <c r="D498" s="174">
        <v>0</v>
      </c>
      <c r="E498" s="174">
        <v>0</v>
      </c>
      <c r="F498" s="174">
        <f>53323625-F501-F502</f>
        <v>51926979</v>
      </c>
      <c r="G498" s="174">
        <v>0</v>
      </c>
      <c r="H498" s="174">
        <v>0</v>
      </c>
      <c r="I498" s="174">
        <v>0</v>
      </c>
      <c r="J498" s="174">
        <v>0</v>
      </c>
      <c r="K498" s="176">
        <f>SUM(D498:J498)</f>
        <v>51926979</v>
      </c>
      <c r="L498" s="176">
        <f>K498</f>
        <v>51926979</v>
      </c>
      <c r="M498" s="26">
        <v>0</v>
      </c>
      <c r="N498" s="26">
        <v>0</v>
      </c>
      <c r="O498" s="172">
        <f>SUM(L498:N498)</f>
        <v>51926979</v>
      </c>
      <c r="P498" s="172">
        <f>O498</f>
        <v>51926979</v>
      </c>
      <c r="T498" s="172">
        <v>46121994</v>
      </c>
    </row>
    <row r="499" spans="2:20" ht="15">
      <c r="B499" s="210" t="s">
        <v>411</v>
      </c>
      <c r="C499" s="200" t="s">
        <v>165</v>
      </c>
      <c r="D499" s="174">
        <v>0</v>
      </c>
      <c r="E499" s="174">
        <f>E491</f>
        <v>0</v>
      </c>
      <c r="F499" s="174">
        <v>0</v>
      </c>
      <c r="G499" s="174">
        <v>0</v>
      </c>
      <c r="H499" s="174">
        <v>0</v>
      </c>
      <c r="I499" s="174">
        <v>0</v>
      </c>
      <c r="J499" s="174">
        <v>0</v>
      </c>
      <c r="K499" s="176">
        <f>SUM(D499:J499)</f>
        <v>0</v>
      </c>
      <c r="L499" s="176">
        <f>K499</f>
        <v>0</v>
      </c>
      <c r="M499" s="26">
        <v>0</v>
      </c>
      <c r="N499" s="26">
        <v>0</v>
      </c>
      <c r="O499" s="172">
        <f>SUM(L499:N499)</f>
        <v>0</v>
      </c>
      <c r="P499" s="172">
        <f>O499</f>
        <v>0</v>
      </c>
      <c r="T499" s="172">
        <v>0</v>
      </c>
    </row>
    <row r="500" spans="2:12" ht="15">
      <c r="B500" s="210" t="s">
        <v>412</v>
      </c>
      <c r="D500" s="174"/>
      <c r="E500" s="174"/>
      <c r="F500" s="174"/>
      <c r="G500" s="174"/>
      <c r="H500" s="174"/>
      <c r="I500" s="174"/>
      <c r="J500" s="174"/>
      <c r="K500" s="176"/>
      <c r="L500" s="176"/>
    </row>
    <row r="501" spans="2:20" ht="15">
      <c r="B501" s="16" t="s">
        <v>413</v>
      </c>
      <c r="C501" s="200" t="s">
        <v>165</v>
      </c>
      <c r="D501" s="174">
        <v>0</v>
      </c>
      <c r="E501" s="174">
        <v>0</v>
      </c>
      <c r="F501" s="174">
        <f>1396646-F502</f>
        <v>323846</v>
      </c>
      <c r="G501" s="174">
        <v>0</v>
      </c>
      <c r="H501" s="174">
        <v>0</v>
      </c>
      <c r="I501" s="174">
        <v>0</v>
      </c>
      <c r="J501" s="174">
        <v>0</v>
      </c>
      <c r="K501" s="176">
        <f>SUM(D501:J501)</f>
        <v>323846</v>
      </c>
      <c r="L501" s="176">
        <f>K501</f>
        <v>323846</v>
      </c>
      <c r="M501" s="26">
        <v>0</v>
      </c>
      <c r="N501" s="26">
        <v>0</v>
      </c>
      <c r="O501" s="172">
        <f>SUM(L501:N501)</f>
        <v>323846</v>
      </c>
      <c r="P501" s="172">
        <f>O501</f>
        <v>323846</v>
      </c>
      <c r="T501" s="172">
        <v>323846</v>
      </c>
    </row>
    <row r="502" spans="2:12" ht="15">
      <c r="B502" s="210" t="s">
        <v>414</v>
      </c>
      <c r="C502" s="200"/>
      <c r="D502" s="174"/>
      <c r="E502" s="174"/>
      <c r="F502" s="174">
        <v>1072800</v>
      </c>
      <c r="G502" s="174"/>
      <c r="H502" s="174"/>
      <c r="I502" s="174"/>
      <c r="J502" s="174"/>
      <c r="K502" s="176"/>
      <c r="L502" s="176"/>
    </row>
    <row r="503" spans="2:20" ht="15">
      <c r="B503" s="210" t="s">
        <v>415</v>
      </c>
      <c r="C503" s="200"/>
      <c r="D503" s="174"/>
      <c r="E503" s="174"/>
      <c r="F503" s="174"/>
      <c r="G503" s="174"/>
      <c r="H503" s="174"/>
      <c r="I503" s="174"/>
      <c r="J503" s="174">
        <v>200000</v>
      </c>
      <c r="K503" s="176">
        <f>SUM(D503:J503)</f>
        <v>200000</v>
      </c>
      <c r="L503" s="176">
        <f>K503</f>
        <v>200000</v>
      </c>
      <c r="M503" s="26">
        <v>0</v>
      </c>
      <c r="N503" s="26">
        <v>0</v>
      </c>
      <c r="O503" s="172">
        <f>SUM(L503:N503)</f>
        <v>200000</v>
      </c>
      <c r="P503" s="172">
        <f>O503</f>
        <v>200000</v>
      </c>
      <c r="T503" s="172">
        <v>200000</v>
      </c>
    </row>
    <row r="504" spans="2:20" s="169" customFormat="1" ht="15">
      <c r="B504" s="211" t="s">
        <v>51</v>
      </c>
      <c r="C504" s="204" t="s">
        <v>339</v>
      </c>
      <c r="D504" s="189">
        <f>SUM(D497:D501)</f>
        <v>0</v>
      </c>
      <c r="E504" s="189">
        <f aca="true" t="shared" si="182" ref="E504:P504">SUM(E497:E501)</f>
        <v>0</v>
      </c>
      <c r="F504" s="189">
        <f>SUM(F497:F502)</f>
        <v>53323625</v>
      </c>
      <c r="G504" s="189">
        <f t="shared" si="182"/>
        <v>0</v>
      </c>
      <c r="H504" s="189">
        <f t="shared" si="182"/>
        <v>0</v>
      </c>
      <c r="I504" s="189">
        <f t="shared" si="182"/>
        <v>0</v>
      </c>
      <c r="J504" s="189">
        <f>SUM(J497:J503)</f>
        <v>200000</v>
      </c>
      <c r="K504" s="189">
        <f t="shared" si="182"/>
        <v>52250825</v>
      </c>
      <c r="L504" s="189">
        <f t="shared" si="182"/>
        <v>52250825</v>
      </c>
      <c r="M504" s="189">
        <f t="shared" si="182"/>
        <v>0</v>
      </c>
      <c r="N504" s="189">
        <f t="shared" si="182"/>
        <v>0</v>
      </c>
      <c r="O504" s="189">
        <f t="shared" si="182"/>
        <v>52250825</v>
      </c>
      <c r="P504" s="189">
        <f t="shared" si="182"/>
        <v>52250825</v>
      </c>
      <c r="Q504" s="174"/>
      <c r="S504" s="189"/>
      <c r="T504" s="189">
        <v>46445840</v>
      </c>
    </row>
    <row r="505" spans="4:12" ht="15">
      <c r="D505" s="174"/>
      <c r="E505" s="174"/>
      <c r="F505" s="174"/>
      <c r="G505" s="174"/>
      <c r="H505" s="174"/>
      <c r="I505" s="174"/>
      <c r="J505" s="174"/>
      <c r="K505" s="176"/>
      <c r="L505" s="176"/>
    </row>
    <row r="506" spans="4:12" ht="15">
      <c r="D506" s="174"/>
      <c r="E506" s="174"/>
      <c r="F506" s="174"/>
      <c r="G506" s="174"/>
      <c r="H506" s="174"/>
      <c r="I506" s="174"/>
      <c r="J506" s="174"/>
      <c r="K506" s="176"/>
      <c r="L506" s="176"/>
    </row>
    <row r="507" spans="2:20" s="216" customFormat="1" ht="15">
      <c r="B507" s="216" t="s">
        <v>416</v>
      </c>
      <c r="C507" s="217" t="s">
        <v>417</v>
      </c>
      <c r="D507" s="176">
        <f>D494-D504</f>
        <v>1920857</v>
      </c>
      <c r="E507" s="176">
        <f>E494-E504</f>
        <v>3553</v>
      </c>
      <c r="F507" s="176">
        <f>+F494-F504</f>
        <v>44572</v>
      </c>
      <c r="G507" s="176">
        <f>G494-G504</f>
        <v>144501</v>
      </c>
      <c r="H507" s="176">
        <f>H494-H504</f>
        <v>2</v>
      </c>
      <c r="I507" s="176">
        <f>I494-I504</f>
        <v>32142</v>
      </c>
      <c r="J507" s="176">
        <f>J494-J504</f>
        <v>883265</v>
      </c>
      <c r="K507" s="176">
        <f>SUM(D507:J507)</f>
        <v>3028892</v>
      </c>
      <c r="L507" s="176">
        <f>K507</f>
        <v>3028892</v>
      </c>
      <c r="M507" s="174">
        <f>M493</f>
        <v>0</v>
      </c>
      <c r="N507" s="176">
        <f>N494-N504</f>
        <v>0</v>
      </c>
      <c r="O507" s="176">
        <f>SUM(L507:N507)</f>
        <v>3028892</v>
      </c>
      <c r="P507" s="176">
        <f>P494-P504</f>
        <v>4301692</v>
      </c>
      <c r="Q507" s="174"/>
      <c r="S507" s="176"/>
      <c r="T507" s="176">
        <v>7379676</v>
      </c>
    </row>
    <row r="508" spans="2:20" s="216" customFormat="1" ht="15">
      <c r="B508" s="216" t="s">
        <v>418</v>
      </c>
      <c r="C508" s="218"/>
      <c r="D508" s="174">
        <f>-D515</f>
        <v>0</v>
      </c>
      <c r="E508" s="174">
        <f>-E515</f>
        <v>0</v>
      </c>
      <c r="F508" s="174">
        <f>-F515</f>
        <v>0</v>
      </c>
      <c r="G508" s="174">
        <v>0</v>
      </c>
      <c r="H508" s="174">
        <v>0</v>
      </c>
      <c r="I508" s="174">
        <v>0</v>
      </c>
      <c r="J508" s="174">
        <f>-J515</f>
        <v>0</v>
      </c>
      <c r="K508" s="176">
        <f>SUM(D508:J508)</f>
        <v>0</v>
      </c>
      <c r="L508" s="174">
        <v>0</v>
      </c>
      <c r="M508" s="176"/>
      <c r="N508" s="176"/>
      <c r="O508" s="176">
        <f>SUM(L508:N508)</f>
        <v>0</v>
      </c>
      <c r="P508" s="176">
        <f>O508</f>
        <v>0</v>
      </c>
      <c r="Q508" s="174"/>
      <c r="S508" s="176"/>
      <c r="T508" s="176">
        <v>0</v>
      </c>
    </row>
    <row r="509" spans="2:20" s="216" customFormat="1" ht="15.75" thickBot="1">
      <c r="B509" s="216" t="s">
        <v>419</v>
      </c>
      <c r="C509" s="218"/>
      <c r="D509" s="193">
        <f>D507+D508</f>
        <v>1920857</v>
      </c>
      <c r="E509" s="193">
        <f aca="true" t="shared" si="183" ref="E509:L509">E507+E508</f>
        <v>3553</v>
      </c>
      <c r="F509" s="193">
        <f t="shared" si="183"/>
        <v>44572</v>
      </c>
      <c r="G509" s="193">
        <f t="shared" si="183"/>
        <v>144501</v>
      </c>
      <c r="H509" s="193">
        <f t="shared" si="183"/>
        <v>2</v>
      </c>
      <c r="I509" s="193">
        <f t="shared" si="183"/>
        <v>32142</v>
      </c>
      <c r="J509" s="193">
        <f>J507+J508</f>
        <v>883265</v>
      </c>
      <c r="K509" s="193">
        <f t="shared" si="183"/>
        <v>3028892</v>
      </c>
      <c r="L509" s="193">
        <f t="shared" si="183"/>
        <v>3028892</v>
      </c>
      <c r="M509" s="193">
        <f>M507+M508</f>
        <v>0</v>
      </c>
      <c r="N509" s="193">
        <f>N507+N508</f>
        <v>0</v>
      </c>
      <c r="O509" s="193">
        <f>O507+O508</f>
        <v>3028892</v>
      </c>
      <c r="P509" s="193">
        <f>P507+P508</f>
        <v>4301692</v>
      </c>
      <c r="Q509" s="174"/>
      <c r="S509" s="193"/>
      <c r="T509" s="193">
        <v>7379676</v>
      </c>
    </row>
    <row r="510" spans="3:20" s="216" customFormat="1" ht="15.75" thickTop="1">
      <c r="C510" s="218"/>
      <c r="D510" s="176"/>
      <c r="E510" s="176"/>
      <c r="F510" s="176"/>
      <c r="G510" s="176"/>
      <c r="H510" s="176"/>
      <c r="I510" s="176"/>
      <c r="J510" s="176"/>
      <c r="K510" s="176"/>
      <c r="L510" s="176"/>
      <c r="M510" s="176"/>
      <c r="N510" s="176"/>
      <c r="O510" s="176"/>
      <c r="P510" s="176"/>
      <c r="Q510" s="174"/>
      <c r="S510" s="176"/>
      <c r="T510" s="176"/>
    </row>
    <row r="511" spans="4:12" ht="15">
      <c r="D511" s="174"/>
      <c r="E511" s="174"/>
      <c r="F511" s="174"/>
      <c r="G511" s="174"/>
      <c r="H511" s="174"/>
      <c r="I511" s="174"/>
      <c r="J511" s="174"/>
      <c r="K511" s="176"/>
      <c r="L511" s="176"/>
    </row>
    <row r="512" spans="2:12" ht="15">
      <c r="B512" s="169" t="s">
        <v>420</v>
      </c>
      <c r="D512" s="174"/>
      <c r="E512" s="174"/>
      <c r="F512" s="174"/>
      <c r="G512" s="174"/>
      <c r="H512" s="174"/>
      <c r="I512" s="174"/>
      <c r="J512" s="174"/>
      <c r="K512" s="176"/>
      <c r="L512" s="176"/>
    </row>
    <row r="513" spans="2:12" ht="15">
      <c r="B513" s="169" t="s">
        <v>33</v>
      </c>
      <c r="D513" s="174"/>
      <c r="E513" s="174"/>
      <c r="F513" s="174"/>
      <c r="G513" s="174"/>
      <c r="H513" s="174"/>
      <c r="I513" s="174"/>
      <c r="J513" s="174"/>
      <c r="K513" s="176"/>
      <c r="L513" s="176"/>
    </row>
    <row r="514" spans="2:12" ht="15">
      <c r="B514" s="214" t="s">
        <v>421</v>
      </c>
      <c r="D514" s="174"/>
      <c r="E514" s="174"/>
      <c r="F514" s="174"/>
      <c r="G514" s="174"/>
      <c r="H514" s="174"/>
      <c r="I514" s="174"/>
      <c r="J514" s="174"/>
      <c r="K514" s="176"/>
      <c r="L514" s="176"/>
    </row>
    <row r="515" spans="2:20" ht="15">
      <c r="B515" s="16" t="s">
        <v>422</v>
      </c>
      <c r="C515" s="200" t="s">
        <v>165</v>
      </c>
      <c r="D515" s="174">
        <v>0</v>
      </c>
      <c r="E515" s="174">
        <v>0</v>
      </c>
      <c r="F515" s="174">
        <v>0</v>
      </c>
      <c r="G515" s="174">
        <v>0</v>
      </c>
      <c r="H515" s="174">
        <v>0</v>
      </c>
      <c r="I515" s="174">
        <v>0</v>
      </c>
      <c r="J515" s="174">
        <v>0</v>
      </c>
      <c r="K515" s="176">
        <f>SUM(D515:J515)</f>
        <v>0</v>
      </c>
      <c r="L515" s="176">
        <f>-K515</f>
        <v>0</v>
      </c>
      <c r="M515" s="26">
        <v>0</v>
      </c>
      <c r="N515" s="26">
        <v>0</v>
      </c>
      <c r="O515" s="172">
        <f>SUM(L515:N515)</f>
        <v>0</v>
      </c>
      <c r="P515" s="172">
        <f>-O515</f>
        <v>0</v>
      </c>
      <c r="T515" s="172">
        <v>0</v>
      </c>
    </row>
    <row r="516" spans="2:20" ht="15">
      <c r="B516" s="16" t="s">
        <v>423</v>
      </c>
      <c r="C516" s="213" t="s">
        <v>165</v>
      </c>
      <c r="D516" s="174"/>
      <c r="E516" s="174"/>
      <c r="F516" s="174"/>
      <c r="G516" s="174"/>
      <c r="H516" s="174">
        <v>0</v>
      </c>
      <c r="I516" s="174">
        <v>0</v>
      </c>
      <c r="J516" s="174">
        <v>0</v>
      </c>
      <c r="K516" s="176">
        <f>SUM(D516:J516)</f>
        <v>0</v>
      </c>
      <c r="L516" s="176">
        <f>-K516</f>
        <v>0</v>
      </c>
      <c r="M516" s="26">
        <v>0</v>
      </c>
      <c r="N516" s="26">
        <v>0</v>
      </c>
      <c r="O516" s="172">
        <f>SUM(L516:N516)</f>
        <v>0</v>
      </c>
      <c r="P516" s="172">
        <f>-O516</f>
        <v>0</v>
      </c>
      <c r="T516" s="172">
        <v>0</v>
      </c>
    </row>
    <row r="517" spans="2:20" ht="15">
      <c r="B517" s="16" t="s">
        <v>424</v>
      </c>
      <c r="C517" s="200" t="s">
        <v>165</v>
      </c>
      <c r="D517" s="174">
        <v>160000000</v>
      </c>
      <c r="E517" s="174">
        <v>0</v>
      </c>
      <c r="F517" s="174">
        <v>0</v>
      </c>
      <c r="G517" s="174">
        <v>0</v>
      </c>
      <c r="H517" s="174">
        <v>0</v>
      </c>
      <c r="I517" s="174">
        <v>0</v>
      </c>
      <c r="J517" s="174">
        <v>0</v>
      </c>
      <c r="K517" s="176">
        <f>SUM(D517:J517)</f>
        <v>160000000</v>
      </c>
      <c r="L517" s="176">
        <f>-K517</f>
        <v>-160000000</v>
      </c>
      <c r="M517" s="26">
        <v>0</v>
      </c>
      <c r="N517" s="26">
        <v>0</v>
      </c>
      <c r="O517" s="172">
        <f>SUM(L517:N517)</f>
        <v>-160000000</v>
      </c>
      <c r="P517" s="172">
        <f>-O517</f>
        <v>160000000</v>
      </c>
      <c r="T517" s="172">
        <v>0</v>
      </c>
    </row>
    <row r="518" spans="2:20" ht="15">
      <c r="B518" s="16" t="s">
        <v>425</v>
      </c>
      <c r="C518" s="200" t="s">
        <v>165</v>
      </c>
      <c r="D518" s="174">
        <v>0</v>
      </c>
      <c r="E518" s="174">
        <v>0</v>
      </c>
      <c r="F518" s="174">
        <f>129650000</f>
        <v>129650000</v>
      </c>
      <c r="G518" s="174">
        <v>0</v>
      </c>
      <c r="H518" s="174">
        <v>0</v>
      </c>
      <c r="I518" s="174">
        <v>0</v>
      </c>
      <c r="J518" s="174">
        <v>0</v>
      </c>
      <c r="K518" s="176">
        <f>SUM(D518:J518)</f>
        <v>129650000</v>
      </c>
      <c r="L518" s="176">
        <f>-K518</f>
        <v>-129650000</v>
      </c>
      <c r="M518" s="26">
        <v>0</v>
      </c>
      <c r="N518" s="26">
        <v>0</v>
      </c>
      <c r="O518" s="172">
        <f>SUM(L518:N518)</f>
        <v>-129650000</v>
      </c>
      <c r="P518" s="172">
        <f>-O518</f>
        <v>129650000</v>
      </c>
      <c r="T518" s="172">
        <v>129650000</v>
      </c>
    </row>
    <row r="519" spans="2:20" ht="15">
      <c r="B519" s="16" t="s">
        <v>229</v>
      </c>
      <c r="C519" s="200" t="s">
        <v>165</v>
      </c>
      <c r="D519" s="174">
        <v>0</v>
      </c>
      <c r="E519" s="174">
        <v>0</v>
      </c>
      <c r="F519" s="174">
        <v>0</v>
      </c>
      <c r="G519" s="174">
        <v>0</v>
      </c>
      <c r="H519" s="174">
        <v>0</v>
      </c>
      <c r="I519" s="174">
        <v>0</v>
      </c>
      <c r="J519" s="174">
        <v>0</v>
      </c>
      <c r="K519" s="176">
        <f>SUM(D519:J519)</f>
        <v>0</v>
      </c>
      <c r="L519" s="176">
        <f>-K519</f>
        <v>0</v>
      </c>
      <c r="M519" s="26">
        <v>0</v>
      </c>
      <c r="N519" s="26">
        <v>0</v>
      </c>
      <c r="O519" s="172">
        <f>SUM(L519:N519)</f>
        <v>0</v>
      </c>
      <c r="P519" s="172">
        <f>-O519</f>
        <v>0</v>
      </c>
      <c r="T519" s="172">
        <v>0</v>
      </c>
    </row>
    <row r="520" spans="3:20" ht="15">
      <c r="C520" s="200" t="s">
        <v>334</v>
      </c>
      <c r="D520" s="212">
        <f>SUM(D515:D519)</f>
        <v>160000000</v>
      </c>
      <c r="E520" s="212">
        <f aca="true" t="shared" si="184" ref="E520:O520">SUM(E514:E519)</f>
        <v>0</v>
      </c>
      <c r="F520" s="212">
        <f t="shared" si="184"/>
        <v>129650000</v>
      </c>
      <c r="G520" s="212">
        <f t="shared" si="184"/>
        <v>0</v>
      </c>
      <c r="H520" s="212">
        <f t="shared" si="184"/>
        <v>0</v>
      </c>
      <c r="I520" s="212">
        <f t="shared" si="184"/>
        <v>0</v>
      </c>
      <c r="J520" s="212">
        <f>SUM(J516:J519)</f>
        <v>0</v>
      </c>
      <c r="K520" s="189">
        <f>SUM(K515:K519)</f>
        <v>289650000</v>
      </c>
      <c r="L520" s="189">
        <f t="shared" si="184"/>
        <v>-289650000</v>
      </c>
      <c r="M520" s="212">
        <f t="shared" si="184"/>
        <v>0</v>
      </c>
      <c r="N520" s="212">
        <f t="shared" si="184"/>
        <v>0</v>
      </c>
      <c r="O520" s="189">
        <f t="shared" si="184"/>
        <v>-289650000</v>
      </c>
      <c r="P520" s="189">
        <f>SUM(P514:P519)</f>
        <v>289650000</v>
      </c>
      <c r="S520" s="189"/>
      <c r="T520" s="189">
        <v>129650000</v>
      </c>
    </row>
    <row r="521" spans="3:12" ht="15">
      <c r="C521" s="213"/>
      <c r="D521" s="174"/>
      <c r="E521" s="174"/>
      <c r="F521" s="174"/>
      <c r="G521" s="174"/>
      <c r="H521" s="174"/>
      <c r="I521" s="174"/>
      <c r="J521" s="174"/>
      <c r="K521" s="176"/>
      <c r="L521" s="176"/>
    </row>
    <row r="522" spans="3:12" ht="15">
      <c r="C522" s="200"/>
      <c r="D522" s="174"/>
      <c r="E522" s="174"/>
      <c r="F522" s="174"/>
      <c r="G522" s="174"/>
      <c r="H522" s="174"/>
      <c r="I522" s="174"/>
      <c r="J522" s="174"/>
      <c r="K522" s="176"/>
      <c r="L522" s="176"/>
    </row>
    <row r="523" spans="2:12" ht="15">
      <c r="B523" s="169" t="s">
        <v>426</v>
      </c>
      <c r="D523" s="174"/>
      <c r="E523" s="174"/>
      <c r="F523" s="174"/>
      <c r="G523" s="174"/>
      <c r="H523" s="174"/>
      <c r="I523" s="174"/>
      <c r="J523" s="174"/>
      <c r="K523" s="176"/>
      <c r="L523" s="176"/>
    </row>
    <row r="524" spans="2:12" ht="15">
      <c r="B524" s="169" t="s">
        <v>427</v>
      </c>
      <c r="D524" s="174"/>
      <c r="E524" s="174"/>
      <c r="F524" s="174"/>
      <c r="G524" s="174"/>
      <c r="H524" s="174"/>
      <c r="I524" s="174"/>
      <c r="J524" s="174"/>
      <c r="K524" s="176"/>
      <c r="L524" s="176"/>
    </row>
    <row r="525" spans="2:20" ht="15">
      <c r="B525" s="16" t="s">
        <v>428</v>
      </c>
      <c r="C525" s="200" t="s">
        <v>165</v>
      </c>
      <c r="D525" s="174">
        <v>0</v>
      </c>
      <c r="E525" s="174">
        <v>0</v>
      </c>
      <c r="F525" s="174">
        <v>12635000</v>
      </c>
      <c r="G525" s="174">
        <v>0</v>
      </c>
      <c r="H525" s="174">
        <v>0</v>
      </c>
      <c r="I525" s="174">
        <v>0</v>
      </c>
      <c r="J525" s="174">
        <v>0</v>
      </c>
      <c r="K525" s="176">
        <f aca="true" t="shared" si="185" ref="K525:K534">SUM(D525:J525)</f>
        <v>12635000</v>
      </c>
      <c r="L525" s="176">
        <f aca="true" t="shared" si="186" ref="L525:L534">-K525</f>
        <v>-12635000</v>
      </c>
      <c r="M525" s="26">
        <v>0</v>
      </c>
      <c r="N525" s="26">
        <v>0</v>
      </c>
      <c r="O525" s="172">
        <f aca="true" t="shared" si="187" ref="O525:O530">L525+M525+N525</f>
        <v>-12635000</v>
      </c>
      <c r="P525" s="172">
        <f aca="true" t="shared" si="188" ref="P525:P534">-O525</f>
        <v>12635000</v>
      </c>
      <c r="T525" s="172">
        <v>12635000</v>
      </c>
    </row>
    <row r="526" spans="2:20" ht="15">
      <c r="B526" s="16" t="s">
        <v>429</v>
      </c>
      <c r="C526" s="200" t="s">
        <v>165</v>
      </c>
      <c r="D526" s="174">
        <f>405022+2</f>
        <v>405024</v>
      </c>
      <c r="E526" s="174">
        <f>1680+630+3875</f>
        <v>6185</v>
      </c>
      <c r="F526" s="174">
        <v>0</v>
      </c>
      <c r="G526" s="286">
        <f>11461498-G530-G68-G128*0</f>
        <v>9965674</v>
      </c>
      <c r="H526" s="174">
        <f>1050+630</f>
        <v>1680</v>
      </c>
      <c r="I526" s="174">
        <v>9220</v>
      </c>
      <c r="J526" s="174">
        <f>975712-J528-J527-J534-J529</f>
        <v>294666</v>
      </c>
      <c r="K526" s="176">
        <f t="shared" si="185"/>
        <v>10682449</v>
      </c>
      <c r="L526" s="176">
        <f t="shared" si="186"/>
        <v>-10682449</v>
      </c>
      <c r="M526" s="26">
        <v>0</v>
      </c>
      <c r="N526" s="26">
        <v>0</v>
      </c>
      <c r="O526" s="172">
        <f t="shared" si="187"/>
        <v>-10682449</v>
      </c>
      <c r="P526" s="172">
        <f t="shared" si="188"/>
        <v>10682449</v>
      </c>
      <c r="T526" s="172">
        <v>5861309</v>
      </c>
    </row>
    <row r="527" spans="2:20" ht="15">
      <c r="B527" s="16" t="s">
        <v>430</v>
      </c>
      <c r="C527" s="200" t="s">
        <v>165</v>
      </c>
      <c r="D527" s="174">
        <v>0</v>
      </c>
      <c r="E527" s="174">
        <v>0</v>
      </c>
      <c r="F527" s="174">
        <f>8220597+51889380</f>
        <v>60109977</v>
      </c>
      <c r="G527" s="174">
        <f>2964122+500000+586107</f>
        <v>4050229</v>
      </c>
      <c r="H527" s="174">
        <v>0</v>
      </c>
      <c r="I527" s="174">
        <v>0</v>
      </c>
      <c r="J527" s="174">
        <f>397289+116728</f>
        <v>514017</v>
      </c>
      <c r="K527" s="176">
        <f>SUM(D527:J527)</f>
        <v>64674223</v>
      </c>
      <c r="L527" s="176">
        <f t="shared" si="186"/>
        <v>-64674223</v>
      </c>
      <c r="M527" s="26">
        <f>+'[2] ConsoJL'!AA340</f>
        <v>51889379</v>
      </c>
      <c r="O527" s="172">
        <f t="shared" si="187"/>
        <v>-12784844</v>
      </c>
      <c r="P527" s="172">
        <f t="shared" si="188"/>
        <v>12784844</v>
      </c>
      <c r="T527" s="172">
        <v>12894854</v>
      </c>
    </row>
    <row r="528" spans="2:20" ht="15">
      <c r="B528" s="16" t="s">
        <v>431</v>
      </c>
      <c r="C528" s="200" t="s">
        <v>165</v>
      </c>
      <c r="D528" s="174">
        <f>692924-236-120000-24000</f>
        <v>548688</v>
      </c>
      <c r="E528" s="174">
        <f>10435-E526</f>
        <v>4250</v>
      </c>
      <c r="F528" s="174">
        <f>73201302-F527-F525</f>
        <v>456325</v>
      </c>
      <c r="G528" s="174">
        <f>4335219-G534-G527</f>
        <v>54246</v>
      </c>
      <c r="H528" s="174">
        <f>2929-H526</f>
        <v>1249</v>
      </c>
      <c r="I528" s="174">
        <f>17463-I526+1962500</f>
        <v>1970743</v>
      </c>
      <c r="J528" s="174">
        <f>24638+5100+1350</f>
        <v>31088</v>
      </c>
      <c r="K528" s="176">
        <f t="shared" si="185"/>
        <v>3066589</v>
      </c>
      <c r="L528" s="176">
        <f t="shared" si="186"/>
        <v>-3066589</v>
      </c>
      <c r="M528" s="26">
        <v>0</v>
      </c>
      <c r="O528" s="172">
        <f t="shared" si="187"/>
        <v>-3066589</v>
      </c>
      <c r="P528" s="172">
        <f t="shared" si="188"/>
        <v>3066589</v>
      </c>
      <c r="T528" s="172">
        <v>2975087</v>
      </c>
    </row>
    <row r="529" spans="2:20" ht="15">
      <c r="B529" s="16" t="s">
        <v>432</v>
      </c>
      <c r="C529" s="200" t="s">
        <v>165</v>
      </c>
      <c r="D529" s="174">
        <v>0</v>
      </c>
      <c r="E529" s="174">
        <v>0</v>
      </c>
      <c r="F529" s="174">
        <v>0</v>
      </c>
      <c r="G529" s="174">
        <v>0</v>
      </c>
      <c r="H529" s="174">
        <v>0</v>
      </c>
      <c r="I529" s="174">
        <v>0</v>
      </c>
      <c r="J529" s="174">
        <v>0</v>
      </c>
      <c r="K529" s="176">
        <f t="shared" si="185"/>
        <v>0</v>
      </c>
      <c r="L529" s="176">
        <f t="shared" si="186"/>
        <v>0</v>
      </c>
      <c r="N529" s="26">
        <v>0</v>
      </c>
      <c r="O529" s="172">
        <f t="shared" si="187"/>
        <v>0</v>
      </c>
      <c r="P529" s="172">
        <f t="shared" si="188"/>
        <v>0</v>
      </c>
      <c r="T529" s="172">
        <v>0</v>
      </c>
    </row>
    <row r="530" spans="2:20" ht="15">
      <c r="B530" s="16" t="s">
        <v>433</v>
      </c>
      <c r="C530" s="200" t="s">
        <v>165</v>
      </c>
      <c r="D530" s="174">
        <f>+D681</f>
        <v>1525320</v>
      </c>
      <c r="E530" s="174">
        <v>0</v>
      </c>
      <c r="F530" s="174">
        <v>0</v>
      </c>
      <c r="G530" s="174">
        <f>G681</f>
        <v>77532</v>
      </c>
      <c r="H530" s="174">
        <f>H681</f>
        <v>0</v>
      </c>
      <c r="I530" s="174">
        <f>I681</f>
        <v>70495</v>
      </c>
      <c r="J530" s="174">
        <f>J681</f>
        <v>2268</v>
      </c>
      <c r="K530" s="176">
        <f t="shared" si="185"/>
        <v>1675615</v>
      </c>
      <c r="L530" s="176">
        <f t="shared" si="186"/>
        <v>-1675615</v>
      </c>
      <c r="M530" s="26">
        <v>0</v>
      </c>
      <c r="N530" s="26">
        <v>0</v>
      </c>
      <c r="O530" s="172">
        <f t="shared" si="187"/>
        <v>-1675615</v>
      </c>
      <c r="P530" s="172">
        <f t="shared" si="188"/>
        <v>1675615</v>
      </c>
      <c r="T530" s="172">
        <v>2467216</v>
      </c>
    </row>
    <row r="531" spans="2:15" ht="15">
      <c r="B531" s="16" t="s">
        <v>434</v>
      </c>
      <c r="C531" s="200"/>
      <c r="D531" s="174"/>
      <c r="E531" s="174"/>
      <c r="F531" s="174"/>
      <c r="G531" s="174">
        <v>0</v>
      </c>
      <c r="H531" s="174"/>
      <c r="I531" s="174">
        <v>0</v>
      </c>
      <c r="J531" s="174"/>
      <c r="K531" s="176">
        <f>SUM(D531:J531)</f>
        <v>0</v>
      </c>
      <c r="L531" s="176">
        <f t="shared" si="186"/>
        <v>0</v>
      </c>
      <c r="M531" s="26">
        <v>0</v>
      </c>
      <c r="N531" s="26">
        <v>0</v>
      </c>
      <c r="O531" s="172">
        <f>L531+M531+N531</f>
        <v>0</v>
      </c>
    </row>
    <row r="532" spans="2:15" ht="15">
      <c r="B532" s="16" t="s">
        <v>435</v>
      </c>
      <c r="C532" s="213" t="s">
        <v>165</v>
      </c>
      <c r="D532" s="174"/>
      <c r="E532" s="174"/>
      <c r="F532" s="174"/>
      <c r="G532" s="174">
        <v>550</v>
      </c>
      <c r="H532" s="174"/>
      <c r="I532" s="174"/>
      <c r="J532" s="174"/>
      <c r="K532" s="176">
        <f>SUM(D532:J532)</f>
        <v>550</v>
      </c>
      <c r="L532" s="176">
        <f t="shared" si="186"/>
        <v>-550</v>
      </c>
      <c r="M532" s="26">
        <v>0</v>
      </c>
      <c r="N532" s="26">
        <v>0</v>
      </c>
      <c r="O532" s="172">
        <f>L532+M532+N532</f>
        <v>-550</v>
      </c>
    </row>
    <row r="533" spans="2:15" ht="15">
      <c r="B533" s="16" t="s">
        <v>436</v>
      </c>
      <c r="C533" s="213" t="s">
        <v>165</v>
      </c>
      <c r="D533" s="174"/>
      <c r="E533" s="174"/>
      <c r="F533" s="174"/>
      <c r="G533" s="174">
        <f>+'[2] ConsoJL'!F285</f>
        <v>16014</v>
      </c>
      <c r="H533" s="174"/>
      <c r="I533" s="174"/>
      <c r="J533" s="174"/>
      <c r="K533" s="176">
        <f>SUM(D533:J533)</f>
        <v>16014</v>
      </c>
      <c r="L533" s="176">
        <f t="shared" si="186"/>
        <v>-16014</v>
      </c>
      <c r="M533" s="26">
        <f>+'[2] ConsoJL'!V285</f>
        <v>16014</v>
      </c>
      <c r="N533" s="26">
        <v>0</v>
      </c>
      <c r="O533" s="172">
        <f>L533+M533+N533</f>
        <v>0</v>
      </c>
    </row>
    <row r="534" spans="2:20" ht="15">
      <c r="B534" s="16" t="s">
        <v>437</v>
      </c>
      <c r="C534" s="200" t="s">
        <v>165</v>
      </c>
      <c r="D534" s="174">
        <v>96374</v>
      </c>
      <c r="E534" s="174">
        <v>0</v>
      </c>
      <c r="F534" s="174">
        <v>0</v>
      </c>
      <c r="G534" s="174">
        <v>230744</v>
      </c>
      <c r="H534" s="174">
        <v>0</v>
      </c>
      <c r="I534" s="174">
        <v>0</v>
      </c>
      <c r="J534" s="174">
        <v>135941</v>
      </c>
      <c r="K534" s="176">
        <f t="shared" si="185"/>
        <v>463059</v>
      </c>
      <c r="L534" s="176">
        <f t="shared" si="186"/>
        <v>-463059</v>
      </c>
      <c r="N534" s="26">
        <v>0</v>
      </c>
      <c r="O534" s="172">
        <f>L534+M534+N534</f>
        <v>-463059</v>
      </c>
      <c r="P534" s="172">
        <f t="shared" si="188"/>
        <v>463059</v>
      </c>
      <c r="T534" s="172">
        <v>475294</v>
      </c>
    </row>
    <row r="535" spans="2:20" ht="15">
      <c r="B535" s="211" t="s">
        <v>51</v>
      </c>
      <c r="D535" s="212">
        <f>SUM(D525:D534)</f>
        <v>2575406</v>
      </c>
      <c r="E535" s="212">
        <f>SUM(E524:E534)</f>
        <v>10435</v>
      </c>
      <c r="F535" s="212">
        <f aca="true" t="shared" si="189" ref="F535:P535">SUM(F524:F534)</f>
        <v>73201302</v>
      </c>
      <c r="G535" s="212">
        <f>SUM(G524:G534)</f>
        <v>14394989</v>
      </c>
      <c r="H535" s="212">
        <f t="shared" si="189"/>
        <v>2929</v>
      </c>
      <c r="I535" s="212">
        <f t="shared" si="189"/>
        <v>2050458</v>
      </c>
      <c r="J535" s="212">
        <f>SUM(J525:J534)</f>
        <v>977980</v>
      </c>
      <c r="K535" s="189">
        <f t="shared" si="189"/>
        <v>93213499</v>
      </c>
      <c r="L535" s="189">
        <f t="shared" si="189"/>
        <v>-93213499</v>
      </c>
      <c r="M535" s="212">
        <f>SUM(M524:M534)</f>
        <v>51905393</v>
      </c>
      <c r="N535" s="212">
        <f t="shared" si="189"/>
        <v>0</v>
      </c>
      <c r="O535" s="189">
        <f t="shared" si="189"/>
        <v>-41308106</v>
      </c>
      <c r="P535" s="189">
        <f t="shared" si="189"/>
        <v>41307556</v>
      </c>
      <c r="S535" s="189"/>
      <c r="T535" s="189">
        <v>37308760</v>
      </c>
    </row>
    <row r="536" spans="4:12" ht="15">
      <c r="D536" s="174"/>
      <c r="E536" s="174"/>
      <c r="F536" s="174"/>
      <c r="G536" s="174"/>
      <c r="H536" s="174"/>
      <c r="I536" s="174"/>
      <c r="J536" s="174"/>
      <c r="K536" s="176"/>
      <c r="L536" s="176"/>
    </row>
    <row r="537" spans="4:12" ht="15">
      <c r="D537" s="174"/>
      <c r="E537" s="174"/>
      <c r="F537" s="174"/>
      <c r="G537" s="174"/>
      <c r="H537" s="174"/>
      <c r="I537" s="174"/>
      <c r="J537" s="174"/>
      <c r="K537" s="176"/>
      <c r="L537" s="176"/>
    </row>
    <row r="538" spans="2:12" ht="15">
      <c r="B538" s="169" t="s">
        <v>438</v>
      </c>
      <c r="D538" s="174"/>
      <c r="E538" s="174"/>
      <c r="F538" s="174"/>
      <c r="G538" s="174"/>
      <c r="H538" s="174"/>
      <c r="I538" s="174"/>
      <c r="J538" s="174"/>
      <c r="K538" s="176"/>
      <c r="L538" s="176"/>
    </row>
    <row r="539" spans="2:20" s="169" customFormat="1" ht="15">
      <c r="B539" s="169" t="s">
        <v>320</v>
      </c>
      <c r="C539" s="170"/>
      <c r="D539" s="176">
        <f>0</f>
        <v>0</v>
      </c>
      <c r="E539" s="176">
        <v>-112584</v>
      </c>
      <c r="F539" s="176">
        <f>0</f>
        <v>0</v>
      </c>
      <c r="G539" s="176">
        <v>741158</v>
      </c>
      <c r="H539" s="176">
        <f>0</f>
        <v>0</v>
      </c>
      <c r="I539" s="176">
        <v>2585</v>
      </c>
      <c r="J539" s="176">
        <v>0</v>
      </c>
      <c r="K539" s="176">
        <f>SUM(D539:J539)</f>
        <v>631159</v>
      </c>
      <c r="L539" s="176">
        <f>-K539</f>
        <v>-631159</v>
      </c>
      <c r="M539" s="172"/>
      <c r="N539" s="26"/>
      <c r="O539" s="172">
        <f>L539+M539+N539</f>
        <v>-631159</v>
      </c>
      <c r="P539" s="172">
        <f>-O539</f>
        <v>631159</v>
      </c>
      <c r="Q539" s="174"/>
      <c r="S539" s="172"/>
      <c r="T539" s="172">
        <v>631159</v>
      </c>
    </row>
    <row r="540" spans="2:20" ht="15">
      <c r="B540" s="16" t="s">
        <v>439</v>
      </c>
      <c r="D540" s="174">
        <v>0</v>
      </c>
      <c r="E540" s="174">
        <f aca="true" t="shared" si="190" ref="E540:J540">E220+E221</f>
        <v>0</v>
      </c>
      <c r="F540" s="174">
        <f t="shared" si="190"/>
        <v>0</v>
      </c>
      <c r="G540" s="174">
        <f t="shared" si="190"/>
        <v>0</v>
      </c>
      <c r="H540" s="174">
        <f t="shared" si="190"/>
        <v>0</v>
      </c>
      <c r="I540" s="174">
        <f t="shared" si="190"/>
        <v>0</v>
      </c>
      <c r="J540" s="174">
        <f t="shared" si="190"/>
        <v>0</v>
      </c>
      <c r="K540" s="176">
        <f>SUM(D540:J540)</f>
        <v>0</v>
      </c>
      <c r="L540" s="176">
        <f>-K540</f>
        <v>0</v>
      </c>
      <c r="O540" s="172">
        <f>L540+M540+N540</f>
        <v>0</v>
      </c>
      <c r="P540" s="172">
        <f>-O540</f>
        <v>0</v>
      </c>
      <c r="T540" s="172">
        <v>0</v>
      </c>
    </row>
    <row r="541" spans="2:20" ht="15">
      <c r="B541" s="16" t="s">
        <v>440</v>
      </c>
      <c r="D541" s="174">
        <v>0</v>
      </c>
      <c r="E541" s="174">
        <v>0</v>
      </c>
      <c r="F541" s="174">
        <v>0</v>
      </c>
      <c r="G541" s="174">
        <v>0</v>
      </c>
      <c r="H541" s="174">
        <v>0</v>
      </c>
      <c r="I541" s="174">
        <v>0</v>
      </c>
      <c r="J541" s="174">
        <v>0</v>
      </c>
      <c r="K541" s="176">
        <f>SUM(D541:J541)</f>
        <v>0</v>
      </c>
      <c r="L541" s="176">
        <f>-K541</f>
        <v>0</v>
      </c>
      <c r="O541" s="172">
        <f>L541+M541+N541</f>
        <v>0</v>
      </c>
      <c r="P541" s="172">
        <f>-O541</f>
        <v>0</v>
      </c>
      <c r="T541" s="172">
        <v>0</v>
      </c>
    </row>
    <row r="542" spans="2:20" ht="15">
      <c r="B542" s="16" t="s">
        <v>441</v>
      </c>
      <c r="D542" s="174">
        <v>0</v>
      </c>
      <c r="E542" s="174">
        <v>0</v>
      </c>
      <c r="F542" s="174">
        <v>0</v>
      </c>
      <c r="G542" s="174">
        <v>0</v>
      </c>
      <c r="H542" s="174">
        <v>0</v>
      </c>
      <c r="I542" s="174">
        <v>0</v>
      </c>
      <c r="J542" s="174">
        <v>0</v>
      </c>
      <c r="K542" s="176">
        <f>SUM(D542:J542)</f>
        <v>0</v>
      </c>
      <c r="L542" s="176">
        <f>-K542</f>
        <v>0</v>
      </c>
      <c r="O542" s="172">
        <f>L542+M542+N542</f>
        <v>0</v>
      </c>
      <c r="P542" s="172">
        <f>-O542</f>
        <v>0</v>
      </c>
      <c r="T542" s="172">
        <v>0</v>
      </c>
    </row>
    <row r="543" spans="2:20" ht="15">
      <c r="B543" s="16" t="s">
        <v>442</v>
      </c>
      <c r="D543" s="174">
        <v>0</v>
      </c>
      <c r="E543" s="174">
        <v>0</v>
      </c>
      <c r="F543" s="174">
        <v>0</v>
      </c>
      <c r="G543" s="174">
        <v>0</v>
      </c>
      <c r="H543" s="174">
        <v>0</v>
      </c>
      <c r="I543" s="174">
        <v>0</v>
      </c>
      <c r="J543" s="174">
        <v>0</v>
      </c>
      <c r="K543" s="176">
        <f>SUM(D543:J543)</f>
        <v>0</v>
      </c>
      <c r="L543" s="176">
        <f>-K543</f>
        <v>0</v>
      </c>
      <c r="O543" s="172">
        <f>L543+M543+N543</f>
        <v>0</v>
      </c>
      <c r="P543" s="172">
        <f>-O543</f>
        <v>0</v>
      </c>
      <c r="T543" s="172">
        <v>0</v>
      </c>
    </row>
    <row r="544" spans="2:20" s="169" customFormat="1" ht="15">
      <c r="B544" s="169" t="s">
        <v>338</v>
      </c>
      <c r="C544" s="170"/>
      <c r="D544" s="189">
        <f>SUM(D539:D543)</f>
        <v>0</v>
      </c>
      <c r="E544" s="189">
        <f>SUM(E539:E543)</f>
        <v>-112584</v>
      </c>
      <c r="F544" s="189">
        <f aca="true" t="shared" si="191" ref="F544:P544">SUM(F539:F543)</f>
        <v>0</v>
      </c>
      <c r="G544" s="189">
        <f t="shared" si="191"/>
        <v>741158</v>
      </c>
      <c r="H544" s="189">
        <f t="shared" si="191"/>
        <v>0</v>
      </c>
      <c r="I544" s="189">
        <f t="shared" si="191"/>
        <v>2585</v>
      </c>
      <c r="J544" s="189">
        <f>SUM(J539:J543)</f>
        <v>0</v>
      </c>
      <c r="K544" s="189">
        <f t="shared" si="191"/>
        <v>631159</v>
      </c>
      <c r="L544" s="189">
        <f t="shared" si="191"/>
        <v>-631159</v>
      </c>
      <c r="M544" s="189">
        <f t="shared" si="191"/>
        <v>0</v>
      </c>
      <c r="N544" s="189">
        <f t="shared" si="191"/>
        <v>0</v>
      </c>
      <c r="O544" s="189">
        <f t="shared" si="191"/>
        <v>-631159</v>
      </c>
      <c r="P544" s="189">
        <f t="shared" si="191"/>
        <v>631159</v>
      </c>
      <c r="Q544" s="174"/>
      <c r="S544" s="189"/>
      <c r="T544" s="189">
        <v>631159</v>
      </c>
    </row>
    <row r="545" spans="4:12" ht="15">
      <c r="D545" s="174"/>
      <c r="E545" s="174"/>
      <c r="F545" s="174"/>
      <c r="G545" s="174"/>
      <c r="H545" s="174"/>
      <c r="I545" s="174"/>
      <c r="J545" s="174"/>
      <c r="K545" s="176"/>
      <c r="L545" s="176"/>
    </row>
    <row r="546" spans="4:12" ht="15">
      <c r="D546" s="174"/>
      <c r="E546" s="174"/>
      <c r="F546" s="174"/>
      <c r="G546" s="174"/>
      <c r="H546" s="174"/>
      <c r="I546" s="174"/>
      <c r="J546" s="174"/>
      <c r="K546" s="176"/>
      <c r="L546" s="176"/>
    </row>
    <row r="547" spans="4:12" ht="15">
      <c r="D547" s="174"/>
      <c r="E547" s="174"/>
      <c r="F547" s="174"/>
      <c r="G547" s="174"/>
      <c r="H547" s="174"/>
      <c r="I547" s="174"/>
      <c r="J547" s="174"/>
      <c r="K547" s="176"/>
      <c r="L547" s="176"/>
    </row>
    <row r="548" spans="2:12" ht="15">
      <c r="B548" s="169" t="s">
        <v>443</v>
      </c>
      <c r="D548" s="174"/>
      <c r="E548" s="174"/>
      <c r="F548" s="174"/>
      <c r="G548" s="174"/>
      <c r="H548" s="174"/>
      <c r="I548" s="174"/>
      <c r="J548" s="174"/>
      <c r="K548" s="176"/>
      <c r="L548" s="176"/>
    </row>
    <row r="549" spans="2:12" ht="15">
      <c r="B549" s="169" t="s">
        <v>444</v>
      </c>
      <c r="D549" s="174"/>
      <c r="E549" s="174"/>
      <c r="F549" s="174"/>
      <c r="G549" s="174"/>
      <c r="H549" s="174"/>
      <c r="I549" s="174"/>
      <c r="J549" s="174"/>
      <c r="K549" s="176"/>
      <c r="L549" s="176"/>
    </row>
    <row r="550" spans="2:20" ht="15">
      <c r="B550" s="16" t="s">
        <v>393</v>
      </c>
      <c r="C550" s="200" t="s">
        <v>165</v>
      </c>
      <c r="D550" s="174">
        <v>0</v>
      </c>
      <c r="E550" s="174">
        <v>0</v>
      </c>
      <c r="F550" s="174">
        <f>240000*0</f>
        <v>0</v>
      </c>
      <c r="G550" s="174">
        <v>0</v>
      </c>
      <c r="H550" s="174">
        <v>0</v>
      </c>
      <c r="I550" s="174">
        <v>1284315</v>
      </c>
      <c r="J550" s="174">
        <v>296249</v>
      </c>
      <c r="K550" s="176">
        <f aca="true" t="shared" si="192" ref="K550:K556">SUM(D550:J550)</f>
        <v>1580564</v>
      </c>
      <c r="L550" s="176">
        <f aca="true" t="shared" si="193" ref="L550:L556">-K550</f>
        <v>-1580564</v>
      </c>
      <c r="M550" s="26">
        <f>'[2] ConsoJL'!W304</f>
        <v>1580564</v>
      </c>
      <c r="O550" s="172">
        <f>M550+N550+L550</f>
        <v>0</v>
      </c>
      <c r="P550" s="172">
        <f aca="true" t="shared" si="194" ref="P550:P556">-O550</f>
        <v>0</v>
      </c>
      <c r="T550" s="172">
        <v>0</v>
      </c>
    </row>
    <row r="551" spans="2:20" ht="15">
      <c r="B551" s="16" t="s">
        <v>394</v>
      </c>
      <c r="C551" s="200" t="s">
        <v>165</v>
      </c>
      <c r="D551" s="174">
        <v>704120</v>
      </c>
      <c r="E551" s="174">
        <v>0</v>
      </c>
      <c r="F551" s="174">
        <v>6976335</v>
      </c>
      <c r="G551" s="174">
        <v>0</v>
      </c>
      <c r="H551" s="174">
        <v>0</v>
      </c>
      <c r="I551" s="174">
        <v>0</v>
      </c>
      <c r="J551" s="174">
        <v>0</v>
      </c>
      <c r="K551" s="176">
        <f t="shared" si="192"/>
        <v>7680455</v>
      </c>
      <c r="L551" s="176">
        <f t="shared" si="193"/>
        <v>-7680455</v>
      </c>
      <c r="M551" s="26">
        <f>'[2] ConsoJL'!W303</f>
        <v>7680455</v>
      </c>
      <c r="O551" s="172">
        <f>M551+N551+L551</f>
        <v>0</v>
      </c>
      <c r="P551" s="172">
        <f t="shared" si="194"/>
        <v>0</v>
      </c>
      <c r="T551" s="172">
        <v>0</v>
      </c>
    </row>
    <row r="552" spans="2:20" ht="15">
      <c r="B552" s="16" t="s">
        <v>396</v>
      </c>
      <c r="C552" s="200" t="s">
        <v>165</v>
      </c>
      <c r="D552" s="174">
        <v>0</v>
      </c>
      <c r="E552" s="174">
        <v>0</v>
      </c>
      <c r="F552" s="174">
        <v>0</v>
      </c>
      <c r="G552" s="174">
        <v>55445504</v>
      </c>
      <c r="H552" s="174">
        <v>0</v>
      </c>
      <c r="I552" s="174">
        <v>0</v>
      </c>
      <c r="J552" s="174">
        <v>0</v>
      </c>
      <c r="K552" s="176">
        <f t="shared" si="192"/>
        <v>55445504</v>
      </c>
      <c r="L552" s="176">
        <f t="shared" si="193"/>
        <v>-55445504</v>
      </c>
      <c r="M552" s="26">
        <f>'[2] ConsoJL'!W302</f>
        <v>55445504</v>
      </c>
      <c r="O552" s="172">
        <f>M552+N552+L552</f>
        <v>0</v>
      </c>
      <c r="P552" s="172">
        <f t="shared" si="194"/>
        <v>0</v>
      </c>
      <c r="T552" s="172">
        <v>0</v>
      </c>
    </row>
    <row r="553" spans="2:20" ht="15">
      <c r="B553" s="16" t="s">
        <v>397</v>
      </c>
      <c r="C553" s="200" t="s">
        <v>165</v>
      </c>
      <c r="D553" s="174">
        <v>5583056</v>
      </c>
      <c r="E553" s="174">
        <v>12382957</v>
      </c>
      <c r="F553" s="174">
        <v>0</v>
      </c>
      <c r="G553" s="174">
        <v>0</v>
      </c>
      <c r="H553" s="174">
        <v>16014</v>
      </c>
      <c r="I553" s="174">
        <v>0</v>
      </c>
      <c r="J553" s="174">
        <v>541126</v>
      </c>
      <c r="K553" s="176">
        <f t="shared" si="192"/>
        <v>18523153</v>
      </c>
      <c r="L553" s="176">
        <f t="shared" si="193"/>
        <v>-18523153</v>
      </c>
      <c r="M553" s="26">
        <f>'[2] ConsoJL'!W301</f>
        <v>18523153</v>
      </c>
      <c r="O553" s="172">
        <f>M553+N553+L553</f>
        <v>0</v>
      </c>
      <c r="P553" s="172">
        <f t="shared" si="194"/>
        <v>0</v>
      </c>
      <c r="T553" s="172">
        <v>0</v>
      </c>
    </row>
    <row r="554" spans="2:20" ht="15">
      <c r="B554" s="16" t="s">
        <v>398</v>
      </c>
      <c r="C554" s="200" t="s">
        <v>165</v>
      </c>
      <c r="D554" s="174">
        <v>0</v>
      </c>
      <c r="E554" s="26">
        <v>0</v>
      </c>
      <c r="F554" s="26">
        <v>0</v>
      </c>
      <c r="G554" s="174">
        <v>0</v>
      </c>
      <c r="H554" s="174">
        <v>0</v>
      </c>
      <c r="I554" s="174">
        <v>0</v>
      </c>
      <c r="J554" s="26">
        <v>0</v>
      </c>
      <c r="K554" s="176">
        <f t="shared" si="192"/>
        <v>0</v>
      </c>
      <c r="L554" s="176">
        <f t="shared" si="193"/>
        <v>0</v>
      </c>
      <c r="O554" s="172">
        <f>M554+N554+L554</f>
        <v>0</v>
      </c>
      <c r="P554" s="172">
        <f t="shared" si="194"/>
        <v>0</v>
      </c>
      <c r="T554" s="172">
        <v>0</v>
      </c>
    </row>
    <row r="555" spans="2:13" ht="15">
      <c r="B555" s="16" t="s">
        <v>400</v>
      </c>
      <c r="C555" s="200"/>
      <c r="D555" s="174"/>
      <c r="G555" s="174"/>
      <c r="H555" s="174"/>
      <c r="I555" s="174">
        <v>0</v>
      </c>
      <c r="J555" s="26">
        <v>8481674</v>
      </c>
      <c r="K555" s="176">
        <f t="shared" si="192"/>
        <v>8481674</v>
      </c>
      <c r="L555" s="176">
        <f t="shared" si="193"/>
        <v>-8481674</v>
      </c>
      <c r="M555" s="26">
        <f>+'[2] ConsoJL'!W305</f>
        <v>8481674</v>
      </c>
    </row>
    <row r="556" spans="2:20" ht="15">
      <c r="B556" s="16" t="s">
        <v>399</v>
      </c>
      <c r="C556" s="200" t="s">
        <v>165</v>
      </c>
      <c r="D556" s="174"/>
      <c r="E556" s="26">
        <v>0</v>
      </c>
      <c r="F556" s="26">
        <v>0</v>
      </c>
      <c r="G556" s="174">
        <v>0</v>
      </c>
      <c r="H556" s="174">
        <v>0</v>
      </c>
      <c r="I556" s="174"/>
      <c r="J556" s="26">
        <v>0</v>
      </c>
      <c r="K556" s="176">
        <f t="shared" si="192"/>
        <v>0</v>
      </c>
      <c r="L556" s="176">
        <f t="shared" si="193"/>
        <v>0</v>
      </c>
      <c r="O556" s="172">
        <f>M556+N556+L556</f>
        <v>0</v>
      </c>
      <c r="P556" s="172">
        <f t="shared" si="194"/>
        <v>0</v>
      </c>
      <c r="T556" s="172">
        <v>0</v>
      </c>
    </row>
    <row r="557" spans="2:20" ht="15">
      <c r="B557" s="211" t="s">
        <v>51</v>
      </c>
      <c r="C557" s="200"/>
      <c r="D557" s="212">
        <f aca="true" t="shared" si="195" ref="D557:P557">SUM(D549:D556)</f>
        <v>6287176</v>
      </c>
      <c r="E557" s="212">
        <f t="shared" si="195"/>
        <v>12382957</v>
      </c>
      <c r="F557" s="212">
        <f t="shared" si="195"/>
        <v>6976335</v>
      </c>
      <c r="G557" s="212">
        <f t="shared" si="195"/>
        <v>55445504</v>
      </c>
      <c r="H557" s="212">
        <f t="shared" si="195"/>
        <v>16014</v>
      </c>
      <c r="I557" s="212">
        <f t="shared" si="195"/>
        <v>1284315</v>
      </c>
      <c r="J557" s="212">
        <f>SUM(J549:J556)</f>
        <v>9319049</v>
      </c>
      <c r="K557" s="189">
        <f t="shared" si="195"/>
        <v>91711350</v>
      </c>
      <c r="L557" s="189">
        <f t="shared" si="195"/>
        <v>-91711350</v>
      </c>
      <c r="M557" s="212">
        <f>SUM(M550:M556)</f>
        <v>91711350</v>
      </c>
      <c r="N557" s="212">
        <f t="shared" si="195"/>
        <v>0</v>
      </c>
      <c r="O557" s="189">
        <f t="shared" si="195"/>
        <v>0</v>
      </c>
      <c r="P557" s="189">
        <f t="shared" si="195"/>
        <v>0</v>
      </c>
      <c r="S557" s="189"/>
      <c r="T557" s="189">
        <v>0</v>
      </c>
    </row>
    <row r="558" ht="15">
      <c r="C558" s="200"/>
    </row>
    <row r="559" spans="4:12" ht="15">
      <c r="D559" s="174"/>
      <c r="E559" s="174"/>
      <c r="F559" s="174"/>
      <c r="G559" s="174"/>
      <c r="H559" s="174"/>
      <c r="I559" s="174"/>
      <c r="J559" s="174"/>
      <c r="K559" s="176"/>
      <c r="L559" s="176"/>
    </row>
    <row r="560" spans="2:12" ht="15">
      <c r="B560" s="169" t="s">
        <v>445</v>
      </c>
      <c r="D560" s="174"/>
      <c r="E560" s="174"/>
      <c r="F560" s="174"/>
      <c r="G560" s="174"/>
      <c r="H560" s="174"/>
      <c r="I560" s="174"/>
      <c r="J560" s="174"/>
      <c r="K560" s="176"/>
      <c r="L560" s="176"/>
    </row>
    <row r="561" spans="2:12" ht="15">
      <c r="B561" s="169" t="s">
        <v>202</v>
      </c>
      <c r="D561" s="174"/>
      <c r="E561" s="174"/>
      <c r="F561" s="174"/>
      <c r="G561" s="174"/>
      <c r="H561" s="174"/>
      <c r="I561" s="174"/>
      <c r="J561" s="174"/>
      <c r="K561" s="176"/>
      <c r="L561" s="176"/>
    </row>
    <row r="562" spans="2:12" ht="15">
      <c r="B562" s="16" t="s">
        <v>446</v>
      </c>
      <c r="D562" s="174"/>
      <c r="E562" s="174"/>
      <c r="F562" s="174"/>
      <c r="G562" s="174"/>
      <c r="H562" s="174"/>
      <c r="I562" s="174"/>
      <c r="J562" s="174"/>
      <c r="K562" s="176"/>
      <c r="L562" s="176"/>
    </row>
    <row r="563" spans="2:20" ht="15">
      <c r="B563" s="210" t="s">
        <v>447</v>
      </c>
      <c r="C563" s="200" t="s">
        <v>165</v>
      </c>
      <c r="D563" s="174">
        <f>16224+(1352)</f>
        <v>17576</v>
      </c>
      <c r="E563" s="174">
        <v>0</v>
      </c>
      <c r="F563" s="174">
        <v>0</v>
      </c>
      <c r="G563" s="174">
        <v>162296</v>
      </c>
      <c r="H563" s="174">
        <v>0</v>
      </c>
      <c r="I563" s="174">
        <v>0</v>
      </c>
      <c r="J563" s="174">
        <v>0</v>
      </c>
      <c r="K563" s="176">
        <f>SUM(D563:J563)</f>
        <v>179872</v>
      </c>
      <c r="L563" s="176">
        <f>-K563</f>
        <v>-179872</v>
      </c>
      <c r="M563" s="26">
        <v>0</v>
      </c>
      <c r="N563" s="26">
        <v>0</v>
      </c>
      <c r="O563" s="172">
        <f>SUM(L563:N563)</f>
        <v>-179872</v>
      </c>
      <c r="P563" s="172">
        <f>-O563</f>
        <v>179872</v>
      </c>
      <c r="T563" s="172">
        <v>179872</v>
      </c>
    </row>
    <row r="564" spans="2:20" ht="15">
      <c r="B564" s="210" t="s">
        <v>448</v>
      </c>
      <c r="C564" s="200" t="s">
        <v>165</v>
      </c>
      <c r="D564" s="174">
        <v>64896</v>
      </c>
      <c r="E564" s="174">
        <v>0</v>
      </c>
      <c r="F564" s="174">
        <v>0</v>
      </c>
      <c r="G564" s="174">
        <f>522439-G563</f>
        <v>360143</v>
      </c>
      <c r="H564" s="174">
        <v>0</v>
      </c>
      <c r="I564" s="174">
        <v>0</v>
      </c>
      <c r="J564" s="174">
        <v>0</v>
      </c>
      <c r="K564" s="176">
        <f>SUM(D564:J564)</f>
        <v>425039</v>
      </c>
      <c r="L564" s="176">
        <f>-K564</f>
        <v>-425039</v>
      </c>
      <c r="M564" s="26">
        <v>0</v>
      </c>
      <c r="N564" s="26">
        <v>0</v>
      </c>
      <c r="O564" s="172">
        <f>SUM(L564:N564)</f>
        <v>-425039</v>
      </c>
      <c r="P564" s="172">
        <f>-O564</f>
        <v>425039</v>
      </c>
      <c r="T564" s="172">
        <v>439424</v>
      </c>
    </row>
    <row r="565" spans="2:20" ht="15">
      <c r="B565" s="210" t="s">
        <v>449</v>
      </c>
      <c r="C565" s="200" t="s">
        <v>165</v>
      </c>
      <c r="D565" s="182">
        <f>89161-D564-D563+(1352)</f>
        <v>8041</v>
      </c>
      <c r="E565" s="182">
        <v>0</v>
      </c>
      <c r="F565" s="182">
        <v>0</v>
      </c>
      <c r="G565" s="182">
        <v>0</v>
      </c>
      <c r="H565" s="182">
        <v>0</v>
      </c>
      <c r="I565" s="182">
        <v>0</v>
      </c>
      <c r="J565" s="182">
        <v>0</v>
      </c>
      <c r="K565" s="183">
        <f>SUM(D565:J565)</f>
        <v>8041</v>
      </c>
      <c r="L565" s="183">
        <f>-K565</f>
        <v>-8041</v>
      </c>
      <c r="M565" s="182">
        <v>0</v>
      </c>
      <c r="N565" s="182">
        <v>0</v>
      </c>
      <c r="O565" s="183">
        <f>SUM(L565:N565)</f>
        <v>-8041</v>
      </c>
      <c r="P565" s="183">
        <f>-O565</f>
        <v>8041</v>
      </c>
      <c r="S565" s="183"/>
      <c r="T565" s="183">
        <v>10745</v>
      </c>
    </row>
    <row r="566" spans="4:20" ht="15">
      <c r="D566" s="174">
        <f aca="true" t="shared" si="196" ref="D566:P566">SUM(D562:D565)</f>
        <v>90513</v>
      </c>
      <c r="E566" s="174">
        <f t="shared" si="196"/>
        <v>0</v>
      </c>
      <c r="F566" s="174">
        <f t="shared" si="196"/>
        <v>0</v>
      </c>
      <c r="G566" s="174">
        <f>SUM(G563:G565)</f>
        <v>522439</v>
      </c>
      <c r="H566" s="174">
        <f t="shared" si="196"/>
        <v>0</v>
      </c>
      <c r="I566" s="174">
        <f t="shared" si="196"/>
        <v>0</v>
      </c>
      <c r="J566" s="174">
        <f>SUM(J562:J565)</f>
        <v>0</v>
      </c>
      <c r="K566" s="176">
        <f t="shared" si="196"/>
        <v>612952</v>
      </c>
      <c r="L566" s="176">
        <f t="shared" si="196"/>
        <v>-612952</v>
      </c>
      <c r="M566" s="174">
        <f t="shared" si="196"/>
        <v>0</v>
      </c>
      <c r="N566" s="174">
        <f t="shared" si="196"/>
        <v>0</v>
      </c>
      <c r="O566" s="176">
        <f t="shared" si="196"/>
        <v>-612952</v>
      </c>
      <c r="P566" s="176">
        <f t="shared" si="196"/>
        <v>612952</v>
      </c>
      <c r="S566" s="176"/>
      <c r="T566" s="176">
        <v>630041</v>
      </c>
    </row>
    <row r="567" spans="2:20" ht="15">
      <c r="B567" s="16" t="s">
        <v>450</v>
      </c>
      <c r="C567" s="200" t="s">
        <v>165</v>
      </c>
      <c r="D567" s="182">
        <f>-23797+9059</f>
        <v>-14738</v>
      </c>
      <c r="E567" s="182">
        <v>0</v>
      </c>
      <c r="F567" s="182">
        <v>0</v>
      </c>
      <c r="G567" s="182">
        <v>-57598.49</v>
      </c>
      <c r="H567" s="182"/>
      <c r="I567" s="182"/>
      <c r="J567" s="182">
        <v>0</v>
      </c>
      <c r="K567" s="176">
        <f>SUM(D567:J567)</f>
        <v>-72336.48999999999</v>
      </c>
      <c r="L567" s="176">
        <f>-K567</f>
        <v>72336.48999999999</v>
      </c>
      <c r="M567" s="182"/>
      <c r="N567" s="182"/>
      <c r="O567" s="172">
        <f>SUM(L567:N567)</f>
        <v>72336.48999999999</v>
      </c>
      <c r="P567" s="172">
        <f>-O567</f>
        <v>-72336.48999999999</v>
      </c>
      <c r="T567" s="172">
        <v>-79842</v>
      </c>
    </row>
    <row r="568" spans="2:20" ht="15.75" thickBot="1">
      <c r="B568" s="169" t="s">
        <v>451</v>
      </c>
      <c r="D568" s="215">
        <f aca="true" t="shared" si="197" ref="D568:P568">D566+D567</f>
        <v>75775</v>
      </c>
      <c r="E568" s="215">
        <f t="shared" si="197"/>
        <v>0</v>
      </c>
      <c r="F568" s="215">
        <f t="shared" si="197"/>
        <v>0</v>
      </c>
      <c r="G568" s="215">
        <f t="shared" si="197"/>
        <v>464840.51</v>
      </c>
      <c r="H568" s="215">
        <f t="shared" si="197"/>
        <v>0</v>
      </c>
      <c r="I568" s="215">
        <f t="shared" si="197"/>
        <v>0</v>
      </c>
      <c r="J568" s="215">
        <f>J566+J567</f>
        <v>0</v>
      </c>
      <c r="K568" s="193">
        <f t="shared" si="197"/>
        <v>540615.51</v>
      </c>
      <c r="L568" s="193">
        <f t="shared" si="197"/>
        <v>-540615.51</v>
      </c>
      <c r="M568" s="215">
        <f t="shared" si="197"/>
        <v>0</v>
      </c>
      <c r="N568" s="215">
        <f t="shared" si="197"/>
        <v>0</v>
      </c>
      <c r="O568" s="193">
        <f t="shared" si="197"/>
        <v>-540615.51</v>
      </c>
      <c r="P568" s="193">
        <f t="shared" si="197"/>
        <v>540615.51</v>
      </c>
      <c r="S568" s="193"/>
      <c r="T568" s="193">
        <v>550199</v>
      </c>
    </row>
    <row r="569" spans="4:20" ht="15.75" thickTop="1">
      <c r="D569" s="174"/>
      <c r="E569" s="174"/>
      <c r="F569" s="174"/>
      <c r="G569" s="174"/>
      <c r="H569" s="174"/>
      <c r="I569" s="174"/>
      <c r="J569" s="174"/>
      <c r="K569" s="176"/>
      <c r="L569" s="176"/>
      <c r="M569" s="174"/>
      <c r="N569" s="174"/>
      <c r="O569" s="176"/>
      <c r="P569" s="176"/>
      <c r="S569" s="176"/>
      <c r="T569" s="176"/>
    </row>
    <row r="570" spans="2:12" ht="15">
      <c r="B570" s="169" t="s">
        <v>452</v>
      </c>
      <c r="D570" s="174"/>
      <c r="E570" s="174"/>
      <c r="F570" s="174"/>
      <c r="G570" s="174"/>
      <c r="H570" s="174"/>
      <c r="I570" s="174"/>
      <c r="J570" s="174"/>
      <c r="K570" s="176"/>
      <c r="L570" s="176"/>
    </row>
    <row r="571" spans="2:20" ht="15">
      <c r="B571" s="210" t="s">
        <v>453</v>
      </c>
      <c r="C571" s="200" t="s">
        <v>165</v>
      </c>
      <c r="D571" s="174">
        <f>74423-63038+(1352)</f>
        <v>12737</v>
      </c>
      <c r="E571" s="174">
        <v>0</v>
      </c>
      <c r="F571" s="174">
        <v>0</v>
      </c>
      <c r="G571" s="174">
        <v>140518</v>
      </c>
      <c r="H571" s="174">
        <v>0</v>
      </c>
      <c r="I571" s="174">
        <v>0</v>
      </c>
      <c r="J571" s="174">
        <f>J568</f>
        <v>0</v>
      </c>
      <c r="K571" s="176">
        <f>SUM(D571:J571)</f>
        <v>153255</v>
      </c>
      <c r="L571" s="176">
        <f>-K571</f>
        <v>-153255</v>
      </c>
      <c r="O571" s="172">
        <f>SUM(L571:N571)</f>
        <v>-153255</v>
      </c>
      <c r="P571" s="172">
        <f>-O571</f>
        <v>153255</v>
      </c>
      <c r="T571" s="172">
        <v>150943</v>
      </c>
    </row>
    <row r="572" spans="2:20" ht="15">
      <c r="B572" s="210" t="s">
        <v>454</v>
      </c>
      <c r="C572" s="200" t="s">
        <v>165</v>
      </c>
      <c r="D572" s="174">
        <f>63038-7901</f>
        <v>55137</v>
      </c>
      <c r="E572" s="174">
        <v>0</v>
      </c>
      <c r="F572" s="174">
        <v>0</v>
      </c>
      <c r="G572" s="174">
        <v>324323</v>
      </c>
      <c r="H572" s="174">
        <v>0</v>
      </c>
      <c r="I572" s="174">
        <v>0</v>
      </c>
      <c r="J572" s="174">
        <v>0</v>
      </c>
      <c r="K572" s="176">
        <f>SUM(D572:J572)</f>
        <v>379460</v>
      </c>
      <c r="L572" s="176">
        <f>-K572</f>
        <v>-379460</v>
      </c>
      <c r="O572" s="172">
        <f>SUM(L572:N572)</f>
        <v>-379460</v>
      </c>
      <c r="P572" s="172">
        <f>-O572</f>
        <v>379460</v>
      </c>
      <c r="T572" s="172">
        <v>388751</v>
      </c>
    </row>
    <row r="573" spans="2:20" ht="15">
      <c r="B573" s="210" t="s">
        <v>455</v>
      </c>
      <c r="C573" s="200" t="s">
        <v>165</v>
      </c>
      <c r="D573" s="174">
        <v>7901</v>
      </c>
      <c r="E573" s="174">
        <v>0</v>
      </c>
      <c r="F573" s="174">
        <v>0</v>
      </c>
      <c r="G573" s="174"/>
      <c r="H573" s="174">
        <v>0</v>
      </c>
      <c r="I573" s="174">
        <v>0</v>
      </c>
      <c r="J573" s="174">
        <v>0</v>
      </c>
      <c r="K573" s="176">
        <f>SUM(D573:J573)</f>
        <v>7901</v>
      </c>
      <c r="L573" s="176">
        <f>-K573</f>
        <v>-7901</v>
      </c>
      <c r="O573" s="172">
        <f>SUM(L573:N573)</f>
        <v>-7901</v>
      </c>
      <c r="P573" s="172">
        <f>-O573</f>
        <v>7901</v>
      </c>
      <c r="T573" s="172">
        <v>10505</v>
      </c>
    </row>
    <row r="574" spans="4:20" ht="15">
      <c r="D574" s="212">
        <f aca="true" t="shared" si="198" ref="D574:P574">SUM(D570:D573)</f>
        <v>75775</v>
      </c>
      <c r="E574" s="212">
        <f t="shared" si="198"/>
        <v>0</v>
      </c>
      <c r="F574" s="212">
        <f t="shared" si="198"/>
        <v>0</v>
      </c>
      <c r="G574" s="212">
        <f>SUM(G570:G573)</f>
        <v>464841</v>
      </c>
      <c r="H574" s="212">
        <f t="shared" si="198"/>
        <v>0</v>
      </c>
      <c r="I574" s="212">
        <f t="shared" si="198"/>
        <v>0</v>
      </c>
      <c r="J574" s="212">
        <f>SUM(J570:J573)</f>
        <v>0</v>
      </c>
      <c r="K574" s="189">
        <f t="shared" si="198"/>
        <v>540616</v>
      </c>
      <c r="L574" s="189">
        <f t="shared" si="198"/>
        <v>-540616</v>
      </c>
      <c r="M574" s="212">
        <f t="shared" si="198"/>
        <v>0</v>
      </c>
      <c r="N574" s="212">
        <f t="shared" si="198"/>
        <v>0</v>
      </c>
      <c r="O574" s="189">
        <f t="shared" si="198"/>
        <v>-540616</v>
      </c>
      <c r="P574" s="189">
        <f t="shared" si="198"/>
        <v>540616</v>
      </c>
      <c r="S574" s="189"/>
      <c r="T574" s="189">
        <v>550199</v>
      </c>
    </row>
    <row r="575" spans="4:12" ht="15">
      <c r="D575" s="174"/>
      <c r="E575" s="174"/>
      <c r="F575" s="174"/>
      <c r="G575" s="174"/>
      <c r="H575" s="174"/>
      <c r="I575" s="174"/>
      <c r="J575" s="174"/>
      <c r="K575" s="176"/>
      <c r="L575" s="176"/>
    </row>
    <row r="576" spans="4:12" ht="15">
      <c r="D576" s="174"/>
      <c r="E576" s="174"/>
      <c r="F576" s="174"/>
      <c r="G576" s="174"/>
      <c r="H576" s="174"/>
      <c r="I576" s="174"/>
      <c r="J576" s="174"/>
      <c r="K576" s="176"/>
      <c r="L576" s="176"/>
    </row>
    <row r="577" spans="2:12" ht="15">
      <c r="B577" s="169" t="s">
        <v>456</v>
      </c>
      <c r="D577" s="174"/>
      <c r="E577" s="174"/>
      <c r="F577" s="174"/>
      <c r="G577" s="174"/>
      <c r="H577" s="174"/>
      <c r="I577" s="174"/>
      <c r="J577" s="174"/>
      <c r="K577" s="176"/>
      <c r="L577" s="176"/>
    </row>
    <row r="578" spans="2:12" ht="15">
      <c r="B578" s="169" t="s">
        <v>206</v>
      </c>
      <c r="D578" s="174"/>
      <c r="E578" s="174"/>
      <c r="F578" s="174"/>
      <c r="G578" s="174"/>
      <c r="H578" s="174"/>
      <c r="I578" s="174"/>
      <c r="J578" s="174"/>
      <c r="K578" s="176"/>
      <c r="L578" s="176"/>
    </row>
    <row r="579" spans="2:20" ht="15">
      <c r="B579" s="16" t="s">
        <v>320</v>
      </c>
      <c r="C579" s="200" t="s">
        <v>165</v>
      </c>
      <c r="D579" s="174">
        <v>223508536</v>
      </c>
      <c r="E579" s="174">
        <v>50000000</v>
      </c>
      <c r="F579" s="174">
        <v>50000000</v>
      </c>
      <c r="G579" s="174">
        <f>1000000</f>
        <v>1000000</v>
      </c>
      <c r="H579" s="174">
        <v>1000</v>
      </c>
      <c r="I579" s="174">
        <v>10000000</v>
      </c>
      <c r="J579" s="174">
        <v>10000000</v>
      </c>
      <c r="K579" s="176">
        <f>SUM(D579:J579)</f>
        <v>344509536</v>
      </c>
      <c r="L579" s="176">
        <f>-K579</f>
        <v>-344509536</v>
      </c>
      <c r="M579" s="26">
        <f>'[2] ConsoJL'!K438</f>
        <v>121001000</v>
      </c>
      <c r="N579" s="26">
        <v>0</v>
      </c>
      <c r="O579" s="172">
        <f>N579+M579+L579</f>
        <v>-223508536</v>
      </c>
      <c r="P579" s="172">
        <f>-O579</f>
        <v>223508536</v>
      </c>
      <c r="T579" s="172">
        <v>223508536</v>
      </c>
    </row>
    <row r="580" spans="2:20" ht="15">
      <c r="B580" s="16" t="s">
        <v>457</v>
      </c>
      <c r="C580" s="200" t="s">
        <v>165</v>
      </c>
      <c r="D580" s="174">
        <v>0</v>
      </c>
      <c r="E580" s="174">
        <v>0</v>
      </c>
      <c r="F580" s="174">
        <v>0</v>
      </c>
      <c r="G580" s="174">
        <f>0</f>
        <v>0</v>
      </c>
      <c r="H580" s="174">
        <v>0</v>
      </c>
      <c r="I580" s="174">
        <v>0</v>
      </c>
      <c r="J580" s="174">
        <v>0</v>
      </c>
      <c r="K580" s="176">
        <f>SUM(D580:J580)</f>
        <v>0</v>
      </c>
      <c r="L580" s="176">
        <f>-K580</f>
        <v>0</v>
      </c>
      <c r="O580" s="172">
        <f>N580+M580+L580</f>
        <v>0</v>
      </c>
      <c r="P580" s="172">
        <f>-O580</f>
        <v>0</v>
      </c>
      <c r="T580" s="172">
        <v>0</v>
      </c>
    </row>
    <row r="581" spans="2:20" ht="15">
      <c r="B581" s="16" t="s">
        <v>458</v>
      </c>
      <c r="C581" s="200" t="s">
        <v>165</v>
      </c>
      <c r="D581" s="174">
        <v>0</v>
      </c>
      <c r="E581" s="174">
        <v>0</v>
      </c>
      <c r="F581" s="174">
        <v>0</v>
      </c>
      <c r="G581" s="174">
        <v>0</v>
      </c>
      <c r="H581" s="174">
        <v>0</v>
      </c>
      <c r="I581" s="174">
        <v>0</v>
      </c>
      <c r="J581" s="174">
        <v>0</v>
      </c>
      <c r="K581" s="176">
        <f>SUM(D581:J581)</f>
        <v>0</v>
      </c>
      <c r="L581" s="176">
        <f>-K581</f>
        <v>0</v>
      </c>
      <c r="O581" s="172">
        <f>N581+M581+L581</f>
        <v>0</v>
      </c>
      <c r="P581" s="172">
        <f>-O581</f>
        <v>0</v>
      </c>
      <c r="T581" s="172">
        <v>0</v>
      </c>
    </row>
    <row r="582" spans="2:20" ht="15">
      <c r="B582" s="16" t="s">
        <v>459</v>
      </c>
      <c r="C582" s="200" t="s">
        <v>165</v>
      </c>
      <c r="D582" s="174">
        <v>0</v>
      </c>
      <c r="E582" s="174">
        <v>0</v>
      </c>
      <c r="F582" s="174">
        <v>0</v>
      </c>
      <c r="G582" s="174">
        <v>0</v>
      </c>
      <c r="H582" s="174">
        <v>0</v>
      </c>
      <c r="I582" s="174">
        <v>0</v>
      </c>
      <c r="J582" s="174">
        <v>0</v>
      </c>
      <c r="K582" s="176">
        <f>SUM(D582:J582)</f>
        <v>0</v>
      </c>
      <c r="L582" s="176">
        <f>-K582</f>
        <v>0</v>
      </c>
      <c r="O582" s="172">
        <f>N582+M582+L582</f>
        <v>0</v>
      </c>
      <c r="P582" s="172">
        <f>-O582</f>
        <v>0</v>
      </c>
      <c r="T582" s="172">
        <v>0</v>
      </c>
    </row>
    <row r="583" spans="2:20" ht="15">
      <c r="B583" s="16" t="s">
        <v>460</v>
      </c>
      <c r="C583" s="200" t="s">
        <v>165</v>
      </c>
      <c r="D583" s="174">
        <v>0</v>
      </c>
      <c r="E583" s="174">
        <v>0</v>
      </c>
      <c r="F583" s="174">
        <v>0</v>
      </c>
      <c r="G583" s="174">
        <v>0</v>
      </c>
      <c r="H583" s="174">
        <v>0</v>
      </c>
      <c r="I583" s="174">
        <v>0</v>
      </c>
      <c r="J583" s="174">
        <v>0</v>
      </c>
      <c r="K583" s="176">
        <f>SUM(D583:J583)</f>
        <v>0</v>
      </c>
      <c r="L583" s="176">
        <f>-K583</f>
        <v>0</v>
      </c>
      <c r="O583" s="172">
        <f>N583+M583+L583</f>
        <v>0</v>
      </c>
      <c r="P583" s="172">
        <f>-O583</f>
        <v>0</v>
      </c>
      <c r="T583" s="172">
        <v>0</v>
      </c>
    </row>
    <row r="584" spans="2:20" ht="15">
      <c r="B584" s="16" t="s">
        <v>338</v>
      </c>
      <c r="D584" s="212">
        <f aca="true" t="shared" si="199" ref="D584:P584">SUM(D578:D583)</f>
        <v>223508536</v>
      </c>
      <c r="E584" s="212">
        <f t="shared" si="199"/>
        <v>50000000</v>
      </c>
      <c r="F584" s="212">
        <f t="shared" si="199"/>
        <v>50000000</v>
      </c>
      <c r="G584" s="212">
        <f t="shared" si="199"/>
        <v>1000000</v>
      </c>
      <c r="H584" s="212">
        <f t="shared" si="199"/>
        <v>1000</v>
      </c>
      <c r="I584" s="212">
        <f t="shared" si="199"/>
        <v>10000000</v>
      </c>
      <c r="J584" s="212">
        <f>SUM(J578:J583)</f>
        <v>10000000</v>
      </c>
      <c r="K584" s="189">
        <f t="shared" si="199"/>
        <v>344509536</v>
      </c>
      <c r="L584" s="189">
        <f t="shared" si="199"/>
        <v>-344509536</v>
      </c>
      <c r="M584" s="212">
        <f t="shared" si="199"/>
        <v>121001000</v>
      </c>
      <c r="N584" s="212">
        <f t="shared" si="199"/>
        <v>0</v>
      </c>
      <c r="O584" s="189">
        <f t="shared" si="199"/>
        <v>-223508536</v>
      </c>
      <c r="P584" s="189">
        <f t="shared" si="199"/>
        <v>223508536</v>
      </c>
      <c r="S584" s="189"/>
      <c r="T584" s="189">
        <v>223508536</v>
      </c>
    </row>
    <row r="585" spans="4:12" ht="15">
      <c r="D585" s="174"/>
      <c r="E585" s="174"/>
      <c r="F585" s="174"/>
      <c r="G585" s="174"/>
      <c r="H585" s="174"/>
      <c r="I585" s="174"/>
      <c r="J585" s="174"/>
      <c r="K585" s="176"/>
      <c r="L585" s="176"/>
    </row>
    <row r="586" spans="4:12" ht="15">
      <c r="D586" s="174"/>
      <c r="E586" s="174"/>
      <c r="F586" s="174"/>
      <c r="G586" s="174"/>
      <c r="H586" s="174"/>
      <c r="I586" s="174"/>
      <c r="J586" s="174"/>
      <c r="K586" s="176"/>
      <c r="L586" s="176"/>
    </row>
    <row r="587" spans="2:12" ht="15">
      <c r="B587" s="169" t="s">
        <v>461</v>
      </c>
      <c r="D587" s="174"/>
      <c r="E587" s="174"/>
      <c r="F587" s="174"/>
      <c r="G587" s="174"/>
      <c r="H587" s="174"/>
      <c r="I587" s="174"/>
      <c r="J587" s="174"/>
      <c r="K587" s="176"/>
      <c r="L587" s="176"/>
    </row>
    <row r="588" spans="2:12" ht="15">
      <c r="B588" s="169" t="s">
        <v>462</v>
      </c>
      <c r="D588" s="174"/>
      <c r="E588" s="174"/>
      <c r="F588" s="174"/>
      <c r="G588" s="174"/>
      <c r="H588" s="174"/>
      <c r="I588" s="174"/>
      <c r="J588" s="174"/>
      <c r="K588" s="176"/>
      <c r="L588" s="176"/>
    </row>
    <row r="589" spans="2:20" ht="15">
      <c r="B589" s="16" t="s">
        <v>320</v>
      </c>
      <c r="C589" s="200" t="s">
        <v>165</v>
      </c>
      <c r="D589" s="174">
        <v>103563392</v>
      </c>
      <c r="E589" s="174">
        <v>0</v>
      </c>
      <c r="F589" s="174">
        <v>0</v>
      </c>
      <c r="G589" s="174">
        <v>0</v>
      </c>
      <c r="H589" s="174">
        <v>0</v>
      </c>
      <c r="I589" s="174">
        <v>0</v>
      </c>
      <c r="J589" s="174">
        <v>0</v>
      </c>
      <c r="K589" s="176">
        <f>SUM(D589:J589)</f>
        <v>103563392</v>
      </c>
      <c r="L589" s="176">
        <f>-K589</f>
        <v>-103563392</v>
      </c>
      <c r="M589" s="26">
        <f>'[2] ConsoJL'!N438</f>
        <v>0</v>
      </c>
      <c r="N589" s="26">
        <v>0</v>
      </c>
      <c r="O589" s="172">
        <f>N589+M589+L589</f>
        <v>-103563392</v>
      </c>
      <c r="P589" s="172">
        <f>-O589</f>
        <v>103563392</v>
      </c>
      <c r="T589" s="172">
        <v>103563392</v>
      </c>
    </row>
    <row r="590" spans="2:20" ht="15">
      <c r="B590" s="16" t="s">
        <v>457</v>
      </c>
      <c r="C590" s="200" t="s">
        <v>165</v>
      </c>
      <c r="D590" s="174"/>
      <c r="E590" s="174">
        <v>0</v>
      </c>
      <c r="F590" s="174">
        <v>0</v>
      </c>
      <c r="G590" s="174">
        <v>0</v>
      </c>
      <c r="H590" s="174">
        <v>0</v>
      </c>
      <c r="I590" s="174">
        <v>0</v>
      </c>
      <c r="J590" s="174">
        <v>0</v>
      </c>
      <c r="K590" s="176">
        <f>SUM(D590:J590)</f>
        <v>0</v>
      </c>
      <c r="L590" s="176">
        <f>-K590</f>
        <v>0</v>
      </c>
      <c r="O590" s="172">
        <f>N590+M590+L590</f>
        <v>0</v>
      </c>
      <c r="P590" s="172">
        <f>-O590</f>
        <v>0</v>
      </c>
      <c r="T590" s="172">
        <v>0</v>
      </c>
    </row>
    <row r="591" spans="2:20" ht="15">
      <c r="B591" s="16" t="s">
        <v>458</v>
      </c>
      <c r="C591" s="200" t="s">
        <v>165</v>
      </c>
      <c r="D591" s="174"/>
      <c r="E591" s="174">
        <v>0</v>
      </c>
      <c r="F591" s="174">
        <v>0</v>
      </c>
      <c r="G591" s="174">
        <v>0</v>
      </c>
      <c r="H591" s="174">
        <v>0</v>
      </c>
      <c r="I591" s="174">
        <v>0</v>
      </c>
      <c r="J591" s="174">
        <v>0</v>
      </c>
      <c r="K591" s="176">
        <f>SUM(D591:J591)</f>
        <v>0</v>
      </c>
      <c r="L591" s="176">
        <f>-K591</f>
        <v>0</v>
      </c>
      <c r="O591" s="172">
        <f>N591+M591+L591</f>
        <v>0</v>
      </c>
      <c r="P591" s="172">
        <f>-O591</f>
        <v>0</v>
      </c>
      <c r="T591" s="172">
        <v>0</v>
      </c>
    </row>
    <row r="592" spans="2:20" ht="15">
      <c r="B592" s="16" t="s">
        <v>460</v>
      </c>
      <c r="C592" s="200" t="s">
        <v>165</v>
      </c>
      <c r="D592" s="174"/>
      <c r="E592" s="174">
        <v>0</v>
      </c>
      <c r="F592" s="174">
        <v>0</v>
      </c>
      <c r="G592" s="174">
        <v>0</v>
      </c>
      <c r="H592" s="174">
        <v>0</v>
      </c>
      <c r="I592" s="174">
        <v>0</v>
      </c>
      <c r="J592" s="174">
        <v>0</v>
      </c>
      <c r="K592" s="176">
        <f>SUM(D592:J592)</f>
        <v>0</v>
      </c>
      <c r="L592" s="176">
        <f>-K592</f>
        <v>0</v>
      </c>
      <c r="O592" s="172">
        <f>N592+M592+L592</f>
        <v>0</v>
      </c>
      <c r="P592" s="172">
        <f>-O592</f>
        <v>0</v>
      </c>
      <c r="T592" s="172">
        <v>0</v>
      </c>
    </row>
    <row r="593" spans="2:20" ht="15">
      <c r="B593" s="16" t="s">
        <v>338</v>
      </c>
      <c r="D593" s="212">
        <f aca="true" t="shared" si="200" ref="D593:P593">SUM(D587:D592)</f>
        <v>103563392</v>
      </c>
      <c r="E593" s="212">
        <f t="shared" si="200"/>
        <v>0</v>
      </c>
      <c r="F593" s="212">
        <f t="shared" si="200"/>
        <v>0</v>
      </c>
      <c r="G593" s="212">
        <f t="shared" si="200"/>
        <v>0</v>
      </c>
      <c r="H593" s="212">
        <f t="shared" si="200"/>
        <v>0</v>
      </c>
      <c r="I593" s="212">
        <f t="shared" si="200"/>
        <v>0</v>
      </c>
      <c r="J593" s="212">
        <f>SUM(J587:J592)</f>
        <v>0</v>
      </c>
      <c r="K593" s="189">
        <f t="shared" si="200"/>
        <v>103563392</v>
      </c>
      <c r="L593" s="189">
        <f t="shared" si="200"/>
        <v>-103563392</v>
      </c>
      <c r="M593" s="212">
        <f t="shared" si="200"/>
        <v>0</v>
      </c>
      <c r="N593" s="212">
        <f t="shared" si="200"/>
        <v>0</v>
      </c>
      <c r="O593" s="189">
        <f t="shared" si="200"/>
        <v>-103563392</v>
      </c>
      <c r="P593" s="189">
        <f t="shared" si="200"/>
        <v>103563392</v>
      </c>
      <c r="S593" s="189"/>
      <c r="T593" s="189">
        <v>103563392</v>
      </c>
    </row>
    <row r="594" spans="4:12" ht="15">
      <c r="D594" s="174"/>
      <c r="E594" s="174"/>
      <c r="F594" s="174"/>
      <c r="G594" s="174"/>
      <c r="H594" s="174"/>
      <c r="I594" s="174"/>
      <c r="J594" s="174"/>
      <c r="K594" s="176"/>
      <c r="L594" s="176"/>
    </row>
    <row r="595" spans="4:12" ht="15">
      <c r="D595" s="174"/>
      <c r="E595" s="174"/>
      <c r="F595" s="174"/>
      <c r="G595" s="174"/>
      <c r="H595" s="174"/>
      <c r="I595" s="174"/>
      <c r="J595" s="174"/>
      <c r="K595" s="176"/>
      <c r="L595" s="176"/>
    </row>
    <row r="596" spans="2:12" ht="15">
      <c r="B596" s="169" t="s">
        <v>463</v>
      </c>
      <c r="D596" s="174"/>
      <c r="E596" s="174"/>
      <c r="F596" s="174"/>
      <c r="G596" s="174"/>
      <c r="H596" s="174"/>
      <c r="I596" s="174"/>
      <c r="J596" s="174"/>
      <c r="K596" s="176"/>
      <c r="L596" s="176"/>
    </row>
    <row r="597" spans="2:12" ht="15">
      <c r="B597" s="169" t="s">
        <v>208</v>
      </c>
      <c r="D597" s="174"/>
      <c r="E597" s="174"/>
      <c r="F597" s="174"/>
      <c r="G597" s="174"/>
      <c r="H597" s="174"/>
      <c r="I597" s="174"/>
      <c r="J597" s="174"/>
      <c r="K597" s="176"/>
      <c r="L597" s="176"/>
    </row>
    <row r="598" spans="2:20" ht="15">
      <c r="B598" s="16" t="s">
        <v>320</v>
      </c>
      <c r="C598" s="200" t="s">
        <v>165</v>
      </c>
      <c r="D598" s="174"/>
      <c r="E598" s="174">
        <v>0</v>
      </c>
      <c r="F598" s="174">
        <v>0</v>
      </c>
      <c r="G598" s="174">
        <v>0</v>
      </c>
      <c r="H598" s="174">
        <v>0</v>
      </c>
      <c r="I598" s="174">
        <v>0</v>
      </c>
      <c r="J598" s="174">
        <v>0</v>
      </c>
      <c r="K598" s="176">
        <f>SUM(D598:J598)</f>
        <v>0</v>
      </c>
      <c r="L598" s="176">
        <f>-K598</f>
        <v>0</v>
      </c>
      <c r="M598" s="26">
        <f>'[2] ConsoJL'!O438</f>
        <v>0</v>
      </c>
      <c r="N598" s="26">
        <v>0</v>
      </c>
      <c r="O598" s="172">
        <f>N598+M598+L598</f>
        <v>0</v>
      </c>
      <c r="P598" s="172">
        <f>-O598</f>
        <v>0</v>
      </c>
      <c r="T598" s="172">
        <v>0</v>
      </c>
    </row>
    <row r="599" spans="2:20" ht="15">
      <c r="B599" s="16" t="s">
        <v>464</v>
      </c>
      <c r="C599" s="200" t="s">
        <v>165</v>
      </c>
      <c r="D599" s="174"/>
      <c r="E599" s="174">
        <v>0</v>
      </c>
      <c r="F599" s="174">
        <v>0</v>
      </c>
      <c r="G599" s="174">
        <v>0</v>
      </c>
      <c r="H599" s="174">
        <v>0</v>
      </c>
      <c r="I599" s="174">
        <v>0</v>
      </c>
      <c r="J599" s="174">
        <v>0</v>
      </c>
      <c r="K599" s="176">
        <f>SUM(D599:J599)</f>
        <v>0</v>
      </c>
      <c r="L599" s="176">
        <f>-K599</f>
        <v>0</v>
      </c>
      <c r="M599" s="26">
        <v>0</v>
      </c>
      <c r="N599" s="26">
        <v>0</v>
      </c>
      <c r="O599" s="172">
        <f>N599+M599+L599</f>
        <v>0</v>
      </c>
      <c r="P599" s="172">
        <f>-O599</f>
        <v>0</v>
      </c>
      <c r="T599" s="172">
        <v>0</v>
      </c>
    </row>
    <row r="600" spans="2:20" ht="15">
      <c r="B600" s="16" t="s">
        <v>338</v>
      </c>
      <c r="D600" s="212">
        <f aca="true" t="shared" si="201" ref="D600:P600">SUM(D597:D599)</f>
        <v>0</v>
      </c>
      <c r="E600" s="212">
        <f t="shared" si="201"/>
        <v>0</v>
      </c>
      <c r="F600" s="212">
        <f t="shared" si="201"/>
        <v>0</v>
      </c>
      <c r="G600" s="212">
        <f t="shared" si="201"/>
        <v>0</v>
      </c>
      <c r="H600" s="212">
        <f t="shared" si="201"/>
        <v>0</v>
      </c>
      <c r="I600" s="212">
        <f t="shared" si="201"/>
        <v>0</v>
      </c>
      <c r="J600" s="212">
        <f>SUM(J597:J599)</f>
        <v>0</v>
      </c>
      <c r="K600" s="189">
        <f t="shared" si="201"/>
        <v>0</v>
      </c>
      <c r="L600" s="189">
        <f t="shared" si="201"/>
        <v>0</v>
      </c>
      <c r="M600" s="212">
        <f t="shared" si="201"/>
        <v>0</v>
      </c>
      <c r="N600" s="212">
        <f t="shared" si="201"/>
        <v>0</v>
      </c>
      <c r="O600" s="189">
        <f t="shared" si="201"/>
        <v>0</v>
      </c>
      <c r="P600" s="189">
        <f t="shared" si="201"/>
        <v>0</v>
      </c>
      <c r="S600" s="189"/>
      <c r="T600" s="189">
        <v>0</v>
      </c>
    </row>
    <row r="601" spans="4:12" ht="15">
      <c r="D601" s="174"/>
      <c r="E601" s="174"/>
      <c r="F601" s="174"/>
      <c r="G601" s="174"/>
      <c r="H601" s="174"/>
      <c r="I601" s="174"/>
      <c r="J601" s="174"/>
      <c r="K601" s="176"/>
      <c r="L601" s="176"/>
    </row>
    <row r="602" spans="2:12" ht="15">
      <c r="B602" s="169" t="s">
        <v>465</v>
      </c>
      <c r="D602" s="174"/>
      <c r="E602" s="174"/>
      <c r="F602" s="174"/>
      <c r="G602" s="174"/>
      <c r="H602" s="174"/>
      <c r="I602" s="174"/>
      <c r="J602" s="174"/>
      <c r="K602" s="176"/>
      <c r="L602" s="176"/>
    </row>
    <row r="603" spans="2:12" ht="15">
      <c r="B603" s="169" t="s">
        <v>466</v>
      </c>
      <c r="D603" s="174"/>
      <c r="E603" s="174"/>
      <c r="F603" s="174"/>
      <c r="G603" s="174"/>
      <c r="H603" s="174"/>
      <c r="I603" s="174"/>
      <c r="J603" s="174"/>
      <c r="K603" s="176"/>
      <c r="L603" s="176"/>
    </row>
    <row r="604" spans="2:20" ht="15">
      <c r="B604" s="16" t="s">
        <v>320</v>
      </c>
      <c r="C604" s="200" t="s">
        <v>165</v>
      </c>
      <c r="D604" s="174"/>
      <c r="E604" s="174">
        <v>0</v>
      </c>
      <c r="F604" s="174">
        <v>0</v>
      </c>
      <c r="G604" s="174">
        <v>0</v>
      </c>
      <c r="H604" s="174">
        <v>0</v>
      </c>
      <c r="I604" s="174">
        <v>0</v>
      </c>
      <c r="J604" s="174">
        <v>0</v>
      </c>
      <c r="K604" s="176">
        <f>SUM(D604:J604)</f>
        <v>0</v>
      </c>
      <c r="L604" s="176">
        <f>-K604</f>
        <v>0</v>
      </c>
      <c r="M604" s="26">
        <v>0</v>
      </c>
      <c r="N604" s="26">
        <f>'[2] ConsoJL'!P438</f>
        <v>0</v>
      </c>
      <c r="O604" s="172">
        <f>N604+M604+L604</f>
        <v>0</v>
      </c>
      <c r="P604" s="172">
        <f>-O604</f>
        <v>0</v>
      </c>
      <c r="T604" s="172">
        <v>0</v>
      </c>
    </row>
    <row r="605" spans="2:20" ht="15">
      <c r="B605" s="16" t="s">
        <v>457</v>
      </c>
      <c r="C605" s="200" t="s">
        <v>165</v>
      </c>
      <c r="D605" s="174"/>
      <c r="E605" s="174">
        <v>0</v>
      </c>
      <c r="F605" s="174">
        <v>0</v>
      </c>
      <c r="G605" s="174">
        <v>0</v>
      </c>
      <c r="H605" s="174">
        <v>0</v>
      </c>
      <c r="I605" s="174">
        <v>0</v>
      </c>
      <c r="J605" s="174">
        <v>0</v>
      </c>
      <c r="K605" s="176">
        <f>SUM(D605:J605)</f>
        <v>0</v>
      </c>
      <c r="L605" s="176">
        <f>-K605</f>
        <v>0</v>
      </c>
      <c r="M605" s="26">
        <v>0</v>
      </c>
      <c r="N605" s="26">
        <v>0</v>
      </c>
      <c r="O605" s="172">
        <f>N605+M605+L605</f>
        <v>0</v>
      </c>
      <c r="P605" s="172">
        <f>-O605</f>
        <v>0</v>
      </c>
      <c r="T605" s="172">
        <v>0</v>
      </c>
    </row>
    <row r="606" spans="2:20" ht="15">
      <c r="B606" s="16" t="s">
        <v>116</v>
      </c>
      <c r="C606" s="200" t="s">
        <v>165</v>
      </c>
      <c r="D606" s="174"/>
      <c r="E606" s="174">
        <v>0</v>
      </c>
      <c r="F606" s="174">
        <v>0</v>
      </c>
      <c r="G606" s="174">
        <v>0</v>
      </c>
      <c r="H606" s="174">
        <v>0</v>
      </c>
      <c r="I606" s="174">
        <v>0</v>
      </c>
      <c r="J606" s="174">
        <v>0</v>
      </c>
      <c r="K606" s="176">
        <f>SUM(D606:J606)</f>
        <v>0</v>
      </c>
      <c r="L606" s="176">
        <f>-K606</f>
        <v>0</v>
      </c>
      <c r="M606" s="26">
        <v>0</v>
      </c>
      <c r="N606" s="26">
        <v>0</v>
      </c>
      <c r="O606" s="172">
        <f>N606+M606+L606</f>
        <v>0</v>
      </c>
      <c r="P606" s="172">
        <f>-O606</f>
        <v>0</v>
      </c>
      <c r="T606" s="172">
        <v>0</v>
      </c>
    </row>
    <row r="607" spans="2:20" ht="15">
      <c r="B607" s="16" t="s">
        <v>338</v>
      </c>
      <c r="D607" s="212">
        <f aca="true" t="shared" si="202" ref="D607:P607">SUM(D603:D606)</f>
        <v>0</v>
      </c>
      <c r="E607" s="212">
        <f t="shared" si="202"/>
        <v>0</v>
      </c>
      <c r="F607" s="212">
        <f t="shared" si="202"/>
        <v>0</v>
      </c>
      <c r="G607" s="212">
        <f t="shared" si="202"/>
        <v>0</v>
      </c>
      <c r="H607" s="212">
        <f t="shared" si="202"/>
        <v>0</v>
      </c>
      <c r="I607" s="212">
        <f t="shared" si="202"/>
        <v>0</v>
      </c>
      <c r="J607" s="212">
        <f>SUM(J603:J606)</f>
        <v>0</v>
      </c>
      <c r="K607" s="189">
        <f t="shared" si="202"/>
        <v>0</v>
      </c>
      <c r="L607" s="189">
        <f t="shared" si="202"/>
        <v>0</v>
      </c>
      <c r="M607" s="212">
        <f t="shared" si="202"/>
        <v>0</v>
      </c>
      <c r="N607" s="212">
        <f t="shared" si="202"/>
        <v>0</v>
      </c>
      <c r="O607" s="189">
        <f t="shared" si="202"/>
        <v>0</v>
      </c>
      <c r="P607" s="189">
        <f t="shared" si="202"/>
        <v>0</v>
      </c>
      <c r="S607" s="189"/>
      <c r="T607" s="189">
        <v>0</v>
      </c>
    </row>
    <row r="608" spans="2:12" ht="15">
      <c r="B608" s="169"/>
      <c r="D608" s="174"/>
      <c r="E608" s="174"/>
      <c r="F608" s="174"/>
      <c r="G608" s="174"/>
      <c r="H608" s="174"/>
      <c r="I608" s="174"/>
      <c r="J608" s="174"/>
      <c r="K608" s="176"/>
      <c r="L608" s="176"/>
    </row>
    <row r="609" spans="2:12" ht="15">
      <c r="B609" s="169"/>
      <c r="D609" s="174"/>
      <c r="E609" s="174"/>
      <c r="F609" s="174"/>
      <c r="G609" s="174"/>
      <c r="H609" s="174"/>
      <c r="I609" s="174"/>
      <c r="J609" s="174"/>
      <c r="K609" s="176"/>
      <c r="L609" s="176"/>
    </row>
    <row r="610" spans="2:12" ht="15">
      <c r="B610" s="169" t="s">
        <v>467</v>
      </c>
      <c r="D610" s="174"/>
      <c r="E610" s="174"/>
      <c r="F610" s="174"/>
      <c r="G610" s="174"/>
      <c r="H610" s="174"/>
      <c r="I610" s="174"/>
      <c r="J610" s="174"/>
      <c r="K610" s="176"/>
      <c r="L610" s="176"/>
    </row>
    <row r="611" spans="2:20" ht="15">
      <c r="B611" s="169" t="s">
        <v>468</v>
      </c>
      <c r="D611" s="174"/>
      <c r="E611" s="174"/>
      <c r="F611" s="174"/>
      <c r="G611" s="174"/>
      <c r="H611" s="174"/>
      <c r="I611" s="174"/>
      <c r="J611" s="174"/>
      <c r="K611" s="174"/>
      <c r="L611" s="174"/>
      <c r="M611" s="174"/>
      <c r="N611" s="174"/>
      <c r="O611" s="174"/>
      <c r="P611" s="174"/>
      <c r="S611" s="174"/>
      <c r="T611" s="174"/>
    </row>
    <row r="612" spans="2:20" ht="15">
      <c r="B612" s="16" t="s">
        <v>320</v>
      </c>
      <c r="C612" s="200" t="s">
        <v>165</v>
      </c>
      <c r="D612" s="174">
        <v>3542313</v>
      </c>
      <c r="E612" s="174">
        <v>-875058</v>
      </c>
      <c r="F612" s="174">
        <v>59342105</v>
      </c>
      <c r="G612" s="174">
        <v>-6130753</v>
      </c>
      <c r="H612" s="174">
        <v>-19692</v>
      </c>
      <c r="I612" s="174">
        <v>-2563637</v>
      </c>
      <c r="J612" s="174">
        <v>-11302998</v>
      </c>
      <c r="K612" s="176">
        <f>SUM(D612:J612)</f>
        <v>41992280</v>
      </c>
      <c r="L612" s="176">
        <f>-K612</f>
        <v>-41992280</v>
      </c>
      <c r="M612" s="26">
        <f>'[2] ConsoJL'!M441</f>
        <v>22082375.57859999</v>
      </c>
      <c r="O612" s="172">
        <f>SUM(L612:N612)</f>
        <v>-19909904.42140001</v>
      </c>
      <c r="P612" s="172">
        <f>-O612</f>
        <v>19909904.42140001</v>
      </c>
      <c r="T612" s="172">
        <v>19789904.42140001</v>
      </c>
    </row>
    <row r="613" spans="2:20" ht="15">
      <c r="B613" s="16" t="s">
        <v>469</v>
      </c>
      <c r="C613" s="200" t="s">
        <v>165</v>
      </c>
      <c r="D613" s="174">
        <f aca="true" t="shared" si="203" ref="D613:J613">D31</f>
        <v>-1548</v>
      </c>
      <c r="E613" s="174">
        <f t="shared" si="203"/>
        <v>-800</v>
      </c>
      <c r="F613" s="174">
        <f t="shared" si="203"/>
        <v>-1038335</v>
      </c>
      <c r="G613" s="174">
        <f t="shared" si="203"/>
        <v>-1759760</v>
      </c>
      <c r="H613" s="174">
        <f t="shared" si="203"/>
        <v>-249</v>
      </c>
      <c r="I613" s="174">
        <f>I31</f>
        <v>-263700</v>
      </c>
      <c r="J613" s="174">
        <f t="shared" si="203"/>
        <v>-260800</v>
      </c>
      <c r="K613" s="176">
        <f>SUM(D613:J613)</f>
        <v>-3325192</v>
      </c>
      <c r="L613" s="176">
        <f>-K613</f>
        <v>3325192</v>
      </c>
      <c r="M613" s="26">
        <f>+'[2] ConsoJL'!AD438+'[2] ConsoJL'!AE438+'[2] ConsoJL'!AG438+'[2] ConsoJL'!AI438+'[2] ConsoJL'!AK438+'[2] ConsoJL'!AJ438</f>
        <v>4190173</v>
      </c>
      <c r="N613" s="26">
        <f>+'[2] ConsoJL'!AH438+'[2] ConsoJL'!AF438</f>
        <v>-1629250</v>
      </c>
      <c r="O613" s="172">
        <f>SUM(L613:N613)</f>
        <v>5886115</v>
      </c>
      <c r="P613" s="172">
        <f>-O613</f>
        <v>-5886115</v>
      </c>
      <c r="T613" s="172">
        <v>-2913433</v>
      </c>
    </row>
    <row r="614" spans="2:20" ht="15">
      <c r="B614" s="16" t="s">
        <v>470</v>
      </c>
      <c r="C614" s="200" t="s">
        <v>165</v>
      </c>
      <c r="D614" s="174">
        <v>0</v>
      </c>
      <c r="E614" s="174">
        <v>0</v>
      </c>
      <c r="F614" s="174">
        <v>0</v>
      </c>
      <c r="G614" s="174">
        <v>0</v>
      </c>
      <c r="H614" s="174">
        <v>0</v>
      </c>
      <c r="I614" s="174">
        <v>0</v>
      </c>
      <c r="J614" s="174">
        <v>0</v>
      </c>
      <c r="K614" s="176">
        <f>SUM(D614:J614)</f>
        <v>0</v>
      </c>
      <c r="L614" s="176">
        <f>-K614</f>
        <v>0</v>
      </c>
      <c r="M614" s="26">
        <v>0</v>
      </c>
      <c r="N614" s="26">
        <f>'[2] ConsoJL'!M442</f>
        <v>0</v>
      </c>
      <c r="O614" s="172">
        <f>SUM(L614:N614)</f>
        <v>0</v>
      </c>
      <c r="P614" s="172">
        <f>-O614</f>
        <v>0</v>
      </c>
      <c r="T614" s="172">
        <v>0</v>
      </c>
    </row>
    <row r="615" spans="2:20" ht="15">
      <c r="B615" s="16" t="s">
        <v>338</v>
      </c>
      <c r="D615" s="212">
        <f aca="true" t="shared" si="204" ref="D615:P615">SUM(D612:D614)</f>
        <v>3540765</v>
      </c>
      <c r="E615" s="212">
        <f t="shared" si="204"/>
        <v>-875858</v>
      </c>
      <c r="F615" s="212">
        <f t="shared" si="204"/>
        <v>58303770</v>
      </c>
      <c r="G615" s="212">
        <f t="shared" si="204"/>
        <v>-7890513</v>
      </c>
      <c r="H615" s="212">
        <f t="shared" si="204"/>
        <v>-19941</v>
      </c>
      <c r="I615" s="212">
        <f t="shared" si="204"/>
        <v>-2827337</v>
      </c>
      <c r="J615" s="212">
        <f>SUM(J610:J614)</f>
        <v>-11563798</v>
      </c>
      <c r="K615" s="189">
        <f t="shared" si="204"/>
        <v>38667088</v>
      </c>
      <c r="L615" s="189">
        <f t="shared" si="204"/>
        <v>-38667088</v>
      </c>
      <c r="M615" s="189">
        <f>SUM(M612:M614)</f>
        <v>26272548.57859999</v>
      </c>
      <c r="N615" s="189">
        <f t="shared" si="204"/>
        <v>-1629250</v>
      </c>
      <c r="O615" s="189">
        <f>SUM(O612:O614)</f>
        <v>-14023789.42140001</v>
      </c>
      <c r="P615" s="189">
        <f t="shared" si="204"/>
        <v>14023789.42140001</v>
      </c>
      <c r="S615" s="189"/>
      <c r="T615" s="189">
        <v>16876471.42140001</v>
      </c>
    </row>
    <row r="616" spans="4:12" ht="15">
      <c r="D616" s="174"/>
      <c r="E616" s="174"/>
      <c r="F616" s="174"/>
      <c r="G616" s="174"/>
      <c r="H616" s="174"/>
      <c r="I616" s="174"/>
      <c r="J616" s="174"/>
      <c r="K616" s="176"/>
      <c r="L616" s="176"/>
    </row>
    <row r="617" spans="4:12" ht="15">
      <c r="D617" s="174"/>
      <c r="E617" s="174"/>
      <c r="F617" s="174"/>
      <c r="G617" s="174"/>
      <c r="H617" s="174"/>
      <c r="I617" s="174"/>
      <c r="J617" s="174"/>
      <c r="K617" s="176"/>
      <c r="L617" s="176"/>
    </row>
    <row r="618" spans="2:12" ht="15">
      <c r="B618" s="169" t="s">
        <v>471</v>
      </c>
      <c r="D618" s="174"/>
      <c r="E618" s="174"/>
      <c r="F618" s="174"/>
      <c r="G618" s="174"/>
      <c r="H618" s="174"/>
      <c r="I618" s="174"/>
      <c r="J618" s="174"/>
      <c r="K618" s="176"/>
      <c r="L618" s="176"/>
    </row>
    <row r="619" spans="2:12" ht="15">
      <c r="B619" s="169" t="s">
        <v>43</v>
      </c>
      <c r="D619" s="174"/>
      <c r="E619" s="174"/>
      <c r="F619" s="174"/>
      <c r="G619" s="174"/>
      <c r="H619" s="174"/>
      <c r="I619" s="174"/>
      <c r="J619" s="174"/>
      <c r="K619" s="176"/>
      <c r="L619" s="176"/>
    </row>
    <row r="620" spans="2:12" ht="15">
      <c r="B620" s="214" t="s">
        <v>421</v>
      </c>
      <c r="D620" s="174"/>
      <c r="E620" s="174"/>
      <c r="F620" s="174"/>
      <c r="G620" s="174"/>
      <c r="H620" s="174"/>
      <c r="I620" s="174"/>
      <c r="J620" s="174"/>
      <c r="K620" s="176"/>
      <c r="L620" s="176"/>
    </row>
    <row r="621" spans="2:20" ht="15">
      <c r="B621" s="16" t="s">
        <v>422</v>
      </c>
      <c r="C621" s="200" t="s">
        <v>165</v>
      </c>
      <c r="D621" s="174">
        <v>0</v>
      </c>
      <c r="E621" s="174">
        <v>0</v>
      </c>
      <c r="F621" s="174">
        <v>0</v>
      </c>
      <c r="G621" s="174">
        <v>0</v>
      </c>
      <c r="H621" s="174">
        <v>0</v>
      </c>
      <c r="I621" s="174">
        <v>0</v>
      </c>
      <c r="J621" s="174">
        <v>0</v>
      </c>
      <c r="K621" s="176">
        <f>SUM(D621:J621)</f>
        <v>0</v>
      </c>
      <c r="L621" s="176">
        <f>-K621</f>
        <v>0</v>
      </c>
      <c r="M621" s="26">
        <v>0</v>
      </c>
      <c r="N621" s="26">
        <v>0</v>
      </c>
      <c r="O621" s="172">
        <f>N621+M621+L621</f>
        <v>0</v>
      </c>
      <c r="P621" s="172">
        <f>-O621</f>
        <v>0</v>
      </c>
      <c r="T621" s="172">
        <v>0</v>
      </c>
    </row>
    <row r="622" spans="2:20" ht="15">
      <c r="B622" s="16" t="s">
        <v>424</v>
      </c>
      <c r="C622" s="200" t="s">
        <v>165</v>
      </c>
      <c r="D622" s="174">
        <v>0</v>
      </c>
      <c r="E622" s="174">
        <v>0</v>
      </c>
      <c r="F622" s="174">
        <v>0</v>
      </c>
      <c r="G622" s="174">
        <v>0</v>
      </c>
      <c r="H622" s="174">
        <v>0</v>
      </c>
      <c r="I622" s="174">
        <v>0</v>
      </c>
      <c r="J622" s="174">
        <v>0</v>
      </c>
      <c r="K622" s="176">
        <f>SUM(D622:J622)</f>
        <v>0</v>
      </c>
      <c r="L622" s="176">
        <f>-K622</f>
        <v>0</v>
      </c>
      <c r="M622" s="26">
        <v>0</v>
      </c>
      <c r="N622" s="26">
        <v>0</v>
      </c>
      <c r="O622" s="172">
        <f>N622+M622+L622</f>
        <v>0</v>
      </c>
      <c r="P622" s="172">
        <f>-O622</f>
        <v>0</v>
      </c>
      <c r="T622" s="172">
        <v>160000000</v>
      </c>
    </row>
    <row r="623" spans="2:20" ht="15">
      <c r="B623" s="16" t="s">
        <v>425</v>
      </c>
      <c r="C623" s="200" t="s">
        <v>165</v>
      </c>
      <c r="D623" s="174">
        <v>0</v>
      </c>
      <c r="E623" s="174">
        <v>0</v>
      </c>
      <c r="F623" s="174">
        <v>1124754974</v>
      </c>
      <c r="G623" s="174">
        <v>0</v>
      </c>
      <c r="H623" s="174">
        <v>0</v>
      </c>
      <c r="I623" s="174">
        <v>0</v>
      </c>
      <c r="J623" s="174">
        <v>0</v>
      </c>
      <c r="K623" s="176">
        <f>SUM(D623:J623)</f>
        <v>1124754974</v>
      </c>
      <c r="L623" s="176">
        <f>-K623</f>
        <v>-1124754974</v>
      </c>
      <c r="M623" s="26">
        <f>+'[2] ConsoJL'!F431+'[2] ConsoJL'!AA427</f>
        <v>155860834</v>
      </c>
      <c r="N623" s="26">
        <v>0</v>
      </c>
      <c r="O623" s="172">
        <f>N623+M623+L623</f>
        <v>-968894140</v>
      </c>
      <c r="P623" s="172">
        <f>-O623</f>
        <v>968894140</v>
      </c>
      <c r="T623" s="172">
        <v>969430963</v>
      </c>
    </row>
    <row r="624" spans="2:20" ht="15">
      <c r="B624" s="16" t="s">
        <v>472</v>
      </c>
      <c r="C624" s="200" t="s">
        <v>165</v>
      </c>
      <c r="D624" s="174">
        <v>0</v>
      </c>
      <c r="E624" s="174">
        <v>0</v>
      </c>
      <c r="F624" s="174">
        <v>0</v>
      </c>
      <c r="G624" s="174">
        <v>0</v>
      </c>
      <c r="H624" s="174">
        <v>0</v>
      </c>
      <c r="I624" s="174">
        <v>8000000</v>
      </c>
      <c r="J624" s="174">
        <v>0</v>
      </c>
      <c r="K624" s="176">
        <f>SUM(D624:J624)</f>
        <v>8000000</v>
      </c>
      <c r="L624" s="176">
        <f>-K624</f>
        <v>-8000000</v>
      </c>
      <c r="M624" s="26">
        <v>0</v>
      </c>
      <c r="N624" s="26">
        <v>0</v>
      </c>
      <c r="O624" s="172">
        <f>N624+M624+L624</f>
        <v>-8000000</v>
      </c>
      <c r="P624" s="172">
        <f>-O624</f>
        <v>8000000</v>
      </c>
      <c r="T624" s="172">
        <v>8000000</v>
      </c>
    </row>
    <row r="625" spans="3:20" ht="15">
      <c r="C625" s="200"/>
      <c r="D625" s="212">
        <f aca="true" t="shared" si="205" ref="D625:O625">SUM(D620:D624)</f>
        <v>0</v>
      </c>
      <c r="E625" s="212">
        <f t="shared" si="205"/>
        <v>0</v>
      </c>
      <c r="F625" s="212">
        <f t="shared" si="205"/>
        <v>1124754974</v>
      </c>
      <c r="G625" s="212">
        <f t="shared" si="205"/>
        <v>0</v>
      </c>
      <c r="H625" s="212">
        <f t="shared" si="205"/>
        <v>0</v>
      </c>
      <c r="I625" s="212">
        <f t="shared" si="205"/>
        <v>8000000</v>
      </c>
      <c r="J625" s="212">
        <f>SUM(J620:J624)</f>
        <v>0</v>
      </c>
      <c r="K625" s="189">
        <f t="shared" si="205"/>
        <v>1132754974</v>
      </c>
      <c r="L625" s="189">
        <f t="shared" si="205"/>
        <v>-1132754974</v>
      </c>
      <c r="M625" s="212">
        <f t="shared" si="205"/>
        <v>155860834</v>
      </c>
      <c r="N625" s="212">
        <f t="shared" si="205"/>
        <v>0</v>
      </c>
      <c r="O625" s="189">
        <f t="shared" si="205"/>
        <v>-976894140</v>
      </c>
      <c r="P625" s="189">
        <f>SUM(P620:P624)</f>
        <v>976894140</v>
      </c>
      <c r="S625" s="189"/>
      <c r="T625" s="189">
        <v>1137430963</v>
      </c>
    </row>
    <row r="626" spans="3:15" ht="15">
      <c r="C626" s="213"/>
      <c r="D626" s="174"/>
      <c r="E626" s="174"/>
      <c r="F626" s="174"/>
      <c r="G626" s="174"/>
      <c r="H626" s="174"/>
      <c r="I626" s="174"/>
      <c r="J626" s="174"/>
      <c r="K626" s="174"/>
      <c r="L626" s="174"/>
      <c r="M626" s="174"/>
      <c r="N626" s="174"/>
      <c r="O626" s="174"/>
    </row>
    <row r="627" spans="4:15" ht="15">
      <c r="D627" s="174"/>
      <c r="E627" s="174"/>
      <c r="F627" s="174"/>
      <c r="G627" s="174"/>
      <c r="H627" s="174"/>
      <c r="I627" s="174"/>
      <c r="J627" s="174"/>
      <c r="K627" s="174"/>
      <c r="L627" s="174"/>
      <c r="M627" s="174"/>
      <c r="N627" s="174"/>
      <c r="O627" s="174"/>
    </row>
    <row r="628" spans="2:12" ht="15">
      <c r="B628" s="169" t="s">
        <v>473</v>
      </c>
      <c r="D628" s="174"/>
      <c r="E628" s="174"/>
      <c r="F628" s="174"/>
      <c r="G628" s="174"/>
      <c r="H628" s="174"/>
      <c r="I628" s="174"/>
      <c r="J628" s="174"/>
      <c r="K628" s="176"/>
      <c r="L628" s="176"/>
    </row>
    <row r="629" spans="2:12" ht="15">
      <c r="B629" s="169" t="s">
        <v>474</v>
      </c>
      <c r="D629" s="174"/>
      <c r="E629" s="174"/>
      <c r="F629" s="174"/>
      <c r="G629" s="174"/>
      <c r="H629" s="174"/>
      <c r="I629" s="174"/>
      <c r="J629" s="174"/>
      <c r="K629" s="176"/>
      <c r="L629" s="176"/>
    </row>
    <row r="630" spans="2:20" ht="15">
      <c r="B630" s="16" t="s">
        <v>320</v>
      </c>
      <c r="C630" s="200" t="s">
        <v>165</v>
      </c>
      <c r="D630" s="174">
        <v>0</v>
      </c>
      <c r="E630" s="174">
        <v>0</v>
      </c>
      <c r="F630" s="174">
        <v>9730000</v>
      </c>
      <c r="G630" s="174">
        <v>0</v>
      </c>
      <c r="H630" s="174">
        <v>0</v>
      </c>
      <c r="I630" s="174">
        <v>0</v>
      </c>
      <c r="J630" s="174">
        <v>0</v>
      </c>
      <c r="K630" s="176">
        <f>SUM(D630:J630)</f>
        <v>9730000</v>
      </c>
      <c r="L630" s="176">
        <f>-K630</f>
        <v>-9730000</v>
      </c>
      <c r="N630" s="26">
        <v>0</v>
      </c>
      <c r="O630" s="172">
        <f>N630+M630+L630</f>
        <v>-9730000</v>
      </c>
      <c r="P630" s="172">
        <f>-O630</f>
        <v>9730000</v>
      </c>
      <c r="T630" s="172">
        <v>9730000</v>
      </c>
    </row>
    <row r="631" spans="2:20" ht="15">
      <c r="B631" s="16" t="s">
        <v>475</v>
      </c>
      <c r="C631" s="200" t="s">
        <v>165</v>
      </c>
      <c r="D631" s="174">
        <v>0</v>
      </c>
      <c r="E631" s="174">
        <v>0</v>
      </c>
      <c r="F631" s="203">
        <v>-334000</v>
      </c>
      <c r="G631" s="174">
        <v>0</v>
      </c>
      <c r="H631" s="174">
        <v>0</v>
      </c>
      <c r="I631" s="174">
        <v>0</v>
      </c>
      <c r="J631" s="174">
        <v>10000</v>
      </c>
      <c r="K631" s="176">
        <f>SUM(D631:J631)</f>
        <v>-324000</v>
      </c>
      <c r="L631" s="176">
        <f>-K631</f>
        <v>324000</v>
      </c>
      <c r="N631" s="26">
        <f>-N222</f>
        <v>0</v>
      </c>
      <c r="O631" s="172">
        <f>N631+M631+L631</f>
        <v>324000</v>
      </c>
      <c r="P631" s="172">
        <f>-O631</f>
        <v>-324000</v>
      </c>
      <c r="T631" s="172">
        <v>10000</v>
      </c>
    </row>
    <row r="632" spans="2:20" ht="15">
      <c r="B632" s="16" t="s">
        <v>476</v>
      </c>
      <c r="C632" s="200"/>
      <c r="D632" s="174"/>
      <c r="E632" s="174"/>
      <c r="F632" s="174"/>
      <c r="G632" s="174"/>
      <c r="H632" s="174"/>
      <c r="I632" s="174"/>
      <c r="J632" s="174"/>
      <c r="K632" s="176">
        <f>SUM(D632:J632)</f>
        <v>0</v>
      </c>
      <c r="L632" s="176">
        <f>-K632</f>
        <v>0</v>
      </c>
      <c r="N632" s="26">
        <v>0</v>
      </c>
      <c r="O632" s="172">
        <f>N632+M632+L632</f>
        <v>0</v>
      </c>
      <c r="P632" s="172">
        <f>-O632</f>
        <v>0</v>
      </c>
      <c r="T632" s="172">
        <v>0</v>
      </c>
    </row>
    <row r="633" spans="2:20" ht="15">
      <c r="B633" s="16" t="s">
        <v>477</v>
      </c>
      <c r="D633" s="212">
        <f aca="true" t="shared" si="206" ref="D633:J633">SUM(D630:D632)</f>
        <v>0</v>
      </c>
      <c r="E633" s="212">
        <f t="shared" si="206"/>
        <v>0</v>
      </c>
      <c r="F633" s="212">
        <f t="shared" si="206"/>
        <v>9396000</v>
      </c>
      <c r="G633" s="212">
        <f t="shared" si="206"/>
        <v>0</v>
      </c>
      <c r="H633" s="212">
        <f t="shared" si="206"/>
        <v>0</v>
      </c>
      <c r="I633" s="212">
        <f t="shared" si="206"/>
        <v>0</v>
      </c>
      <c r="J633" s="212">
        <f t="shared" si="206"/>
        <v>10000</v>
      </c>
      <c r="K633" s="189">
        <f>SUM(K629:K632)</f>
        <v>9406000</v>
      </c>
      <c r="L633" s="189">
        <f>SUM(L629:L632)</f>
        <v>-9406000</v>
      </c>
      <c r="M633" s="212">
        <f>SUM(M629:M632)</f>
        <v>0</v>
      </c>
      <c r="N633" s="212">
        <f>SUM(N629:N632)</f>
        <v>0</v>
      </c>
      <c r="O633" s="189">
        <f>SUM(O629:O631)</f>
        <v>-9406000</v>
      </c>
      <c r="P633" s="189">
        <f>SUM(P629:P631)</f>
        <v>9406000</v>
      </c>
      <c r="S633" s="189"/>
      <c r="T633" s="189">
        <v>9740000</v>
      </c>
    </row>
    <row r="634" spans="4:12" ht="15">
      <c r="D634" s="174"/>
      <c r="E634" s="174"/>
      <c r="F634" s="174"/>
      <c r="G634" s="174"/>
      <c r="H634" s="174"/>
      <c r="I634" s="174"/>
      <c r="J634" s="174"/>
      <c r="K634" s="176"/>
      <c r="L634" s="176"/>
    </row>
    <row r="635" spans="4:12" ht="15">
      <c r="D635" s="174"/>
      <c r="E635" s="174"/>
      <c r="F635" s="174"/>
      <c r="G635" s="174"/>
      <c r="H635" s="174"/>
      <c r="I635" s="174"/>
      <c r="J635" s="174"/>
      <c r="K635" s="176"/>
      <c r="L635" s="176"/>
    </row>
    <row r="636" spans="2:12" ht="15">
      <c r="B636" s="169" t="s">
        <v>478</v>
      </c>
      <c r="D636" s="174"/>
      <c r="E636" s="174"/>
      <c r="F636" s="174"/>
      <c r="G636" s="174"/>
      <c r="H636" s="174"/>
      <c r="I636" s="174"/>
      <c r="J636" s="174"/>
      <c r="K636" s="176"/>
      <c r="L636" s="176"/>
    </row>
    <row r="637" spans="2:12" ht="15">
      <c r="B637" s="169" t="s">
        <v>479</v>
      </c>
      <c r="D637" s="174"/>
      <c r="E637" s="174"/>
      <c r="F637" s="174"/>
      <c r="G637" s="174"/>
      <c r="H637" s="174"/>
      <c r="I637" s="174"/>
      <c r="J637" s="174"/>
      <c r="K637" s="176"/>
      <c r="L637" s="176"/>
    </row>
    <row r="638" spans="2:12" ht="15">
      <c r="B638" s="16" t="s">
        <v>480</v>
      </c>
      <c r="D638" s="174"/>
      <c r="E638" s="174"/>
      <c r="F638" s="174"/>
      <c r="G638" s="174"/>
      <c r="H638" s="174"/>
      <c r="I638" s="174"/>
      <c r="J638" s="174"/>
      <c r="K638" s="176"/>
      <c r="L638" s="176"/>
    </row>
    <row r="639" spans="2:20" ht="15">
      <c r="B639" s="210" t="s">
        <v>481</v>
      </c>
      <c r="C639" s="200" t="s">
        <v>165</v>
      </c>
      <c r="D639" s="174">
        <v>0</v>
      </c>
      <c r="E639" s="174">
        <v>0</v>
      </c>
      <c r="F639" s="174">
        <v>0</v>
      </c>
      <c r="G639" s="174">
        <v>0</v>
      </c>
      <c r="H639" s="174">
        <v>0</v>
      </c>
      <c r="I639" s="174">
        <v>0</v>
      </c>
      <c r="J639" s="174">
        <v>0</v>
      </c>
      <c r="K639" s="176">
        <f aca="true" t="shared" si="207" ref="K639:K645">SUM(D639:J639)</f>
        <v>0</v>
      </c>
      <c r="L639" s="176">
        <f aca="true" t="shared" si="208" ref="L639:L645">-K639</f>
        <v>0</v>
      </c>
      <c r="M639" s="26">
        <v>0</v>
      </c>
      <c r="N639" s="26">
        <v>0</v>
      </c>
      <c r="O639" s="172">
        <f>SUM(L639:N639)</f>
        <v>0</v>
      </c>
      <c r="P639" s="172">
        <f aca="true" t="shared" si="209" ref="P639:P645">-O639</f>
        <v>0</v>
      </c>
      <c r="T639" s="172">
        <v>0</v>
      </c>
    </row>
    <row r="640" spans="2:12" ht="15">
      <c r="B640" s="16" t="s">
        <v>482</v>
      </c>
      <c r="D640" s="174"/>
      <c r="E640" s="174"/>
      <c r="F640" s="174"/>
      <c r="G640" s="174"/>
      <c r="H640" s="174"/>
      <c r="I640" s="174"/>
      <c r="J640" s="174"/>
      <c r="K640" s="176"/>
      <c r="L640" s="176"/>
    </row>
    <row r="641" spans="2:20" ht="15">
      <c r="B641" s="16" t="s">
        <v>483</v>
      </c>
      <c r="C641" s="200" t="s">
        <v>165</v>
      </c>
      <c r="D641" s="174">
        <v>0</v>
      </c>
      <c r="E641" s="174">
        <f>108014700</f>
        <v>108014700</v>
      </c>
      <c r="F641" s="174">
        <v>0</v>
      </c>
      <c r="G641" s="174">
        <v>0</v>
      </c>
      <c r="H641" s="174">
        <v>0</v>
      </c>
      <c r="I641" s="174">
        <v>0</v>
      </c>
      <c r="J641" s="174">
        <v>0</v>
      </c>
      <c r="K641" s="176">
        <f t="shared" si="207"/>
        <v>108014700</v>
      </c>
      <c r="L641" s="176">
        <f t="shared" si="208"/>
        <v>-108014700</v>
      </c>
      <c r="M641" s="26">
        <f>80046640+1998416+2511205+23458439</f>
        <v>108014700</v>
      </c>
      <c r="N641" s="26">
        <v>0</v>
      </c>
      <c r="O641" s="172">
        <f>SUM(L641:N641)</f>
        <v>0</v>
      </c>
      <c r="P641" s="172">
        <f t="shared" si="209"/>
        <v>0</v>
      </c>
      <c r="T641" s="172">
        <v>0</v>
      </c>
    </row>
    <row r="642" spans="2:12" ht="15">
      <c r="B642" s="16" t="s">
        <v>484</v>
      </c>
      <c r="D642" s="174"/>
      <c r="E642" s="174"/>
      <c r="F642" s="174"/>
      <c r="G642" s="174"/>
      <c r="H642" s="174"/>
      <c r="I642" s="174"/>
      <c r="J642" s="174"/>
      <c r="K642" s="176"/>
      <c r="L642" s="176"/>
    </row>
    <row r="643" spans="2:20" ht="15">
      <c r="B643" s="16" t="s">
        <v>485</v>
      </c>
      <c r="C643" s="200" t="s">
        <v>165</v>
      </c>
      <c r="D643" s="174">
        <v>0</v>
      </c>
      <c r="E643" s="174">
        <v>0</v>
      </c>
      <c r="F643" s="174">
        <v>0</v>
      </c>
      <c r="G643" s="174">
        <v>0</v>
      </c>
      <c r="H643" s="174">
        <v>0</v>
      </c>
      <c r="I643" s="174">
        <v>0</v>
      </c>
      <c r="J643" s="174">
        <v>0</v>
      </c>
      <c r="K643" s="176">
        <f t="shared" si="207"/>
        <v>0</v>
      </c>
      <c r="L643" s="176">
        <f t="shared" si="208"/>
        <v>0</v>
      </c>
      <c r="M643" s="26">
        <v>0</v>
      </c>
      <c r="N643" s="26">
        <v>0</v>
      </c>
      <c r="O643" s="172">
        <f>SUM(L643:N643)</f>
        <v>0</v>
      </c>
      <c r="P643" s="172">
        <f t="shared" si="209"/>
        <v>0</v>
      </c>
      <c r="T643" s="172">
        <v>0</v>
      </c>
    </row>
    <row r="644" spans="2:20" ht="15">
      <c r="B644" s="16" t="s">
        <v>229</v>
      </c>
      <c r="C644" s="200" t="s">
        <v>165</v>
      </c>
      <c r="D644" s="174">
        <v>0</v>
      </c>
      <c r="E644" s="174">
        <v>0</v>
      </c>
      <c r="F644" s="174">
        <v>0</v>
      </c>
      <c r="G644" s="174">
        <v>0</v>
      </c>
      <c r="H644" s="174">
        <v>0</v>
      </c>
      <c r="I644" s="174">
        <v>0</v>
      </c>
      <c r="J644" s="174">
        <v>0</v>
      </c>
      <c r="K644" s="176">
        <f t="shared" si="207"/>
        <v>0</v>
      </c>
      <c r="L644" s="176">
        <f t="shared" si="208"/>
        <v>0</v>
      </c>
      <c r="M644" s="26">
        <v>0</v>
      </c>
      <c r="N644" s="26">
        <v>0</v>
      </c>
      <c r="O644" s="172">
        <f>SUM(L644:N644)</f>
        <v>0</v>
      </c>
      <c r="P644" s="172">
        <f t="shared" si="209"/>
        <v>0</v>
      </c>
      <c r="T644" s="172">
        <v>0</v>
      </c>
    </row>
    <row r="645" spans="2:20" ht="15">
      <c r="B645" s="16" t="s">
        <v>229</v>
      </c>
      <c r="C645" s="200" t="s">
        <v>165</v>
      </c>
      <c r="D645" s="174">
        <v>0</v>
      </c>
      <c r="E645" s="174">
        <v>0</v>
      </c>
      <c r="F645" s="174">
        <v>0</v>
      </c>
      <c r="G645" s="174">
        <v>0</v>
      </c>
      <c r="H645" s="174">
        <v>0</v>
      </c>
      <c r="I645" s="174">
        <v>0</v>
      </c>
      <c r="J645" s="174">
        <v>0</v>
      </c>
      <c r="K645" s="176">
        <f t="shared" si="207"/>
        <v>0</v>
      </c>
      <c r="L645" s="176">
        <f t="shared" si="208"/>
        <v>0</v>
      </c>
      <c r="M645" s="26">
        <v>0</v>
      </c>
      <c r="N645" s="26">
        <v>0</v>
      </c>
      <c r="O645" s="172">
        <f>SUM(L645:N645)</f>
        <v>0</v>
      </c>
      <c r="P645" s="172">
        <f t="shared" si="209"/>
        <v>0</v>
      </c>
      <c r="T645" s="172">
        <v>0</v>
      </c>
    </row>
    <row r="646" spans="4:20" ht="15">
      <c r="D646" s="212">
        <f aca="true" t="shared" si="210" ref="D646:P646">SUM(D638:D645)</f>
        <v>0</v>
      </c>
      <c r="E646" s="212">
        <f t="shared" si="210"/>
        <v>108014700</v>
      </c>
      <c r="F646" s="212">
        <f t="shared" si="210"/>
        <v>0</v>
      </c>
      <c r="G646" s="212">
        <f t="shared" si="210"/>
        <v>0</v>
      </c>
      <c r="H646" s="212">
        <f t="shared" si="210"/>
        <v>0</v>
      </c>
      <c r="I646" s="212">
        <f t="shared" si="210"/>
        <v>0</v>
      </c>
      <c r="J646" s="212">
        <f>SUM(J638:J645)</f>
        <v>0</v>
      </c>
      <c r="K646" s="189">
        <f t="shared" si="210"/>
        <v>108014700</v>
      </c>
      <c r="L646" s="189">
        <f t="shared" si="210"/>
        <v>-108014700</v>
      </c>
      <c r="M646" s="212">
        <f t="shared" si="210"/>
        <v>108014700</v>
      </c>
      <c r="N646" s="212">
        <f t="shared" si="210"/>
        <v>0</v>
      </c>
      <c r="O646" s="189">
        <f t="shared" si="210"/>
        <v>0</v>
      </c>
      <c r="P646" s="189">
        <f t="shared" si="210"/>
        <v>0</v>
      </c>
      <c r="S646" s="189"/>
      <c r="T646" s="189">
        <v>0</v>
      </c>
    </row>
    <row r="647" spans="4:20" ht="15">
      <c r="D647" s="174"/>
      <c r="E647" s="174"/>
      <c r="F647" s="174"/>
      <c r="G647" s="174"/>
      <c r="H647" s="174"/>
      <c r="I647" s="174"/>
      <c r="J647" s="174"/>
      <c r="K647" s="176"/>
      <c r="L647" s="176"/>
      <c r="M647" s="174"/>
      <c r="N647" s="174"/>
      <c r="O647" s="176"/>
      <c r="P647" s="176"/>
      <c r="S647" s="176"/>
      <c r="T647" s="176"/>
    </row>
    <row r="648" spans="2:20" ht="15">
      <c r="B648" s="219" t="s">
        <v>486</v>
      </c>
      <c r="D648" s="174"/>
      <c r="E648" s="174"/>
      <c r="F648" s="174"/>
      <c r="G648" s="174"/>
      <c r="H648" s="174"/>
      <c r="I648" s="174"/>
      <c r="J648" s="174"/>
      <c r="K648" s="176"/>
      <c r="L648" s="176"/>
      <c r="M648" s="174"/>
      <c r="N648" s="174"/>
      <c r="O648" s="176"/>
      <c r="P648" s="176"/>
      <c r="S648" s="176"/>
      <c r="T648" s="176"/>
    </row>
    <row r="649" spans="2:20" ht="15">
      <c r="B649" s="16" t="s">
        <v>487</v>
      </c>
      <c r="C649" s="16"/>
      <c r="D649" s="174"/>
      <c r="E649" s="174"/>
      <c r="F649" s="174"/>
      <c r="G649" s="174"/>
      <c r="H649" s="174"/>
      <c r="I649" s="174"/>
      <c r="J649" s="174"/>
      <c r="K649" s="176"/>
      <c r="L649" s="176"/>
      <c r="M649" s="174"/>
      <c r="N649" s="174"/>
      <c r="O649" s="176"/>
      <c r="P649" s="176"/>
      <c r="S649" s="176"/>
      <c r="T649" s="176"/>
    </row>
    <row r="650" spans="2:20" ht="15">
      <c r="B650" s="16" t="s">
        <v>488</v>
      </c>
      <c r="C650" s="200" t="s">
        <v>165</v>
      </c>
      <c r="D650" s="174">
        <v>0</v>
      </c>
      <c r="E650" s="174">
        <v>0</v>
      </c>
      <c r="F650" s="174">
        <v>7703686</v>
      </c>
      <c r="G650" s="174">
        <v>7703686</v>
      </c>
      <c r="H650" s="174">
        <v>0</v>
      </c>
      <c r="I650" s="174">
        <v>0</v>
      </c>
      <c r="J650" s="174">
        <v>0</v>
      </c>
      <c r="K650" s="176">
        <f>SUM(D650:J650)</f>
        <v>15407372</v>
      </c>
      <c r="L650" s="176">
        <f>-K650</f>
        <v>-15407372</v>
      </c>
      <c r="M650" s="26">
        <v>0</v>
      </c>
      <c r="N650" s="26">
        <v>7703686</v>
      </c>
      <c r="O650" s="172">
        <f>SUM(L650:N650)</f>
        <v>-7703686</v>
      </c>
      <c r="P650" s="172">
        <f>-O650</f>
        <v>7703686</v>
      </c>
      <c r="T650" s="172">
        <v>7703686</v>
      </c>
    </row>
    <row r="651" spans="2:20" ht="15">
      <c r="B651" s="16" t="s">
        <v>229</v>
      </c>
      <c r="C651" s="200" t="s">
        <v>165</v>
      </c>
      <c r="D651" s="174">
        <v>0</v>
      </c>
      <c r="E651" s="174">
        <v>0</v>
      </c>
      <c r="F651" s="174">
        <v>0</v>
      </c>
      <c r="G651" s="174">
        <v>0</v>
      </c>
      <c r="H651" s="174">
        <v>0</v>
      </c>
      <c r="I651" s="174">
        <v>0</v>
      </c>
      <c r="J651" s="174">
        <v>0</v>
      </c>
      <c r="K651" s="176">
        <f>SUM(D651:J651)</f>
        <v>0</v>
      </c>
      <c r="L651" s="176">
        <f>-K651</f>
        <v>0</v>
      </c>
      <c r="M651" s="174">
        <v>0</v>
      </c>
      <c r="N651" s="174">
        <v>0</v>
      </c>
      <c r="O651" s="172">
        <f>SUM(L651:N651)</f>
        <v>0</v>
      </c>
      <c r="P651" s="172">
        <f>-O651</f>
        <v>0</v>
      </c>
      <c r="T651" s="172">
        <v>0</v>
      </c>
    </row>
    <row r="652" spans="3:14" ht="15">
      <c r="C652" s="200"/>
      <c r="D652" s="174"/>
      <c r="E652" s="174"/>
      <c r="F652" s="174"/>
      <c r="G652" s="174"/>
      <c r="H652" s="174"/>
      <c r="I652" s="174"/>
      <c r="J652" s="174"/>
      <c r="K652" s="176"/>
      <c r="L652" s="176"/>
      <c r="M652" s="174"/>
      <c r="N652" s="174"/>
    </row>
    <row r="653" spans="4:20" ht="15">
      <c r="D653" s="174"/>
      <c r="E653" s="174"/>
      <c r="F653" s="174"/>
      <c r="G653" s="174"/>
      <c r="H653" s="174"/>
      <c r="I653" s="174"/>
      <c r="J653" s="174"/>
      <c r="K653" s="176"/>
      <c r="L653" s="176"/>
      <c r="M653" s="174"/>
      <c r="N653" s="174"/>
      <c r="O653" s="176"/>
      <c r="P653" s="176"/>
      <c r="S653" s="176"/>
      <c r="T653" s="176"/>
    </row>
    <row r="654" spans="2:12" ht="15">
      <c r="B654" s="169" t="s">
        <v>489</v>
      </c>
      <c r="D654" s="174"/>
      <c r="E654" s="174"/>
      <c r="F654" s="174"/>
      <c r="G654" s="174"/>
      <c r="H654" s="174"/>
      <c r="I654" s="174"/>
      <c r="J654" s="174"/>
      <c r="K654" s="176"/>
      <c r="L654" s="176"/>
    </row>
    <row r="655" spans="2:12" ht="15">
      <c r="B655" s="169" t="s">
        <v>490</v>
      </c>
      <c r="D655" s="174"/>
      <c r="E655" s="174"/>
      <c r="F655" s="174"/>
      <c r="G655" s="174"/>
      <c r="H655" s="174"/>
      <c r="I655" s="174"/>
      <c r="J655" s="174"/>
      <c r="K655" s="176"/>
      <c r="L655" s="176"/>
    </row>
    <row r="656" spans="2:12" ht="15">
      <c r="B656" s="16" t="s">
        <v>491</v>
      </c>
      <c r="D656" s="174"/>
      <c r="E656" s="174"/>
      <c r="F656" s="174"/>
      <c r="G656" s="174"/>
      <c r="H656" s="174"/>
      <c r="I656" s="174"/>
      <c r="J656" s="174"/>
      <c r="K656" s="176"/>
      <c r="L656" s="176"/>
    </row>
    <row r="657" spans="2:20" ht="15">
      <c r="B657" s="210" t="s">
        <v>492</v>
      </c>
      <c r="C657" s="200" t="s">
        <v>165</v>
      </c>
      <c r="D657" s="174">
        <v>0</v>
      </c>
      <c r="E657" s="174">
        <v>0</v>
      </c>
      <c r="F657" s="174">
        <v>0</v>
      </c>
      <c r="G657" s="174">
        <v>0</v>
      </c>
      <c r="H657" s="174">
        <v>0</v>
      </c>
      <c r="I657" s="174">
        <v>0</v>
      </c>
      <c r="J657" s="174">
        <v>0</v>
      </c>
      <c r="K657" s="176">
        <f>SUM(D657:J657)</f>
        <v>0</v>
      </c>
      <c r="L657" s="176">
        <f>-K657</f>
        <v>0</v>
      </c>
      <c r="M657" s="26">
        <v>0</v>
      </c>
      <c r="N657" s="26">
        <v>0</v>
      </c>
      <c r="O657" s="172">
        <f>SUM(L657:N657)</f>
        <v>0</v>
      </c>
      <c r="P657" s="172">
        <f>-O657</f>
        <v>0</v>
      </c>
      <c r="T657" s="172">
        <v>0</v>
      </c>
    </row>
    <row r="658" spans="2:20" ht="15">
      <c r="B658" s="210" t="s">
        <v>493</v>
      </c>
      <c r="C658" s="200" t="s">
        <v>165</v>
      </c>
      <c r="D658" s="174">
        <v>0</v>
      </c>
      <c r="E658" s="174">
        <v>0</v>
      </c>
      <c r="F658" s="174">
        <v>0</v>
      </c>
      <c r="G658" s="174">
        <v>0</v>
      </c>
      <c r="H658" s="174">
        <v>0</v>
      </c>
      <c r="I658" s="174">
        <v>0</v>
      </c>
      <c r="J658" s="174">
        <v>0</v>
      </c>
      <c r="K658" s="176">
        <f>SUM(D658:J658)</f>
        <v>0</v>
      </c>
      <c r="L658" s="176">
        <f>-K658</f>
        <v>0</v>
      </c>
      <c r="M658" s="26">
        <v>0</v>
      </c>
      <c r="N658" s="26">
        <v>0</v>
      </c>
      <c r="O658" s="172">
        <f>SUM(L658:N658)</f>
        <v>0</v>
      </c>
      <c r="P658" s="172">
        <f>-O658</f>
        <v>0</v>
      </c>
      <c r="T658" s="172">
        <v>0</v>
      </c>
    </row>
    <row r="659" spans="4:20" ht="15">
      <c r="D659" s="212">
        <f aca="true" t="shared" si="211" ref="D659:P659">SUM(D655:D658)</f>
        <v>0</v>
      </c>
      <c r="E659" s="212">
        <f t="shared" si="211"/>
        <v>0</v>
      </c>
      <c r="F659" s="212">
        <f t="shared" si="211"/>
        <v>0</v>
      </c>
      <c r="G659" s="212">
        <f t="shared" si="211"/>
        <v>0</v>
      </c>
      <c r="H659" s="212">
        <f t="shared" si="211"/>
        <v>0</v>
      </c>
      <c r="I659" s="212">
        <f t="shared" si="211"/>
        <v>0</v>
      </c>
      <c r="J659" s="212">
        <f>SUM(J655:J658)</f>
        <v>0</v>
      </c>
      <c r="K659" s="189">
        <f t="shared" si="211"/>
        <v>0</v>
      </c>
      <c r="L659" s="189">
        <f t="shared" si="211"/>
        <v>0</v>
      </c>
      <c r="M659" s="212">
        <f t="shared" si="211"/>
        <v>0</v>
      </c>
      <c r="N659" s="212">
        <f t="shared" si="211"/>
        <v>0</v>
      </c>
      <c r="O659" s="189">
        <f t="shared" si="211"/>
        <v>0</v>
      </c>
      <c r="P659" s="189">
        <f t="shared" si="211"/>
        <v>0</v>
      </c>
      <c r="S659" s="189"/>
      <c r="T659" s="189">
        <v>0</v>
      </c>
    </row>
    <row r="660" spans="4:12" ht="15">
      <c r="D660" s="174"/>
      <c r="E660" s="174"/>
      <c r="F660" s="174"/>
      <c r="G660" s="174"/>
      <c r="H660" s="174"/>
      <c r="I660" s="174"/>
      <c r="J660" s="174"/>
      <c r="K660" s="176"/>
      <c r="L660" s="176"/>
    </row>
    <row r="661" ht="15">
      <c r="B661" s="169" t="s">
        <v>494</v>
      </c>
    </row>
    <row r="662" ht="15">
      <c r="B662" s="169" t="s">
        <v>495</v>
      </c>
    </row>
    <row r="663" spans="2:20" ht="15">
      <c r="B663" s="210" t="s">
        <v>496</v>
      </c>
      <c r="C663" s="200" t="s">
        <v>165</v>
      </c>
      <c r="D663" s="26">
        <v>0</v>
      </c>
      <c r="E663" s="26">
        <v>0</v>
      </c>
      <c r="F663" s="26">
        <v>0</v>
      </c>
      <c r="G663" s="26">
        <v>0</v>
      </c>
      <c r="H663" s="26">
        <v>0</v>
      </c>
      <c r="I663" s="26">
        <v>0</v>
      </c>
      <c r="J663" s="26">
        <v>0</v>
      </c>
      <c r="K663" s="172">
        <f>SUM(D663:J663)</f>
        <v>0</v>
      </c>
      <c r="L663" s="172">
        <f aca="true" t="shared" si="212" ref="L663:L668">K663</f>
        <v>0</v>
      </c>
      <c r="M663" s="26">
        <v>0</v>
      </c>
      <c r="O663" s="172">
        <f aca="true" t="shared" si="213" ref="O663:O668">L663+M663+N663</f>
        <v>0</v>
      </c>
      <c r="P663" s="172">
        <f aca="true" t="shared" si="214" ref="P663:P668">O663</f>
        <v>0</v>
      </c>
      <c r="T663" s="172">
        <v>0</v>
      </c>
    </row>
    <row r="664" spans="2:20" ht="15">
      <c r="B664" s="210" t="s">
        <v>497</v>
      </c>
      <c r="C664" s="200" t="s">
        <v>165</v>
      </c>
      <c r="D664" s="26">
        <v>0</v>
      </c>
      <c r="E664" s="26">
        <v>0</v>
      </c>
      <c r="F664" s="26">
        <v>0</v>
      </c>
      <c r="G664" s="26">
        <v>0</v>
      </c>
      <c r="H664" s="26">
        <v>0</v>
      </c>
      <c r="I664" s="26">
        <v>0</v>
      </c>
      <c r="J664" s="26">
        <v>0</v>
      </c>
      <c r="K664" s="172">
        <f>SUM(D664:J664)</f>
        <v>0</v>
      </c>
      <c r="L664" s="172">
        <f t="shared" si="212"/>
        <v>0</v>
      </c>
      <c r="M664" s="26">
        <v>0</v>
      </c>
      <c r="N664" s="26">
        <v>0</v>
      </c>
      <c r="O664" s="172">
        <f t="shared" si="213"/>
        <v>0</v>
      </c>
      <c r="P664" s="172">
        <f t="shared" si="214"/>
        <v>0</v>
      </c>
      <c r="T664" s="172">
        <v>0</v>
      </c>
    </row>
    <row r="665" spans="2:20" ht="15">
      <c r="B665" s="210" t="s">
        <v>498</v>
      </c>
      <c r="C665" s="200" t="s">
        <v>165</v>
      </c>
      <c r="D665" s="26">
        <v>0</v>
      </c>
      <c r="E665" s="26">
        <v>0</v>
      </c>
      <c r="F665" s="26">
        <v>0</v>
      </c>
      <c r="G665" s="26">
        <v>0</v>
      </c>
      <c r="H665" s="26">
        <v>0</v>
      </c>
      <c r="I665" s="26">
        <v>0</v>
      </c>
      <c r="J665" s="26">
        <v>0</v>
      </c>
      <c r="K665" s="172">
        <f>SUM(D665:J665)</f>
        <v>0</v>
      </c>
      <c r="L665" s="172">
        <f t="shared" si="212"/>
        <v>0</v>
      </c>
      <c r="M665" s="26">
        <v>0</v>
      </c>
      <c r="N665" s="26">
        <v>0</v>
      </c>
      <c r="O665" s="172">
        <f t="shared" si="213"/>
        <v>0</v>
      </c>
      <c r="P665" s="172">
        <f t="shared" si="214"/>
        <v>0</v>
      </c>
      <c r="T665" s="172">
        <v>0</v>
      </c>
    </row>
    <row r="666" spans="2:20" ht="15">
      <c r="B666" s="210" t="s">
        <v>499</v>
      </c>
      <c r="C666" s="200" t="s">
        <v>165</v>
      </c>
      <c r="D666" s="26">
        <v>0</v>
      </c>
      <c r="E666" s="26">
        <v>0</v>
      </c>
      <c r="F666" s="26">
        <v>0</v>
      </c>
      <c r="G666" s="26">
        <v>0</v>
      </c>
      <c r="H666" s="26">
        <v>0</v>
      </c>
      <c r="I666" s="26">
        <v>0</v>
      </c>
      <c r="J666" s="26">
        <v>0</v>
      </c>
      <c r="K666" s="172">
        <f>SUM(D666:J666)</f>
        <v>0</v>
      </c>
      <c r="L666" s="172">
        <f t="shared" si="212"/>
        <v>0</v>
      </c>
      <c r="M666" s="26">
        <v>0</v>
      </c>
      <c r="N666" s="26">
        <v>0</v>
      </c>
      <c r="O666" s="172">
        <f t="shared" si="213"/>
        <v>0</v>
      </c>
      <c r="P666" s="172">
        <f t="shared" si="214"/>
        <v>0</v>
      </c>
      <c r="T666" s="172">
        <v>0</v>
      </c>
    </row>
    <row r="667" spans="2:20" ht="15">
      <c r="B667" s="16" t="s">
        <v>500</v>
      </c>
      <c r="C667" s="200" t="s">
        <v>165</v>
      </c>
      <c r="D667" s="26">
        <v>0</v>
      </c>
      <c r="E667" s="26">
        <v>0</v>
      </c>
      <c r="F667" s="26">
        <v>0</v>
      </c>
      <c r="G667" s="26">
        <v>0</v>
      </c>
      <c r="H667" s="26">
        <v>0</v>
      </c>
      <c r="I667" s="26">
        <v>0</v>
      </c>
      <c r="J667" s="26">
        <v>0</v>
      </c>
      <c r="K667" s="172">
        <f>SUM(D667:J667)</f>
        <v>0</v>
      </c>
      <c r="L667" s="172">
        <f t="shared" si="212"/>
        <v>0</v>
      </c>
      <c r="M667" s="26">
        <v>0</v>
      </c>
      <c r="N667" s="26">
        <v>0</v>
      </c>
      <c r="O667" s="172">
        <f t="shared" si="213"/>
        <v>0</v>
      </c>
      <c r="P667" s="172">
        <f t="shared" si="214"/>
        <v>0</v>
      </c>
      <c r="T667" s="172">
        <v>0</v>
      </c>
    </row>
    <row r="668" spans="2:20" ht="15">
      <c r="B668" s="16" t="s">
        <v>500</v>
      </c>
      <c r="C668" s="200" t="s">
        <v>165</v>
      </c>
      <c r="D668" s="26">
        <v>0</v>
      </c>
      <c r="E668" s="26">
        <v>0</v>
      </c>
      <c r="F668" s="26">
        <v>0</v>
      </c>
      <c r="G668" s="26">
        <v>0</v>
      </c>
      <c r="H668" s="26">
        <v>0</v>
      </c>
      <c r="I668" s="26">
        <v>0</v>
      </c>
      <c r="J668" s="26">
        <v>0</v>
      </c>
      <c r="K668" s="172">
        <f>SUM(D668:H668)</f>
        <v>0</v>
      </c>
      <c r="L668" s="172">
        <f t="shared" si="212"/>
        <v>0</v>
      </c>
      <c r="M668" s="26">
        <v>0</v>
      </c>
      <c r="N668" s="26">
        <v>0</v>
      </c>
      <c r="O668" s="172">
        <f t="shared" si="213"/>
        <v>0</v>
      </c>
      <c r="P668" s="172">
        <f t="shared" si="214"/>
        <v>0</v>
      </c>
      <c r="T668" s="172">
        <v>0</v>
      </c>
    </row>
    <row r="669" spans="2:20" s="169" customFormat="1" ht="15">
      <c r="B669" s="211" t="s">
        <v>51</v>
      </c>
      <c r="C669" s="170"/>
      <c r="D669" s="189">
        <f>SUM(D662:D668)</f>
        <v>0</v>
      </c>
      <c r="E669" s="189">
        <f aca="true" t="shared" si="215" ref="E669:P669">SUM(E662:E668)</f>
        <v>0</v>
      </c>
      <c r="F669" s="189">
        <f t="shared" si="215"/>
        <v>0</v>
      </c>
      <c r="G669" s="189">
        <f t="shared" si="215"/>
        <v>0</v>
      </c>
      <c r="H669" s="189">
        <f t="shared" si="215"/>
        <v>0</v>
      </c>
      <c r="I669" s="189">
        <f t="shared" si="215"/>
        <v>0</v>
      </c>
      <c r="J669" s="189">
        <f>SUM(J662:J668)</f>
        <v>0</v>
      </c>
      <c r="K669" s="189">
        <f t="shared" si="215"/>
        <v>0</v>
      </c>
      <c r="L669" s="189">
        <f t="shared" si="215"/>
        <v>0</v>
      </c>
      <c r="M669" s="189">
        <f t="shared" si="215"/>
        <v>0</v>
      </c>
      <c r="N669" s="189">
        <f t="shared" si="215"/>
        <v>0</v>
      </c>
      <c r="O669" s="189">
        <f t="shared" si="215"/>
        <v>0</v>
      </c>
      <c r="P669" s="189">
        <f t="shared" si="215"/>
        <v>0</v>
      </c>
      <c r="Q669" s="174"/>
      <c r="S669" s="189"/>
      <c r="T669" s="189">
        <v>0</v>
      </c>
    </row>
    <row r="670" ht="15"/>
    <row r="671" ht="15"/>
    <row r="672" ht="15">
      <c r="B672" s="169" t="s">
        <v>501</v>
      </c>
    </row>
    <row r="673" spans="2:20" ht="15">
      <c r="B673" s="210" t="s">
        <v>496</v>
      </c>
      <c r="C673" s="200" t="s">
        <v>165</v>
      </c>
      <c r="D673" s="26">
        <v>0</v>
      </c>
      <c r="E673" s="26">
        <v>0</v>
      </c>
      <c r="F673" s="26">
        <v>0</v>
      </c>
      <c r="G673" s="26">
        <v>40378</v>
      </c>
      <c r="H673" s="26">
        <v>0</v>
      </c>
      <c r="I673" s="26">
        <v>0</v>
      </c>
      <c r="J673" s="26">
        <v>0</v>
      </c>
      <c r="K673" s="172">
        <f>SUM(D673:J673)</f>
        <v>40378</v>
      </c>
      <c r="L673" s="172">
        <f>-K673</f>
        <v>-40378</v>
      </c>
      <c r="M673" s="26">
        <v>0</v>
      </c>
      <c r="N673" s="26">
        <v>0</v>
      </c>
      <c r="O673" s="172">
        <f aca="true" t="shared" si="216" ref="O673:O680">M673+N673+L673</f>
        <v>-40378</v>
      </c>
      <c r="P673" s="172">
        <f>-O673</f>
        <v>40378</v>
      </c>
      <c r="T673" s="172">
        <v>40378</v>
      </c>
    </row>
    <row r="674" spans="2:20" ht="15">
      <c r="B674" s="210" t="s">
        <v>497</v>
      </c>
      <c r="C674" s="200" t="s">
        <v>165</v>
      </c>
      <c r="D674" s="26">
        <v>25320</v>
      </c>
      <c r="E674" s="26">
        <v>0</v>
      </c>
      <c r="F674" s="26">
        <v>0</v>
      </c>
      <c r="G674" s="26">
        <v>-153</v>
      </c>
      <c r="H674" s="26">
        <v>0</v>
      </c>
      <c r="I674" s="26">
        <v>70495</v>
      </c>
      <c r="J674" s="26">
        <v>0</v>
      </c>
      <c r="K674" s="172">
        <f aca="true" t="shared" si="217" ref="K674:K680">SUM(D674:J674)</f>
        <v>95662</v>
      </c>
      <c r="L674" s="172">
        <f aca="true" t="shared" si="218" ref="L674:L680">-K674</f>
        <v>-95662</v>
      </c>
      <c r="M674" s="26">
        <v>0</v>
      </c>
      <c r="N674" s="26">
        <f>'[2] ConsoJL'!AA408</f>
        <v>0</v>
      </c>
      <c r="O674" s="172">
        <f t="shared" si="216"/>
        <v>-95662</v>
      </c>
      <c r="P674" s="172">
        <f aca="true" t="shared" si="219" ref="P674:P680">-O674</f>
        <v>95662</v>
      </c>
      <c r="T674" s="172">
        <v>887263</v>
      </c>
    </row>
    <row r="675" spans="2:20" ht="15">
      <c r="B675" s="210" t="s">
        <v>502</v>
      </c>
      <c r="C675" s="200" t="s">
        <v>165</v>
      </c>
      <c r="D675" s="26">
        <v>0</v>
      </c>
      <c r="E675" s="26">
        <v>0</v>
      </c>
      <c r="F675" s="26">
        <v>0</v>
      </c>
      <c r="G675" s="26">
        <v>15000</v>
      </c>
      <c r="H675" s="26">
        <v>0</v>
      </c>
      <c r="I675" s="26">
        <v>0</v>
      </c>
      <c r="J675" s="26">
        <v>0</v>
      </c>
      <c r="K675" s="172">
        <f t="shared" si="217"/>
        <v>15000</v>
      </c>
      <c r="L675" s="172">
        <f t="shared" si="218"/>
        <v>-15000</v>
      </c>
      <c r="M675" s="26">
        <v>0</v>
      </c>
      <c r="N675" s="26">
        <f>'[2] ConsoJL'!F406</f>
        <v>0</v>
      </c>
      <c r="O675" s="172">
        <f t="shared" si="216"/>
        <v>-15000</v>
      </c>
      <c r="P675" s="172">
        <f t="shared" si="219"/>
        <v>15000</v>
      </c>
      <c r="T675" s="172">
        <v>15000</v>
      </c>
    </row>
    <row r="676" spans="2:20" ht="15">
      <c r="B676" s="210" t="s">
        <v>503</v>
      </c>
      <c r="C676" s="200" t="s">
        <v>165</v>
      </c>
      <c r="D676" s="26">
        <v>0</v>
      </c>
      <c r="E676" s="26">
        <v>0</v>
      </c>
      <c r="F676" s="26">
        <v>0</v>
      </c>
      <c r="G676" s="26">
        <v>22307</v>
      </c>
      <c r="H676" s="26">
        <v>0</v>
      </c>
      <c r="I676" s="26">
        <v>0</v>
      </c>
      <c r="J676" s="26">
        <v>2268</v>
      </c>
      <c r="K676" s="172">
        <f t="shared" si="217"/>
        <v>24575</v>
      </c>
      <c r="L676" s="172">
        <f t="shared" si="218"/>
        <v>-24575</v>
      </c>
      <c r="M676" s="26">
        <v>0</v>
      </c>
      <c r="N676" s="26">
        <f>'[2] ConsoJL'!F407</f>
        <v>0</v>
      </c>
      <c r="O676" s="172">
        <f t="shared" si="216"/>
        <v>-24575</v>
      </c>
      <c r="P676" s="172">
        <f t="shared" si="219"/>
        <v>24575</v>
      </c>
      <c r="T676" s="172">
        <v>24575</v>
      </c>
    </row>
    <row r="677" spans="2:20" ht="15">
      <c r="B677" s="210" t="s">
        <v>504</v>
      </c>
      <c r="C677" s="200" t="s">
        <v>165</v>
      </c>
      <c r="D677" s="26">
        <v>0</v>
      </c>
      <c r="E677" s="26">
        <v>0</v>
      </c>
      <c r="F677" s="26">
        <v>0</v>
      </c>
      <c r="G677" s="26">
        <v>0</v>
      </c>
      <c r="H677" s="26">
        <v>0</v>
      </c>
      <c r="I677" s="26">
        <v>0</v>
      </c>
      <c r="J677" s="26">
        <v>0</v>
      </c>
      <c r="K677" s="172">
        <f t="shared" si="217"/>
        <v>0</v>
      </c>
      <c r="L677" s="172">
        <f t="shared" si="218"/>
        <v>0</v>
      </c>
      <c r="M677" s="26">
        <v>0</v>
      </c>
      <c r="N677" s="26">
        <v>0</v>
      </c>
      <c r="O677" s="172">
        <f t="shared" si="216"/>
        <v>0</v>
      </c>
      <c r="P677" s="172">
        <f t="shared" si="219"/>
        <v>0</v>
      </c>
      <c r="T677" s="172">
        <v>0</v>
      </c>
    </row>
    <row r="678" spans="2:20" ht="15">
      <c r="B678" s="210" t="s">
        <v>505</v>
      </c>
      <c r="C678" s="200" t="s">
        <v>165</v>
      </c>
      <c r="D678" s="26">
        <v>0</v>
      </c>
      <c r="E678" s="26">
        <v>0</v>
      </c>
      <c r="F678" s="26">
        <v>0</v>
      </c>
      <c r="G678" s="26">
        <v>0</v>
      </c>
      <c r="H678" s="26">
        <v>0</v>
      </c>
      <c r="I678" s="26">
        <v>0</v>
      </c>
      <c r="J678" s="26">
        <v>0</v>
      </c>
      <c r="K678" s="172">
        <f t="shared" si="217"/>
        <v>0</v>
      </c>
      <c r="L678" s="172">
        <f t="shared" si="218"/>
        <v>0</v>
      </c>
      <c r="M678" s="26">
        <v>0</v>
      </c>
      <c r="N678" s="26">
        <v>0</v>
      </c>
      <c r="O678" s="172">
        <f t="shared" si="216"/>
        <v>0</v>
      </c>
      <c r="P678" s="172">
        <f t="shared" si="219"/>
        <v>0</v>
      </c>
      <c r="T678" s="172">
        <v>0</v>
      </c>
    </row>
    <row r="679" spans="2:20" ht="15">
      <c r="B679" s="210" t="s">
        <v>506</v>
      </c>
      <c r="C679" s="200" t="s">
        <v>165</v>
      </c>
      <c r="D679" s="26">
        <v>1500000</v>
      </c>
      <c r="E679" s="26">
        <v>0</v>
      </c>
      <c r="F679" s="26">
        <v>0</v>
      </c>
      <c r="G679" s="26">
        <v>0</v>
      </c>
      <c r="H679" s="26">
        <v>0</v>
      </c>
      <c r="I679" s="26">
        <v>0</v>
      </c>
      <c r="J679" s="26">
        <v>0</v>
      </c>
      <c r="K679" s="172">
        <f t="shared" si="217"/>
        <v>1500000</v>
      </c>
      <c r="L679" s="172">
        <f t="shared" si="218"/>
        <v>-1500000</v>
      </c>
      <c r="M679" s="26">
        <v>0</v>
      </c>
      <c r="N679" s="26">
        <v>0</v>
      </c>
      <c r="O679" s="172">
        <f t="shared" si="216"/>
        <v>-1500000</v>
      </c>
      <c r="P679" s="172">
        <f t="shared" si="219"/>
        <v>1500000</v>
      </c>
      <c r="T679" s="172">
        <v>1500000</v>
      </c>
    </row>
    <row r="680" spans="2:20" ht="15">
      <c r="B680" s="16" t="s">
        <v>500</v>
      </c>
      <c r="C680" s="200" t="s">
        <v>165</v>
      </c>
      <c r="E680" s="26">
        <v>0</v>
      </c>
      <c r="F680" s="26">
        <v>0</v>
      </c>
      <c r="G680" s="26">
        <v>0</v>
      </c>
      <c r="H680" s="26">
        <v>0</v>
      </c>
      <c r="I680" s="26">
        <v>0</v>
      </c>
      <c r="J680" s="26">
        <v>0</v>
      </c>
      <c r="K680" s="172">
        <f t="shared" si="217"/>
        <v>0</v>
      </c>
      <c r="L680" s="172">
        <f t="shared" si="218"/>
        <v>0</v>
      </c>
      <c r="M680" s="26">
        <v>0</v>
      </c>
      <c r="N680" s="26">
        <v>0</v>
      </c>
      <c r="O680" s="172">
        <f t="shared" si="216"/>
        <v>0</v>
      </c>
      <c r="P680" s="172">
        <f t="shared" si="219"/>
        <v>0</v>
      </c>
      <c r="T680" s="172">
        <v>0</v>
      </c>
    </row>
    <row r="681" spans="2:20" s="169" customFormat="1" ht="15">
      <c r="B681" s="211" t="s">
        <v>51</v>
      </c>
      <c r="C681" s="170"/>
      <c r="D681" s="189">
        <f aca="true" t="shared" si="220" ref="D681:P681">SUM(D672:D680)</f>
        <v>1525320</v>
      </c>
      <c r="E681" s="189">
        <f t="shared" si="220"/>
        <v>0</v>
      </c>
      <c r="F681" s="189">
        <f t="shared" si="220"/>
        <v>0</v>
      </c>
      <c r="G681" s="189">
        <f t="shared" si="220"/>
        <v>77532</v>
      </c>
      <c r="H681" s="189">
        <f t="shared" si="220"/>
        <v>0</v>
      </c>
      <c r="I681" s="189">
        <f t="shared" si="220"/>
        <v>70495</v>
      </c>
      <c r="J681" s="189">
        <f>SUM(J672:J680)</f>
        <v>2268</v>
      </c>
      <c r="K681" s="189">
        <f t="shared" si="220"/>
        <v>1675615</v>
      </c>
      <c r="L681" s="189">
        <f t="shared" si="220"/>
        <v>-1675615</v>
      </c>
      <c r="M681" s="189">
        <f t="shared" si="220"/>
        <v>0</v>
      </c>
      <c r="N681" s="189">
        <f t="shared" si="220"/>
        <v>0</v>
      </c>
      <c r="O681" s="189">
        <f t="shared" si="220"/>
        <v>-1675615</v>
      </c>
      <c r="P681" s="189">
        <f t="shared" si="220"/>
        <v>1675615</v>
      </c>
      <c r="Q681" s="174"/>
      <c r="S681" s="189"/>
      <c r="T681" s="189">
        <v>2467216</v>
      </c>
    </row>
    <row r="682" spans="2:20" s="169" customFormat="1" ht="15">
      <c r="B682" s="211"/>
      <c r="C682" s="170"/>
      <c r="D682" s="176"/>
      <c r="E682" s="176"/>
      <c r="F682" s="176"/>
      <c r="G682" s="176"/>
      <c r="H682" s="176"/>
      <c r="I682" s="176"/>
      <c r="J682" s="176"/>
      <c r="K682" s="176"/>
      <c r="L682" s="176"/>
      <c r="M682" s="176"/>
      <c r="N682" s="176"/>
      <c r="O682" s="176"/>
      <c r="P682" s="176"/>
      <c r="Q682" s="174"/>
      <c r="S682" s="176"/>
      <c r="T682" s="176"/>
    </row>
    <row r="683" spans="2:20" s="169" customFormat="1" ht="15">
      <c r="B683" s="211"/>
      <c r="C683" s="170"/>
      <c r="D683" s="176"/>
      <c r="E683" s="176"/>
      <c r="F683" s="176"/>
      <c r="G683" s="176"/>
      <c r="H683" s="176"/>
      <c r="I683" s="176"/>
      <c r="J683" s="176"/>
      <c r="K683" s="176"/>
      <c r="L683" s="176"/>
      <c r="M683" s="176"/>
      <c r="N683" s="176"/>
      <c r="O683" s="176"/>
      <c r="P683" s="176"/>
      <c r="Q683" s="174"/>
      <c r="S683" s="176"/>
      <c r="T683" s="176"/>
    </row>
    <row r="684" spans="2:20" s="169" customFormat="1" ht="15">
      <c r="B684" s="220" t="s">
        <v>507</v>
      </c>
      <c r="C684" s="170"/>
      <c r="D684" s="176"/>
      <c r="E684" s="176"/>
      <c r="F684" s="176"/>
      <c r="G684" s="176"/>
      <c r="H684" s="176"/>
      <c r="I684" s="176"/>
      <c r="J684" s="176"/>
      <c r="K684" s="176"/>
      <c r="L684" s="176"/>
      <c r="M684" s="176"/>
      <c r="N684" s="176"/>
      <c r="O684" s="176"/>
      <c r="P684" s="176"/>
      <c r="Q684" s="174"/>
      <c r="S684" s="176"/>
      <c r="T684" s="176"/>
    </row>
    <row r="685" spans="2:20" s="169" customFormat="1" ht="15">
      <c r="B685" s="220" t="s">
        <v>508</v>
      </c>
      <c r="C685" s="170"/>
      <c r="D685" s="176"/>
      <c r="E685" s="176"/>
      <c r="F685" s="176"/>
      <c r="G685" s="176"/>
      <c r="H685" s="176"/>
      <c r="I685" s="176"/>
      <c r="J685" s="176"/>
      <c r="K685" s="176"/>
      <c r="L685" s="176"/>
      <c r="M685" s="176"/>
      <c r="N685" s="176"/>
      <c r="O685" s="176"/>
      <c r="P685" s="176"/>
      <c r="Q685" s="174"/>
      <c r="S685" s="176"/>
      <c r="T685" s="176"/>
    </row>
    <row r="686" spans="2:20" s="169" customFormat="1" ht="15">
      <c r="B686" s="221" t="s">
        <v>509</v>
      </c>
      <c r="C686" s="200" t="s">
        <v>165</v>
      </c>
      <c r="D686" s="26">
        <f>+D183</f>
        <v>53400</v>
      </c>
      <c r="E686" s="26">
        <f>+E139</f>
        <v>0</v>
      </c>
      <c r="F686" s="26">
        <f>+F139</f>
        <v>0</v>
      </c>
      <c r="G686" s="26">
        <f>-+G139</f>
        <v>-87300</v>
      </c>
      <c r="H686" s="26">
        <f>+H139</f>
        <v>0</v>
      </c>
      <c r="I686" s="26">
        <f>+I139</f>
        <v>0</v>
      </c>
      <c r="J686" s="26">
        <f>+J183</f>
        <v>33900</v>
      </c>
      <c r="K686" s="176">
        <f>SUM(D686:J686)</f>
        <v>0</v>
      </c>
      <c r="L686" s="176">
        <f>K686</f>
        <v>0</v>
      </c>
      <c r="M686" s="176"/>
      <c r="N686" s="176"/>
      <c r="O686" s="176">
        <f aca="true" t="shared" si="221" ref="O686:O694">SUM(L686:N686)</f>
        <v>0</v>
      </c>
      <c r="P686" s="176">
        <f>O686</f>
        <v>0</v>
      </c>
      <c r="Q686" s="174"/>
      <c r="S686" s="176"/>
      <c r="T686" s="176">
        <v>29100</v>
      </c>
    </row>
    <row r="687" spans="2:20" s="169" customFormat="1" ht="15">
      <c r="B687" s="221" t="s">
        <v>510</v>
      </c>
      <c r="C687" s="200" t="s">
        <v>165</v>
      </c>
      <c r="D687" s="174">
        <f>-D116</f>
        <v>-90000</v>
      </c>
      <c r="E687" s="176">
        <v>0</v>
      </c>
      <c r="F687" s="176">
        <v>0</v>
      </c>
      <c r="G687" s="174">
        <f>+G194</f>
        <v>90000</v>
      </c>
      <c r="H687" s="176">
        <v>0</v>
      </c>
      <c r="I687" s="176">
        <v>0</v>
      </c>
      <c r="J687" s="176">
        <v>0</v>
      </c>
      <c r="K687" s="176">
        <f aca="true" t="shared" si="222" ref="K687:K694">SUM(D687:J687)</f>
        <v>0</v>
      </c>
      <c r="L687" s="176">
        <f aca="true" t="shared" si="223" ref="L687:L694">K687</f>
        <v>0</v>
      </c>
      <c r="M687" s="176"/>
      <c r="N687" s="176"/>
      <c r="O687" s="176">
        <f t="shared" si="221"/>
        <v>0</v>
      </c>
      <c r="P687" s="176">
        <f aca="true" t="shared" si="224" ref="P687:P694">O687</f>
        <v>0</v>
      </c>
      <c r="Q687" s="174"/>
      <c r="S687" s="176"/>
      <c r="T687" s="176">
        <v>0</v>
      </c>
    </row>
    <row r="688" spans="2:20" s="169" customFormat="1" ht="15">
      <c r="B688" s="221" t="s">
        <v>511</v>
      </c>
      <c r="C688" s="200" t="s">
        <v>165</v>
      </c>
      <c r="D688" s="176">
        <v>0</v>
      </c>
      <c r="E688" s="176">
        <v>0</v>
      </c>
      <c r="F688" s="176">
        <v>0</v>
      </c>
      <c r="G688" s="176">
        <v>0</v>
      </c>
      <c r="H688" s="176">
        <v>0</v>
      </c>
      <c r="I688" s="176">
        <v>0</v>
      </c>
      <c r="J688" s="176">
        <v>0</v>
      </c>
      <c r="K688" s="176">
        <f t="shared" si="222"/>
        <v>0</v>
      </c>
      <c r="L688" s="176">
        <f t="shared" si="223"/>
        <v>0</v>
      </c>
      <c r="M688" s="176"/>
      <c r="N688" s="176"/>
      <c r="O688" s="176">
        <f t="shared" si="221"/>
        <v>0</v>
      </c>
      <c r="P688" s="176">
        <f t="shared" si="224"/>
        <v>0</v>
      </c>
      <c r="Q688" s="174"/>
      <c r="S688" s="176"/>
      <c r="T688" s="176">
        <v>0</v>
      </c>
    </row>
    <row r="689" spans="2:20" s="169" customFormat="1" ht="15">
      <c r="B689" s="221" t="s">
        <v>511</v>
      </c>
      <c r="C689" s="200" t="s">
        <v>165</v>
      </c>
      <c r="D689" s="176">
        <v>0</v>
      </c>
      <c r="E689" s="176">
        <v>0</v>
      </c>
      <c r="F689" s="176">
        <v>0</v>
      </c>
      <c r="G689" s="176">
        <v>0</v>
      </c>
      <c r="H689" s="176">
        <v>0</v>
      </c>
      <c r="I689" s="176">
        <v>0</v>
      </c>
      <c r="J689" s="176">
        <v>0</v>
      </c>
      <c r="K689" s="176">
        <f t="shared" si="222"/>
        <v>0</v>
      </c>
      <c r="L689" s="176">
        <f t="shared" si="223"/>
        <v>0</v>
      </c>
      <c r="M689" s="176"/>
      <c r="N689" s="176"/>
      <c r="O689" s="176">
        <f t="shared" si="221"/>
        <v>0</v>
      </c>
      <c r="P689" s="176">
        <f t="shared" si="224"/>
        <v>0</v>
      </c>
      <c r="Q689" s="174"/>
      <c r="S689" s="176"/>
      <c r="T689" s="176">
        <v>0</v>
      </c>
    </row>
    <row r="690" spans="2:20" s="169" customFormat="1" ht="15">
      <c r="B690" s="221" t="s">
        <v>511</v>
      </c>
      <c r="C690" s="200" t="s">
        <v>165</v>
      </c>
      <c r="D690" s="176">
        <v>0</v>
      </c>
      <c r="E690" s="176">
        <v>0</v>
      </c>
      <c r="F690" s="176">
        <v>0</v>
      </c>
      <c r="G690" s="176">
        <v>0</v>
      </c>
      <c r="H690" s="176">
        <v>0</v>
      </c>
      <c r="I690" s="176">
        <v>0</v>
      </c>
      <c r="J690" s="176">
        <v>0</v>
      </c>
      <c r="K690" s="176">
        <f t="shared" si="222"/>
        <v>0</v>
      </c>
      <c r="L690" s="176">
        <f t="shared" si="223"/>
        <v>0</v>
      </c>
      <c r="M690" s="176"/>
      <c r="N690" s="176"/>
      <c r="O690" s="176">
        <f t="shared" si="221"/>
        <v>0</v>
      </c>
      <c r="P690" s="176">
        <f t="shared" si="224"/>
        <v>0</v>
      </c>
      <c r="Q690" s="174"/>
      <c r="S690" s="176"/>
      <c r="T690" s="176">
        <v>0</v>
      </c>
    </row>
    <row r="691" spans="2:20" s="169" customFormat="1" ht="15">
      <c r="B691" s="221" t="s">
        <v>511</v>
      </c>
      <c r="C691" s="200" t="s">
        <v>165</v>
      </c>
      <c r="D691" s="176">
        <v>0</v>
      </c>
      <c r="E691" s="176">
        <v>0</v>
      </c>
      <c r="F691" s="176">
        <v>0</v>
      </c>
      <c r="G691" s="176">
        <v>0</v>
      </c>
      <c r="H691" s="176">
        <v>0</v>
      </c>
      <c r="I691" s="176">
        <v>0</v>
      </c>
      <c r="J691" s="176">
        <v>0</v>
      </c>
      <c r="K691" s="176">
        <f t="shared" si="222"/>
        <v>0</v>
      </c>
      <c r="L691" s="176">
        <f t="shared" si="223"/>
        <v>0</v>
      </c>
      <c r="M691" s="176"/>
      <c r="N691" s="176"/>
      <c r="O691" s="176">
        <f t="shared" si="221"/>
        <v>0</v>
      </c>
      <c r="P691" s="176">
        <f t="shared" si="224"/>
        <v>0</v>
      </c>
      <c r="Q691" s="174"/>
      <c r="S691" s="176"/>
      <c r="T691" s="176">
        <v>0</v>
      </c>
    </row>
    <row r="692" spans="2:20" s="169" customFormat="1" ht="15">
      <c r="B692" s="221" t="s">
        <v>511</v>
      </c>
      <c r="C692" s="200" t="s">
        <v>165</v>
      </c>
      <c r="D692" s="176">
        <v>0</v>
      </c>
      <c r="E692" s="176">
        <v>0</v>
      </c>
      <c r="F692" s="176">
        <v>0</v>
      </c>
      <c r="G692" s="176">
        <v>0</v>
      </c>
      <c r="H692" s="176">
        <v>0</v>
      </c>
      <c r="I692" s="176">
        <v>0</v>
      </c>
      <c r="J692" s="176">
        <v>0</v>
      </c>
      <c r="K692" s="176">
        <f t="shared" si="222"/>
        <v>0</v>
      </c>
      <c r="L692" s="176">
        <f t="shared" si="223"/>
        <v>0</v>
      </c>
      <c r="M692" s="176"/>
      <c r="N692" s="176"/>
      <c r="O692" s="176">
        <f t="shared" si="221"/>
        <v>0</v>
      </c>
      <c r="P692" s="176">
        <f t="shared" si="224"/>
        <v>0</v>
      </c>
      <c r="Q692" s="174"/>
      <c r="S692" s="176"/>
      <c r="T692" s="176">
        <v>0</v>
      </c>
    </row>
    <row r="693" spans="2:20" s="169" customFormat="1" ht="15">
      <c r="B693" s="221" t="s">
        <v>511</v>
      </c>
      <c r="C693" s="200" t="s">
        <v>165</v>
      </c>
      <c r="D693" s="176">
        <v>0</v>
      </c>
      <c r="E693" s="176">
        <v>0</v>
      </c>
      <c r="F693" s="176">
        <v>0</v>
      </c>
      <c r="G693" s="176">
        <v>0</v>
      </c>
      <c r="H693" s="176">
        <v>0</v>
      </c>
      <c r="I693" s="176">
        <v>0</v>
      </c>
      <c r="J693" s="176">
        <v>0</v>
      </c>
      <c r="K693" s="176">
        <f t="shared" si="222"/>
        <v>0</v>
      </c>
      <c r="L693" s="176">
        <f t="shared" si="223"/>
        <v>0</v>
      </c>
      <c r="M693" s="176"/>
      <c r="N693" s="176"/>
      <c r="O693" s="176">
        <f t="shared" si="221"/>
        <v>0</v>
      </c>
      <c r="P693" s="176">
        <f t="shared" si="224"/>
        <v>0</v>
      </c>
      <c r="Q693" s="174"/>
      <c r="S693" s="176"/>
      <c r="T693" s="176">
        <v>0</v>
      </c>
    </row>
    <row r="694" spans="2:20" s="169" customFormat="1" ht="15">
      <c r="B694" s="221" t="s">
        <v>511</v>
      </c>
      <c r="C694" s="200" t="s">
        <v>165</v>
      </c>
      <c r="D694" s="176">
        <v>0</v>
      </c>
      <c r="E694" s="176">
        <v>0</v>
      </c>
      <c r="F694" s="176">
        <v>0</v>
      </c>
      <c r="G694" s="176">
        <v>0</v>
      </c>
      <c r="H694" s="176">
        <v>0</v>
      </c>
      <c r="I694" s="176">
        <v>0</v>
      </c>
      <c r="J694" s="176">
        <v>0</v>
      </c>
      <c r="K694" s="176">
        <f t="shared" si="222"/>
        <v>0</v>
      </c>
      <c r="L694" s="176">
        <f t="shared" si="223"/>
        <v>0</v>
      </c>
      <c r="M694" s="176"/>
      <c r="N694" s="176"/>
      <c r="O694" s="176">
        <f t="shared" si="221"/>
        <v>0</v>
      </c>
      <c r="P694" s="176">
        <f t="shared" si="224"/>
        <v>0</v>
      </c>
      <c r="Q694" s="174"/>
      <c r="S694" s="176"/>
      <c r="T694" s="176">
        <v>0</v>
      </c>
    </row>
    <row r="695" spans="2:20" s="169" customFormat="1" ht="15">
      <c r="B695" s="211"/>
      <c r="C695" s="170"/>
      <c r="D695" s="189">
        <f>SUM(D686:D694)</f>
        <v>-36600</v>
      </c>
      <c r="E695" s="189">
        <f aca="true" t="shared" si="225" ref="E695:P695">SUM(E686:E694)</f>
        <v>0</v>
      </c>
      <c r="F695" s="189">
        <f t="shared" si="225"/>
        <v>0</v>
      </c>
      <c r="G695" s="189">
        <f t="shared" si="225"/>
        <v>2700</v>
      </c>
      <c r="H695" s="189">
        <f t="shared" si="225"/>
        <v>0</v>
      </c>
      <c r="I695" s="189">
        <f t="shared" si="225"/>
        <v>0</v>
      </c>
      <c r="J695" s="189">
        <f>SUM(J686:J694)</f>
        <v>33900</v>
      </c>
      <c r="K695" s="189">
        <f t="shared" si="225"/>
        <v>0</v>
      </c>
      <c r="L695" s="189">
        <f t="shared" si="225"/>
        <v>0</v>
      </c>
      <c r="M695" s="189">
        <f t="shared" si="225"/>
        <v>0</v>
      </c>
      <c r="N695" s="189">
        <f t="shared" si="225"/>
        <v>0</v>
      </c>
      <c r="O695" s="189">
        <f t="shared" si="225"/>
        <v>0</v>
      </c>
      <c r="P695" s="189">
        <f t="shared" si="225"/>
        <v>0</v>
      </c>
      <c r="Q695" s="174"/>
      <c r="S695" s="189"/>
      <c r="T695" s="189">
        <v>29100</v>
      </c>
    </row>
    <row r="696" spans="2:20" s="169" customFormat="1" ht="15">
      <c r="B696" s="211"/>
      <c r="C696" s="170"/>
      <c r="D696" s="176"/>
      <c r="E696" s="176"/>
      <c r="F696" s="176"/>
      <c r="G696" s="176"/>
      <c r="H696" s="176"/>
      <c r="I696" s="176"/>
      <c r="J696" s="176"/>
      <c r="K696" s="176"/>
      <c r="L696" s="176"/>
      <c r="M696" s="176"/>
      <c r="N696" s="176"/>
      <c r="O696" s="176"/>
      <c r="P696" s="176"/>
      <c r="Q696" s="174"/>
      <c r="S696" s="176"/>
      <c r="T696" s="176"/>
    </row>
    <row r="697" spans="2:20" s="169" customFormat="1" ht="15">
      <c r="B697" s="211"/>
      <c r="C697" s="170"/>
      <c r="D697" s="176"/>
      <c r="E697" s="176"/>
      <c r="F697" s="176"/>
      <c r="G697" s="176"/>
      <c r="H697" s="176"/>
      <c r="I697" s="176"/>
      <c r="J697" s="176"/>
      <c r="K697" s="176"/>
      <c r="L697" s="176"/>
      <c r="M697" s="176"/>
      <c r="N697" s="176"/>
      <c r="O697" s="176"/>
      <c r="P697" s="176"/>
      <c r="Q697" s="174"/>
      <c r="S697" s="176"/>
      <c r="T697" s="176"/>
    </row>
    <row r="698" spans="2:20" s="169" customFormat="1" ht="15">
      <c r="B698" s="211"/>
      <c r="C698" s="170"/>
      <c r="D698" s="176"/>
      <c r="E698" s="176"/>
      <c r="F698" s="176"/>
      <c r="G698" s="176"/>
      <c r="H698" s="176"/>
      <c r="I698" s="176"/>
      <c r="J698" s="176"/>
      <c r="K698" s="176"/>
      <c r="L698" s="176"/>
      <c r="M698" s="176"/>
      <c r="N698" s="176"/>
      <c r="O698" s="176"/>
      <c r="P698" s="176"/>
      <c r="Q698" s="174"/>
      <c r="S698" s="176"/>
      <c r="T698" s="176"/>
    </row>
    <row r="699" spans="2:20" s="169" customFormat="1" ht="15">
      <c r="B699" s="220" t="s">
        <v>512</v>
      </c>
      <c r="C699" s="170"/>
      <c r="D699" s="176"/>
      <c r="E699" s="176"/>
      <c r="F699" s="176"/>
      <c r="G699" s="176"/>
      <c r="H699" s="176"/>
      <c r="I699" s="176"/>
      <c r="J699" s="176"/>
      <c r="K699" s="176"/>
      <c r="L699" s="176"/>
      <c r="M699" s="176"/>
      <c r="N699" s="176"/>
      <c r="O699" s="176"/>
      <c r="P699" s="176"/>
      <c r="Q699" s="174"/>
      <c r="S699" s="176"/>
      <c r="T699" s="176"/>
    </row>
    <row r="700" ht="15">
      <c r="B700" s="169" t="s">
        <v>513</v>
      </c>
    </row>
    <row r="701" spans="2:20" s="222" customFormat="1" ht="42.75">
      <c r="B701" s="222" t="s">
        <v>514</v>
      </c>
      <c r="C701" s="223" t="s">
        <v>165</v>
      </c>
      <c r="D701" s="224"/>
      <c r="E701" s="224">
        <v>0</v>
      </c>
      <c r="F701" s="224">
        <v>0</v>
      </c>
      <c r="G701" s="224">
        <v>0</v>
      </c>
      <c r="H701" s="224">
        <v>0</v>
      </c>
      <c r="I701" s="224">
        <v>0</v>
      </c>
      <c r="J701" s="224">
        <v>0</v>
      </c>
      <c r="K701" s="176">
        <f>SUM(D701:J701)</f>
        <v>0</v>
      </c>
      <c r="L701" s="176">
        <f>K701</f>
        <v>0</v>
      </c>
      <c r="M701" s="224"/>
      <c r="N701" s="224"/>
      <c r="O701" s="176">
        <f>SUM(L701:N701)</f>
        <v>0</v>
      </c>
      <c r="P701" s="176">
        <f>O701</f>
        <v>0</v>
      </c>
      <c r="Q701" s="174"/>
      <c r="S701" s="176"/>
      <c r="T701" s="176">
        <v>0</v>
      </c>
    </row>
    <row r="702" spans="2:20" s="222" customFormat="1" ht="28.5">
      <c r="B702" s="222" t="s">
        <v>515</v>
      </c>
      <c r="C702" s="223" t="s">
        <v>165</v>
      </c>
      <c r="D702" s="224">
        <v>0</v>
      </c>
      <c r="E702" s="224">
        <v>0</v>
      </c>
      <c r="F702" s="224">
        <v>0</v>
      </c>
      <c r="G702" s="224">
        <v>0</v>
      </c>
      <c r="H702" s="224">
        <v>0</v>
      </c>
      <c r="I702" s="224">
        <v>0</v>
      </c>
      <c r="J702" s="224">
        <v>0</v>
      </c>
      <c r="K702" s="176">
        <f>SUM(D702:J702)</f>
        <v>0</v>
      </c>
      <c r="L702" s="176">
        <f>K702</f>
        <v>0</v>
      </c>
      <c r="M702" s="224"/>
      <c r="N702" s="224"/>
      <c r="O702" s="176">
        <f>SUM(L702:N702)</f>
        <v>0</v>
      </c>
      <c r="P702" s="176">
        <f>O702</f>
        <v>0</v>
      </c>
      <c r="Q702" s="174"/>
      <c r="S702" s="176"/>
      <c r="T702" s="176">
        <v>0</v>
      </c>
    </row>
    <row r="703" spans="2:20" ht="15">
      <c r="B703" s="221" t="s">
        <v>511</v>
      </c>
      <c r="C703" s="200" t="s">
        <v>165</v>
      </c>
      <c r="D703" s="26">
        <v>0</v>
      </c>
      <c r="E703" s="224">
        <v>0</v>
      </c>
      <c r="F703" s="224">
        <v>0</v>
      </c>
      <c r="G703" s="224">
        <v>0</v>
      </c>
      <c r="H703" s="224">
        <v>0</v>
      </c>
      <c r="I703" s="224">
        <v>0</v>
      </c>
      <c r="J703" s="224">
        <v>0</v>
      </c>
      <c r="K703" s="176">
        <f>SUM(D703:J703)</f>
        <v>0</v>
      </c>
      <c r="L703" s="176">
        <f>K703</f>
        <v>0</v>
      </c>
      <c r="O703" s="176">
        <f>SUM(L703:N703)</f>
        <v>0</v>
      </c>
      <c r="P703" s="176">
        <f>O703</f>
        <v>0</v>
      </c>
      <c r="S703" s="176"/>
      <c r="T703" s="176">
        <v>0</v>
      </c>
    </row>
    <row r="704" spans="2:20" ht="15">
      <c r="B704" s="221" t="s">
        <v>511</v>
      </c>
      <c r="C704" s="200" t="s">
        <v>165</v>
      </c>
      <c r="D704" s="26">
        <v>0</v>
      </c>
      <c r="E704" s="224">
        <v>0</v>
      </c>
      <c r="F704" s="224">
        <v>0</v>
      </c>
      <c r="G704" s="224">
        <v>0</v>
      </c>
      <c r="H704" s="224">
        <v>0</v>
      </c>
      <c r="I704" s="224">
        <v>0</v>
      </c>
      <c r="J704" s="224">
        <v>0</v>
      </c>
      <c r="K704" s="176">
        <f>SUM(D704:J704)</f>
        <v>0</v>
      </c>
      <c r="L704" s="176">
        <f>K704</f>
        <v>0</v>
      </c>
      <c r="O704" s="176">
        <f>SUM(L704:N704)</f>
        <v>0</v>
      </c>
      <c r="P704" s="176">
        <f>O704</f>
        <v>0</v>
      </c>
      <c r="S704" s="176"/>
      <c r="T704" s="176">
        <v>0</v>
      </c>
    </row>
    <row r="706" spans="3:20" s="169" customFormat="1" ht="15">
      <c r="C706" s="170"/>
      <c r="D706" s="189">
        <f aca="true" t="shared" si="226" ref="D706:P706">SUM(D701:D705)</f>
        <v>0</v>
      </c>
      <c r="E706" s="189">
        <f t="shared" si="226"/>
        <v>0</v>
      </c>
      <c r="F706" s="189">
        <f t="shared" si="226"/>
        <v>0</v>
      </c>
      <c r="G706" s="189">
        <f t="shared" si="226"/>
        <v>0</v>
      </c>
      <c r="H706" s="189">
        <f t="shared" si="226"/>
        <v>0</v>
      </c>
      <c r="I706" s="189">
        <f t="shared" si="226"/>
        <v>0</v>
      </c>
      <c r="J706" s="189">
        <f t="shared" si="226"/>
        <v>0</v>
      </c>
      <c r="K706" s="189">
        <f t="shared" si="226"/>
        <v>0</v>
      </c>
      <c r="L706" s="189">
        <f t="shared" si="226"/>
        <v>0</v>
      </c>
      <c r="M706" s="189">
        <f t="shared" si="226"/>
        <v>0</v>
      </c>
      <c r="N706" s="189">
        <f t="shared" si="226"/>
        <v>0</v>
      </c>
      <c r="O706" s="189">
        <f t="shared" si="226"/>
        <v>0</v>
      </c>
      <c r="P706" s="189">
        <f t="shared" si="226"/>
        <v>0</v>
      </c>
      <c r="Q706" s="174"/>
      <c r="S706" s="189"/>
      <c r="T706" s="189">
        <v>0</v>
      </c>
    </row>
    <row r="711" ht="15">
      <c r="B711" s="170"/>
    </row>
  </sheetData>
  <mergeCells count="1">
    <mergeCell ref="M3:N3"/>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J448"/>
  <sheetViews>
    <sheetView workbookViewId="0" topLeftCell="A417">
      <selection activeCell="E424" sqref="E424"/>
    </sheetView>
  </sheetViews>
  <sheetFormatPr defaultColWidth="9.140625" defaultRowHeight="12.75"/>
  <cols>
    <col min="1" max="1" width="5.140625" style="490" customWidth="1"/>
    <col min="2" max="2" width="3.140625" style="300" customWidth="1"/>
    <col min="3" max="3" width="5.57421875" style="300" customWidth="1"/>
    <col min="4" max="4" width="17.00390625" style="300" customWidth="1"/>
    <col min="5" max="5" width="23.140625" style="300" customWidth="1"/>
    <col min="6" max="6" width="14.28125" style="301" customWidth="1"/>
    <col min="7" max="7" width="15.00390625" style="301" customWidth="1"/>
    <col min="8" max="8" width="17.28125" style="301" customWidth="1"/>
    <col min="9" max="9" width="12.8515625" style="301" customWidth="1"/>
    <col min="10" max="10" width="13.7109375" style="301" bestFit="1" customWidth="1"/>
    <col min="11" max="12" width="12.57421875" style="301" customWidth="1"/>
    <col min="13" max="13" width="11.57421875" style="301" customWidth="1"/>
    <col min="14" max="14" width="10.8515625" style="301" customWidth="1"/>
    <col min="15" max="15" width="11.57421875" style="301" customWidth="1"/>
    <col min="16" max="16" width="12.00390625" style="301" customWidth="1"/>
    <col min="17" max="17" width="12.28125" style="301" customWidth="1"/>
    <col min="18" max="18" width="12.57421875" style="301" customWidth="1"/>
    <col min="19" max="20" width="12.00390625" style="301" customWidth="1"/>
    <col min="21" max="21" width="13.28125" style="301" bestFit="1" customWidth="1"/>
    <col min="22" max="22" width="12.00390625" style="301" customWidth="1"/>
    <col min="23" max="23" width="11.421875" style="301" customWidth="1"/>
    <col min="24" max="24" width="14.00390625" style="301" customWidth="1"/>
    <col min="25" max="25" width="13.00390625" style="301" customWidth="1"/>
    <col min="26" max="26" width="11.00390625" style="301" customWidth="1"/>
    <col min="27" max="27" width="11.7109375" style="301" customWidth="1"/>
    <col min="28" max="28" width="11.28125" style="301" customWidth="1"/>
    <col min="29" max="29" width="12.00390625" style="301" customWidth="1"/>
    <col min="30" max="31" width="11.28125" style="301" customWidth="1"/>
    <col min="32" max="32" width="17.00390625" style="301" bestFit="1" customWidth="1"/>
    <col min="33" max="33" width="16.140625" style="301" bestFit="1" customWidth="1"/>
    <col min="34" max="34" width="12.00390625" style="301" customWidth="1"/>
    <col min="35" max="36" width="10.00390625" style="301" customWidth="1"/>
    <col min="37" max="37" width="14.8515625" style="301" bestFit="1" customWidth="1"/>
    <col min="38" max="38" width="10.00390625" style="301" hidden="1" customWidth="1"/>
    <col min="39" max="39" width="12.7109375" style="301" bestFit="1" customWidth="1"/>
    <col min="40" max="56" width="10.00390625" style="301" customWidth="1"/>
    <col min="57" max="71" width="10.00390625" style="296" customWidth="1"/>
    <col min="72" max="81" width="10.00390625" style="297" customWidth="1"/>
    <col min="82" max="16384" width="10.00390625" style="300" customWidth="1"/>
  </cols>
  <sheetData>
    <row r="1" spans="1:19" ht="12">
      <c r="A1" s="298" t="s">
        <v>141</v>
      </c>
      <c r="B1" s="299"/>
      <c r="C1" s="299"/>
      <c r="D1" s="299"/>
      <c r="F1" s="301">
        <f>+'[2]CF Sum'!F113</f>
        <v>-0.4214000105857849</v>
      </c>
      <c r="G1" s="302">
        <f>+'[2]Group '!P100</f>
        <v>-0.019999980926513672</v>
      </c>
      <c r="S1" s="301">
        <v>0</v>
      </c>
    </row>
    <row r="2" spans="1:4" ht="12">
      <c r="A2" s="298" t="s">
        <v>620</v>
      </c>
      <c r="B2" s="299"/>
      <c r="C2" s="299"/>
      <c r="D2" s="299"/>
    </row>
    <row r="3" ht="12.75" thickBot="1">
      <c r="A3" s="298" t="s">
        <v>621</v>
      </c>
    </row>
    <row r="4" spans="1:38" ht="6.75" customHeight="1">
      <c r="A4" s="303"/>
      <c r="B4" s="304"/>
      <c r="C4" s="304"/>
      <c r="D4" s="304"/>
      <c r="E4" s="304"/>
      <c r="F4" s="305"/>
      <c r="G4" s="306"/>
      <c r="H4" s="307"/>
      <c r="I4" s="307"/>
      <c r="J4" s="307"/>
      <c r="K4" s="307"/>
      <c r="L4" s="307"/>
      <c r="M4" s="307"/>
      <c r="N4" s="307"/>
      <c r="O4" s="307"/>
      <c r="P4" s="307"/>
      <c r="Q4" s="308"/>
      <c r="R4" s="307"/>
      <c r="S4" s="309"/>
      <c r="T4" s="307"/>
      <c r="U4" s="310"/>
      <c r="V4" s="310"/>
      <c r="W4" s="307"/>
      <c r="X4" s="307"/>
      <c r="Y4" s="307"/>
      <c r="Z4" s="307"/>
      <c r="AA4" s="307"/>
      <c r="AB4" s="307"/>
      <c r="AC4" s="310"/>
      <c r="AD4" s="307"/>
      <c r="AE4" s="307"/>
      <c r="AF4" s="307"/>
      <c r="AG4" s="307"/>
      <c r="AH4" s="307"/>
      <c r="AI4" s="307"/>
      <c r="AJ4" s="307"/>
      <c r="AK4" s="307"/>
      <c r="AL4" s="307"/>
    </row>
    <row r="5" spans="1:38" ht="63.75" customHeight="1" thickBot="1">
      <c r="A5" s="311"/>
      <c r="B5" s="312"/>
      <c r="C5" s="529" t="s">
        <v>622</v>
      </c>
      <c r="D5" s="529"/>
      <c r="E5" s="529"/>
      <c r="F5" s="313" t="s">
        <v>623</v>
      </c>
      <c r="G5" s="314" t="s">
        <v>624</v>
      </c>
      <c r="H5" s="315" t="s">
        <v>625</v>
      </c>
      <c r="I5" s="315" t="s">
        <v>626</v>
      </c>
      <c r="J5" s="315" t="s">
        <v>627</v>
      </c>
      <c r="K5" s="315" t="s">
        <v>628</v>
      </c>
      <c r="L5" s="315" t="s">
        <v>629</v>
      </c>
      <c r="M5" s="315" t="s">
        <v>630</v>
      </c>
      <c r="N5" s="315" t="s">
        <v>462</v>
      </c>
      <c r="O5" s="315" t="s">
        <v>631</v>
      </c>
      <c r="P5" s="315" t="s">
        <v>632</v>
      </c>
      <c r="Q5" s="316" t="s">
        <v>633</v>
      </c>
      <c r="R5" s="315" t="s">
        <v>634</v>
      </c>
      <c r="S5" s="317" t="s">
        <v>635</v>
      </c>
      <c r="T5" s="315" t="s">
        <v>636</v>
      </c>
      <c r="U5" s="318" t="s">
        <v>637</v>
      </c>
      <c r="V5" s="318" t="s">
        <v>638</v>
      </c>
      <c r="W5" s="319" t="s">
        <v>639</v>
      </c>
      <c r="X5" s="319" t="s">
        <v>640</v>
      </c>
      <c r="Y5" s="315" t="s">
        <v>641</v>
      </c>
      <c r="Z5" s="315" t="s">
        <v>642</v>
      </c>
      <c r="AA5" s="315" t="s">
        <v>643</v>
      </c>
      <c r="AB5" s="315" t="s">
        <v>644</v>
      </c>
      <c r="AC5" s="318" t="s">
        <v>645</v>
      </c>
      <c r="AD5" s="315" t="s">
        <v>646</v>
      </c>
      <c r="AE5" s="315" t="s">
        <v>647</v>
      </c>
      <c r="AF5" s="315" t="s">
        <v>648</v>
      </c>
      <c r="AG5" s="315" t="s">
        <v>231</v>
      </c>
      <c r="AH5" s="315" t="s">
        <v>171</v>
      </c>
      <c r="AI5" s="315" t="s">
        <v>649</v>
      </c>
      <c r="AJ5" s="315" t="s">
        <v>650</v>
      </c>
      <c r="AK5" s="315" t="s">
        <v>651</v>
      </c>
      <c r="AL5" s="320" t="s">
        <v>29</v>
      </c>
    </row>
    <row r="6" spans="1:38" ht="16.5" customHeight="1" thickBot="1">
      <c r="A6" s="321"/>
      <c r="B6" s="322"/>
      <c r="C6" s="304"/>
      <c r="D6" s="304"/>
      <c r="E6" s="304"/>
      <c r="F6" s="309"/>
      <c r="G6" s="323"/>
      <c r="H6" s="314" t="s">
        <v>520</v>
      </c>
      <c r="I6" s="314"/>
      <c r="J6" s="324" t="s">
        <v>520</v>
      </c>
      <c r="K6" s="324" t="s">
        <v>520</v>
      </c>
      <c r="L6" s="324"/>
      <c r="M6" s="324" t="s">
        <v>520</v>
      </c>
      <c r="N6" s="324" t="s">
        <v>520</v>
      </c>
      <c r="O6" s="324" t="s">
        <v>520</v>
      </c>
      <c r="P6" s="324" t="s">
        <v>520</v>
      </c>
      <c r="Q6" s="325" t="s">
        <v>520</v>
      </c>
      <c r="R6" s="324" t="s">
        <v>520</v>
      </c>
      <c r="S6" s="313" t="s">
        <v>520</v>
      </c>
      <c r="T6" s="324" t="s">
        <v>520</v>
      </c>
      <c r="U6" s="314"/>
      <c r="V6" s="314"/>
      <c r="W6" s="324" t="s">
        <v>520</v>
      </c>
      <c r="X6" s="324" t="s">
        <v>520</v>
      </c>
      <c r="Y6" s="324" t="s">
        <v>520</v>
      </c>
      <c r="Z6" s="324" t="s">
        <v>520</v>
      </c>
      <c r="AA6" s="324" t="s">
        <v>520</v>
      </c>
      <c r="AB6" s="324" t="s">
        <v>520</v>
      </c>
      <c r="AC6" s="324" t="s">
        <v>520</v>
      </c>
      <c r="AD6" s="324" t="s">
        <v>520</v>
      </c>
      <c r="AE6" s="324" t="s">
        <v>520</v>
      </c>
      <c r="AF6" s="324"/>
      <c r="AG6" s="324" t="s">
        <v>520</v>
      </c>
      <c r="AH6" s="324" t="s">
        <v>520</v>
      </c>
      <c r="AI6" s="324" t="s">
        <v>520</v>
      </c>
      <c r="AJ6" s="324"/>
      <c r="AK6" s="324" t="s">
        <v>520</v>
      </c>
      <c r="AL6" s="324" t="s">
        <v>520</v>
      </c>
    </row>
    <row r="7" spans="1:38" ht="12">
      <c r="A7" s="326" t="s">
        <v>652</v>
      </c>
      <c r="B7" s="327"/>
      <c r="C7" s="328"/>
      <c r="D7" s="329" t="s">
        <v>653</v>
      </c>
      <c r="E7" s="330"/>
      <c r="F7" s="331"/>
      <c r="G7" s="332"/>
      <c r="H7" s="333"/>
      <c r="I7" s="333"/>
      <c r="J7" s="334"/>
      <c r="K7" s="334"/>
      <c r="L7" s="334"/>
      <c r="M7" s="334"/>
      <c r="N7" s="334"/>
      <c r="O7" s="334"/>
      <c r="P7" s="334"/>
      <c r="Q7" s="335"/>
      <c r="R7" s="334"/>
      <c r="T7" s="334"/>
      <c r="U7" s="336"/>
      <c r="V7" s="306"/>
      <c r="W7" s="334"/>
      <c r="X7" s="334"/>
      <c r="Y7" s="334"/>
      <c r="Z7" s="334"/>
      <c r="AA7" s="334"/>
      <c r="AB7" s="334"/>
      <c r="AC7" s="333"/>
      <c r="AD7" s="334"/>
      <c r="AE7" s="334"/>
      <c r="AF7" s="334"/>
      <c r="AG7" s="334"/>
      <c r="AH7" s="334"/>
      <c r="AI7" s="334"/>
      <c r="AJ7" s="334"/>
      <c r="AK7" s="334"/>
      <c r="AL7" s="334"/>
    </row>
    <row r="8" spans="1:38" ht="7.5" customHeight="1">
      <c r="A8" s="337"/>
      <c r="B8" s="299"/>
      <c r="G8" s="333"/>
      <c r="H8" s="333"/>
      <c r="I8" s="333"/>
      <c r="J8" s="334"/>
      <c r="K8" s="334"/>
      <c r="L8" s="334"/>
      <c r="M8" s="334"/>
      <c r="N8" s="334"/>
      <c r="O8" s="334"/>
      <c r="P8" s="334"/>
      <c r="Q8" s="335"/>
      <c r="R8" s="334"/>
      <c r="T8" s="334"/>
      <c r="U8" s="334"/>
      <c r="V8" s="333"/>
      <c r="W8" s="334"/>
      <c r="X8" s="334"/>
      <c r="Y8" s="334"/>
      <c r="Z8" s="334"/>
      <c r="AA8" s="334"/>
      <c r="AB8" s="334"/>
      <c r="AC8" s="333"/>
      <c r="AD8" s="334"/>
      <c r="AE8" s="334"/>
      <c r="AF8" s="334"/>
      <c r="AG8" s="334"/>
      <c r="AH8" s="334"/>
      <c r="AI8" s="334"/>
      <c r="AJ8" s="334"/>
      <c r="AK8" s="334"/>
      <c r="AL8" s="334"/>
    </row>
    <row r="9" spans="1:38" ht="12">
      <c r="A9" s="337"/>
      <c r="C9" s="299" t="s">
        <v>654</v>
      </c>
      <c r="G9" s="333"/>
      <c r="H9" s="333"/>
      <c r="I9" s="333"/>
      <c r="J9" s="334"/>
      <c r="K9" s="334"/>
      <c r="L9" s="334"/>
      <c r="M9" s="334"/>
      <c r="N9" s="334"/>
      <c r="O9" s="334"/>
      <c r="P9" s="334"/>
      <c r="Q9" s="335"/>
      <c r="R9" s="334"/>
      <c r="T9" s="334"/>
      <c r="U9" s="334"/>
      <c r="V9" s="333"/>
      <c r="W9" s="334"/>
      <c r="X9" s="334"/>
      <c r="Y9" s="334"/>
      <c r="Z9" s="334"/>
      <c r="AA9" s="334"/>
      <c r="AB9" s="334"/>
      <c r="AC9" s="333"/>
      <c r="AD9" s="334"/>
      <c r="AE9" s="334"/>
      <c r="AF9" s="334"/>
      <c r="AG9" s="334"/>
      <c r="AH9" s="334"/>
      <c r="AI9" s="334"/>
      <c r="AJ9" s="334"/>
      <c r="AK9" s="334"/>
      <c r="AL9" s="334"/>
    </row>
    <row r="10" spans="1:38" ht="12">
      <c r="A10" s="337" t="s">
        <v>655</v>
      </c>
      <c r="B10" s="338"/>
      <c r="C10" s="300" t="s">
        <v>623</v>
      </c>
      <c r="D10" s="300" t="s">
        <v>656</v>
      </c>
      <c r="F10" s="301">
        <v>50000000</v>
      </c>
      <c r="G10" s="333"/>
      <c r="H10" s="333"/>
      <c r="I10" s="333"/>
      <c r="J10" s="334"/>
      <c r="K10" s="334">
        <f>F10</f>
        <v>50000000</v>
      </c>
      <c r="L10" s="334"/>
      <c r="M10" s="334"/>
      <c r="N10" s="334"/>
      <c r="O10" s="334"/>
      <c r="P10" s="334"/>
      <c r="Q10" s="335"/>
      <c r="R10" s="334"/>
      <c r="T10" s="334"/>
      <c r="U10" s="334"/>
      <c r="V10" s="333"/>
      <c r="W10" s="334"/>
      <c r="X10" s="334"/>
      <c r="Y10" s="334"/>
      <c r="Z10" s="334"/>
      <c r="AA10" s="334"/>
      <c r="AB10" s="334"/>
      <c r="AC10" s="333"/>
      <c r="AD10" s="334"/>
      <c r="AE10" s="334"/>
      <c r="AF10" s="334"/>
      <c r="AG10" s="334"/>
      <c r="AH10" s="334"/>
      <c r="AI10" s="334"/>
      <c r="AJ10" s="334"/>
      <c r="AK10" s="334"/>
      <c r="AL10" s="334"/>
    </row>
    <row r="11" spans="1:38" ht="12">
      <c r="A11" s="337"/>
      <c r="C11" s="300" t="s">
        <v>623</v>
      </c>
      <c r="D11" s="300" t="s">
        <v>657</v>
      </c>
      <c r="F11" s="301">
        <v>1000000</v>
      </c>
      <c r="G11" s="333"/>
      <c r="H11" s="333"/>
      <c r="I11" s="333"/>
      <c r="J11" s="334"/>
      <c r="K11" s="334">
        <f>F11</f>
        <v>1000000</v>
      </c>
      <c r="L11" s="334"/>
      <c r="M11" s="334"/>
      <c r="N11" s="334"/>
      <c r="O11" s="334"/>
      <c r="P11" s="334"/>
      <c r="Q11" s="335"/>
      <c r="R11" s="334"/>
      <c r="T11" s="334"/>
      <c r="U11" s="334"/>
      <c r="V11" s="333"/>
      <c r="W11" s="334"/>
      <c r="X11" s="334"/>
      <c r="Y11" s="334"/>
      <c r="Z11" s="334"/>
      <c r="AA11" s="334"/>
      <c r="AB11" s="334"/>
      <c r="AC11" s="333"/>
      <c r="AD11" s="334"/>
      <c r="AE11" s="334"/>
      <c r="AF11" s="334"/>
      <c r="AG11" s="334"/>
      <c r="AH11" s="334"/>
      <c r="AI11" s="334"/>
      <c r="AJ11" s="334"/>
      <c r="AK11" s="334"/>
      <c r="AL11" s="334"/>
    </row>
    <row r="12" spans="1:38" ht="12">
      <c r="A12" s="337"/>
      <c r="C12" s="300" t="s">
        <v>623</v>
      </c>
      <c r="D12" s="300" t="s">
        <v>658</v>
      </c>
      <c r="F12" s="301">
        <v>1000</v>
      </c>
      <c r="G12" s="333"/>
      <c r="H12" s="333"/>
      <c r="I12" s="333"/>
      <c r="J12" s="334"/>
      <c r="K12" s="334">
        <v>1000</v>
      </c>
      <c r="L12" s="334"/>
      <c r="M12" s="334"/>
      <c r="N12" s="334"/>
      <c r="O12" s="334"/>
      <c r="P12" s="334"/>
      <c r="Q12" s="335"/>
      <c r="R12" s="334"/>
      <c r="T12" s="334"/>
      <c r="U12" s="334"/>
      <c r="V12" s="333"/>
      <c r="W12" s="334"/>
      <c r="X12" s="334"/>
      <c r="Y12" s="334"/>
      <c r="Z12" s="334"/>
      <c r="AA12" s="334"/>
      <c r="AB12" s="334"/>
      <c r="AC12" s="333"/>
      <c r="AD12" s="334"/>
      <c r="AE12" s="334"/>
      <c r="AF12" s="334"/>
      <c r="AG12" s="334"/>
      <c r="AH12" s="334"/>
      <c r="AI12" s="334"/>
      <c r="AJ12" s="334"/>
      <c r="AK12" s="334"/>
      <c r="AL12" s="334"/>
    </row>
    <row r="13" spans="1:38" ht="12">
      <c r="A13" s="337"/>
      <c r="C13" s="300" t="s">
        <v>624</v>
      </c>
      <c r="D13" s="300" t="s">
        <v>659</v>
      </c>
      <c r="G13" s="333">
        <v>51000550</v>
      </c>
      <c r="H13" s="333">
        <f>-G13</f>
        <v>-51000550</v>
      </c>
      <c r="I13" s="333"/>
      <c r="J13" s="334"/>
      <c r="K13" s="334"/>
      <c r="L13" s="334"/>
      <c r="M13" s="334"/>
      <c r="N13" s="334"/>
      <c r="O13" s="334"/>
      <c r="P13" s="334"/>
      <c r="Q13" s="335"/>
      <c r="R13" s="334"/>
      <c r="T13" s="334"/>
      <c r="U13" s="334"/>
      <c r="V13" s="333"/>
      <c r="W13" s="334"/>
      <c r="X13" s="334"/>
      <c r="Y13" s="334"/>
      <c r="Z13" s="334"/>
      <c r="AA13" s="334"/>
      <c r="AB13" s="334"/>
      <c r="AC13" s="333"/>
      <c r="AD13" s="334"/>
      <c r="AE13" s="334"/>
      <c r="AF13" s="334"/>
      <c r="AG13" s="334"/>
      <c r="AH13" s="334"/>
      <c r="AI13" s="334"/>
      <c r="AJ13" s="334"/>
      <c r="AK13" s="334"/>
      <c r="AL13" s="334"/>
    </row>
    <row r="14" spans="1:38" ht="12">
      <c r="A14" s="337"/>
      <c r="C14" s="300" t="s">
        <v>624</v>
      </c>
      <c r="D14" s="300" t="s">
        <v>660</v>
      </c>
      <c r="G14" s="333">
        <v>450</v>
      </c>
      <c r="H14" s="333"/>
      <c r="I14" s="333"/>
      <c r="J14" s="334"/>
      <c r="K14" s="334"/>
      <c r="L14" s="334"/>
      <c r="M14" s="334">
        <f>-G14</f>
        <v>-450</v>
      </c>
      <c r="N14" s="334"/>
      <c r="O14" s="334"/>
      <c r="P14" s="334"/>
      <c r="Q14" s="335"/>
      <c r="R14" s="334"/>
      <c r="T14" s="334"/>
      <c r="U14" s="334"/>
      <c r="V14" s="333"/>
      <c r="W14" s="334"/>
      <c r="X14" s="334"/>
      <c r="Y14" s="334"/>
      <c r="Z14" s="334"/>
      <c r="AA14" s="334"/>
      <c r="AB14" s="334"/>
      <c r="AC14" s="333"/>
      <c r="AD14" s="334"/>
      <c r="AE14" s="334"/>
      <c r="AF14" s="334"/>
      <c r="AG14" s="334"/>
      <c r="AH14" s="334"/>
      <c r="AI14" s="334"/>
      <c r="AJ14" s="334"/>
      <c r="AK14" s="334"/>
      <c r="AL14" s="334"/>
    </row>
    <row r="15" spans="1:38" ht="12.75" thickBot="1">
      <c r="A15" s="337"/>
      <c r="C15" s="339"/>
      <c r="F15" s="340">
        <f>SUM(F10:F14)</f>
        <v>51001000</v>
      </c>
      <c r="G15" s="341">
        <f>SUM(G10:G14)</f>
        <v>51001000</v>
      </c>
      <c r="H15" s="333"/>
      <c r="I15" s="333"/>
      <c r="J15" s="334"/>
      <c r="K15" s="334"/>
      <c r="L15" s="334"/>
      <c r="M15" s="334"/>
      <c r="N15" s="334"/>
      <c r="O15" s="334"/>
      <c r="P15" s="334"/>
      <c r="Q15" s="335"/>
      <c r="R15" s="334"/>
      <c r="T15" s="334"/>
      <c r="U15" s="334"/>
      <c r="V15" s="333"/>
      <c r="W15" s="334"/>
      <c r="X15" s="334"/>
      <c r="Y15" s="334"/>
      <c r="Z15" s="334"/>
      <c r="AA15" s="334"/>
      <c r="AB15" s="334"/>
      <c r="AC15" s="333"/>
      <c r="AD15" s="334"/>
      <c r="AE15" s="334"/>
      <c r="AF15" s="334"/>
      <c r="AG15" s="334"/>
      <c r="AH15" s="334"/>
      <c r="AI15" s="334"/>
      <c r="AJ15" s="334"/>
      <c r="AK15" s="334"/>
      <c r="AL15" s="334"/>
    </row>
    <row r="16" spans="1:38" ht="12.75" thickTop="1">
      <c r="A16" s="337"/>
      <c r="B16" s="342"/>
      <c r="C16" s="299" t="s">
        <v>661</v>
      </c>
      <c r="G16" s="333"/>
      <c r="H16" s="333"/>
      <c r="I16" s="333"/>
      <c r="J16" s="334"/>
      <c r="K16" s="334"/>
      <c r="L16" s="334"/>
      <c r="M16" s="334"/>
      <c r="N16" s="334"/>
      <c r="O16" s="334"/>
      <c r="P16" s="334"/>
      <c r="Q16" s="335"/>
      <c r="R16" s="334"/>
      <c r="T16" s="334"/>
      <c r="U16" s="334"/>
      <c r="V16" s="333"/>
      <c r="W16" s="334"/>
      <c r="X16" s="334"/>
      <c r="Y16" s="334"/>
      <c r="Z16" s="334"/>
      <c r="AA16" s="334"/>
      <c r="AB16" s="334"/>
      <c r="AC16" s="333"/>
      <c r="AD16" s="334"/>
      <c r="AE16" s="334"/>
      <c r="AF16" s="334"/>
      <c r="AG16" s="334"/>
      <c r="AH16" s="334"/>
      <c r="AI16" s="334"/>
      <c r="AJ16" s="334"/>
      <c r="AK16" s="334"/>
      <c r="AL16" s="334"/>
    </row>
    <row r="17" spans="1:38" ht="12">
      <c r="A17" s="337"/>
      <c r="B17" s="342"/>
      <c r="C17" s="343" t="s">
        <v>662</v>
      </c>
      <c r="G17" s="333"/>
      <c r="H17" s="333"/>
      <c r="I17" s="333"/>
      <c r="J17" s="334"/>
      <c r="K17" s="334"/>
      <c r="L17" s="334"/>
      <c r="M17" s="334"/>
      <c r="N17" s="334"/>
      <c r="O17" s="334"/>
      <c r="P17" s="334"/>
      <c r="Q17" s="335"/>
      <c r="R17" s="334"/>
      <c r="T17" s="334"/>
      <c r="U17" s="334"/>
      <c r="V17" s="333"/>
      <c r="W17" s="334"/>
      <c r="X17" s="334"/>
      <c r="Y17" s="334"/>
      <c r="Z17" s="334"/>
      <c r="AA17" s="334"/>
      <c r="AB17" s="334"/>
      <c r="AC17" s="333"/>
      <c r="AD17" s="334"/>
      <c r="AE17" s="334"/>
      <c r="AF17" s="334"/>
      <c r="AG17" s="334"/>
      <c r="AH17" s="334"/>
      <c r="AI17" s="334"/>
      <c r="AJ17" s="334"/>
      <c r="AK17" s="334"/>
      <c r="AL17" s="334"/>
    </row>
    <row r="18" spans="1:38" ht="12">
      <c r="A18" s="344"/>
      <c r="B18" s="345"/>
      <c r="C18" s="346"/>
      <c r="D18" s="347"/>
      <c r="E18" s="347"/>
      <c r="F18" s="348"/>
      <c r="G18" s="349"/>
      <c r="H18" s="333"/>
      <c r="I18" s="333"/>
      <c r="J18" s="334"/>
      <c r="K18" s="334"/>
      <c r="L18" s="334"/>
      <c r="M18" s="334"/>
      <c r="N18" s="334"/>
      <c r="O18" s="334"/>
      <c r="P18" s="334"/>
      <c r="Q18" s="335"/>
      <c r="R18" s="334"/>
      <c r="T18" s="334"/>
      <c r="U18" s="334"/>
      <c r="V18" s="333"/>
      <c r="W18" s="334"/>
      <c r="X18" s="334"/>
      <c r="Y18" s="334"/>
      <c r="Z18" s="334"/>
      <c r="AA18" s="334"/>
      <c r="AB18" s="334"/>
      <c r="AC18" s="333"/>
      <c r="AD18" s="334"/>
      <c r="AE18" s="334"/>
      <c r="AF18" s="334"/>
      <c r="AG18" s="334"/>
      <c r="AH18" s="334"/>
      <c r="AI18" s="334"/>
      <c r="AJ18" s="334"/>
      <c r="AK18" s="334"/>
      <c r="AL18" s="334"/>
    </row>
    <row r="19" spans="1:38" ht="12">
      <c r="A19" s="337"/>
      <c r="B19" s="342"/>
      <c r="C19" s="339"/>
      <c r="G19" s="333"/>
      <c r="H19" s="333"/>
      <c r="I19" s="333"/>
      <c r="J19" s="334"/>
      <c r="K19" s="334"/>
      <c r="L19" s="334"/>
      <c r="M19" s="334"/>
      <c r="N19" s="334"/>
      <c r="O19" s="334"/>
      <c r="P19" s="334"/>
      <c r="Q19" s="335"/>
      <c r="R19" s="334"/>
      <c r="T19" s="334"/>
      <c r="U19" s="334"/>
      <c r="V19" s="333"/>
      <c r="W19" s="334"/>
      <c r="X19" s="334"/>
      <c r="Y19" s="334"/>
      <c r="Z19" s="334"/>
      <c r="AA19" s="334"/>
      <c r="AB19" s="334"/>
      <c r="AC19" s="333"/>
      <c r="AD19" s="334"/>
      <c r="AE19" s="334"/>
      <c r="AF19" s="334"/>
      <c r="AG19" s="334"/>
      <c r="AH19" s="334"/>
      <c r="AI19" s="334"/>
      <c r="AJ19" s="334"/>
      <c r="AK19" s="334"/>
      <c r="AL19" s="334"/>
    </row>
    <row r="20" spans="1:38" ht="12">
      <c r="A20" s="337"/>
      <c r="B20" s="342"/>
      <c r="C20" s="299" t="s">
        <v>663</v>
      </c>
      <c r="G20" s="333"/>
      <c r="H20" s="333"/>
      <c r="I20" s="333"/>
      <c r="J20" s="334"/>
      <c r="K20" s="334"/>
      <c r="L20" s="334"/>
      <c r="M20" s="334"/>
      <c r="N20" s="334"/>
      <c r="O20" s="334"/>
      <c r="P20" s="334"/>
      <c r="Q20" s="335"/>
      <c r="R20" s="334"/>
      <c r="T20" s="334"/>
      <c r="U20" s="334"/>
      <c r="V20" s="333"/>
      <c r="W20" s="334"/>
      <c r="X20" s="334"/>
      <c r="Y20" s="334"/>
      <c r="Z20" s="334"/>
      <c r="AA20" s="334"/>
      <c r="AB20" s="334"/>
      <c r="AC20" s="333"/>
      <c r="AD20" s="334"/>
      <c r="AE20" s="334"/>
      <c r="AF20" s="334"/>
      <c r="AG20" s="334"/>
      <c r="AH20" s="334"/>
      <c r="AI20" s="334"/>
      <c r="AJ20" s="334"/>
      <c r="AK20" s="334"/>
      <c r="AL20" s="334"/>
    </row>
    <row r="21" spans="1:38" ht="12">
      <c r="A21" s="337" t="s">
        <v>664</v>
      </c>
      <c r="B21" s="342"/>
      <c r="C21" s="300" t="s">
        <v>623</v>
      </c>
      <c r="D21" s="300" t="s">
        <v>187</v>
      </c>
      <c r="F21" s="301">
        <v>198282818</v>
      </c>
      <c r="G21" s="333"/>
      <c r="H21" s="333"/>
      <c r="I21" s="333"/>
      <c r="J21" s="334">
        <f>F21</f>
        <v>198282818</v>
      </c>
      <c r="K21" s="334"/>
      <c r="L21" s="334"/>
      <c r="M21" s="334"/>
      <c r="N21" s="334"/>
      <c r="O21" s="334"/>
      <c r="P21" s="334"/>
      <c r="Q21" s="335"/>
      <c r="R21" s="334"/>
      <c r="T21" s="334"/>
      <c r="U21" s="334"/>
      <c r="V21" s="333"/>
      <c r="W21" s="334"/>
      <c r="X21" s="334"/>
      <c r="Y21" s="334"/>
      <c r="Z21" s="334"/>
      <c r="AA21" s="334"/>
      <c r="AB21" s="334"/>
      <c r="AC21" s="333"/>
      <c r="AD21" s="334"/>
      <c r="AE21" s="334"/>
      <c r="AF21" s="334"/>
      <c r="AG21" s="334"/>
      <c r="AH21" s="334"/>
      <c r="AI21" s="334"/>
      <c r="AJ21" s="334"/>
      <c r="AK21" s="334"/>
      <c r="AL21" s="334"/>
    </row>
    <row r="22" spans="1:38" ht="12">
      <c r="A22" s="337"/>
      <c r="B22" s="342"/>
      <c r="C22" s="300" t="s">
        <v>623</v>
      </c>
      <c r="D22" s="300" t="s">
        <v>628</v>
      </c>
      <c r="F22" s="301">
        <v>50000000</v>
      </c>
      <c r="G22" s="333"/>
      <c r="H22" s="333"/>
      <c r="I22" s="333"/>
      <c r="J22" s="334"/>
      <c r="K22" s="334">
        <f>F22</f>
        <v>50000000</v>
      </c>
      <c r="L22" s="334"/>
      <c r="M22" s="334"/>
      <c r="N22" s="334"/>
      <c r="O22" s="334"/>
      <c r="P22" s="334"/>
      <c r="Q22" s="335"/>
      <c r="R22" s="334"/>
      <c r="T22" s="334"/>
      <c r="U22" s="334"/>
      <c r="V22" s="333"/>
      <c r="W22" s="334"/>
      <c r="X22" s="334"/>
      <c r="Y22" s="334"/>
      <c r="Z22" s="334"/>
      <c r="AA22" s="334"/>
      <c r="AB22" s="334"/>
      <c r="AC22" s="333"/>
      <c r="AD22" s="334"/>
      <c r="AE22" s="334"/>
      <c r="AF22" s="334"/>
      <c r="AG22" s="334"/>
      <c r="AH22" s="334"/>
      <c r="AI22" s="334"/>
      <c r="AJ22" s="334"/>
      <c r="AK22" s="334"/>
      <c r="AL22" s="334"/>
    </row>
    <row r="23" spans="1:38" ht="12">
      <c r="A23" s="337"/>
      <c r="B23" s="342"/>
      <c r="C23" s="300" t="s">
        <v>623</v>
      </c>
      <c r="D23" s="300" t="s">
        <v>665</v>
      </c>
      <c r="F23" s="301">
        <v>1717182</v>
      </c>
      <c r="G23" s="333"/>
      <c r="H23" s="333"/>
      <c r="I23" s="333"/>
      <c r="J23" s="334"/>
      <c r="K23" s="334"/>
      <c r="L23" s="334"/>
      <c r="M23" s="334">
        <f>F23</f>
        <v>1717182</v>
      </c>
      <c r="N23" s="334"/>
      <c r="O23" s="334"/>
      <c r="P23" s="334"/>
      <c r="Q23" s="335"/>
      <c r="R23" s="334"/>
      <c r="T23" s="334"/>
      <c r="U23" s="334"/>
      <c r="V23" s="333"/>
      <c r="W23" s="334"/>
      <c r="X23" s="334"/>
      <c r="Y23" s="334"/>
      <c r="Z23" s="334"/>
      <c r="AA23" s="334"/>
      <c r="AB23" s="334"/>
      <c r="AC23" s="333"/>
      <c r="AD23" s="334"/>
      <c r="AE23" s="334"/>
      <c r="AF23" s="334"/>
      <c r="AG23" s="334"/>
      <c r="AH23" s="334"/>
      <c r="AI23" s="334"/>
      <c r="AJ23" s="334"/>
      <c r="AK23" s="334"/>
      <c r="AL23" s="334"/>
    </row>
    <row r="24" spans="1:38" ht="12">
      <c r="A24" s="337"/>
      <c r="B24" s="342"/>
      <c r="D24" s="300" t="s">
        <v>666</v>
      </c>
      <c r="G24" s="333"/>
      <c r="H24" s="333"/>
      <c r="I24" s="333"/>
      <c r="J24" s="334"/>
      <c r="K24" s="334"/>
      <c r="L24" s="334"/>
      <c r="M24" s="334"/>
      <c r="N24" s="334"/>
      <c r="O24" s="334"/>
      <c r="P24" s="334"/>
      <c r="Q24" s="335"/>
      <c r="R24" s="334"/>
      <c r="T24" s="334"/>
      <c r="U24" s="334"/>
      <c r="V24" s="333"/>
      <c r="W24" s="334"/>
      <c r="X24" s="334"/>
      <c r="Y24" s="334"/>
      <c r="Z24" s="334"/>
      <c r="AA24" s="334"/>
      <c r="AB24" s="334"/>
      <c r="AC24" s="333"/>
      <c r="AD24" s="334"/>
      <c r="AE24" s="334"/>
      <c r="AF24" s="334"/>
      <c r="AG24" s="334"/>
      <c r="AH24" s="334"/>
      <c r="AI24" s="334"/>
      <c r="AJ24" s="334"/>
      <c r="AK24" s="334"/>
      <c r="AL24" s="334"/>
    </row>
    <row r="25" spans="1:38" ht="12">
      <c r="A25" s="337"/>
      <c r="B25" s="342"/>
      <c r="C25" s="300" t="s">
        <v>624</v>
      </c>
      <c r="D25" s="300" t="s">
        <v>667</v>
      </c>
      <c r="G25" s="333">
        <v>250000000</v>
      </c>
      <c r="H25" s="333">
        <f>-G25</f>
        <v>-250000000</v>
      </c>
      <c r="I25" s="333"/>
      <c r="J25" s="334"/>
      <c r="K25" s="334"/>
      <c r="L25" s="334"/>
      <c r="M25" s="334"/>
      <c r="N25" s="334"/>
      <c r="O25" s="334"/>
      <c r="P25" s="334"/>
      <c r="Q25" s="335"/>
      <c r="R25" s="334"/>
      <c r="T25" s="334"/>
      <c r="U25" s="334"/>
      <c r="V25" s="333"/>
      <c r="W25" s="334"/>
      <c r="X25" s="334"/>
      <c r="Y25" s="334"/>
      <c r="Z25" s="334"/>
      <c r="AA25" s="334"/>
      <c r="AB25" s="334"/>
      <c r="AC25" s="333"/>
      <c r="AD25" s="334"/>
      <c r="AE25" s="334"/>
      <c r="AF25" s="334"/>
      <c r="AG25" s="334"/>
      <c r="AH25" s="334"/>
      <c r="AI25" s="334"/>
      <c r="AJ25" s="334"/>
      <c r="AK25" s="334"/>
      <c r="AL25" s="334"/>
    </row>
    <row r="26" spans="1:38" ht="12">
      <c r="A26" s="337"/>
      <c r="B26" s="342"/>
      <c r="G26" s="333"/>
      <c r="H26" s="333"/>
      <c r="I26" s="333"/>
      <c r="J26" s="334"/>
      <c r="K26" s="334"/>
      <c r="L26" s="334"/>
      <c r="M26" s="334"/>
      <c r="N26" s="334"/>
      <c r="O26" s="334"/>
      <c r="P26" s="334"/>
      <c r="Q26" s="335"/>
      <c r="R26" s="334"/>
      <c r="T26" s="334"/>
      <c r="U26" s="334"/>
      <c r="V26" s="333"/>
      <c r="W26" s="334"/>
      <c r="X26" s="334"/>
      <c r="Y26" s="334"/>
      <c r="Z26" s="334"/>
      <c r="AA26" s="334"/>
      <c r="AB26" s="334"/>
      <c r="AC26" s="333"/>
      <c r="AD26" s="334"/>
      <c r="AE26" s="334"/>
      <c r="AF26" s="334"/>
      <c r="AG26" s="334"/>
      <c r="AH26" s="334"/>
      <c r="AI26" s="334"/>
      <c r="AJ26" s="334"/>
      <c r="AK26" s="334"/>
      <c r="AL26" s="334"/>
    </row>
    <row r="27" spans="1:38" ht="12">
      <c r="A27" s="337"/>
      <c r="B27" s="342"/>
      <c r="C27" s="350" t="s">
        <v>668</v>
      </c>
      <c r="G27" s="333"/>
      <c r="H27" s="333"/>
      <c r="I27" s="333"/>
      <c r="J27" s="334"/>
      <c r="K27" s="334"/>
      <c r="L27" s="334"/>
      <c r="M27" s="334"/>
      <c r="N27" s="334"/>
      <c r="O27" s="334"/>
      <c r="P27" s="334"/>
      <c r="Q27" s="335"/>
      <c r="R27" s="334"/>
      <c r="T27" s="334"/>
      <c r="U27" s="334"/>
      <c r="V27" s="333"/>
      <c r="W27" s="334"/>
      <c r="X27" s="334"/>
      <c r="Y27" s="334"/>
      <c r="Z27" s="334"/>
      <c r="AA27" s="334"/>
      <c r="AB27" s="334"/>
      <c r="AC27" s="333"/>
      <c r="AD27" s="334"/>
      <c r="AE27" s="334"/>
      <c r="AF27" s="334"/>
      <c r="AG27" s="334"/>
      <c r="AH27" s="334"/>
      <c r="AI27" s="334"/>
      <c r="AJ27" s="334"/>
      <c r="AK27" s="334"/>
      <c r="AL27" s="334"/>
    </row>
    <row r="28" spans="1:38" ht="12">
      <c r="A28" s="344"/>
      <c r="B28" s="351"/>
      <c r="C28" s="352"/>
      <c r="D28" s="352"/>
      <c r="E28" s="352"/>
      <c r="F28" s="353"/>
      <c r="G28" s="354"/>
      <c r="H28" s="333"/>
      <c r="I28" s="333"/>
      <c r="J28" s="334"/>
      <c r="K28" s="334"/>
      <c r="L28" s="334"/>
      <c r="M28" s="334"/>
      <c r="N28" s="334"/>
      <c r="O28" s="334"/>
      <c r="P28" s="334"/>
      <c r="Q28" s="335"/>
      <c r="R28" s="334"/>
      <c r="T28" s="334"/>
      <c r="U28" s="334"/>
      <c r="V28" s="333"/>
      <c r="W28" s="334"/>
      <c r="X28" s="334"/>
      <c r="Y28" s="334"/>
      <c r="Z28" s="334"/>
      <c r="AA28" s="334"/>
      <c r="AB28" s="334"/>
      <c r="AC28" s="333"/>
      <c r="AD28" s="334"/>
      <c r="AE28" s="334"/>
      <c r="AF28" s="334"/>
      <c r="AG28" s="334"/>
      <c r="AH28" s="334"/>
      <c r="AI28" s="334"/>
      <c r="AJ28" s="334"/>
      <c r="AK28" s="334"/>
      <c r="AL28" s="334"/>
    </row>
    <row r="29" spans="1:38" ht="12">
      <c r="A29" s="337"/>
      <c r="G29" s="333"/>
      <c r="H29" s="333"/>
      <c r="I29" s="333"/>
      <c r="J29" s="334"/>
      <c r="K29" s="334"/>
      <c r="L29" s="334"/>
      <c r="M29" s="334"/>
      <c r="N29" s="334"/>
      <c r="O29" s="334"/>
      <c r="P29" s="334"/>
      <c r="Q29" s="335"/>
      <c r="R29" s="334"/>
      <c r="T29" s="334"/>
      <c r="U29" s="334"/>
      <c r="V29" s="333"/>
      <c r="W29" s="334"/>
      <c r="X29" s="334"/>
      <c r="Y29" s="334"/>
      <c r="Z29" s="334"/>
      <c r="AA29" s="334"/>
      <c r="AB29" s="334"/>
      <c r="AC29" s="333"/>
      <c r="AD29" s="334"/>
      <c r="AE29" s="334"/>
      <c r="AF29" s="334"/>
      <c r="AG29" s="334"/>
      <c r="AH29" s="334"/>
      <c r="AI29" s="334"/>
      <c r="AJ29" s="334"/>
      <c r="AK29" s="334"/>
      <c r="AL29" s="334"/>
    </row>
    <row r="30" spans="1:38" ht="12">
      <c r="A30" s="337"/>
      <c r="G30" s="333"/>
      <c r="H30" s="333"/>
      <c r="I30" s="333"/>
      <c r="J30" s="334"/>
      <c r="K30" s="334"/>
      <c r="L30" s="334"/>
      <c r="M30" s="334"/>
      <c r="N30" s="334"/>
      <c r="O30" s="334"/>
      <c r="P30" s="334"/>
      <c r="Q30" s="335"/>
      <c r="R30" s="334"/>
      <c r="T30" s="334"/>
      <c r="U30" s="334"/>
      <c r="V30" s="333"/>
      <c r="W30" s="334"/>
      <c r="X30" s="334"/>
      <c r="Y30" s="334"/>
      <c r="Z30" s="334"/>
      <c r="AA30" s="334"/>
      <c r="AB30" s="334"/>
      <c r="AC30" s="333"/>
      <c r="AD30" s="334"/>
      <c r="AE30" s="334"/>
      <c r="AF30" s="334"/>
      <c r="AG30" s="334"/>
      <c r="AH30" s="334"/>
      <c r="AI30" s="334"/>
      <c r="AJ30" s="334"/>
      <c r="AK30" s="334"/>
      <c r="AL30" s="334"/>
    </row>
    <row r="31" spans="1:38" ht="12">
      <c r="A31" s="337" t="s">
        <v>669</v>
      </c>
      <c r="C31" s="299" t="s">
        <v>663</v>
      </c>
      <c r="G31" s="333"/>
      <c r="H31" s="333"/>
      <c r="I31" s="333"/>
      <c r="J31" s="334"/>
      <c r="K31" s="334"/>
      <c r="L31" s="334"/>
      <c r="M31" s="334"/>
      <c r="N31" s="334"/>
      <c r="O31" s="334"/>
      <c r="P31" s="334"/>
      <c r="Q31" s="335"/>
      <c r="R31" s="334"/>
      <c r="T31" s="334"/>
      <c r="U31" s="334"/>
      <c r="V31" s="333"/>
      <c r="W31" s="334"/>
      <c r="X31" s="334"/>
      <c r="Y31" s="334"/>
      <c r="Z31" s="334"/>
      <c r="AA31" s="334"/>
      <c r="AB31" s="334"/>
      <c r="AC31" s="333"/>
      <c r="AD31" s="334"/>
      <c r="AE31" s="334"/>
      <c r="AF31" s="334"/>
      <c r="AG31" s="334"/>
      <c r="AH31" s="334"/>
      <c r="AI31" s="334"/>
      <c r="AJ31" s="334"/>
      <c r="AK31" s="334"/>
      <c r="AL31" s="334"/>
    </row>
    <row r="32" spans="1:38" ht="12">
      <c r="A32" s="337"/>
      <c r="G32" s="333"/>
      <c r="H32" s="333"/>
      <c r="I32" s="333"/>
      <c r="J32" s="334"/>
      <c r="K32" s="334"/>
      <c r="L32" s="334"/>
      <c r="M32" s="334"/>
      <c r="N32" s="334"/>
      <c r="O32" s="334"/>
      <c r="P32" s="334"/>
      <c r="Q32" s="335"/>
      <c r="R32" s="334"/>
      <c r="T32" s="334"/>
      <c r="U32" s="334"/>
      <c r="V32" s="333"/>
      <c r="W32" s="334"/>
      <c r="X32" s="334"/>
      <c r="Y32" s="334"/>
      <c r="Z32" s="334"/>
      <c r="AA32" s="334"/>
      <c r="AB32" s="334"/>
      <c r="AC32" s="333"/>
      <c r="AD32" s="334"/>
      <c r="AE32" s="334"/>
      <c r="AF32" s="334"/>
      <c r="AG32" s="334"/>
      <c r="AH32" s="334"/>
      <c r="AI32" s="334"/>
      <c r="AJ32" s="334"/>
      <c r="AK32" s="334"/>
      <c r="AL32" s="334"/>
    </row>
    <row r="33" spans="1:38" ht="12">
      <c r="A33" s="337"/>
      <c r="C33" s="300" t="s">
        <v>623</v>
      </c>
      <c r="D33" s="300" t="s">
        <v>670</v>
      </c>
      <c r="F33" s="301">
        <v>7000000</v>
      </c>
      <c r="G33" s="333"/>
      <c r="H33" s="333"/>
      <c r="I33" s="333"/>
      <c r="J33" s="334"/>
      <c r="K33" s="334">
        <f>+F33</f>
        <v>7000000</v>
      </c>
      <c r="L33" s="334"/>
      <c r="M33" s="334"/>
      <c r="N33" s="334"/>
      <c r="O33" s="334"/>
      <c r="P33" s="334"/>
      <c r="Q33" s="335"/>
      <c r="R33" s="334"/>
      <c r="T33" s="334"/>
      <c r="U33" s="334"/>
      <c r="V33" s="333"/>
      <c r="W33" s="334"/>
      <c r="X33" s="334"/>
      <c r="Y33" s="334"/>
      <c r="Z33" s="334"/>
      <c r="AA33" s="334"/>
      <c r="AB33" s="334"/>
      <c r="AC33" s="333"/>
      <c r="AD33" s="334"/>
      <c r="AE33" s="334"/>
      <c r="AF33" s="334"/>
      <c r="AG33" s="334"/>
      <c r="AH33" s="334"/>
      <c r="AI33" s="334"/>
      <c r="AJ33" s="334"/>
      <c r="AK33" s="334"/>
      <c r="AL33" s="334"/>
    </row>
    <row r="34" spans="1:38" ht="12">
      <c r="A34" s="337"/>
      <c r="D34" s="300" t="s">
        <v>671</v>
      </c>
      <c r="G34" s="333"/>
      <c r="H34" s="333"/>
      <c r="I34" s="333"/>
      <c r="J34" s="334"/>
      <c r="K34" s="334"/>
      <c r="L34" s="334"/>
      <c r="M34" s="334"/>
      <c r="N34" s="334"/>
      <c r="O34" s="334"/>
      <c r="P34" s="334"/>
      <c r="Q34" s="335"/>
      <c r="R34" s="334"/>
      <c r="T34" s="334"/>
      <c r="U34" s="334"/>
      <c r="V34" s="333"/>
      <c r="W34" s="334"/>
      <c r="X34" s="334"/>
      <c r="Y34" s="334"/>
      <c r="Z34" s="334"/>
      <c r="AA34" s="334"/>
      <c r="AB34" s="334"/>
      <c r="AC34" s="333"/>
      <c r="AD34" s="334"/>
      <c r="AE34" s="334"/>
      <c r="AF34" s="334"/>
      <c r="AG34" s="334"/>
      <c r="AH34" s="334"/>
      <c r="AI34" s="334"/>
      <c r="AJ34" s="334"/>
      <c r="AK34" s="334"/>
      <c r="AL34" s="334"/>
    </row>
    <row r="35" spans="1:38" ht="12">
      <c r="A35" s="337"/>
      <c r="C35" s="300" t="s">
        <v>623</v>
      </c>
      <c r="D35" s="300" t="s">
        <v>672</v>
      </c>
      <c r="F35" s="301">
        <v>10000000</v>
      </c>
      <c r="G35" s="333"/>
      <c r="H35" s="333"/>
      <c r="I35" s="333"/>
      <c r="J35" s="334"/>
      <c r="K35" s="334">
        <f>+F35</f>
        <v>10000000</v>
      </c>
      <c r="L35" s="334"/>
      <c r="M35" s="334"/>
      <c r="N35" s="334"/>
      <c r="O35" s="334"/>
      <c r="P35" s="334"/>
      <c r="Q35" s="335"/>
      <c r="R35" s="334"/>
      <c r="T35" s="334"/>
      <c r="U35" s="334"/>
      <c r="V35" s="333"/>
      <c r="W35" s="334"/>
      <c r="X35" s="334"/>
      <c r="Y35" s="334"/>
      <c r="Z35" s="334"/>
      <c r="AA35" s="334"/>
      <c r="AB35" s="334"/>
      <c r="AC35" s="333"/>
      <c r="AD35" s="334"/>
      <c r="AE35" s="334"/>
      <c r="AF35" s="334"/>
      <c r="AG35" s="334"/>
      <c r="AH35" s="334"/>
      <c r="AI35" s="334"/>
      <c r="AJ35" s="334"/>
      <c r="AK35" s="334"/>
      <c r="AL35" s="334"/>
    </row>
    <row r="36" spans="1:38" ht="12">
      <c r="A36" s="337"/>
      <c r="C36" s="300" t="s">
        <v>623</v>
      </c>
      <c r="D36" s="300" t="s">
        <v>673</v>
      </c>
      <c r="F36" s="301">
        <f>SUM(G38:G48)-SUM(F33:F35)</f>
        <v>48099493</v>
      </c>
      <c r="G36" s="333">
        <v>0</v>
      </c>
      <c r="H36" s="333"/>
      <c r="I36" s="333"/>
      <c r="J36" s="334">
        <f>+F36</f>
        <v>48099493</v>
      </c>
      <c r="K36" s="334"/>
      <c r="L36" s="334"/>
      <c r="M36" s="334"/>
      <c r="N36" s="334"/>
      <c r="O36" s="334"/>
      <c r="P36" s="334">
        <f>-G36</f>
        <v>0</v>
      </c>
      <c r="Q36" s="335"/>
      <c r="R36" s="334"/>
      <c r="T36" s="334"/>
      <c r="U36" s="334"/>
      <c r="V36" s="333"/>
      <c r="W36" s="334"/>
      <c r="X36" s="334"/>
      <c r="Y36" s="334"/>
      <c r="Z36" s="334"/>
      <c r="AA36" s="334"/>
      <c r="AB36" s="334"/>
      <c r="AC36" s="333"/>
      <c r="AD36" s="334"/>
      <c r="AE36" s="334"/>
      <c r="AF36" s="334"/>
      <c r="AG36" s="334"/>
      <c r="AH36" s="334"/>
      <c r="AI36" s="334"/>
      <c r="AJ36" s="334"/>
      <c r="AK36" s="334"/>
      <c r="AL36" s="334"/>
    </row>
    <row r="37" spans="1:38" ht="12">
      <c r="A37" s="337"/>
      <c r="G37" s="333"/>
      <c r="H37" s="333"/>
      <c r="I37" s="333"/>
      <c r="J37" s="334"/>
      <c r="K37" s="334"/>
      <c r="L37" s="334"/>
      <c r="M37" s="334"/>
      <c r="N37" s="334"/>
      <c r="O37" s="334"/>
      <c r="P37" s="334"/>
      <c r="Q37" s="335"/>
      <c r="R37" s="334"/>
      <c r="T37" s="334"/>
      <c r="U37" s="334"/>
      <c r="V37" s="333"/>
      <c r="W37" s="334"/>
      <c r="X37" s="334"/>
      <c r="Y37" s="334"/>
      <c r="Z37" s="334"/>
      <c r="AA37" s="334"/>
      <c r="AB37" s="334"/>
      <c r="AC37" s="333"/>
      <c r="AD37" s="334"/>
      <c r="AE37" s="334"/>
      <c r="AF37" s="334"/>
      <c r="AG37" s="334"/>
      <c r="AH37" s="334"/>
      <c r="AI37" s="334"/>
      <c r="AJ37" s="334"/>
      <c r="AK37" s="334"/>
      <c r="AL37" s="334"/>
    </row>
    <row r="38" spans="1:38" ht="12">
      <c r="A38" s="337"/>
      <c r="C38" s="300" t="s">
        <v>624</v>
      </c>
      <c r="D38" s="300" t="s">
        <v>674</v>
      </c>
      <c r="G38" s="355">
        <v>8118552</v>
      </c>
      <c r="H38" s="333"/>
      <c r="I38" s="333"/>
      <c r="J38" s="334"/>
      <c r="K38" s="334"/>
      <c r="L38" s="334"/>
      <c r="M38" s="334">
        <f>-G38</f>
        <v>-8118552</v>
      </c>
      <c r="N38" s="334"/>
      <c r="O38" s="334"/>
      <c r="P38" s="334"/>
      <c r="Q38" s="335"/>
      <c r="R38" s="334"/>
      <c r="T38" s="334"/>
      <c r="U38" s="334"/>
      <c r="V38" s="333"/>
      <c r="W38" s="334"/>
      <c r="X38" s="334"/>
      <c r="Y38" s="334"/>
      <c r="Z38" s="334"/>
      <c r="AA38" s="334"/>
      <c r="AB38" s="334"/>
      <c r="AC38" s="333"/>
      <c r="AD38" s="334"/>
      <c r="AE38" s="334"/>
      <c r="AF38" s="334"/>
      <c r="AG38" s="334"/>
      <c r="AH38" s="334"/>
      <c r="AI38" s="334"/>
      <c r="AJ38" s="334"/>
      <c r="AK38" s="334"/>
      <c r="AL38" s="334"/>
    </row>
    <row r="39" spans="1:38" ht="12">
      <c r="A39" s="337"/>
      <c r="D39" s="300" t="s">
        <v>675</v>
      </c>
      <c r="G39" s="333"/>
      <c r="H39" s="333"/>
      <c r="I39" s="333"/>
      <c r="J39" s="334"/>
      <c r="K39" s="334"/>
      <c r="L39" s="334"/>
      <c r="M39" s="334"/>
      <c r="N39" s="334"/>
      <c r="O39" s="334"/>
      <c r="P39" s="334"/>
      <c r="Q39" s="335"/>
      <c r="R39" s="334"/>
      <c r="T39" s="334"/>
      <c r="U39" s="334"/>
      <c r="V39" s="333"/>
      <c r="W39" s="334"/>
      <c r="X39" s="334"/>
      <c r="Y39" s="334"/>
      <c r="Z39" s="334"/>
      <c r="AA39" s="334"/>
      <c r="AB39" s="334"/>
      <c r="AC39" s="333"/>
      <c r="AD39" s="334"/>
      <c r="AE39" s="334"/>
      <c r="AF39" s="334"/>
      <c r="AG39" s="334"/>
      <c r="AH39" s="334"/>
      <c r="AI39" s="334"/>
      <c r="AJ39" s="334"/>
      <c r="AK39" s="334"/>
      <c r="AL39" s="334"/>
    </row>
    <row r="40" spans="1:38" ht="12">
      <c r="A40" s="337"/>
      <c r="D40" s="300" t="s">
        <v>676</v>
      </c>
      <c r="G40" s="333"/>
      <c r="H40" s="333"/>
      <c r="I40" s="333"/>
      <c r="J40" s="334"/>
      <c r="K40" s="334"/>
      <c r="L40" s="334"/>
      <c r="M40" s="334"/>
      <c r="N40" s="334"/>
      <c r="O40" s="334"/>
      <c r="P40" s="334"/>
      <c r="Q40" s="335"/>
      <c r="R40" s="334"/>
      <c r="T40" s="334"/>
      <c r="U40" s="334"/>
      <c r="V40" s="333"/>
      <c r="W40" s="334"/>
      <c r="X40" s="334"/>
      <c r="Y40" s="334"/>
      <c r="Z40" s="334"/>
      <c r="AA40" s="334"/>
      <c r="AB40" s="334"/>
      <c r="AC40" s="333"/>
      <c r="AD40" s="334"/>
      <c r="AE40" s="334"/>
      <c r="AF40" s="334"/>
      <c r="AG40" s="334"/>
      <c r="AH40" s="334"/>
      <c r="AI40" s="334"/>
      <c r="AJ40" s="334"/>
      <c r="AK40" s="334"/>
      <c r="AL40" s="334"/>
    </row>
    <row r="41" spans="1:88" ht="12">
      <c r="A41" s="337"/>
      <c r="D41" s="356" t="s">
        <v>677</v>
      </c>
      <c r="E41" s="356"/>
      <c r="G41" s="333"/>
      <c r="H41" s="333"/>
      <c r="I41" s="333"/>
      <c r="J41" s="334"/>
      <c r="K41" s="334"/>
      <c r="L41" s="334"/>
      <c r="M41" s="334"/>
      <c r="N41" s="334"/>
      <c r="O41" s="334"/>
      <c r="P41" s="334"/>
      <c r="Q41" s="335"/>
      <c r="R41" s="334"/>
      <c r="T41" s="334"/>
      <c r="U41" s="334"/>
      <c r="V41" s="333"/>
      <c r="W41" s="334"/>
      <c r="X41" s="334"/>
      <c r="Y41" s="334"/>
      <c r="Z41" s="334"/>
      <c r="AA41" s="334"/>
      <c r="AB41" s="334"/>
      <c r="AC41" s="333"/>
      <c r="AD41" s="334"/>
      <c r="AE41" s="334"/>
      <c r="AF41" s="334"/>
      <c r="AG41" s="334"/>
      <c r="AH41" s="334"/>
      <c r="AI41" s="334"/>
      <c r="AJ41" s="334"/>
      <c r="AK41" s="334"/>
      <c r="AL41" s="334"/>
      <c r="AN41" s="357"/>
      <c r="AO41" s="357"/>
      <c r="AP41" s="357"/>
      <c r="AQ41" s="357"/>
      <c r="AR41" s="357"/>
      <c r="AS41" s="357"/>
      <c r="AT41" s="357"/>
      <c r="AU41" s="357"/>
      <c r="AV41" s="357"/>
      <c r="AW41" s="357"/>
      <c r="AX41" s="357"/>
      <c r="AY41" s="357"/>
      <c r="AZ41" s="357"/>
      <c r="BA41" s="357"/>
      <c r="BB41" s="357"/>
      <c r="BC41" s="357"/>
      <c r="BD41" s="357"/>
      <c r="BE41" s="358"/>
      <c r="BF41" s="358"/>
      <c r="BG41" s="358"/>
      <c r="BH41" s="358"/>
      <c r="BI41" s="358"/>
      <c r="BJ41" s="358"/>
      <c r="BK41" s="358"/>
      <c r="BL41" s="358"/>
      <c r="BM41" s="358"/>
      <c r="BN41" s="358"/>
      <c r="BO41" s="358"/>
      <c r="BP41" s="358"/>
      <c r="BQ41" s="358"/>
      <c r="BR41" s="358"/>
      <c r="BS41" s="358"/>
      <c r="BT41" s="359"/>
      <c r="BU41" s="359"/>
      <c r="BV41" s="359"/>
      <c r="BW41" s="359"/>
      <c r="BX41" s="359"/>
      <c r="BY41" s="359"/>
      <c r="BZ41" s="359"/>
      <c r="CA41" s="359"/>
      <c r="CB41" s="359"/>
      <c r="CC41" s="359"/>
      <c r="CD41" s="360"/>
      <c r="CE41" s="360"/>
      <c r="CF41" s="360"/>
      <c r="CG41" s="360"/>
      <c r="CH41" s="360"/>
      <c r="CI41" s="360"/>
      <c r="CJ41" s="360"/>
    </row>
    <row r="42" spans="1:88" ht="12">
      <c r="A42" s="337"/>
      <c r="C42" s="300" t="s">
        <v>624</v>
      </c>
      <c r="D42" s="361" t="s">
        <v>678</v>
      </c>
      <c r="E42" s="361"/>
      <c r="F42" s="362"/>
      <c r="G42" s="363">
        <v>32878</v>
      </c>
      <c r="H42" s="333"/>
      <c r="I42" s="333"/>
      <c r="J42" s="334"/>
      <c r="K42" s="334"/>
      <c r="L42" s="334"/>
      <c r="M42" s="334">
        <f>-G42</f>
        <v>-32878</v>
      </c>
      <c r="N42" s="334"/>
      <c r="O42" s="334"/>
      <c r="P42" s="334"/>
      <c r="Q42" s="335"/>
      <c r="R42" s="334"/>
      <c r="T42" s="334"/>
      <c r="U42" s="334"/>
      <c r="V42" s="333"/>
      <c r="W42" s="334"/>
      <c r="X42" s="334"/>
      <c r="Y42" s="334"/>
      <c r="Z42" s="334"/>
      <c r="AA42" s="334"/>
      <c r="AB42" s="334"/>
      <c r="AC42" s="333"/>
      <c r="AD42" s="334"/>
      <c r="AE42" s="334"/>
      <c r="AF42" s="334"/>
      <c r="AG42" s="334"/>
      <c r="AH42" s="334"/>
      <c r="AI42" s="334"/>
      <c r="AJ42" s="334"/>
      <c r="AK42" s="334"/>
      <c r="AL42" s="334"/>
      <c r="AN42" s="357"/>
      <c r="AO42" s="357"/>
      <c r="AP42" s="357"/>
      <c r="AQ42" s="357"/>
      <c r="AR42" s="357"/>
      <c r="AS42" s="357"/>
      <c r="AT42" s="357"/>
      <c r="AU42" s="357"/>
      <c r="AV42" s="357"/>
      <c r="AW42" s="357"/>
      <c r="AX42" s="357"/>
      <c r="AY42" s="357"/>
      <c r="AZ42" s="357"/>
      <c r="BA42" s="357"/>
      <c r="BB42" s="357"/>
      <c r="BC42" s="357"/>
      <c r="BD42" s="357"/>
      <c r="BE42" s="358"/>
      <c r="BF42" s="358"/>
      <c r="BG42" s="358"/>
      <c r="BH42" s="358"/>
      <c r="BI42" s="358"/>
      <c r="BJ42" s="358"/>
      <c r="BK42" s="358"/>
      <c r="BL42" s="358"/>
      <c r="BM42" s="358"/>
      <c r="BN42" s="358"/>
      <c r="BO42" s="358"/>
      <c r="BP42" s="358"/>
      <c r="BQ42" s="358"/>
      <c r="BR42" s="358"/>
      <c r="BS42" s="358"/>
      <c r="BT42" s="359"/>
      <c r="BU42" s="359"/>
      <c r="BV42" s="359"/>
      <c r="BW42" s="359"/>
      <c r="BX42" s="359"/>
      <c r="BY42" s="359"/>
      <c r="BZ42" s="359"/>
      <c r="CA42" s="359"/>
      <c r="CB42" s="359"/>
      <c r="CC42" s="359"/>
      <c r="CD42" s="360"/>
      <c r="CE42" s="360"/>
      <c r="CF42" s="360"/>
      <c r="CG42" s="360"/>
      <c r="CH42" s="360"/>
      <c r="CI42" s="360"/>
      <c r="CJ42" s="360"/>
    </row>
    <row r="43" spans="1:88" ht="12">
      <c r="A43" s="337"/>
      <c r="C43" s="300" t="s">
        <v>624</v>
      </c>
      <c r="D43" s="361" t="s">
        <v>679</v>
      </c>
      <c r="E43" s="361"/>
      <c r="F43" s="362"/>
      <c r="G43" s="363"/>
      <c r="H43" s="333"/>
      <c r="I43" s="333"/>
      <c r="J43" s="334"/>
      <c r="K43" s="334"/>
      <c r="L43" s="334"/>
      <c r="M43" s="334"/>
      <c r="N43" s="334"/>
      <c r="O43" s="334"/>
      <c r="P43" s="334"/>
      <c r="Q43" s="335"/>
      <c r="R43" s="334"/>
      <c r="T43" s="334"/>
      <c r="U43" s="334"/>
      <c r="V43" s="333"/>
      <c r="W43" s="334"/>
      <c r="X43" s="334"/>
      <c r="Y43" s="334"/>
      <c r="Z43" s="334"/>
      <c r="AA43" s="334"/>
      <c r="AB43" s="334"/>
      <c r="AC43" s="333"/>
      <c r="AD43" s="334"/>
      <c r="AE43" s="334"/>
      <c r="AF43" s="334"/>
      <c r="AG43" s="334"/>
      <c r="AH43" s="334"/>
      <c r="AI43" s="334"/>
      <c r="AJ43" s="334"/>
      <c r="AK43" s="334"/>
      <c r="AL43" s="334"/>
      <c r="AN43" s="357"/>
      <c r="AO43" s="357"/>
      <c r="AP43" s="357"/>
      <c r="AQ43" s="357"/>
      <c r="AR43" s="357"/>
      <c r="AS43" s="357"/>
      <c r="AT43" s="357"/>
      <c r="AU43" s="357"/>
      <c r="AV43" s="357"/>
      <c r="AW43" s="357"/>
      <c r="AX43" s="357"/>
      <c r="AY43" s="357"/>
      <c r="AZ43" s="357"/>
      <c r="BA43" s="357"/>
      <c r="BB43" s="357"/>
      <c r="BC43" s="357"/>
      <c r="BD43" s="357"/>
      <c r="BE43" s="358"/>
      <c r="BF43" s="358"/>
      <c r="BG43" s="358"/>
      <c r="BH43" s="358"/>
      <c r="BI43" s="358"/>
      <c r="BJ43" s="358"/>
      <c r="BK43" s="358"/>
      <c r="BL43" s="358"/>
      <c r="BM43" s="358"/>
      <c r="BN43" s="358"/>
      <c r="BO43" s="358"/>
      <c r="BP43" s="358"/>
      <c r="BQ43" s="358"/>
      <c r="BR43" s="358"/>
      <c r="BS43" s="358"/>
      <c r="BT43" s="359"/>
      <c r="BU43" s="359"/>
      <c r="BV43" s="359"/>
      <c r="BW43" s="359"/>
      <c r="BX43" s="359"/>
      <c r="BY43" s="359"/>
      <c r="BZ43" s="359"/>
      <c r="CA43" s="359"/>
      <c r="CB43" s="359"/>
      <c r="CC43" s="359"/>
      <c r="CD43" s="360"/>
      <c r="CE43" s="360"/>
      <c r="CF43" s="360"/>
      <c r="CG43" s="360"/>
      <c r="CH43" s="360"/>
      <c r="CI43" s="360"/>
      <c r="CJ43" s="360"/>
    </row>
    <row r="44" spans="1:88" ht="12">
      <c r="A44" s="337"/>
      <c r="D44" s="361" t="s">
        <v>680</v>
      </c>
      <c r="E44" s="361"/>
      <c r="F44" s="362"/>
      <c r="G44" s="363">
        <v>166982</v>
      </c>
      <c r="H44" s="333"/>
      <c r="I44" s="333"/>
      <c r="J44" s="334"/>
      <c r="K44" s="334"/>
      <c r="L44" s="334"/>
      <c r="M44" s="334">
        <f>-G44</f>
        <v>-166982</v>
      </c>
      <c r="N44" s="334"/>
      <c r="O44" s="334"/>
      <c r="P44" s="334"/>
      <c r="Q44" s="335"/>
      <c r="R44" s="334"/>
      <c r="T44" s="334"/>
      <c r="U44" s="334"/>
      <c r="V44" s="333"/>
      <c r="W44" s="334"/>
      <c r="X44" s="334"/>
      <c r="Y44" s="334"/>
      <c r="Z44" s="334"/>
      <c r="AA44" s="334"/>
      <c r="AB44" s="334"/>
      <c r="AC44" s="333"/>
      <c r="AD44" s="334"/>
      <c r="AE44" s="334"/>
      <c r="AF44" s="334"/>
      <c r="AG44" s="334"/>
      <c r="AH44" s="334"/>
      <c r="AI44" s="334"/>
      <c r="AJ44" s="334"/>
      <c r="AK44" s="334"/>
      <c r="AL44" s="334"/>
      <c r="AN44" s="357"/>
      <c r="AO44" s="357"/>
      <c r="AP44" s="357"/>
      <c r="AQ44" s="357"/>
      <c r="AR44" s="357"/>
      <c r="AS44" s="357"/>
      <c r="AT44" s="357"/>
      <c r="AU44" s="357"/>
      <c r="AV44" s="357"/>
      <c r="AW44" s="357"/>
      <c r="AX44" s="357"/>
      <c r="AY44" s="357"/>
      <c r="AZ44" s="357"/>
      <c r="BA44" s="357"/>
      <c r="BB44" s="357"/>
      <c r="BC44" s="357"/>
      <c r="BD44" s="357"/>
      <c r="BE44" s="358"/>
      <c r="BF44" s="358"/>
      <c r="BG44" s="358"/>
      <c r="BH44" s="358"/>
      <c r="BI44" s="358"/>
      <c r="BJ44" s="358"/>
      <c r="BK44" s="358"/>
      <c r="BL44" s="358"/>
      <c r="BM44" s="358"/>
      <c r="BN44" s="358"/>
      <c r="BO44" s="358"/>
      <c r="BP44" s="358"/>
      <c r="BQ44" s="358"/>
      <c r="BR44" s="358"/>
      <c r="BS44" s="358"/>
      <c r="BT44" s="359"/>
      <c r="BU44" s="359"/>
      <c r="BV44" s="359"/>
      <c r="BW44" s="359"/>
      <c r="BX44" s="359"/>
      <c r="BY44" s="359"/>
      <c r="BZ44" s="359"/>
      <c r="CA44" s="359"/>
      <c r="CB44" s="359"/>
      <c r="CC44" s="359"/>
      <c r="CD44" s="360"/>
      <c r="CE44" s="360"/>
      <c r="CF44" s="360"/>
      <c r="CG44" s="360"/>
      <c r="CH44" s="360"/>
      <c r="CI44" s="360"/>
      <c r="CJ44" s="360"/>
    </row>
    <row r="45" spans="1:38" ht="12">
      <c r="A45" s="337"/>
      <c r="C45" s="300" t="s">
        <v>624</v>
      </c>
      <c r="D45" s="300" t="s">
        <v>674</v>
      </c>
      <c r="G45" s="355">
        <f>853959-32878</f>
        <v>821081</v>
      </c>
      <c r="H45" s="333"/>
      <c r="I45" s="333"/>
      <c r="J45" s="334"/>
      <c r="K45" s="334"/>
      <c r="L45" s="334"/>
      <c r="M45" s="334">
        <f>-G45</f>
        <v>-821081</v>
      </c>
      <c r="N45" s="334"/>
      <c r="O45" s="334"/>
      <c r="P45" s="334"/>
      <c r="Q45" s="335"/>
      <c r="R45" s="334"/>
      <c r="T45" s="334"/>
      <c r="U45" s="334"/>
      <c r="V45" s="333"/>
      <c r="W45" s="334"/>
      <c r="X45" s="334"/>
      <c r="Y45" s="334"/>
      <c r="Z45" s="334"/>
      <c r="AA45" s="334"/>
      <c r="AB45" s="334"/>
      <c r="AC45" s="333"/>
      <c r="AD45" s="334"/>
      <c r="AE45" s="334"/>
      <c r="AF45" s="334"/>
      <c r="AG45" s="334"/>
      <c r="AH45" s="334"/>
      <c r="AI45" s="334"/>
      <c r="AJ45" s="334"/>
      <c r="AK45" s="334"/>
      <c r="AL45" s="334"/>
    </row>
    <row r="46" spans="1:38" ht="12">
      <c r="A46" s="337"/>
      <c r="D46" s="300" t="s">
        <v>681</v>
      </c>
      <c r="G46" s="333"/>
      <c r="H46" s="333"/>
      <c r="I46" s="333"/>
      <c r="J46" s="334"/>
      <c r="K46" s="334"/>
      <c r="L46" s="334"/>
      <c r="M46" s="334"/>
      <c r="N46" s="334"/>
      <c r="O46" s="334"/>
      <c r="P46" s="334"/>
      <c r="Q46" s="335"/>
      <c r="R46" s="334"/>
      <c r="T46" s="334"/>
      <c r="U46" s="334"/>
      <c r="V46" s="333"/>
      <c r="W46" s="334"/>
      <c r="X46" s="334"/>
      <c r="Y46" s="334"/>
      <c r="Z46" s="334"/>
      <c r="AA46" s="334"/>
      <c r="AB46" s="334"/>
      <c r="AC46" s="333"/>
      <c r="AD46" s="334"/>
      <c r="AE46" s="334"/>
      <c r="AF46" s="334"/>
      <c r="AG46" s="334"/>
      <c r="AH46" s="334"/>
      <c r="AI46" s="334"/>
      <c r="AJ46" s="334"/>
      <c r="AK46" s="334"/>
      <c r="AL46" s="334"/>
    </row>
    <row r="47" spans="1:38" ht="12">
      <c r="A47" s="337"/>
      <c r="C47" s="300" t="s">
        <v>624</v>
      </c>
      <c r="D47" s="300" t="s">
        <v>682</v>
      </c>
      <c r="G47" s="333">
        <v>45960000</v>
      </c>
      <c r="H47" s="333">
        <f>-G47</f>
        <v>-45960000</v>
      </c>
      <c r="I47" s="333"/>
      <c r="J47" s="334"/>
      <c r="K47" s="334"/>
      <c r="L47" s="334"/>
      <c r="M47" s="334"/>
      <c r="N47" s="334"/>
      <c r="O47" s="334"/>
      <c r="P47" s="334"/>
      <c r="Q47" s="335"/>
      <c r="R47" s="334"/>
      <c r="T47" s="334"/>
      <c r="U47" s="334"/>
      <c r="V47" s="333"/>
      <c r="W47" s="334"/>
      <c r="X47" s="334"/>
      <c r="Y47" s="334"/>
      <c r="Z47" s="334"/>
      <c r="AA47" s="334"/>
      <c r="AB47" s="334"/>
      <c r="AC47" s="333"/>
      <c r="AD47" s="334"/>
      <c r="AE47" s="334"/>
      <c r="AF47" s="334"/>
      <c r="AG47" s="334"/>
      <c r="AH47" s="334"/>
      <c r="AI47" s="334"/>
      <c r="AJ47" s="334"/>
      <c r="AK47" s="334"/>
      <c r="AL47" s="334"/>
    </row>
    <row r="48" spans="1:38" ht="12">
      <c r="A48" s="337"/>
      <c r="C48" s="300" t="s">
        <v>624</v>
      </c>
      <c r="D48" s="300" t="s">
        <v>683</v>
      </c>
      <c r="G48" s="333">
        <v>10000000</v>
      </c>
      <c r="H48" s="333">
        <f>-G48</f>
        <v>-10000000</v>
      </c>
      <c r="I48" s="333"/>
      <c r="J48" s="334"/>
      <c r="K48" s="334"/>
      <c r="L48" s="334"/>
      <c r="M48" s="334"/>
      <c r="N48" s="334"/>
      <c r="O48" s="334"/>
      <c r="P48" s="334"/>
      <c r="Q48" s="335"/>
      <c r="R48" s="334"/>
      <c r="T48" s="334"/>
      <c r="U48" s="334"/>
      <c r="V48" s="333"/>
      <c r="W48" s="334"/>
      <c r="X48" s="334"/>
      <c r="Y48" s="334"/>
      <c r="Z48" s="334"/>
      <c r="AA48" s="334"/>
      <c r="AB48" s="334"/>
      <c r="AC48" s="333"/>
      <c r="AD48" s="334"/>
      <c r="AE48" s="334"/>
      <c r="AF48" s="334"/>
      <c r="AG48" s="334"/>
      <c r="AH48" s="334"/>
      <c r="AI48" s="334"/>
      <c r="AJ48" s="334"/>
      <c r="AK48" s="334"/>
      <c r="AL48" s="334"/>
    </row>
    <row r="49" spans="1:38" ht="12">
      <c r="A49" s="337"/>
      <c r="G49" s="333"/>
      <c r="H49" s="333"/>
      <c r="I49" s="333"/>
      <c r="J49" s="334"/>
      <c r="K49" s="334"/>
      <c r="L49" s="334"/>
      <c r="M49" s="334"/>
      <c r="N49" s="334"/>
      <c r="O49" s="334"/>
      <c r="P49" s="334"/>
      <c r="Q49" s="335"/>
      <c r="R49" s="334"/>
      <c r="T49" s="334"/>
      <c r="U49" s="334"/>
      <c r="V49" s="333"/>
      <c r="W49" s="334"/>
      <c r="X49" s="334"/>
      <c r="Y49" s="334"/>
      <c r="Z49" s="334"/>
      <c r="AA49" s="334"/>
      <c r="AB49" s="334"/>
      <c r="AC49" s="333"/>
      <c r="AD49" s="334"/>
      <c r="AE49" s="334"/>
      <c r="AF49" s="334"/>
      <c r="AG49" s="334"/>
      <c r="AH49" s="334"/>
      <c r="AI49" s="334"/>
      <c r="AJ49" s="334"/>
      <c r="AK49" s="334"/>
      <c r="AL49" s="334"/>
    </row>
    <row r="50" spans="1:38" ht="12.75" thickBot="1">
      <c r="A50" s="337"/>
      <c r="F50" s="340">
        <f>SUM(F33:F48)</f>
        <v>65099493</v>
      </c>
      <c r="G50" s="340">
        <f>SUM(G33:G48)</f>
        <v>65099493</v>
      </c>
      <c r="H50" s="333"/>
      <c r="I50" s="333"/>
      <c r="J50" s="334"/>
      <c r="K50" s="334"/>
      <c r="L50" s="334"/>
      <c r="M50" s="334"/>
      <c r="N50" s="334"/>
      <c r="O50" s="334"/>
      <c r="P50" s="334"/>
      <c r="Q50" s="335"/>
      <c r="R50" s="334"/>
      <c r="T50" s="334"/>
      <c r="U50" s="334"/>
      <c r="V50" s="333"/>
      <c r="W50" s="334"/>
      <c r="X50" s="334"/>
      <c r="Y50" s="334"/>
      <c r="Z50" s="334"/>
      <c r="AA50" s="334"/>
      <c r="AB50" s="334"/>
      <c r="AC50" s="333"/>
      <c r="AD50" s="334"/>
      <c r="AE50" s="334"/>
      <c r="AF50" s="334"/>
      <c r="AG50" s="334"/>
      <c r="AH50" s="334"/>
      <c r="AI50" s="334"/>
      <c r="AJ50" s="334"/>
      <c r="AK50" s="334"/>
      <c r="AL50" s="334"/>
    </row>
    <row r="51" spans="1:38" ht="12.75" thickTop="1">
      <c r="A51" s="337"/>
      <c r="G51" s="333"/>
      <c r="H51" s="333"/>
      <c r="I51" s="333"/>
      <c r="J51" s="334"/>
      <c r="K51" s="334"/>
      <c r="L51" s="334"/>
      <c r="M51" s="334"/>
      <c r="N51" s="334"/>
      <c r="O51" s="334"/>
      <c r="P51" s="334"/>
      <c r="Q51" s="335"/>
      <c r="R51" s="334"/>
      <c r="T51" s="334"/>
      <c r="U51" s="334"/>
      <c r="V51" s="333"/>
      <c r="W51" s="334"/>
      <c r="X51" s="334"/>
      <c r="Y51" s="334"/>
      <c r="Z51" s="334"/>
      <c r="AA51" s="334"/>
      <c r="AB51" s="334"/>
      <c r="AC51" s="333"/>
      <c r="AD51" s="334"/>
      <c r="AE51" s="334"/>
      <c r="AF51" s="334"/>
      <c r="AG51" s="334"/>
      <c r="AH51" s="334"/>
      <c r="AI51" s="334"/>
      <c r="AJ51" s="334"/>
      <c r="AK51" s="334"/>
      <c r="AL51" s="334"/>
    </row>
    <row r="52" spans="1:38" ht="12">
      <c r="A52" s="337"/>
      <c r="G52" s="333"/>
      <c r="H52" s="333"/>
      <c r="I52" s="333"/>
      <c r="J52" s="334"/>
      <c r="K52" s="334"/>
      <c r="L52" s="334"/>
      <c r="M52" s="334"/>
      <c r="N52" s="334"/>
      <c r="O52" s="334"/>
      <c r="P52" s="334"/>
      <c r="Q52" s="335"/>
      <c r="R52" s="334"/>
      <c r="T52" s="334"/>
      <c r="U52" s="334"/>
      <c r="V52" s="333"/>
      <c r="W52" s="334"/>
      <c r="X52" s="334"/>
      <c r="Y52" s="334"/>
      <c r="Z52" s="334"/>
      <c r="AA52" s="334"/>
      <c r="AB52" s="334"/>
      <c r="AC52" s="333"/>
      <c r="AD52" s="334"/>
      <c r="AE52" s="334"/>
      <c r="AF52" s="334"/>
      <c r="AG52" s="334"/>
      <c r="AH52" s="334"/>
      <c r="AI52" s="334"/>
      <c r="AJ52" s="334"/>
      <c r="AK52" s="334"/>
      <c r="AL52" s="334"/>
    </row>
    <row r="53" spans="1:38" ht="12">
      <c r="A53" s="337" t="s">
        <v>684</v>
      </c>
      <c r="C53" s="300" t="s">
        <v>623</v>
      </c>
      <c r="D53" s="300" t="s">
        <v>670</v>
      </c>
      <c r="F53" s="301">
        <v>3000000</v>
      </c>
      <c r="G53" s="333"/>
      <c r="H53" s="333"/>
      <c r="I53" s="333"/>
      <c r="J53" s="334"/>
      <c r="K53" s="334">
        <f>+F53</f>
        <v>3000000</v>
      </c>
      <c r="L53" s="334"/>
      <c r="M53" s="334"/>
      <c r="N53" s="334"/>
      <c r="O53" s="334"/>
      <c r="P53" s="334"/>
      <c r="Q53" s="335"/>
      <c r="R53" s="334"/>
      <c r="T53" s="334"/>
      <c r="U53" s="334"/>
      <c r="V53" s="333"/>
      <c r="W53" s="334"/>
      <c r="X53" s="334"/>
      <c r="Y53" s="334"/>
      <c r="Z53" s="334"/>
      <c r="AA53" s="334"/>
      <c r="AB53" s="334"/>
      <c r="AC53" s="333"/>
      <c r="AD53" s="334"/>
      <c r="AE53" s="334"/>
      <c r="AF53" s="334"/>
      <c r="AG53" s="334"/>
      <c r="AH53" s="334"/>
      <c r="AI53" s="334"/>
      <c r="AJ53" s="334"/>
      <c r="AK53" s="334"/>
      <c r="AL53" s="334"/>
    </row>
    <row r="54" spans="1:38" ht="12">
      <c r="A54" s="337"/>
      <c r="D54" s="300" t="s">
        <v>685</v>
      </c>
      <c r="G54" s="333"/>
      <c r="H54" s="333"/>
      <c r="I54" s="333"/>
      <c r="J54" s="334"/>
      <c r="K54" s="334"/>
      <c r="L54" s="334"/>
      <c r="M54" s="334"/>
      <c r="N54" s="334"/>
      <c r="O54" s="334"/>
      <c r="P54" s="334"/>
      <c r="Q54" s="335"/>
      <c r="R54" s="334"/>
      <c r="T54" s="334"/>
      <c r="U54" s="334"/>
      <c r="V54" s="333"/>
      <c r="W54" s="334"/>
      <c r="X54" s="334"/>
      <c r="Y54" s="334"/>
      <c r="Z54" s="334"/>
      <c r="AA54" s="334"/>
      <c r="AB54" s="334"/>
      <c r="AC54" s="333"/>
      <c r="AD54" s="334"/>
      <c r="AE54" s="334"/>
      <c r="AF54" s="334"/>
      <c r="AG54" s="334"/>
      <c r="AH54" s="334"/>
      <c r="AI54" s="334"/>
      <c r="AJ54" s="334"/>
      <c r="AK54" s="334"/>
      <c r="AL54" s="334"/>
    </row>
    <row r="55" spans="1:38" ht="12">
      <c r="A55" s="337"/>
      <c r="C55" s="300" t="s">
        <v>623</v>
      </c>
      <c r="D55" s="300" t="s">
        <v>686</v>
      </c>
      <c r="G55" s="333"/>
      <c r="H55" s="333"/>
      <c r="I55" s="333"/>
      <c r="J55" s="334"/>
      <c r="K55" s="334"/>
      <c r="L55" s="334"/>
      <c r="M55" s="334"/>
      <c r="N55" s="334"/>
      <c r="O55" s="334">
        <f>+F55</f>
        <v>0</v>
      </c>
      <c r="P55" s="334"/>
      <c r="Q55" s="335"/>
      <c r="R55" s="334"/>
      <c r="T55" s="334"/>
      <c r="U55" s="334"/>
      <c r="V55" s="333"/>
      <c r="W55" s="334"/>
      <c r="X55" s="334"/>
      <c r="Y55" s="334"/>
      <c r="Z55" s="334"/>
      <c r="AA55" s="334"/>
      <c r="AB55" s="334"/>
      <c r="AC55" s="333"/>
      <c r="AD55" s="334"/>
      <c r="AE55" s="334"/>
      <c r="AF55" s="334"/>
      <c r="AG55" s="334"/>
      <c r="AH55" s="334"/>
      <c r="AI55" s="334"/>
      <c r="AJ55" s="334"/>
      <c r="AK55" s="334"/>
      <c r="AL55" s="334"/>
    </row>
    <row r="56" spans="1:38" ht="12">
      <c r="A56" s="337"/>
      <c r="D56" s="300" t="s">
        <v>687</v>
      </c>
      <c r="G56" s="333"/>
      <c r="H56" s="333"/>
      <c r="I56" s="333"/>
      <c r="J56" s="334"/>
      <c r="K56" s="334"/>
      <c r="L56" s="334"/>
      <c r="M56" s="334"/>
      <c r="N56" s="334"/>
      <c r="O56" s="334"/>
      <c r="P56" s="334"/>
      <c r="Q56" s="335"/>
      <c r="R56" s="334"/>
      <c r="T56" s="334"/>
      <c r="U56" s="334"/>
      <c r="V56" s="333"/>
      <c r="W56" s="334"/>
      <c r="X56" s="334"/>
      <c r="Y56" s="334"/>
      <c r="Z56" s="334"/>
      <c r="AA56" s="334"/>
      <c r="AB56" s="334"/>
      <c r="AC56" s="333"/>
      <c r="AD56" s="334"/>
      <c r="AE56" s="334"/>
      <c r="AF56" s="334"/>
      <c r="AG56" s="334"/>
      <c r="AH56" s="334"/>
      <c r="AI56" s="334"/>
      <c r="AJ56" s="334"/>
      <c r="AK56" s="334"/>
      <c r="AL56" s="334"/>
    </row>
    <row r="57" spans="1:38" ht="12">
      <c r="A57" s="337"/>
      <c r="D57" s="300" t="s">
        <v>688</v>
      </c>
      <c r="G57" s="333"/>
      <c r="H57" s="333"/>
      <c r="I57" s="333"/>
      <c r="J57" s="334"/>
      <c r="K57" s="334"/>
      <c r="L57" s="334"/>
      <c r="M57" s="334"/>
      <c r="N57" s="334"/>
      <c r="O57" s="334"/>
      <c r="P57" s="334"/>
      <c r="Q57" s="335"/>
      <c r="R57" s="334"/>
      <c r="T57" s="334"/>
      <c r="U57" s="334"/>
      <c r="V57" s="333"/>
      <c r="W57" s="334"/>
      <c r="X57" s="334"/>
      <c r="Y57" s="334"/>
      <c r="Z57" s="334"/>
      <c r="AA57" s="334"/>
      <c r="AB57" s="334"/>
      <c r="AC57" s="333"/>
      <c r="AD57" s="334"/>
      <c r="AE57" s="334"/>
      <c r="AF57" s="334"/>
      <c r="AG57" s="334"/>
      <c r="AH57" s="334"/>
      <c r="AI57" s="334"/>
      <c r="AJ57" s="334"/>
      <c r="AK57" s="334"/>
      <c r="AL57" s="334"/>
    </row>
    <row r="58" spans="1:38" ht="12">
      <c r="A58" s="337"/>
      <c r="C58" s="339" t="s">
        <v>624</v>
      </c>
      <c r="D58" s="339" t="s">
        <v>674</v>
      </c>
      <c r="E58" s="339"/>
      <c r="F58" s="364"/>
      <c r="G58" s="365">
        <v>3479378</v>
      </c>
      <c r="H58" s="333"/>
      <c r="I58" s="333"/>
      <c r="J58" s="334"/>
      <c r="K58" s="334"/>
      <c r="L58" s="334"/>
      <c r="M58" s="334">
        <f>-G58</f>
        <v>-3479378</v>
      </c>
      <c r="N58" s="334"/>
      <c r="O58" s="334"/>
      <c r="P58" s="334"/>
      <c r="Q58" s="335"/>
      <c r="R58" s="334"/>
      <c r="T58" s="334"/>
      <c r="U58" s="334"/>
      <c r="V58" s="333"/>
      <c r="W58" s="334"/>
      <c r="X58" s="334"/>
      <c r="Y58" s="334"/>
      <c r="Z58" s="334"/>
      <c r="AA58" s="334"/>
      <c r="AB58" s="334"/>
      <c r="AC58" s="333"/>
      <c r="AD58" s="334"/>
      <c r="AE58" s="334"/>
      <c r="AF58" s="334"/>
      <c r="AG58" s="334"/>
      <c r="AH58" s="334"/>
      <c r="AI58" s="334"/>
      <c r="AJ58" s="334"/>
      <c r="AK58" s="334"/>
      <c r="AL58" s="334"/>
    </row>
    <row r="59" spans="1:38" ht="12">
      <c r="A59" s="337"/>
      <c r="C59" s="339"/>
      <c r="D59" s="339" t="s">
        <v>675</v>
      </c>
      <c r="E59" s="339"/>
      <c r="F59" s="364"/>
      <c r="G59" s="366"/>
      <c r="H59" s="333"/>
      <c r="I59" s="333"/>
      <c r="J59" s="334"/>
      <c r="K59" s="334"/>
      <c r="L59" s="334"/>
      <c r="M59" s="334"/>
      <c r="N59" s="334"/>
      <c r="O59" s="334"/>
      <c r="P59" s="334"/>
      <c r="Q59" s="335"/>
      <c r="R59" s="334"/>
      <c r="T59" s="334"/>
      <c r="U59" s="334"/>
      <c r="V59" s="333"/>
      <c r="W59" s="334"/>
      <c r="X59" s="334"/>
      <c r="Y59" s="334"/>
      <c r="Z59" s="334"/>
      <c r="AA59" s="334"/>
      <c r="AB59" s="334"/>
      <c r="AC59" s="333"/>
      <c r="AD59" s="334"/>
      <c r="AE59" s="334"/>
      <c r="AF59" s="334"/>
      <c r="AG59" s="334"/>
      <c r="AH59" s="334"/>
      <c r="AI59" s="334"/>
      <c r="AJ59" s="334"/>
      <c r="AK59" s="334"/>
      <c r="AL59" s="334"/>
    </row>
    <row r="60" spans="1:38" ht="12">
      <c r="A60" s="337"/>
      <c r="C60" s="339"/>
      <c r="D60" s="339" t="s">
        <v>689</v>
      </c>
      <c r="E60" s="339"/>
      <c r="F60" s="364"/>
      <c r="G60" s="366"/>
      <c r="H60" s="333"/>
      <c r="I60" s="333"/>
      <c r="J60" s="334"/>
      <c r="K60" s="334"/>
      <c r="L60" s="334"/>
      <c r="M60" s="334"/>
      <c r="N60" s="334"/>
      <c r="O60" s="334"/>
      <c r="P60" s="334"/>
      <c r="Q60" s="335"/>
      <c r="R60" s="334"/>
      <c r="T60" s="334"/>
      <c r="U60" s="334"/>
      <c r="V60" s="333"/>
      <c r="W60" s="334"/>
      <c r="X60" s="334"/>
      <c r="Y60" s="334"/>
      <c r="Z60" s="334"/>
      <c r="AA60" s="334"/>
      <c r="AB60" s="334"/>
      <c r="AC60" s="333"/>
      <c r="AD60" s="334"/>
      <c r="AE60" s="334"/>
      <c r="AF60" s="334"/>
      <c r="AG60" s="334"/>
      <c r="AH60" s="334"/>
      <c r="AI60" s="334"/>
      <c r="AJ60" s="334"/>
      <c r="AK60" s="334"/>
      <c r="AL60" s="334"/>
    </row>
    <row r="61" spans="1:38" ht="12">
      <c r="A61" s="337"/>
      <c r="C61" s="339"/>
      <c r="D61" s="367" t="s">
        <v>690</v>
      </c>
      <c r="E61" s="367"/>
      <c r="F61" s="364"/>
      <c r="G61" s="366"/>
      <c r="H61" s="333"/>
      <c r="I61" s="333"/>
      <c r="J61" s="334"/>
      <c r="K61" s="334"/>
      <c r="L61" s="334"/>
      <c r="M61" s="334"/>
      <c r="N61" s="334"/>
      <c r="O61" s="334"/>
      <c r="P61" s="334"/>
      <c r="Q61" s="335"/>
      <c r="R61" s="334"/>
      <c r="T61" s="334"/>
      <c r="U61" s="334"/>
      <c r="V61" s="333"/>
      <c r="W61" s="334"/>
      <c r="X61" s="334"/>
      <c r="Y61" s="334"/>
      <c r="Z61" s="334"/>
      <c r="AA61" s="334"/>
      <c r="AB61" s="334"/>
      <c r="AC61" s="333"/>
      <c r="AD61" s="334"/>
      <c r="AE61" s="334"/>
      <c r="AF61" s="334"/>
      <c r="AG61" s="334"/>
      <c r="AH61" s="334"/>
      <c r="AI61" s="334"/>
      <c r="AJ61" s="334"/>
      <c r="AK61" s="334"/>
      <c r="AL61" s="334"/>
    </row>
    <row r="62" spans="1:38" ht="12">
      <c r="A62" s="337"/>
      <c r="C62" s="339" t="s">
        <v>624</v>
      </c>
      <c r="D62" s="367" t="s">
        <v>679</v>
      </c>
      <c r="E62" s="367"/>
      <c r="F62" s="364"/>
      <c r="G62" s="366"/>
      <c r="H62" s="333"/>
      <c r="I62" s="333"/>
      <c r="J62" s="334"/>
      <c r="K62" s="334"/>
      <c r="L62" s="334"/>
      <c r="M62" s="334"/>
      <c r="N62" s="334"/>
      <c r="O62" s="334"/>
      <c r="P62" s="334"/>
      <c r="Q62" s="335"/>
      <c r="R62" s="334"/>
      <c r="T62" s="334"/>
      <c r="U62" s="334"/>
      <c r="V62" s="333"/>
      <c r="W62" s="334"/>
      <c r="X62" s="334"/>
      <c r="Y62" s="334"/>
      <c r="Z62" s="334"/>
      <c r="AA62" s="334"/>
      <c r="AB62" s="334"/>
      <c r="AC62" s="333"/>
      <c r="AD62" s="334"/>
      <c r="AE62" s="334"/>
      <c r="AF62" s="334"/>
      <c r="AG62" s="334"/>
      <c r="AH62" s="334"/>
      <c r="AI62" s="334"/>
      <c r="AJ62" s="334"/>
      <c r="AK62" s="334"/>
      <c r="AL62" s="334"/>
    </row>
    <row r="63" spans="1:38" ht="12">
      <c r="A63" s="337"/>
      <c r="C63" s="339"/>
      <c r="D63" s="367" t="s">
        <v>691</v>
      </c>
      <c r="E63" s="367"/>
      <c r="F63" s="364"/>
      <c r="G63" s="365">
        <v>71564</v>
      </c>
      <c r="H63" s="333"/>
      <c r="I63" s="333"/>
      <c r="J63" s="334"/>
      <c r="K63" s="334"/>
      <c r="L63" s="334"/>
      <c r="M63" s="334">
        <f>-G63</f>
        <v>-71564</v>
      </c>
      <c r="N63" s="334"/>
      <c r="O63" s="334"/>
      <c r="P63" s="334"/>
      <c r="Q63" s="335"/>
      <c r="R63" s="334"/>
      <c r="T63" s="334"/>
      <c r="U63" s="334"/>
      <c r="V63" s="333"/>
      <c r="W63" s="334"/>
      <c r="X63" s="334"/>
      <c r="Y63" s="334"/>
      <c r="Z63" s="334"/>
      <c r="AA63" s="334"/>
      <c r="AB63" s="334"/>
      <c r="AC63" s="333"/>
      <c r="AD63" s="334"/>
      <c r="AE63" s="334"/>
      <c r="AF63" s="334"/>
      <c r="AG63" s="334"/>
      <c r="AH63" s="334"/>
      <c r="AI63" s="334"/>
      <c r="AJ63" s="334"/>
      <c r="AK63" s="334"/>
      <c r="AL63" s="334"/>
    </row>
    <row r="64" spans="1:38" ht="12">
      <c r="A64" s="337"/>
      <c r="C64" s="367" t="s">
        <v>623</v>
      </c>
      <c r="D64" s="367" t="s">
        <v>692</v>
      </c>
      <c r="E64" s="367"/>
      <c r="F64" s="368">
        <v>550942</v>
      </c>
      <c r="G64" s="365">
        <v>0</v>
      </c>
      <c r="H64" s="333"/>
      <c r="I64" s="333"/>
      <c r="J64" s="369">
        <f>+F64</f>
        <v>550942</v>
      </c>
      <c r="K64" s="334"/>
      <c r="L64" s="334"/>
      <c r="M64" s="334"/>
      <c r="N64" s="334"/>
      <c r="O64" s="334"/>
      <c r="P64" s="334"/>
      <c r="Q64" s="335"/>
      <c r="R64" s="334"/>
      <c r="T64" s="334"/>
      <c r="U64" s="334">
        <f>-G64*0+F64*0</f>
        <v>0</v>
      </c>
      <c r="V64" s="333"/>
      <c r="W64" s="334"/>
      <c r="X64" s="334"/>
      <c r="Y64" s="334"/>
      <c r="Z64" s="334"/>
      <c r="AA64" s="334"/>
      <c r="AB64" s="334"/>
      <c r="AC64" s="333"/>
      <c r="AD64" s="334"/>
      <c r="AE64" s="334"/>
      <c r="AF64" s="334"/>
      <c r="AG64" s="334"/>
      <c r="AH64" s="334"/>
      <c r="AI64" s="334"/>
      <c r="AJ64" s="334"/>
      <c r="AK64" s="334"/>
      <c r="AL64" s="334"/>
    </row>
    <row r="65" spans="1:38" ht="12">
      <c r="A65" s="337"/>
      <c r="G65" s="333"/>
      <c r="H65" s="333"/>
      <c r="I65" s="333"/>
      <c r="J65" s="334"/>
      <c r="K65" s="334"/>
      <c r="L65" s="334"/>
      <c r="M65" s="334"/>
      <c r="N65" s="334"/>
      <c r="O65" s="334"/>
      <c r="P65" s="334"/>
      <c r="Q65" s="335"/>
      <c r="R65" s="334"/>
      <c r="T65" s="334"/>
      <c r="U65" s="334"/>
      <c r="V65" s="333"/>
      <c r="W65" s="334"/>
      <c r="X65" s="334"/>
      <c r="Y65" s="334"/>
      <c r="Z65" s="334"/>
      <c r="AA65" s="334"/>
      <c r="AB65" s="334"/>
      <c r="AC65" s="333"/>
      <c r="AD65" s="334"/>
      <c r="AE65" s="334"/>
      <c r="AF65" s="334"/>
      <c r="AG65" s="334"/>
      <c r="AH65" s="334"/>
      <c r="AI65" s="334"/>
      <c r="AJ65" s="334"/>
      <c r="AK65" s="334"/>
      <c r="AL65" s="334"/>
    </row>
    <row r="66" spans="1:38" ht="12.75" thickBot="1">
      <c r="A66" s="337"/>
      <c r="F66" s="340">
        <f>SUM(F53:F64)</f>
        <v>3550942</v>
      </c>
      <c r="G66" s="340">
        <f>SUM(G53:G64)</f>
        <v>3550942</v>
      </c>
      <c r="H66" s="333"/>
      <c r="I66" s="333"/>
      <c r="J66" s="334"/>
      <c r="K66" s="334"/>
      <c r="L66" s="334"/>
      <c r="M66" s="334"/>
      <c r="N66" s="334"/>
      <c r="O66" s="334"/>
      <c r="P66" s="334"/>
      <c r="Q66" s="335"/>
      <c r="R66" s="334"/>
      <c r="T66" s="334"/>
      <c r="U66" s="334"/>
      <c r="V66" s="333"/>
      <c r="W66" s="334"/>
      <c r="X66" s="334"/>
      <c r="Y66" s="334"/>
      <c r="Z66" s="334"/>
      <c r="AA66" s="334"/>
      <c r="AB66" s="334"/>
      <c r="AC66" s="333"/>
      <c r="AD66" s="334"/>
      <c r="AE66" s="334"/>
      <c r="AF66" s="334"/>
      <c r="AG66" s="334"/>
      <c r="AH66" s="334"/>
      <c r="AI66" s="334"/>
      <c r="AJ66" s="334"/>
      <c r="AK66" s="334"/>
      <c r="AL66" s="334"/>
    </row>
    <row r="67" spans="1:38" ht="12.75" thickTop="1">
      <c r="A67" s="337"/>
      <c r="G67" s="333"/>
      <c r="H67" s="333"/>
      <c r="I67" s="333"/>
      <c r="J67" s="334"/>
      <c r="K67" s="334"/>
      <c r="L67" s="334"/>
      <c r="M67" s="334"/>
      <c r="N67" s="334"/>
      <c r="O67" s="334"/>
      <c r="P67" s="334"/>
      <c r="Q67" s="335"/>
      <c r="R67" s="334"/>
      <c r="T67" s="334"/>
      <c r="U67" s="334"/>
      <c r="V67" s="333"/>
      <c r="W67" s="334"/>
      <c r="X67" s="334"/>
      <c r="Y67" s="334"/>
      <c r="Z67" s="334"/>
      <c r="AA67" s="334"/>
      <c r="AB67" s="334"/>
      <c r="AC67" s="333"/>
      <c r="AD67" s="334"/>
      <c r="AE67" s="334"/>
      <c r="AF67" s="334"/>
      <c r="AG67" s="334"/>
      <c r="AH67" s="334"/>
      <c r="AI67" s="334"/>
      <c r="AJ67" s="334"/>
      <c r="AK67" s="334"/>
      <c r="AL67" s="334"/>
    </row>
    <row r="68" spans="1:38" ht="12">
      <c r="A68" s="337"/>
      <c r="B68" s="342"/>
      <c r="C68" s="299"/>
      <c r="G68" s="333"/>
      <c r="H68" s="333"/>
      <c r="I68" s="333"/>
      <c r="J68" s="334"/>
      <c r="K68" s="334"/>
      <c r="L68" s="334"/>
      <c r="M68" s="334"/>
      <c r="N68" s="334"/>
      <c r="O68" s="334"/>
      <c r="P68" s="334"/>
      <c r="R68" s="334"/>
      <c r="T68" s="334"/>
      <c r="U68" s="334"/>
      <c r="V68" s="333"/>
      <c r="W68" s="334"/>
      <c r="X68" s="334"/>
      <c r="Y68" s="334"/>
      <c r="Z68" s="334"/>
      <c r="AA68" s="334"/>
      <c r="AB68" s="334"/>
      <c r="AC68" s="333"/>
      <c r="AD68" s="334"/>
      <c r="AE68" s="334"/>
      <c r="AF68" s="334"/>
      <c r="AG68" s="334"/>
      <c r="AH68" s="334"/>
      <c r="AI68" s="334"/>
      <c r="AJ68" s="334"/>
      <c r="AK68" s="334"/>
      <c r="AL68" s="334"/>
    </row>
    <row r="69" spans="1:38" ht="12.75" thickBot="1">
      <c r="A69" s="370"/>
      <c r="B69" s="371"/>
      <c r="C69" s="312"/>
      <c r="D69" s="312"/>
      <c r="E69" s="312"/>
      <c r="F69" s="372"/>
      <c r="G69" s="373"/>
      <c r="H69" s="333"/>
      <c r="I69" s="333"/>
      <c r="J69" s="334"/>
      <c r="K69" s="334"/>
      <c r="L69" s="334"/>
      <c r="M69" s="334"/>
      <c r="N69" s="334"/>
      <c r="O69" s="334"/>
      <c r="P69" s="334"/>
      <c r="R69" s="334"/>
      <c r="T69" s="334"/>
      <c r="U69" s="334"/>
      <c r="V69" s="333"/>
      <c r="W69" s="334"/>
      <c r="X69" s="334"/>
      <c r="Y69" s="334"/>
      <c r="Z69" s="334"/>
      <c r="AA69" s="334"/>
      <c r="AB69" s="334"/>
      <c r="AC69" s="333"/>
      <c r="AD69" s="334"/>
      <c r="AE69" s="334"/>
      <c r="AF69" s="334"/>
      <c r="AG69" s="334"/>
      <c r="AH69" s="334"/>
      <c r="AI69" s="334"/>
      <c r="AJ69" s="334"/>
      <c r="AK69" s="334"/>
      <c r="AL69" s="334"/>
    </row>
    <row r="70" spans="1:38" ht="12">
      <c r="A70" s="337"/>
      <c r="B70" s="342"/>
      <c r="G70" s="333"/>
      <c r="H70" s="333"/>
      <c r="I70" s="333"/>
      <c r="J70" s="334"/>
      <c r="K70" s="334"/>
      <c r="L70" s="334"/>
      <c r="M70" s="334"/>
      <c r="N70" s="334"/>
      <c r="O70" s="334"/>
      <c r="P70" s="334"/>
      <c r="Q70" s="335"/>
      <c r="R70" s="334"/>
      <c r="T70" s="334"/>
      <c r="U70" s="334"/>
      <c r="V70" s="333"/>
      <c r="W70" s="334"/>
      <c r="X70" s="334"/>
      <c r="Y70" s="334"/>
      <c r="Z70" s="334"/>
      <c r="AA70" s="334"/>
      <c r="AB70" s="334"/>
      <c r="AC70" s="333"/>
      <c r="AD70" s="334"/>
      <c r="AE70" s="334"/>
      <c r="AF70" s="334"/>
      <c r="AG70" s="334"/>
      <c r="AH70" s="334"/>
      <c r="AI70" s="334"/>
      <c r="AJ70" s="334"/>
      <c r="AK70" s="334"/>
      <c r="AL70" s="334"/>
    </row>
    <row r="71" spans="1:38" ht="12">
      <c r="A71" s="374" t="s">
        <v>693</v>
      </c>
      <c r="B71" s="342"/>
      <c r="C71" s="375" t="s">
        <v>694</v>
      </c>
      <c r="D71" s="376"/>
      <c r="E71" s="376"/>
      <c r="G71" s="333"/>
      <c r="H71" s="333"/>
      <c r="I71" s="333"/>
      <c r="J71" s="334"/>
      <c r="K71" s="334"/>
      <c r="L71" s="334"/>
      <c r="M71" s="334"/>
      <c r="N71" s="334"/>
      <c r="O71" s="334"/>
      <c r="P71" s="334"/>
      <c r="Q71" s="335"/>
      <c r="R71" s="334"/>
      <c r="T71" s="334"/>
      <c r="U71" s="334"/>
      <c r="V71" s="333"/>
      <c r="W71" s="334"/>
      <c r="X71" s="334"/>
      <c r="Y71" s="334"/>
      <c r="Z71" s="334"/>
      <c r="AA71" s="334"/>
      <c r="AB71" s="334"/>
      <c r="AC71" s="333"/>
      <c r="AD71" s="334"/>
      <c r="AE71" s="334"/>
      <c r="AF71" s="334"/>
      <c r="AG71" s="334"/>
      <c r="AH71" s="334"/>
      <c r="AI71" s="334"/>
      <c r="AJ71" s="334"/>
      <c r="AK71" s="334"/>
      <c r="AL71" s="334"/>
    </row>
    <row r="72" spans="1:38" ht="12">
      <c r="A72" s="337"/>
      <c r="B72" s="342"/>
      <c r="C72" s="338"/>
      <c r="G72" s="333"/>
      <c r="H72" s="333"/>
      <c r="I72" s="333"/>
      <c r="J72" s="334"/>
      <c r="K72" s="334"/>
      <c r="L72" s="334"/>
      <c r="M72" s="334"/>
      <c r="N72" s="334"/>
      <c r="O72" s="334"/>
      <c r="P72" s="334"/>
      <c r="Q72" s="335"/>
      <c r="R72" s="334"/>
      <c r="T72" s="334"/>
      <c r="U72" s="334"/>
      <c r="V72" s="333"/>
      <c r="W72" s="334"/>
      <c r="X72" s="334"/>
      <c r="Y72" s="334"/>
      <c r="Z72" s="334"/>
      <c r="AA72" s="334"/>
      <c r="AB72" s="334"/>
      <c r="AC72" s="333"/>
      <c r="AD72" s="334"/>
      <c r="AE72" s="334"/>
      <c r="AF72" s="334"/>
      <c r="AG72" s="334"/>
      <c r="AH72" s="334"/>
      <c r="AI72" s="334"/>
      <c r="AJ72" s="334"/>
      <c r="AK72" s="334"/>
      <c r="AL72" s="334"/>
    </row>
    <row r="73" spans="1:81" s="380" customFormat="1" ht="12">
      <c r="A73" s="337"/>
      <c r="B73" s="342"/>
      <c r="C73" s="300"/>
      <c r="D73" s="300"/>
      <c r="E73" s="297"/>
      <c r="F73" s="301"/>
      <c r="G73" s="333"/>
      <c r="H73" s="333"/>
      <c r="I73" s="333"/>
      <c r="J73" s="334"/>
      <c r="K73" s="334"/>
      <c r="L73" s="334"/>
      <c r="M73" s="334"/>
      <c r="N73" s="334"/>
      <c r="O73" s="334"/>
      <c r="P73" s="334"/>
      <c r="Q73" s="335"/>
      <c r="R73" s="334"/>
      <c r="S73" s="301"/>
      <c r="T73" s="334"/>
      <c r="U73" s="334"/>
      <c r="V73" s="333"/>
      <c r="W73" s="334"/>
      <c r="X73" s="334"/>
      <c r="Y73" s="334"/>
      <c r="Z73" s="334"/>
      <c r="AA73" s="334"/>
      <c r="AB73" s="334"/>
      <c r="AC73" s="333"/>
      <c r="AD73" s="334"/>
      <c r="AE73" s="334"/>
      <c r="AF73" s="334"/>
      <c r="AG73" s="334"/>
      <c r="AH73" s="334"/>
      <c r="AI73" s="334"/>
      <c r="AJ73" s="334"/>
      <c r="AK73" s="334"/>
      <c r="AL73" s="334">
        <f>G73</f>
        <v>0</v>
      </c>
      <c r="AM73" s="301"/>
      <c r="AN73" s="377"/>
      <c r="AO73" s="377"/>
      <c r="AP73" s="377"/>
      <c r="AQ73" s="377"/>
      <c r="AR73" s="377"/>
      <c r="AS73" s="377"/>
      <c r="AT73" s="377"/>
      <c r="AU73" s="377"/>
      <c r="AV73" s="377"/>
      <c r="AW73" s="377"/>
      <c r="AX73" s="377"/>
      <c r="AY73" s="377"/>
      <c r="AZ73" s="377"/>
      <c r="BA73" s="377"/>
      <c r="BB73" s="377"/>
      <c r="BC73" s="377"/>
      <c r="BD73" s="377"/>
      <c r="BE73" s="378"/>
      <c r="BF73" s="378"/>
      <c r="BG73" s="378"/>
      <c r="BH73" s="378"/>
      <c r="BI73" s="378"/>
      <c r="BJ73" s="378"/>
      <c r="BK73" s="378"/>
      <c r="BL73" s="378"/>
      <c r="BM73" s="378"/>
      <c r="BN73" s="378"/>
      <c r="BO73" s="378"/>
      <c r="BP73" s="378"/>
      <c r="BQ73" s="378"/>
      <c r="BR73" s="378"/>
      <c r="BS73" s="378"/>
      <c r="BT73" s="379"/>
      <c r="BU73" s="379"/>
      <c r="BV73" s="379"/>
      <c r="BW73" s="379"/>
      <c r="BX73" s="379"/>
      <c r="BY73" s="379"/>
      <c r="BZ73" s="379"/>
      <c r="CA73" s="379"/>
      <c r="CB73" s="379"/>
      <c r="CC73" s="379"/>
    </row>
    <row r="74" spans="1:81" s="380" customFormat="1" ht="12">
      <c r="A74" s="337" t="s">
        <v>695</v>
      </c>
      <c r="B74" s="342"/>
      <c r="C74" s="300" t="s">
        <v>623</v>
      </c>
      <c r="D74" s="300" t="s">
        <v>696</v>
      </c>
      <c r="E74" s="297"/>
      <c r="F74" s="301">
        <f>F84+F90</f>
        <v>37583448</v>
      </c>
      <c r="G74" s="333"/>
      <c r="H74" s="333"/>
      <c r="I74" s="333"/>
      <c r="J74" s="334"/>
      <c r="K74" s="334"/>
      <c r="L74" s="334"/>
      <c r="M74" s="334">
        <f>F74</f>
        <v>37583448</v>
      </c>
      <c r="N74" s="334"/>
      <c r="O74" s="334"/>
      <c r="P74" s="334"/>
      <c r="Q74" s="335"/>
      <c r="R74" s="334"/>
      <c r="S74" s="301"/>
      <c r="T74" s="334"/>
      <c r="U74" s="334"/>
      <c r="V74" s="333"/>
      <c r="W74" s="334"/>
      <c r="X74" s="334"/>
      <c r="Y74" s="334"/>
      <c r="Z74" s="334"/>
      <c r="AA74" s="334"/>
      <c r="AB74" s="334"/>
      <c r="AC74" s="333"/>
      <c r="AD74" s="334"/>
      <c r="AE74" s="334"/>
      <c r="AF74" s="334"/>
      <c r="AG74" s="334"/>
      <c r="AH74" s="334"/>
      <c r="AI74" s="334"/>
      <c r="AJ74" s="334"/>
      <c r="AK74" s="334"/>
      <c r="AL74" s="334"/>
      <c r="AM74" s="301"/>
      <c r="AN74" s="377"/>
      <c r="AO74" s="377"/>
      <c r="AP74" s="377"/>
      <c r="AQ74" s="377"/>
      <c r="AR74" s="377"/>
      <c r="AS74" s="377"/>
      <c r="AT74" s="377"/>
      <c r="AU74" s="377"/>
      <c r="AV74" s="377"/>
      <c r="AW74" s="377"/>
      <c r="AX74" s="377"/>
      <c r="AY74" s="377"/>
      <c r="AZ74" s="377"/>
      <c r="BA74" s="377"/>
      <c r="BB74" s="377"/>
      <c r="BC74" s="377"/>
      <c r="BD74" s="377"/>
      <c r="BE74" s="378"/>
      <c r="BF74" s="378"/>
      <c r="BG74" s="378"/>
      <c r="BH74" s="378"/>
      <c r="BI74" s="378"/>
      <c r="BJ74" s="378"/>
      <c r="BK74" s="378"/>
      <c r="BL74" s="378"/>
      <c r="BM74" s="378"/>
      <c r="BN74" s="378"/>
      <c r="BO74" s="378"/>
      <c r="BP74" s="378"/>
      <c r="BQ74" s="378"/>
      <c r="BR74" s="378"/>
      <c r="BS74" s="378"/>
      <c r="BT74" s="379"/>
      <c r="BU74" s="379"/>
      <c r="BV74" s="379"/>
      <c r="BW74" s="379"/>
      <c r="BX74" s="379"/>
      <c r="BY74" s="379"/>
      <c r="BZ74" s="379"/>
      <c r="CA74" s="379"/>
      <c r="CB74" s="379"/>
      <c r="CC74" s="379"/>
    </row>
    <row r="75" spans="1:81" s="380" customFormat="1" ht="12">
      <c r="A75" s="337"/>
      <c r="B75" s="342"/>
      <c r="C75" s="300" t="s">
        <v>624</v>
      </c>
      <c r="D75" s="300" t="s">
        <v>697</v>
      </c>
      <c r="E75" s="297"/>
      <c r="F75" s="301"/>
      <c r="G75" s="333">
        <f>F73+F74</f>
        <v>37583448</v>
      </c>
      <c r="H75" s="333"/>
      <c r="I75" s="333"/>
      <c r="J75" s="334">
        <f>-G75</f>
        <v>-37583448</v>
      </c>
      <c r="K75" s="334"/>
      <c r="L75" s="334"/>
      <c r="M75" s="334"/>
      <c r="N75" s="334"/>
      <c r="O75" s="334"/>
      <c r="P75" s="334"/>
      <c r="Q75" s="335"/>
      <c r="R75" s="334"/>
      <c r="S75" s="301"/>
      <c r="T75" s="334"/>
      <c r="U75" s="334"/>
      <c r="V75" s="333"/>
      <c r="W75" s="334"/>
      <c r="X75" s="334"/>
      <c r="Y75" s="334"/>
      <c r="Z75" s="334"/>
      <c r="AA75" s="334"/>
      <c r="AB75" s="334"/>
      <c r="AC75" s="333"/>
      <c r="AD75" s="334"/>
      <c r="AE75" s="334"/>
      <c r="AF75" s="334"/>
      <c r="AG75" s="334"/>
      <c r="AH75" s="334"/>
      <c r="AI75" s="334"/>
      <c r="AJ75" s="334"/>
      <c r="AK75" s="334"/>
      <c r="AL75" s="334"/>
      <c r="AM75" s="301"/>
      <c r="AN75" s="377"/>
      <c r="AO75" s="377"/>
      <c r="AP75" s="377"/>
      <c r="AQ75" s="377"/>
      <c r="AR75" s="377"/>
      <c r="AS75" s="377"/>
      <c r="AT75" s="377"/>
      <c r="AU75" s="377"/>
      <c r="AV75" s="377"/>
      <c r="AW75" s="377"/>
      <c r="AX75" s="377"/>
      <c r="AY75" s="377"/>
      <c r="AZ75" s="377"/>
      <c r="BA75" s="377"/>
      <c r="BB75" s="377"/>
      <c r="BC75" s="377"/>
      <c r="BD75" s="377"/>
      <c r="BE75" s="378"/>
      <c r="BF75" s="378"/>
      <c r="BG75" s="378"/>
      <c r="BH75" s="378"/>
      <c r="BI75" s="378"/>
      <c r="BJ75" s="378"/>
      <c r="BK75" s="378"/>
      <c r="BL75" s="378"/>
      <c r="BM75" s="378"/>
      <c r="BN75" s="378"/>
      <c r="BO75" s="378"/>
      <c r="BP75" s="378"/>
      <c r="BQ75" s="378"/>
      <c r="BR75" s="378"/>
      <c r="BS75" s="378"/>
      <c r="BT75" s="379"/>
      <c r="BU75" s="379"/>
      <c r="BV75" s="379"/>
      <c r="BW75" s="379"/>
      <c r="BX75" s="379"/>
      <c r="BY75" s="379"/>
      <c r="BZ75" s="379"/>
      <c r="CA75" s="379"/>
      <c r="CB75" s="379"/>
      <c r="CC75" s="379"/>
    </row>
    <row r="76" spans="1:81" s="380" customFormat="1" ht="12">
      <c r="A76" s="337"/>
      <c r="B76" s="342"/>
      <c r="C76" s="300"/>
      <c r="D76" s="300"/>
      <c r="E76" s="297"/>
      <c r="F76" s="357"/>
      <c r="G76" s="381"/>
      <c r="H76" s="381"/>
      <c r="I76" s="381"/>
      <c r="J76" s="382"/>
      <c r="K76" s="382"/>
      <c r="L76" s="382"/>
      <c r="M76" s="382"/>
      <c r="N76" s="382"/>
      <c r="O76" s="382"/>
      <c r="P76" s="382"/>
      <c r="Q76" s="383"/>
      <c r="R76" s="382"/>
      <c r="S76" s="357"/>
      <c r="T76" s="382"/>
      <c r="U76" s="382"/>
      <c r="V76" s="381"/>
      <c r="W76" s="382"/>
      <c r="X76" s="382"/>
      <c r="Y76" s="382"/>
      <c r="Z76" s="382"/>
      <c r="AA76" s="382"/>
      <c r="AB76" s="382"/>
      <c r="AC76" s="381"/>
      <c r="AD76" s="382"/>
      <c r="AE76" s="382"/>
      <c r="AF76" s="382"/>
      <c r="AG76" s="382"/>
      <c r="AH76" s="382"/>
      <c r="AI76" s="382"/>
      <c r="AJ76" s="382"/>
      <c r="AK76" s="382"/>
      <c r="AL76" s="334"/>
      <c r="AM76" s="301"/>
      <c r="AN76" s="377"/>
      <c r="AO76" s="377"/>
      <c r="AP76" s="377"/>
      <c r="AQ76" s="377"/>
      <c r="AR76" s="377"/>
      <c r="AS76" s="377"/>
      <c r="AT76" s="377"/>
      <c r="AU76" s="377"/>
      <c r="AV76" s="377"/>
      <c r="AW76" s="377"/>
      <c r="AX76" s="377"/>
      <c r="AY76" s="377"/>
      <c r="AZ76" s="377"/>
      <c r="BA76" s="377"/>
      <c r="BB76" s="377"/>
      <c r="BC76" s="377"/>
      <c r="BD76" s="377"/>
      <c r="BE76" s="378"/>
      <c r="BF76" s="378"/>
      <c r="BG76" s="378"/>
      <c r="BH76" s="378"/>
      <c r="BI76" s="378"/>
      <c r="BJ76" s="378"/>
      <c r="BK76" s="378"/>
      <c r="BL76" s="378"/>
      <c r="BM76" s="378"/>
      <c r="BN76" s="378"/>
      <c r="BO76" s="378"/>
      <c r="BP76" s="378"/>
      <c r="BQ76" s="378"/>
      <c r="BR76" s="378"/>
      <c r="BS76" s="378"/>
      <c r="BT76" s="379"/>
      <c r="BU76" s="379"/>
      <c r="BV76" s="379"/>
      <c r="BW76" s="379"/>
      <c r="BX76" s="379"/>
      <c r="BY76" s="379"/>
      <c r="BZ76" s="379"/>
      <c r="CA76" s="379"/>
      <c r="CB76" s="379"/>
      <c r="CC76" s="379"/>
    </row>
    <row r="77" spans="1:81" s="380" customFormat="1" ht="12">
      <c r="A77" s="337"/>
      <c r="B77" s="384"/>
      <c r="C77" s="385" t="s">
        <v>698</v>
      </c>
      <c r="D77" s="300"/>
      <c r="E77" s="297"/>
      <c r="F77" s="357"/>
      <c r="G77" s="381"/>
      <c r="H77" s="381"/>
      <c r="I77" s="381"/>
      <c r="J77" s="382"/>
      <c r="K77" s="382"/>
      <c r="L77" s="382"/>
      <c r="M77" s="382"/>
      <c r="N77" s="382"/>
      <c r="O77" s="382"/>
      <c r="P77" s="382"/>
      <c r="Q77" s="383"/>
      <c r="R77" s="382"/>
      <c r="S77" s="357"/>
      <c r="T77" s="382"/>
      <c r="U77" s="382"/>
      <c r="V77" s="381"/>
      <c r="W77" s="382"/>
      <c r="X77" s="382"/>
      <c r="Y77" s="382"/>
      <c r="Z77" s="382"/>
      <c r="AA77" s="382"/>
      <c r="AB77" s="382"/>
      <c r="AC77" s="381"/>
      <c r="AD77" s="382"/>
      <c r="AE77" s="382"/>
      <c r="AF77" s="382"/>
      <c r="AG77" s="382"/>
      <c r="AH77" s="382"/>
      <c r="AI77" s="382"/>
      <c r="AJ77" s="382"/>
      <c r="AK77" s="382"/>
      <c r="AL77" s="334"/>
      <c r="AM77" s="301"/>
      <c r="AN77" s="377"/>
      <c r="AO77" s="377"/>
      <c r="AP77" s="377"/>
      <c r="AQ77" s="377"/>
      <c r="AR77" s="377"/>
      <c r="AS77" s="377"/>
      <c r="AT77" s="377"/>
      <c r="AU77" s="377"/>
      <c r="AV77" s="377"/>
      <c r="AW77" s="377"/>
      <c r="AX77" s="377"/>
      <c r="AY77" s="377"/>
      <c r="AZ77" s="377"/>
      <c r="BA77" s="377"/>
      <c r="BB77" s="377"/>
      <c r="BC77" s="377"/>
      <c r="BD77" s="377"/>
      <c r="BE77" s="378"/>
      <c r="BF77" s="378"/>
      <c r="BG77" s="378"/>
      <c r="BH77" s="378"/>
      <c r="BI77" s="378"/>
      <c r="BJ77" s="378"/>
      <c r="BK77" s="378"/>
      <c r="BL77" s="378"/>
      <c r="BM77" s="378"/>
      <c r="BN77" s="378"/>
      <c r="BO77" s="378"/>
      <c r="BP77" s="378"/>
      <c r="BQ77" s="378"/>
      <c r="BR77" s="378"/>
      <c r="BS77" s="378"/>
      <c r="BT77" s="379"/>
      <c r="BU77" s="379"/>
      <c r="BV77" s="379"/>
      <c r="BW77" s="379"/>
      <c r="BX77" s="379"/>
      <c r="BY77" s="379"/>
      <c r="BZ77" s="379"/>
      <c r="CA77" s="379"/>
      <c r="CB77" s="379"/>
      <c r="CC77" s="379"/>
    </row>
    <row r="78" spans="1:81" s="380" customFormat="1" ht="12">
      <c r="A78" s="337"/>
      <c r="B78" s="384"/>
      <c r="C78" s="385" t="s">
        <v>699</v>
      </c>
      <c r="D78" s="300"/>
      <c r="E78" s="297"/>
      <c r="F78" s="357"/>
      <c r="G78" s="381"/>
      <c r="H78" s="381"/>
      <c r="I78" s="381"/>
      <c r="J78" s="382"/>
      <c r="K78" s="382"/>
      <c r="L78" s="382"/>
      <c r="M78" s="382"/>
      <c r="N78" s="382"/>
      <c r="O78" s="382"/>
      <c r="P78" s="382"/>
      <c r="Q78" s="383"/>
      <c r="R78" s="382"/>
      <c r="S78" s="357"/>
      <c r="T78" s="382"/>
      <c r="U78" s="382"/>
      <c r="V78" s="381"/>
      <c r="W78" s="382"/>
      <c r="X78" s="382"/>
      <c r="Y78" s="382"/>
      <c r="Z78" s="382"/>
      <c r="AA78" s="382"/>
      <c r="AB78" s="382"/>
      <c r="AC78" s="381"/>
      <c r="AD78" s="382"/>
      <c r="AE78" s="382"/>
      <c r="AF78" s="382"/>
      <c r="AG78" s="382"/>
      <c r="AH78" s="382"/>
      <c r="AI78" s="382"/>
      <c r="AJ78" s="382"/>
      <c r="AK78" s="382"/>
      <c r="AL78" s="334"/>
      <c r="AM78" s="301"/>
      <c r="AN78" s="377"/>
      <c r="AO78" s="377"/>
      <c r="AP78" s="377"/>
      <c r="AQ78" s="377"/>
      <c r="AR78" s="377"/>
      <c r="AS78" s="377"/>
      <c r="AT78" s="377"/>
      <c r="AU78" s="377"/>
      <c r="AV78" s="377"/>
      <c r="AW78" s="377"/>
      <c r="AX78" s="377"/>
      <c r="AY78" s="377"/>
      <c r="AZ78" s="377"/>
      <c r="BA78" s="377"/>
      <c r="BB78" s="377"/>
      <c r="BC78" s="377"/>
      <c r="BD78" s="377"/>
      <c r="BE78" s="378"/>
      <c r="BF78" s="378"/>
      <c r="BG78" s="378"/>
      <c r="BH78" s="378"/>
      <c r="BI78" s="378"/>
      <c r="BJ78" s="378"/>
      <c r="BK78" s="378"/>
      <c r="BL78" s="378"/>
      <c r="BM78" s="378"/>
      <c r="BN78" s="378"/>
      <c r="BO78" s="378"/>
      <c r="BP78" s="378"/>
      <c r="BQ78" s="378"/>
      <c r="BR78" s="378"/>
      <c r="BS78" s="378"/>
      <c r="BT78" s="379"/>
      <c r="BU78" s="379"/>
      <c r="BV78" s="379"/>
      <c r="BW78" s="379"/>
      <c r="BX78" s="379"/>
      <c r="BY78" s="379"/>
      <c r="BZ78" s="379"/>
      <c r="CA78" s="379"/>
      <c r="CB78" s="379"/>
      <c r="CC78" s="379"/>
    </row>
    <row r="79" spans="1:81" s="380" customFormat="1" ht="12">
      <c r="A79" s="337"/>
      <c r="B79" s="342"/>
      <c r="C79" s="300">
        <v>2001</v>
      </c>
      <c r="D79" s="300" t="s">
        <v>700</v>
      </c>
      <c r="E79" s="297"/>
      <c r="F79" s="357">
        <v>4647254</v>
      </c>
      <c r="G79" s="381"/>
      <c r="H79" s="381"/>
      <c r="I79" s="381"/>
      <c r="J79" s="382"/>
      <c r="K79" s="382"/>
      <c r="L79" s="382"/>
      <c r="M79" s="382"/>
      <c r="N79" s="382"/>
      <c r="O79" s="382"/>
      <c r="P79" s="382"/>
      <c r="Q79" s="383"/>
      <c r="R79" s="382"/>
      <c r="S79" s="357"/>
      <c r="T79" s="382"/>
      <c r="U79" s="382"/>
      <c r="V79" s="381"/>
      <c r="W79" s="382"/>
      <c r="X79" s="382"/>
      <c r="Y79" s="382"/>
      <c r="Z79" s="382"/>
      <c r="AA79" s="382"/>
      <c r="AB79" s="382"/>
      <c r="AC79" s="381"/>
      <c r="AD79" s="382"/>
      <c r="AE79" s="382"/>
      <c r="AF79" s="382"/>
      <c r="AG79" s="382"/>
      <c r="AH79" s="382"/>
      <c r="AI79" s="382"/>
      <c r="AJ79" s="382"/>
      <c r="AK79" s="382"/>
      <c r="AL79" s="334"/>
      <c r="AM79" s="301"/>
      <c r="AN79" s="377"/>
      <c r="AO79" s="377"/>
      <c r="AP79" s="377"/>
      <c r="AQ79" s="377"/>
      <c r="AR79" s="377"/>
      <c r="AS79" s="377"/>
      <c r="AT79" s="377"/>
      <c r="AU79" s="377"/>
      <c r="AV79" s="377"/>
      <c r="AW79" s="377"/>
      <c r="AX79" s="377"/>
      <c r="AY79" s="377"/>
      <c r="AZ79" s="377"/>
      <c r="BA79" s="377"/>
      <c r="BB79" s="377"/>
      <c r="BC79" s="377"/>
      <c r="BD79" s="377"/>
      <c r="BE79" s="378"/>
      <c r="BF79" s="378"/>
      <c r="BG79" s="378"/>
      <c r="BH79" s="378"/>
      <c r="BI79" s="378"/>
      <c r="BJ79" s="378"/>
      <c r="BK79" s="378"/>
      <c r="BL79" s="378"/>
      <c r="BM79" s="378"/>
      <c r="BN79" s="378"/>
      <c r="BO79" s="378"/>
      <c r="BP79" s="378"/>
      <c r="BQ79" s="378"/>
      <c r="BR79" s="378"/>
      <c r="BS79" s="378"/>
      <c r="BT79" s="379"/>
      <c r="BU79" s="379"/>
      <c r="BV79" s="379"/>
      <c r="BW79" s="379"/>
      <c r="BX79" s="379"/>
      <c r="BY79" s="379"/>
      <c r="BZ79" s="379"/>
      <c r="CA79" s="379"/>
      <c r="CB79" s="379"/>
      <c r="CC79" s="379"/>
    </row>
    <row r="80" spans="1:81" s="380" customFormat="1" ht="12">
      <c r="A80" s="337"/>
      <c r="B80" s="342"/>
      <c r="C80" s="300">
        <v>2001</v>
      </c>
      <c r="D80" s="386" t="s">
        <v>701</v>
      </c>
      <c r="E80" s="297"/>
      <c r="F80" s="357">
        <f>7435606-F79</f>
        <v>2788352</v>
      </c>
      <c r="G80" s="381"/>
      <c r="H80" s="381"/>
      <c r="I80" s="381"/>
      <c r="J80" s="382"/>
      <c r="K80" s="382"/>
      <c r="L80" s="382"/>
      <c r="M80" s="382"/>
      <c r="N80" s="382"/>
      <c r="O80" s="382"/>
      <c r="P80" s="382"/>
      <c r="Q80" s="383"/>
      <c r="R80" s="382"/>
      <c r="S80" s="357"/>
      <c r="T80" s="382"/>
      <c r="U80" s="382"/>
      <c r="V80" s="381"/>
      <c r="W80" s="382"/>
      <c r="X80" s="382"/>
      <c r="Y80" s="382"/>
      <c r="Z80" s="382"/>
      <c r="AA80" s="382"/>
      <c r="AB80" s="382"/>
      <c r="AC80" s="381"/>
      <c r="AD80" s="382"/>
      <c r="AE80" s="382"/>
      <c r="AF80" s="382"/>
      <c r="AG80" s="382"/>
      <c r="AH80" s="382"/>
      <c r="AI80" s="382"/>
      <c r="AJ80" s="382"/>
      <c r="AK80" s="382"/>
      <c r="AL80" s="334"/>
      <c r="AM80" s="301"/>
      <c r="AN80" s="377"/>
      <c r="AO80" s="377"/>
      <c r="AP80" s="377"/>
      <c r="AQ80" s="377"/>
      <c r="AR80" s="377"/>
      <c r="AS80" s="377"/>
      <c r="AT80" s="377"/>
      <c r="AU80" s="377"/>
      <c r="AV80" s="377"/>
      <c r="AW80" s="377"/>
      <c r="AX80" s="377"/>
      <c r="AY80" s="377"/>
      <c r="AZ80" s="377"/>
      <c r="BA80" s="377"/>
      <c r="BB80" s="377"/>
      <c r="BC80" s="377"/>
      <c r="BD80" s="377"/>
      <c r="BE80" s="378"/>
      <c r="BF80" s="378"/>
      <c r="BG80" s="378"/>
      <c r="BH80" s="378"/>
      <c r="BI80" s="378"/>
      <c r="BJ80" s="378"/>
      <c r="BK80" s="378"/>
      <c r="BL80" s="378"/>
      <c r="BM80" s="378"/>
      <c r="BN80" s="378"/>
      <c r="BO80" s="378"/>
      <c r="BP80" s="378"/>
      <c r="BQ80" s="378"/>
      <c r="BR80" s="378"/>
      <c r="BS80" s="378"/>
      <c r="BT80" s="379"/>
      <c r="BU80" s="379"/>
      <c r="BV80" s="379"/>
      <c r="BW80" s="379"/>
      <c r="BX80" s="379"/>
      <c r="BY80" s="379"/>
      <c r="BZ80" s="379"/>
      <c r="CA80" s="379"/>
      <c r="CB80" s="379"/>
      <c r="CC80" s="379"/>
    </row>
    <row r="81" spans="1:81" s="380" customFormat="1" ht="12">
      <c r="A81" s="337"/>
      <c r="B81" s="342"/>
      <c r="C81" s="300">
        <v>2002</v>
      </c>
      <c r="D81" s="387" t="s">
        <v>702</v>
      </c>
      <c r="E81" s="297"/>
      <c r="F81" s="357">
        <f>ROUND(198282817/20,0)-1</f>
        <v>9914140</v>
      </c>
      <c r="G81" s="381">
        <f>F80+F81</f>
        <v>12702492</v>
      </c>
      <c r="H81" s="381"/>
      <c r="I81" s="381"/>
      <c r="J81" s="382"/>
      <c r="K81" s="382"/>
      <c r="L81" s="382"/>
      <c r="M81" s="382"/>
      <c r="N81" s="382"/>
      <c r="O81" s="382"/>
      <c r="P81" s="382"/>
      <c r="Q81" s="383"/>
      <c r="R81" s="382"/>
      <c r="S81" s="357"/>
      <c r="T81" s="382"/>
      <c r="U81" s="382"/>
      <c r="V81" s="381"/>
      <c r="W81" s="382"/>
      <c r="X81" s="382"/>
      <c r="Y81" s="382"/>
      <c r="Z81" s="382"/>
      <c r="AA81" s="382"/>
      <c r="AB81" s="382"/>
      <c r="AC81" s="381"/>
      <c r="AD81" s="382"/>
      <c r="AE81" s="382"/>
      <c r="AF81" s="382"/>
      <c r="AG81" s="382"/>
      <c r="AH81" s="382"/>
      <c r="AI81" s="382"/>
      <c r="AJ81" s="382"/>
      <c r="AK81" s="382"/>
      <c r="AL81" s="334"/>
      <c r="AM81" s="301"/>
      <c r="AN81" s="377"/>
      <c r="AO81" s="377"/>
      <c r="AP81" s="377"/>
      <c r="AQ81" s="377"/>
      <c r="AR81" s="377"/>
      <c r="AS81" s="377"/>
      <c r="AT81" s="377"/>
      <c r="AU81" s="377"/>
      <c r="AV81" s="377"/>
      <c r="AW81" s="377"/>
      <c r="AX81" s="377"/>
      <c r="AY81" s="377"/>
      <c r="AZ81" s="377"/>
      <c r="BA81" s="377"/>
      <c r="BB81" s="377"/>
      <c r="BC81" s="377"/>
      <c r="BD81" s="377"/>
      <c r="BE81" s="378"/>
      <c r="BF81" s="378"/>
      <c r="BG81" s="378"/>
      <c r="BH81" s="378"/>
      <c r="BI81" s="378"/>
      <c r="BJ81" s="378"/>
      <c r="BK81" s="378"/>
      <c r="BL81" s="378"/>
      <c r="BM81" s="378"/>
      <c r="BN81" s="378"/>
      <c r="BO81" s="378"/>
      <c r="BP81" s="378"/>
      <c r="BQ81" s="378"/>
      <c r="BR81" s="378"/>
      <c r="BS81" s="378"/>
      <c r="BT81" s="379"/>
      <c r="BU81" s="379"/>
      <c r="BV81" s="379"/>
      <c r="BW81" s="379"/>
      <c r="BX81" s="379"/>
      <c r="BY81" s="379"/>
      <c r="BZ81" s="379"/>
      <c r="CA81" s="379"/>
      <c r="CB81" s="379"/>
      <c r="CC81" s="379"/>
    </row>
    <row r="82" spans="1:81" s="380" customFormat="1" ht="12">
      <c r="A82" s="337"/>
      <c r="B82" s="342"/>
      <c r="C82" s="360">
        <v>2003</v>
      </c>
      <c r="D82" s="387" t="s">
        <v>703</v>
      </c>
      <c r="E82" s="297"/>
      <c r="F82" s="357">
        <v>9914141</v>
      </c>
      <c r="G82" s="381"/>
      <c r="H82" s="381"/>
      <c r="I82" s="381"/>
      <c r="J82" s="382"/>
      <c r="K82" s="382"/>
      <c r="L82" s="382"/>
      <c r="M82" s="382"/>
      <c r="N82" s="382"/>
      <c r="O82" s="382"/>
      <c r="P82" s="382"/>
      <c r="Q82" s="383"/>
      <c r="R82" s="382"/>
      <c r="S82" s="357"/>
      <c r="T82" s="382"/>
      <c r="U82" s="382"/>
      <c r="V82" s="381"/>
      <c r="W82" s="382"/>
      <c r="X82" s="382"/>
      <c r="Y82" s="382"/>
      <c r="Z82" s="382"/>
      <c r="AA82" s="382"/>
      <c r="AB82" s="382"/>
      <c r="AC82" s="381"/>
      <c r="AD82" s="382"/>
      <c r="AE82" s="382"/>
      <c r="AF82" s="382"/>
      <c r="AG82" s="382"/>
      <c r="AH82" s="382"/>
      <c r="AI82" s="382"/>
      <c r="AJ82" s="382"/>
      <c r="AK82" s="382"/>
      <c r="AL82" s="334"/>
      <c r="AM82" s="301"/>
      <c r="AN82" s="377"/>
      <c r="AO82" s="377"/>
      <c r="AP82" s="377"/>
      <c r="AQ82" s="377"/>
      <c r="AR82" s="377"/>
      <c r="AS82" s="377"/>
      <c r="AT82" s="377"/>
      <c r="AU82" s="377"/>
      <c r="AV82" s="377"/>
      <c r="AW82" s="377"/>
      <c r="AX82" s="377"/>
      <c r="AY82" s="377"/>
      <c r="AZ82" s="377"/>
      <c r="BA82" s="377"/>
      <c r="BB82" s="377"/>
      <c r="BC82" s="377"/>
      <c r="BD82" s="377"/>
      <c r="BE82" s="378"/>
      <c r="BF82" s="378"/>
      <c r="BG82" s="378"/>
      <c r="BH82" s="378"/>
      <c r="BI82" s="378"/>
      <c r="BJ82" s="378"/>
      <c r="BK82" s="378"/>
      <c r="BL82" s="378"/>
      <c r="BM82" s="378"/>
      <c r="BN82" s="378"/>
      <c r="BO82" s="378"/>
      <c r="BP82" s="378"/>
      <c r="BQ82" s="378"/>
      <c r="BR82" s="378"/>
      <c r="BS82" s="378"/>
      <c r="BT82" s="379"/>
      <c r="BU82" s="379"/>
      <c r="BV82" s="379"/>
      <c r="BW82" s="379"/>
      <c r="BX82" s="379"/>
      <c r="BY82" s="379"/>
      <c r="BZ82" s="379"/>
      <c r="CA82" s="379"/>
      <c r="CB82" s="379"/>
      <c r="CC82" s="379"/>
    </row>
    <row r="83" spans="1:81" s="380" customFormat="1" ht="12">
      <c r="A83" s="337"/>
      <c r="B83" s="342"/>
      <c r="C83" s="360">
        <v>2004</v>
      </c>
      <c r="D83" s="387" t="s">
        <v>704</v>
      </c>
      <c r="E83" s="297"/>
      <c r="F83" s="357">
        <v>9914141</v>
      </c>
      <c r="G83" s="381"/>
      <c r="H83" s="381"/>
      <c r="I83" s="381"/>
      <c r="J83" s="382"/>
      <c r="K83" s="382"/>
      <c r="L83" s="382"/>
      <c r="M83" s="382"/>
      <c r="N83" s="382"/>
      <c r="O83" s="382"/>
      <c r="P83" s="382"/>
      <c r="Q83" s="383"/>
      <c r="R83" s="382"/>
      <c r="S83" s="357"/>
      <c r="T83" s="382"/>
      <c r="U83" s="382"/>
      <c r="V83" s="381"/>
      <c r="W83" s="382"/>
      <c r="X83" s="382"/>
      <c r="Y83" s="382"/>
      <c r="Z83" s="382"/>
      <c r="AA83" s="382"/>
      <c r="AB83" s="382"/>
      <c r="AC83" s="381"/>
      <c r="AD83" s="382"/>
      <c r="AE83" s="382"/>
      <c r="AF83" s="382"/>
      <c r="AG83" s="382"/>
      <c r="AH83" s="382"/>
      <c r="AI83" s="382"/>
      <c r="AJ83" s="382"/>
      <c r="AK83" s="382"/>
      <c r="AL83" s="334"/>
      <c r="AM83" s="301"/>
      <c r="AN83" s="377"/>
      <c r="AO83" s="377"/>
      <c r="AP83" s="377"/>
      <c r="AQ83" s="377"/>
      <c r="AR83" s="377"/>
      <c r="AS83" s="377"/>
      <c r="AT83" s="377"/>
      <c r="AU83" s="377"/>
      <c r="AV83" s="377"/>
      <c r="AW83" s="377"/>
      <c r="AX83" s="377"/>
      <c r="AY83" s="377"/>
      <c r="AZ83" s="377"/>
      <c r="BA83" s="377"/>
      <c r="BB83" s="377"/>
      <c r="BC83" s="377"/>
      <c r="BD83" s="377"/>
      <c r="BE83" s="378"/>
      <c r="BF83" s="378"/>
      <c r="BG83" s="378"/>
      <c r="BH83" s="378"/>
      <c r="BI83" s="378"/>
      <c r="BJ83" s="378"/>
      <c r="BK83" s="378"/>
      <c r="BL83" s="378"/>
      <c r="BM83" s="378"/>
      <c r="BN83" s="378"/>
      <c r="BO83" s="378"/>
      <c r="BP83" s="378"/>
      <c r="BQ83" s="378"/>
      <c r="BR83" s="378"/>
      <c r="BS83" s="378"/>
      <c r="BT83" s="379"/>
      <c r="BU83" s="379"/>
      <c r="BV83" s="379"/>
      <c r="BW83" s="379"/>
      <c r="BX83" s="379"/>
      <c r="BY83" s="379"/>
      <c r="BZ83" s="379"/>
      <c r="CA83" s="379"/>
      <c r="CB83" s="379"/>
      <c r="CC83" s="379"/>
    </row>
    <row r="84" spans="1:81" s="380" customFormat="1" ht="12">
      <c r="A84" s="337"/>
      <c r="B84" s="342"/>
      <c r="C84" s="300"/>
      <c r="D84" s="297"/>
      <c r="E84" s="297"/>
      <c r="F84" s="388">
        <f>SUM(F79:F83)</f>
        <v>37178028</v>
      </c>
      <c r="G84" s="381"/>
      <c r="H84" s="381"/>
      <c r="I84" s="381"/>
      <c r="J84" s="382"/>
      <c r="K84" s="382"/>
      <c r="L84" s="382"/>
      <c r="M84" s="382"/>
      <c r="N84" s="382"/>
      <c r="O84" s="382"/>
      <c r="P84" s="382"/>
      <c r="Q84" s="383"/>
      <c r="R84" s="382"/>
      <c r="S84" s="357"/>
      <c r="T84" s="382"/>
      <c r="U84" s="382"/>
      <c r="V84" s="381"/>
      <c r="W84" s="382"/>
      <c r="X84" s="382"/>
      <c r="Y84" s="382"/>
      <c r="Z84" s="382"/>
      <c r="AA84" s="382"/>
      <c r="AB84" s="382"/>
      <c r="AC84" s="381"/>
      <c r="AD84" s="382"/>
      <c r="AE84" s="382"/>
      <c r="AF84" s="382"/>
      <c r="AG84" s="382"/>
      <c r="AH84" s="382"/>
      <c r="AI84" s="382"/>
      <c r="AJ84" s="382"/>
      <c r="AK84" s="382"/>
      <c r="AL84" s="334"/>
      <c r="AM84" s="301"/>
      <c r="AN84" s="377"/>
      <c r="AO84" s="377"/>
      <c r="AP84" s="377"/>
      <c r="AQ84" s="377"/>
      <c r="AR84" s="377"/>
      <c r="AS84" s="377"/>
      <c r="AT84" s="377"/>
      <c r="AU84" s="377"/>
      <c r="AV84" s="377"/>
      <c r="AW84" s="377"/>
      <c r="AX84" s="377"/>
      <c r="AY84" s="377"/>
      <c r="AZ84" s="377"/>
      <c r="BA84" s="377"/>
      <c r="BB84" s="377"/>
      <c r="BC84" s="377"/>
      <c r="BD84" s="377"/>
      <c r="BE84" s="378"/>
      <c r="BF84" s="378"/>
      <c r="BG84" s="378"/>
      <c r="BH84" s="378"/>
      <c r="BI84" s="378"/>
      <c r="BJ84" s="378"/>
      <c r="BK84" s="378"/>
      <c r="BL84" s="378"/>
      <c r="BM84" s="378"/>
      <c r="BN84" s="378"/>
      <c r="BO84" s="378"/>
      <c r="BP84" s="378"/>
      <c r="BQ84" s="378"/>
      <c r="BR84" s="378"/>
      <c r="BS84" s="378"/>
      <c r="BT84" s="379"/>
      <c r="BU84" s="379"/>
      <c r="BV84" s="379"/>
      <c r="BW84" s="379"/>
      <c r="BX84" s="379"/>
      <c r="BY84" s="379"/>
      <c r="BZ84" s="379"/>
      <c r="CA84" s="379"/>
      <c r="CB84" s="379"/>
      <c r="CC84" s="379"/>
    </row>
    <row r="85" spans="1:81" s="380" customFormat="1" ht="12">
      <c r="A85" s="337"/>
      <c r="B85" s="384"/>
      <c r="C85" s="299" t="s">
        <v>705</v>
      </c>
      <c r="D85" s="300"/>
      <c r="E85" s="297"/>
      <c r="F85" s="357"/>
      <c r="G85" s="381"/>
      <c r="H85" s="381"/>
      <c r="I85" s="381"/>
      <c r="J85" s="382"/>
      <c r="K85" s="382"/>
      <c r="L85" s="382"/>
      <c r="M85" s="382"/>
      <c r="N85" s="382"/>
      <c r="O85" s="382"/>
      <c r="P85" s="382"/>
      <c r="Q85" s="383"/>
      <c r="R85" s="382"/>
      <c r="S85" s="357"/>
      <c r="T85" s="382"/>
      <c r="U85" s="382"/>
      <c r="V85" s="381"/>
      <c r="W85" s="382"/>
      <c r="X85" s="382"/>
      <c r="Y85" s="382"/>
      <c r="Z85" s="382"/>
      <c r="AA85" s="382"/>
      <c r="AB85" s="382"/>
      <c r="AC85" s="381"/>
      <c r="AD85" s="382"/>
      <c r="AE85" s="382"/>
      <c r="AF85" s="382"/>
      <c r="AG85" s="382"/>
      <c r="AH85" s="382"/>
      <c r="AI85" s="382"/>
      <c r="AJ85" s="382"/>
      <c r="AK85" s="382"/>
      <c r="AL85" s="334"/>
      <c r="AM85" s="301"/>
      <c r="AN85" s="377"/>
      <c r="AO85" s="377"/>
      <c r="AP85" s="377"/>
      <c r="AQ85" s="377"/>
      <c r="AR85" s="377"/>
      <c r="AS85" s="377"/>
      <c r="AT85" s="377"/>
      <c r="AU85" s="377"/>
      <c r="AV85" s="377"/>
      <c r="AW85" s="377"/>
      <c r="AX85" s="377"/>
      <c r="AY85" s="377"/>
      <c r="AZ85" s="377"/>
      <c r="BA85" s="377"/>
      <c r="BB85" s="377"/>
      <c r="BC85" s="377"/>
      <c r="BD85" s="377"/>
      <c r="BE85" s="378"/>
      <c r="BF85" s="378"/>
      <c r="BG85" s="378"/>
      <c r="BH85" s="378"/>
      <c r="BI85" s="378"/>
      <c r="BJ85" s="378"/>
      <c r="BK85" s="378"/>
      <c r="BL85" s="378"/>
      <c r="BM85" s="378"/>
      <c r="BN85" s="378"/>
      <c r="BO85" s="378"/>
      <c r="BP85" s="378"/>
      <c r="BQ85" s="378"/>
      <c r="BR85" s="378"/>
      <c r="BS85" s="378"/>
      <c r="BT85" s="379"/>
      <c r="BU85" s="379"/>
      <c r="BV85" s="379"/>
      <c r="BW85" s="379"/>
      <c r="BX85" s="379"/>
      <c r="BY85" s="379"/>
      <c r="BZ85" s="379"/>
      <c r="CA85" s="379"/>
      <c r="CB85" s="379"/>
      <c r="CC85" s="379"/>
    </row>
    <row r="86" spans="1:81" s="380" customFormat="1" ht="12">
      <c r="A86" s="337"/>
      <c r="B86" s="384"/>
      <c r="C86" s="300"/>
      <c r="D86" s="300"/>
      <c r="E86" s="297"/>
      <c r="F86" s="357"/>
      <c r="G86" s="381"/>
      <c r="H86" s="381"/>
      <c r="I86" s="381"/>
      <c r="J86" s="382"/>
      <c r="K86" s="382"/>
      <c r="L86" s="382"/>
      <c r="M86" s="382"/>
      <c r="N86" s="382"/>
      <c r="O86" s="382"/>
      <c r="P86" s="382"/>
      <c r="Q86" s="383"/>
      <c r="R86" s="382"/>
      <c r="S86" s="357"/>
      <c r="T86" s="382"/>
      <c r="U86" s="382"/>
      <c r="V86" s="381"/>
      <c r="W86" s="382"/>
      <c r="X86" s="382"/>
      <c r="Y86" s="382"/>
      <c r="Z86" s="382"/>
      <c r="AA86" s="382"/>
      <c r="AB86" s="382"/>
      <c r="AC86" s="381"/>
      <c r="AD86" s="382"/>
      <c r="AE86" s="382"/>
      <c r="AF86" s="382"/>
      <c r="AG86" s="382"/>
      <c r="AH86" s="382"/>
      <c r="AI86" s="382"/>
      <c r="AJ86" s="382"/>
      <c r="AK86" s="382"/>
      <c r="AL86" s="334"/>
      <c r="AM86" s="301"/>
      <c r="AN86" s="377"/>
      <c r="AO86" s="377"/>
      <c r="AP86" s="377"/>
      <c r="AQ86" s="377"/>
      <c r="AR86" s="377"/>
      <c r="AS86" s="377"/>
      <c r="AT86" s="377"/>
      <c r="AU86" s="377"/>
      <c r="AV86" s="377"/>
      <c r="AW86" s="377"/>
      <c r="AX86" s="377"/>
      <c r="AY86" s="377"/>
      <c r="AZ86" s="377"/>
      <c r="BA86" s="377"/>
      <c r="BB86" s="377"/>
      <c r="BC86" s="377"/>
      <c r="BD86" s="377"/>
      <c r="BE86" s="378"/>
      <c r="BF86" s="378"/>
      <c r="BG86" s="378"/>
      <c r="BH86" s="378"/>
      <c r="BI86" s="378"/>
      <c r="BJ86" s="378"/>
      <c r="BK86" s="378"/>
      <c r="BL86" s="378"/>
      <c r="BM86" s="378"/>
      <c r="BN86" s="378"/>
      <c r="BO86" s="378"/>
      <c r="BP86" s="378"/>
      <c r="BQ86" s="378"/>
      <c r="BR86" s="378"/>
      <c r="BS86" s="378"/>
      <c r="BT86" s="379"/>
      <c r="BU86" s="379"/>
      <c r="BV86" s="379"/>
      <c r="BW86" s="379"/>
      <c r="BX86" s="379"/>
      <c r="BY86" s="379"/>
      <c r="BZ86" s="379"/>
      <c r="CA86" s="379"/>
      <c r="CB86" s="379"/>
      <c r="CC86" s="379"/>
    </row>
    <row r="87" spans="1:81" s="380" customFormat="1" ht="12">
      <c r="A87" s="337"/>
      <c r="B87" s="384"/>
      <c r="C87" s="385" t="s">
        <v>706</v>
      </c>
      <c r="D87" s="300"/>
      <c r="E87" s="297"/>
      <c r="F87" s="357"/>
      <c r="G87" s="381"/>
      <c r="H87" s="381"/>
      <c r="I87" s="381"/>
      <c r="J87" s="382"/>
      <c r="K87" s="382"/>
      <c r="L87" s="382"/>
      <c r="M87" s="382"/>
      <c r="N87" s="382"/>
      <c r="O87" s="382"/>
      <c r="P87" s="382"/>
      <c r="Q87" s="383"/>
      <c r="R87" s="382"/>
      <c r="S87" s="357"/>
      <c r="T87" s="382"/>
      <c r="U87" s="382"/>
      <c r="V87" s="381"/>
      <c r="W87" s="382"/>
      <c r="X87" s="382"/>
      <c r="Y87" s="382"/>
      <c r="Z87" s="382"/>
      <c r="AA87" s="382"/>
      <c r="AB87" s="382"/>
      <c r="AC87" s="381"/>
      <c r="AD87" s="382"/>
      <c r="AE87" s="382"/>
      <c r="AF87" s="382"/>
      <c r="AG87" s="382"/>
      <c r="AH87" s="382"/>
      <c r="AI87" s="382"/>
      <c r="AJ87" s="382"/>
      <c r="AK87" s="382"/>
      <c r="AL87" s="334"/>
      <c r="AM87" s="301"/>
      <c r="AN87" s="377"/>
      <c r="AO87" s="377"/>
      <c r="AP87" s="377"/>
      <c r="AQ87" s="377"/>
      <c r="AR87" s="377"/>
      <c r="AS87" s="377"/>
      <c r="AT87" s="377"/>
      <c r="AU87" s="377"/>
      <c r="AV87" s="377"/>
      <c r="AW87" s="377"/>
      <c r="AX87" s="377"/>
      <c r="AY87" s="377"/>
      <c r="AZ87" s="377"/>
      <c r="BA87" s="377"/>
      <c r="BB87" s="377"/>
      <c r="BC87" s="377"/>
      <c r="BD87" s="377"/>
      <c r="BE87" s="378"/>
      <c r="BF87" s="378"/>
      <c r="BG87" s="378"/>
      <c r="BH87" s="378"/>
      <c r="BI87" s="378"/>
      <c r="BJ87" s="378"/>
      <c r="BK87" s="378"/>
      <c r="BL87" s="378"/>
      <c r="BM87" s="378"/>
      <c r="BN87" s="378"/>
      <c r="BO87" s="378"/>
      <c r="BP87" s="378"/>
      <c r="BQ87" s="378"/>
      <c r="BR87" s="378"/>
      <c r="BS87" s="378"/>
      <c r="BT87" s="379"/>
      <c r="BU87" s="379"/>
      <c r="BV87" s="379"/>
      <c r="BW87" s="379"/>
      <c r="BX87" s="379"/>
      <c r="BY87" s="379"/>
      <c r="BZ87" s="379"/>
      <c r="CA87" s="379"/>
      <c r="CB87" s="379"/>
      <c r="CC87" s="379"/>
    </row>
    <row r="88" spans="1:81" s="380" customFormat="1" ht="12">
      <c r="A88" s="337"/>
      <c r="B88" s="384"/>
      <c r="C88" s="385" t="s">
        <v>707</v>
      </c>
      <c r="D88" s="300"/>
      <c r="E88" s="297"/>
      <c r="F88" s="357"/>
      <c r="G88" s="381"/>
      <c r="H88" s="381"/>
      <c r="I88" s="381"/>
      <c r="J88" s="382"/>
      <c r="K88" s="382"/>
      <c r="L88" s="382"/>
      <c r="M88" s="382"/>
      <c r="N88" s="382"/>
      <c r="O88" s="382"/>
      <c r="P88" s="382"/>
      <c r="Q88" s="383"/>
      <c r="R88" s="382"/>
      <c r="S88" s="357"/>
      <c r="T88" s="382"/>
      <c r="U88" s="382"/>
      <c r="V88" s="381"/>
      <c r="W88" s="382"/>
      <c r="X88" s="382"/>
      <c r="Y88" s="382"/>
      <c r="Z88" s="382"/>
      <c r="AA88" s="382"/>
      <c r="AB88" s="382"/>
      <c r="AC88" s="381"/>
      <c r="AD88" s="382"/>
      <c r="AE88" s="382"/>
      <c r="AF88" s="382"/>
      <c r="AG88" s="382"/>
      <c r="AH88" s="382"/>
      <c r="AI88" s="382"/>
      <c r="AJ88" s="382"/>
      <c r="AK88" s="382"/>
      <c r="AL88" s="334"/>
      <c r="AM88" s="301"/>
      <c r="AN88" s="377"/>
      <c r="AO88" s="377"/>
      <c r="AP88" s="377"/>
      <c r="AQ88" s="377"/>
      <c r="AR88" s="377"/>
      <c r="AS88" s="377"/>
      <c r="AT88" s="377"/>
      <c r="AU88" s="377"/>
      <c r="AV88" s="377"/>
      <c r="AW88" s="377"/>
      <c r="AX88" s="377"/>
      <c r="AY88" s="377"/>
      <c r="AZ88" s="377"/>
      <c r="BA88" s="377"/>
      <c r="BB88" s="377"/>
      <c r="BC88" s="377"/>
      <c r="BD88" s="377"/>
      <c r="BE88" s="378"/>
      <c r="BF88" s="378"/>
      <c r="BG88" s="378"/>
      <c r="BH88" s="378"/>
      <c r="BI88" s="378"/>
      <c r="BJ88" s="378"/>
      <c r="BK88" s="378"/>
      <c r="BL88" s="378"/>
      <c r="BM88" s="378"/>
      <c r="BN88" s="378"/>
      <c r="BO88" s="378"/>
      <c r="BP88" s="378"/>
      <c r="BQ88" s="378"/>
      <c r="BR88" s="378"/>
      <c r="BS88" s="378"/>
      <c r="BT88" s="379"/>
      <c r="BU88" s="379"/>
      <c r="BV88" s="379"/>
      <c r="BW88" s="379"/>
      <c r="BX88" s="379"/>
      <c r="BY88" s="379"/>
      <c r="BZ88" s="379"/>
      <c r="CA88" s="379"/>
      <c r="CB88" s="379"/>
      <c r="CC88" s="379"/>
    </row>
    <row r="89" spans="1:81" s="380" customFormat="1" ht="12">
      <c r="A89" s="337"/>
      <c r="B89" s="360"/>
      <c r="C89" s="300">
        <v>2004</v>
      </c>
      <c r="D89" s="387" t="s">
        <v>708</v>
      </c>
      <c r="E89" s="297"/>
      <c r="F89" s="357">
        <v>405420</v>
      </c>
      <c r="G89" s="357"/>
      <c r="H89" s="381"/>
      <c r="I89" s="381"/>
      <c r="J89" s="382"/>
      <c r="K89" s="382"/>
      <c r="L89" s="382"/>
      <c r="M89" s="382"/>
      <c r="N89" s="382"/>
      <c r="O89" s="382"/>
      <c r="P89" s="382"/>
      <c r="Q89" s="383"/>
      <c r="R89" s="382"/>
      <c r="S89" s="357"/>
      <c r="T89" s="382"/>
      <c r="U89" s="382"/>
      <c r="V89" s="381"/>
      <c r="W89" s="382"/>
      <c r="X89" s="382"/>
      <c r="Y89" s="382"/>
      <c r="Z89" s="382"/>
      <c r="AA89" s="382"/>
      <c r="AB89" s="382"/>
      <c r="AC89" s="381"/>
      <c r="AD89" s="382"/>
      <c r="AE89" s="382"/>
      <c r="AF89" s="382"/>
      <c r="AG89" s="382"/>
      <c r="AH89" s="382"/>
      <c r="AI89" s="382"/>
      <c r="AJ89" s="382"/>
      <c r="AK89" s="382"/>
      <c r="AL89" s="334"/>
      <c r="AM89" s="301"/>
      <c r="AN89" s="377"/>
      <c r="AO89" s="377"/>
      <c r="AP89" s="377"/>
      <c r="AQ89" s="377"/>
      <c r="AR89" s="377"/>
      <c r="AS89" s="377"/>
      <c r="AT89" s="377"/>
      <c r="AU89" s="377"/>
      <c r="AV89" s="377"/>
      <c r="AW89" s="377"/>
      <c r="AX89" s="377"/>
      <c r="AY89" s="377"/>
      <c r="AZ89" s="377"/>
      <c r="BA89" s="377"/>
      <c r="BB89" s="377"/>
      <c r="BC89" s="377"/>
      <c r="BD89" s="377"/>
      <c r="BE89" s="378"/>
      <c r="BF89" s="378"/>
      <c r="BG89" s="378"/>
      <c r="BH89" s="378"/>
      <c r="BI89" s="378"/>
      <c r="BJ89" s="378"/>
      <c r="BK89" s="378"/>
      <c r="BL89" s="378"/>
      <c r="BM89" s="378"/>
      <c r="BN89" s="378"/>
      <c r="BO89" s="378"/>
      <c r="BP89" s="378"/>
      <c r="BQ89" s="378"/>
      <c r="BR89" s="378"/>
      <c r="BS89" s="378"/>
      <c r="BT89" s="379"/>
      <c r="BU89" s="379"/>
      <c r="BV89" s="379"/>
      <c r="BW89" s="379"/>
      <c r="BX89" s="379"/>
      <c r="BY89" s="379"/>
      <c r="BZ89" s="379"/>
      <c r="CA89" s="379"/>
      <c r="CB89" s="379"/>
      <c r="CC89" s="379"/>
    </row>
    <row r="90" spans="1:81" s="380" customFormat="1" ht="14.25">
      <c r="A90" s="337"/>
      <c r="B90" s="360"/>
      <c r="C90" s="389"/>
      <c r="D90" s="390"/>
      <c r="E90" s="360"/>
      <c r="F90" s="388">
        <f>SUM(F87:F89)</f>
        <v>405420</v>
      </c>
      <c r="G90" s="391"/>
      <c r="H90" s="381"/>
      <c r="I90" s="381"/>
      <c r="J90" s="382"/>
      <c r="K90" s="382"/>
      <c r="L90" s="382"/>
      <c r="M90" s="382"/>
      <c r="N90" s="382"/>
      <c r="O90" s="382"/>
      <c r="P90" s="382"/>
      <c r="Q90" s="383"/>
      <c r="R90" s="382"/>
      <c r="S90" s="357"/>
      <c r="T90" s="382"/>
      <c r="U90" s="382"/>
      <c r="V90" s="381"/>
      <c r="W90" s="382"/>
      <c r="X90" s="382"/>
      <c r="Y90" s="382"/>
      <c r="Z90" s="382"/>
      <c r="AA90" s="382"/>
      <c r="AB90" s="382"/>
      <c r="AC90" s="381"/>
      <c r="AD90" s="382"/>
      <c r="AE90" s="382"/>
      <c r="AF90" s="382"/>
      <c r="AG90" s="382"/>
      <c r="AH90" s="382"/>
      <c r="AI90" s="382"/>
      <c r="AJ90" s="382"/>
      <c r="AK90" s="382"/>
      <c r="AL90" s="334"/>
      <c r="AM90" s="301"/>
      <c r="AN90" s="377"/>
      <c r="AO90" s="377"/>
      <c r="AP90" s="377"/>
      <c r="AQ90" s="377"/>
      <c r="AR90" s="377"/>
      <c r="AS90" s="377"/>
      <c r="AT90" s="377"/>
      <c r="AU90" s="377"/>
      <c r="AV90" s="377"/>
      <c r="AW90" s="377"/>
      <c r="AX90" s="377"/>
      <c r="AY90" s="377"/>
      <c r="AZ90" s="377"/>
      <c r="BA90" s="377"/>
      <c r="BB90" s="377"/>
      <c r="BC90" s="377"/>
      <c r="BD90" s="377"/>
      <c r="BE90" s="378"/>
      <c r="BF90" s="378"/>
      <c r="BG90" s="378"/>
      <c r="BH90" s="378"/>
      <c r="BI90" s="378"/>
      <c r="BJ90" s="378"/>
      <c r="BK90" s="378"/>
      <c r="BL90" s="378"/>
      <c r="BM90" s="378"/>
      <c r="BN90" s="378"/>
      <c r="BO90" s="378"/>
      <c r="BP90" s="378"/>
      <c r="BQ90" s="378"/>
      <c r="BR90" s="378"/>
      <c r="BS90" s="378"/>
      <c r="BT90" s="379"/>
      <c r="BU90" s="379"/>
      <c r="BV90" s="379"/>
      <c r="BW90" s="379"/>
      <c r="BX90" s="379"/>
      <c r="BY90" s="379"/>
      <c r="BZ90" s="379"/>
      <c r="CA90" s="379"/>
      <c r="CB90" s="379"/>
      <c r="CC90" s="379"/>
    </row>
    <row r="91" spans="1:81" s="380" customFormat="1" ht="12">
      <c r="A91" s="344"/>
      <c r="B91" s="392"/>
      <c r="C91" s="352"/>
      <c r="D91" s="352"/>
      <c r="E91" s="393"/>
      <c r="F91" s="394"/>
      <c r="G91" s="395"/>
      <c r="H91" s="381"/>
      <c r="I91" s="381"/>
      <c r="J91" s="382"/>
      <c r="K91" s="382"/>
      <c r="L91" s="382"/>
      <c r="M91" s="382"/>
      <c r="N91" s="382"/>
      <c r="O91" s="382"/>
      <c r="P91" s="382"/>
      <c r="Q91" s="383"/>
      <c r="R91" s="382"/>
      <c r="S91" s="357"/>
      <c r="T91" s="382"/>
      <c r="U91" s="382"/>
      <c r="V91" s="381"/>
      <c r="W91" s="382"/>
      <c r="X91" s="382"/>
      <c r="Y91" s="382"/>
      <c r="Z91" s="382"/>
      <c r="AA91" s="382"/>
      <c r="AB91" s="382"/>
      <c r="AC91" s="381"/>
      <c r="AD91" s="382"/>
      <c r="AE91" s="382"/>
      <c r="AF91" s="382"/>
      <c r="AG91" s="382"/>
      <c r="AH91" s="382"/>
      <c r="AI91" s="382"/>
      <c r="AJ91" s="382"/>
      <c r="AK91" s="382"/>
      <c r="AL91" s="334"/>
      <c r="AM91" s="301"/>
      <c r="AN91" s="377"/>
      <c r="AO91" s="377"/>
      <c r="AP91" s="377"/>
      <c r="AQ91" s="377"/>
      <c r="AR91" s="377"/>
      <c r="AS91" s="377"/>
      <c r="AT91" s="377"/>
      <c r="AU91" s="377"/>
      <c r="AV91" s="377"/>
      <c r="AW91" s="377"/>
      <c r="AX91" s="377"/>
      <c r="AY91" s="377"/>
      <c r="AZ91" s="377"/>
      <c r="BA91" s="377"/>
      <c r="BB91" s="377"/>
      <c r="BC91" s="377"/>
      <c r="BD91" s="377"/>
      <c r="BE91" s="378"/>
      <c r="BF91" s="378"/>
      <c r="BG91" s="378"/>
      <c r="BH91" s="378"/>
      <c r="BI91" s="378"/>
      <c r="BJ91" s="378"/>
      <c r="BK91" s="378"/>
      <c r="BL91" s="378"/>
      <c r="BM91" s="378"/>
      <c r="BN91" s="378"/>
      <c r="BO91" s="378"/>
      <c r="BP91" s="378"/>
      <c r="BQ91" s="378"/>
      <c r="BR91" s="378"/>
      <c r="BS91" s="378"/>
      <c r="BT91" s="379"/>
      <c r="BU91" s="379"/>
      <c r="BV91" s="379"/>
      <c r="BW91" s="379"/>
      <c r="BX91" s="379"/>
      <c r="BY91" s="379"/>
      <c r="BZ91" s="379"/>
      <c r="CA91" s="379"/>
      <c r="CB91" s="379"/>
      <c r="CC91" s="379"/>
    </row>
    <row r="92" spans="1:38" ht="12">
      <c r="A92" s="337"/>
      <c r="B92" s="342"/>
      <c r="F92" s="357"/>
      <c r="G92" s="381"/>
      <c r="H92" s="381"/>
      <c r="I92" s="381"/>
      <c r="J92" s="382"/>
      <c r="K92" s="382"/>
      <c r="L92" s="382"/>
      <c r="M92" s="382"/>
      <c r="N92" s="382"/>
      <c r="O92" s="382"/>
      <c r="P92" s="382"/>
      <c r="Q92" s="383"/>
      <c r="R92" s="382"/>
      <c r="S92" s="357"/>
      <c r="T92" s="382"/>
      <c r="U92" s="382"/>
      <c r="V92" s="381"/>
      <c r="W92" s="382"/>
      <c r="X92" s="382"/>
      <c r="Y92" s="382"/>
      <c r="Z92" s="382"/>
      <c r="AA92" s="382"/>
      <c r="AB92" s="382"/>
      <c r="AC92" s="381"/>
      <c r="AD92" s="382"/>
      <c r="AE92" s="382"/>
      <c r="AF92" s="382"/>
      <c r="AG92" s="382"/>
      <c r="AH92" s="382"/>
      <c r="AI92" s="382"/>
      <c r="AJ92" s="382"/>
      <c r="AK92" s="382"/>
      <c r="AL92" s="334"/>
    </row>
    <row r="93" spans="1:81" s="360" customFormat="1" ht="12">
      <c r="A93" s="396" t="s">
        <v>709</v>
      </c>
      <c r="B93" s="397"/>
      <c r="C93" s="360" t="s">
        <v>623</v>
      </c>
      <c r="D93" s="360" t="s">
        <v>710</v>
      </c>
      <c r="F93" s="357">
        <v>4823000</v>
      </c>
      <c r="G93" s="381"/>
      <c r="H93" s="381"/>
      <c r="I93" s="381"/>
      <c r="J93" s="382"/>
      <c r="K93" s="382"/>
      <c r="L93" s="382"/>
      <c r="M93" s="382"/>
      <c r="N93" s="382"/>
      <c r="O93" s="382"/>
      <c r="P93" s="382"/>
      <c r="Q93" s="383">
        <f>F93</f>
        <v>4823000</v>
      </c>
      <c r="R93" s="382"/>
      <c r="S93" s="357"/>
      <c r="T93" s="382"/>
      <c r="U93" s="382"/>
      <c r="V93" s="381"/>
      <c r="W93" s="382"/>
      <c r="X93" s="382"/>
      <c r="Y93" s="382"/>
      <c r="Z93" s="382"/>
      <c r="AA93" s="382"/>
      <c r="AB93" s="382"/>
      <c r="AC93" s="381"/>
      <c r="AD93" s="382"/>
      <c r="AE93" s="382"/>
      <c r="AF93" s="382"/>
      <c r="AG93" s="382"/>
      <c r="AH93" s="382"/>
      <c r="AI93" s="382"/>
      <c r="AJ93" s="382"/>
      <c r="AK93" s="382"/>
      <c r="AL93" s="382"/>
      <c r="AM93" s="301"/>
      <c r="AN93" s="357"/>
      <c r="AO93" s="357"/>
      <c r="AP93" s="357"/>
      <c r="AQ93" s="357"/>
      <c r="AR93" s="357"/>
      <c r="AS93" s="357"/>
      <c r="AT93" s="357"/>
      <c r="AU93" s="357"/>
      <c r="AV93" s="357"/>
      <c r="AW93" s="357"/>
      <c r="AX93" s="357"/>
      <c r="AY93" s="357"/>
      <c r="AZ93" s="357"/>
      <c r="BA93" s="357"/>
      <c r="BB93" s="357"/>
      <c r="BC93" s="357"/>
      <c r="BD93" s="357"/>
      <c r="BE93" s="358"/>
      <c r="BF93" s="358"/>
      <c r="BG93" s="358"/>
      <c r="BH93" s="358"/>
      <c r="BI93" s="358"/>
      <c r="BJ93" s="358"/>
      <c r="BK93" s="358"/>
      <c r="BL93" s="358"/>
      <c r="BM93" s="358"/>
      <c r="BN93" s="358"/>
      <c r="BO93" s="358"/>
      <c r="BP93" s="358"/>
      <c r="BQ93" s="358"/>
      <c r="BR93" s="358"/>
      <c r="BS93" s="358"/>
      <c r="BT93" s="359"/>
      <c r="BU93" s="359"/>
      <c r="BV93" s="359"/>
      <c r="BW93" s="359"/>
      <c r="BX93" s="359"/>
      <c r="BY93" s="359"/>
      <c r="BZ93" s="359"/>
      <c r="CA93" s="359"/>
      <c r="CB93" s="359"/>
      <c r="CC93" s="359"/>
    </row>
    <row r="94" spans="1:81" s="360" customFormat="1" ht="12">
      <c r="A94" s="396"/>
      <c r="B94" s="397"/>
      <c r="C94" s="360" t="s">
        <v>623</v>
      </c>
      <c r="D94" s="360" t="s">
        <v>711</v>
      </c>
      <c r="F94" s="357">
        <v>6210978</v>
      </c>
      <c r="G94" s="381"/>
      <c r="H94" s="381"/>
      <c r="I94" s="381"/>
      <c r="J94" s="382"/>
      <c r="K94" s="382"/>
      <c r="L94" s="382"/>
      <c r="M94" s="382"/>
      <c r="N94" s="382"/>
      <c r="O94" s="382"/>
      <c r="P94" s="382"/>
      <c r="Q94" s="383">
        <f>F94</f>
        <v>6210978</v>
      </c>
      <c r="R94" s="382"/>
      <c r="S94" s="357"/>
      <c r="T94" s="382"/>
      <c r="U94" s="382"/>
      <c r="V94" s="381"/>
      <c r="W94" s="382"/>
      <c r="X94" s="382"/>
      <c r="Y94" s="382"/>
      <c r="Z94" s="382"/>
      <c r="AA94" s="382"/>
      <c r="AB94" s="382"/>
      <c r="AC94" s="381"/>
      <c r="AD94" s="382"/>
      <c r="AE94" s="382"/>
      <c r="AF94" s="382"/>
      <c r="AG94" s="382"/>
      <c r="AH94" s="382"/>
      <c r="AI94" s="382"/>
      <c r="AJ94" s="382"/>
      <c r="AK94" s="382"/>
      <c r="AL94" s="382"/>
      <c r="AM94" s="301"/>
      <c r="AN94" s="357"/>
      <c r="AO94" s="357"/>
      <c r="AP94" s="357"/>
      <c r="AQ94" s="357"/>
      <c r="AR94" s="357"/>
      <c r="AS94" s="357"/>
      <c r="AT94" s="357"/>
      <c r="AU94" s="357"/>
      <c r="AV94" s="357"/>
      <c r="AW94" s="357"/>
      <c r="AX94" s="357"/>
      <c r="AY94" s="357"/>
      <c r="AZ94" s="357"/>
      <c r="BA94" s="357"/>
      <c r="BB94" s="357"/>
      <c r="BC94" s="357"/>
      <c r="BD94" s="357"/>
      <c r="BE94" s="358"/>
      <c r="BF94" s="358"/>
      <c r="BG94" s="358"/>
      <c r="BH94" s="358"/>
      <c r="BI94" s="358"/>
      <c r="BJ94" s="358"/>
      <c r="BK94" s="358"/>
      <c r="BL94" s="358"/>
      <c r="BM94" s="358"/>
      <c r="BN94" s="358"/>
      <c r="BO94" s="358"/>
      <c r="BP94" s="358"/>
      <c r="BQ94" s="358"/>
      <c r="BR94" s="358"/>
      <c r="BS94" s="358"/>
      <c r="BT94" s="359"/>
      <c r="BU94" s="359"/>
      <c r="BV94" s="359"/>
      <c r="BW94" s="359"/>
      <c r="BX94" s="359"/>
      <c r="BY94" s="359"/>
      <c r="BZ94" s="359"/>
      <c r="CA94" s="359"/>
      <c r="CB94" s="359"/>
      <c r="CC94" s="359"/>
    </row>
    <row r="95" spans="1:81" s="360" customFormat="1" ht="12">
      <c r="A95" s="396"/>
      <c r="B95" s="397"/>
      <c r="C95" s="360" t="s">
        <v>623</v>
      </c>
      <c r="D95" s="360" t="s">
        <v>712</v>
      </c>
      <c r="F95" s="357">
        <v>2432786</v>
      </c>
      <c r="G95" s="381"/>
      <c r="H95" s="381"/>
      <c r="I95" s="381"/>
      <c r="J95" s="382"/>
      <c r="K95" s="382"/>
      <c r="L95" s="382"/>
      <c r="M95" s="382"/>
      <c r="N95" s="382"/>
      <c r="O95" s="382"/>
      <c r="P95" s="382"/>
      <c r="Q95" s="383">
        <f>F95</f>
        <v>2432786</v>
      </c>
      <c r="R95" s="382"/>
      <c r="S95" s="357"/>
      <c r="T95" s="382"/>
      <c r="U95" s="382"/>
      <c r="V95" s="381"/>
      <c r="W95" s="382"/>
      <c r="X95" s="382"/>
      <c r="Y95" s="382"/>
      <c r="Z95" s="382"/>
      <c r="AA95" s="382"/>
      <c r="AB95" s="382"/>
      <c r="AC95" s="381"/>
      <c r="AD95" s="382"/>
      <c r="AE95" s="382"/>
      <c r="AF95" s="382"/>
      <c r="AG95" s="382"/>
      <c r="AH95" s="382"/>
      <c r="AI95" s="382"/>
      <c r="AJ95" s="382"/>
      <c r="AK95" s="382"/>
      <c r="AL95" s="382"/>
      <c r="AM95" s="301"/>
      <c r="AN95" s="357"/>
      <c r="AO95" s="357"/>
      <c r="AP95" s="357"/>
      <c r="AQ95" s="357"/>
      <c r="AR95" s="357"/>
      <c r="AS95" s="357"/>
      <c r="AT95" s="357"/>
      <c r="AU95" s="357"/>
      <c r="AV95" s="357"/>
      <c r="AW95" s="357"/>
      <c r="AX95" s="357"/>
      <c r="AY95" s="357"/>
      <c r="AZ95" s="357"/>
      <c r="BA95" s="357"/>
      <c r="BB95" s="357"/>
      <c r="BC95" s="357"/>
      <c r="BD95" s="357"/>
      <c r="BE95" s="358"/>
      <c r="BF95" s="358"/>
      <c r="BG95" s="358"/>
      <c r="BH95" s="358"/>
      <c r="BI95" s="358"/>
      <c r="BJ95" s="358"/>
      <c r="BK95" s="358"/>
      <c r="BL95" s="358"/>
      <c r="BM95" s="358"/>
      <c r="BN95" s="358"/>
      <c r="BO95" s="358"/>
      <c r="BP95" s="358"/>
      <c r="BQ95" s="358"/>
      <c r="BR95" s="358"/>
      <c r="BS95" s="358"/>
      <c r="BT95" s="359"/>
      <c r="BU95" s="359"/>
      <c r="BV95" s="359"/>
      <c r="BW95" s="359"/>
      <c r="BX95" s="359"/>
      <c r="BY95" s="359"/>
      <c r="BZ95" s="359"/>
      <c r="CA95" s="359"/>
      <c r="CB95" s="359"/>
      <c r="CC95" s="359"/>
    </row>
    <row r="96" spans="1:81" s="360" customFormat="1" ht="12">
      <c r="A96" s="396"/>
      <c r="B96" s="397"/>
      <c r="C96" s="300" t="s">
        <v>713</v>
      </c>
      <c r="D96" s="300" t="s">
        <v>714</v>
      </c>
      <c r="F96" s="357">
        <v>360977</v>
      </c>
      <c r="G96" s="381"/>
      <c r="H96" s="381"/>
      <c r="I96" s="381"/>
      <c r="J96" s="382"/>
      <c r="K96" s="382"/>
      <c r="L96" s="382"/>
      <c r="M96" s="382"/>
      <c r="N96" s="382"/>
      <c r="O96" s="382"/>
      <c r="P96" s="382"/>
      <c r="Q96" s="383">
        <f>F96</f>
        <v>360977</v>
      </c>
      <c r="R96" s="382"/>
      <c r="S96" s="357"/>
      <c r="T96" s="382"/>
      <c r="U96" s="382"/>
      <c r="V96" s="381"/>
      <c r="W96" s="382"/>
      <c r="X96" s="382"/>
      <c r="Y96" s="382"/>
      <c r="Z96" s="382"/>
      <c r="AA96" s="382"/>
      <c r="AB96" s="382"/>
      <c r="AC96" s="381"/>
      <c r="AD96" s="382"/>
      <c r="AE96" s="382"/>
      <c r="AF96" s="382"/>
      <c r="AG96" s="382"/>
      <c r="AH96" s="382"/>
      <c r="AI96" s="382"/>
      <c r="AJ96" s="382"/>
      <c r="AK96" s="382"/>
      <c r="AL96" s="382"/>
      <c r="AM96" s="301"/>
      <c r="AN96" s="357"/>
      <c r="AO96" s="357"/>
      <c r="AP96" s="357"/>
      <c r="AQ96" s="357"/>
      <c r="AR96" s="357"/>
      <c r="AS96" s="357"/>
      <c r="AT96" s="357"/>
      <c r="AU96" s="357"/>
      <c r="AV96" s="357"/>
      <c r="AW96" s="357"/>
      <c r="AX96" s="357"/>
      <c r="AY96" s="357"/>
      <c r="AZ96" s="357"/>
      <c r="BA96" s="357"/>
      <c r="BB96" s="357"/>
      <c r="BC96" s="357"/>
      <c r="BD96" s="357"/>
      <c r="BE96" s="358"/>
      <c r="BF96" s="358"/>
      <c r="BG96" s="358"/>
      <c r="BH96" s="358"/>
      <c r="BI96" s="358"/>
      <c r="BJ96" s="358"/>
      <c r="BK96" s="358"/>
      <c r="BL96" s="358"/>
      <c r="BM96" s="358"/>
      <c r="BN96" s="358"/>
      <c r="BO96" s="358"/>
      <c r="BP96" s="358"/>
      <c r="BQ96" s="358"/>
      <c r="BR96" s="358"/>
      <c r="BS96" s="358"/>
      <c r="BT96" s="359"/>
      <c r="BU96" s="359"/>
      <c r="BV96" s="359"/>
      <c r="BW96" s="359"/>
      <c r="BX96" s="359"/>
      <c r="BY96" s="359"/>
      <c r="BZ96" s="359"/>
      <c r="CA96" s="359"/>
      <c r="CB96" s="359"/>
      <c r="CC96" s="359"/>
    </row>
    <row r="97" spans="1:81" s="360" customFormat="1" ht="12">
      <c r="A97" s="396"/>
      <c r="B97" s="397"/>
      <c r="D97" s="398"/>
      <c r="F97" s="357"/>
      <c r="G97" s="381"/>
      <c r="H97" s="381"/>
      <c r="I97" s="381"/>
      <c r="J97" s="382"/>
      <c r="K97" s="382"/>
      <c r="L97" s="382"/>
      <c r="M97" s="382"/>
      <c r="N97" s="382"/>
      <c r="O97" s="382"/>
      <c r="P97" s="382"/>
      <c r="Q97" s="383"/>
      <c r="R97" s="382"/>
      <c r="S97" s="357"/>
      <c r="T97" s="382"/>
      <c r="U97" s="382"/>
      <c r="V97" s="381"/>
      <c r="W97" s="382"/>
      <c r="X97" s="382"/>
      <c r="Y97" s="382"/>
      <c r="Z97" s="382"/>
      <c r="AA97" s="382"/>
      <c r="AB97" s="382"/>
      <c r="AC97" s="381"/>
      <c r="AD97" s="382"/>
      <c r="AE97" s="382"/>
      <c r="AF97" s="382"/>
      <c r="AG97" s="382"/>
      <c r="AH97" s="382"/>
      <c r="AI97" s="382"/>
      <c r="AJ97" s="382"/>
      <c r="AK97" s="382"/>
      <c r="AL97" s="382"/>
      <c r="AM97" s="301"/>
      <c r="AN97" s="357"/>
      <c r="AO97" s="357"/>
      <c r="AP97" s="357"/>
      <c r="AQ97" s="357"/>
      <c r="AR97" s="357"/>
      <c r="AS97" s="357"/>
      <c r="AT97" s="357"/>
      <c r="AU97" s="357"/>
      <c r="AV97" s="357"/>
      <c r="AW97" s="357"/>
      <c r="AX97" s="357"/>
      <c r="AY97" s="357"/>
      <c r="AZ97" s="357"/>
      <c r="BA97" s="357"/>
      <c r="BB97" s="357"/>
      <c r="BC97" s="357"/>
      <c r="BD97" s="357"/>
      <c r="BE97" s="358"/>
      <c r="BF97" s="358"/>
      <c r="BG97" s="358"/>
      <c r="BH97" s="358"/>
      <c r="BI97" s="358"/>
      <c r="BJ97" s="358"/>
      <c r="BK97" s="358"/>
      <c r="BL97" s="358"/>
      <c r="BM97" s="358"/>
      <c r="BN97" s="358"/>
      <c r="BO97" s="358"/>
      <c r="BP97" s="358"/>
      <c r="BQ97" s="358"/>
      <c r="BR97" s="358"/>
      <c r="BS97" s="358"/>
      <c r="BT97" s="359"/>
      <c r="BU97" s="359"/>
      <c r="BV97" s="359"/>
      <c r="BW97" s="359"/>
      <c r="BX97" s="359"/>
      <c r="BY97" s="359"/>
      <c r="BZ97" s="359"/>
      <c r="CA97" s="359"/>
      <c r="CB97" s="359"/>
      <c r="CC97" s="359"/>
    </row>
    <row r="98" spans="1:81" s="360" customFormat="1" ht="12">
      <c r="A98" s="396"/>
      <c r="B98" s="397"/>
      <c r="C98" s="360" t="s">
        <v>624</v>
      </c>
      <c r="D98" s="399" t="s">
        <v>715</v>
      </c>
      <c r="E98" s="400"/>
      <c r="F98" s="401"/>
      <c r="G98" s="402">
        <f>ROUND((F94+F93+F95+F96)*0.28,0)</f>
        <v>3871767</v>
      </c>
      <c r="H98" s="381"/>
      <c r="I98" s="381"/>
      <c r="J98" s="382"/>
      <c r="K98" s="382"/>
      <c r="L98" s="382"/>
      <c r="M98" s="382"/>
      <c r="N98" s="382"/>
      <c r="O98" s="382"/>
      <c r="P98" s="382"/>
      <c r="Q98" s="383"/>
      <c r="R98" s="382"/>
      <c r="S98" s="357"/>
      <c r="T98" s="382"/>
      <c r="U98" s="382"/>
      <c r="V98" s="381"/>
      <c r="W98" s="382"/>
      <c r="X98" s="382"/>
      <c r="Y98" s="382"/>
      <c r="Z98" s="382"/>
      <c r="AA98" s="382"/>
      <c r="AB98" s="382"/>
      <c r="AC98" s="381">
        <f>-G98</f>
        <v>-3871767</v>
      </c>
      <c r="AD98" s="382"/>
      <c r="AE98" s="382"/>
      <c r="AF98" s="382"/>
      <c r="AG98" s="382"/>
      <c r="AH98" s="382"/>
      <c r="AI98" s="382"/>
      <c r="AJ98" s="382"/>
      <c r="AK98" s="382"/>
      <c r="AL98" s="382"/>
      <c r="AM98" s="301"/>
      <c r="AN98" s="357"/>
      <c r="AO98" s="357"/>
      <c r="AP98" s="357"/>
      <c r="AQ98" s="357"/>
      <c r="AR98" s="357"/>
      <c r="AS98" s="357"/>
      <c r="AT98" s="357"/>
      <c r="AU98" s="357"/>
      <c r="AV98" s="357"/>
      <c r="AW98" s="357"/>
      <c r="AX98" s="357"/>
      <c r="AY98" s="357"/>
      <c r="AZ98" s="357"/>
      <c r="BA98" s="357"/>
      <c r="BB98" s="357"/>
      <c r="BC98" s="357"/>
      <c r="BD98" s="357"/>
      <c r="BE98" s="358"/>
      <c r="BF98" s="358"/>
      <c r="BG98" s="358"/>
      <c r="BH98" s="358"/>
      <c r="BI98" s="358"/>
      <c r="BJ98" s="358"/>
      <c r="BK98" s="358"/>
      <c r="BL98" s="358"/>
      <c r="BM98" s="358"/>
      <c r="BN98" s="358"/>
      <c r="BO98" s="358"/>
      <c r="BP98" s="358"/>
      <c r="BQ98" s="358"/>
      <c r="BR98" s="358"/>
      <c r="BS98" s="358"/>
      <c r="BT98" s="359"/>
      <c r="BU98" s="359"/>
      <c r="BV98" s="359"/>
      <c r="BW98" s="359"/>
      <c r="BX98" s="359"/>
      <c r="BY98" s="359"/>
      <c r="BZ98" s="359"/>
      <c r="CA98" s="359"/>
      <c r="CB98" s="359"/>
      <c r="CC98" s="359"/>
    </row>
    <row r="99" spans="1:81" s="360" customFormat="1" ht="12">
      <c r="A99" s="396"/>
      <c r="B99" s="397"/>
      <c r="C99" s="360" t="s">
        <v>624</v>
      </c>
      <c r="D99" s="360" t="s">
        <v>716</v>
      </c>
      <c r="F99" s="357"/>
      <c r="G99" s="381">
        <f>F101-G98</f>
        <v>9955974</v>
      </c>
      <c r="H99" s="381"/>
      <c r="I99" s="381"/>
      <c r="J99" s="382"/>
      <c r="K99" s="382"/>
      <c r="L99" s="382"/>
      <c r="M99" s="382">
        <f>-G99</f>
        <v>-9955974</v>
      </c>
      <c r="N99" s="382"/>
      <c r="O99" s="382"/>
      <c r="P99" s="382"/>
      <c r="Q99" s="383"/>
      <c r="R99" s="382"/>
      <c r="S99" s="357"/>
      <c r="T99" s="382"/>
      <c r="U99" s="382"/>
      <c r="V99" s="381"/>
      <c r="W99" s="382"/>
      <c r="X99" s="382"/>
      <c r="Y99" s="382"/>
      <c r="Z99" s="382"/>
      <c r="AA99" s="382"/>
      <c r="AB99" s="382"/>
      <c r="AC99" s="381"/>
      <c r="AD99" s="382"/>
      <c r="AE99" s="382"/>
      <c r="AF99" s="382"/>
      <c r="AG99" s="382"/>
      <c r="AH99" s="382"/>
      <c r="AI99" s="382"/>
      <c r="AJ99" s="382"/>
      <c r="AK99" s="382"/>
      <c r="AL99" s="382"/>
      <c r="AM99" s="301"/>
      <c r="AN99" s="357"/>
      <c r="AO99" s="357"/>
      <c r="AP99" s="357"/>
      <c r="AQ99" s="357"/>
      <c r="AR99" s="357"/>
      <c r="AS99" s="357"/>
      <c r="AT99" s="357"/>
      <c r="AU99" s="357"/>
      <c r="AV99" s="357"/>
      <c r="AW99" s="357"/>
      <c r="AX99" s="357"/>
      <c r="AY99" s="357"/>
      <c r="AZ99" s="357"/>
      <c r="BA99" s="357"/>
      <c r="BB99" s="357"/>
      <c r="BC99" s="357"/>
      <c r="BD99" s="357"/>
      <c r="BE99" s="358"/>
      <c r="BF99" s="358"/>
      <c r="BG99" s="358"/>
      <c r="BH99" s="358"/>
      <c r="BI99" s="358"/>
      <c r="BJ99" s="358"/>
      <c r="BK99" s="358"/>
      <c r="BL99" s="358"/>
      <c r="BM99" s="358"/>
      <c r="BN99" s="358"/>
      <c r="BO99" s="358"/>
      <c r="BP99" s="358"/>
      <c r="BQ99" s="358"/>
      <c r="BR99" s="358"/>
      <c r="BS99" s="358"/>
      <c r="BT99" s="359"/>
      <c r="BU99" s="359"/>
      <c r="BV99" s="359"/>
      <c r="BW99" s="359"/>
      <c r="BX99" s="359"/>
      <c r="BY99" s="359"/>
      <c r="BZ99" s="359"/>
      <c r="CA99" s="359"/>
      <c r="CB99" s="359"/>
      <c r="CC99" s="359"/>
    </row>
    <row r="100" spans="1:81" s="360" customFormat="1" ht="12">
      <c r="A100" s="396"/>
      <c r="B100" s="397"/>
      <c r="F100" s="357"/>
      <c r="G100" s="381"/>
      <c r="H100" s="381"/>
      <c r="I100" s="381"/>
      <c r="J100" s="382"/>
      <c r="K100" s="382"/>
      <c r="L100" s="382"/>
      <c r="M100" s="382"/>
      <c r="N100" s="382"/>
      <c r="O100" s="382"/>
      <c r="P100" s="382"/>
      <c r="Q100" s="383"/>
      <c r="R100" s="382"/>
      <c r="S100" s="357"/>
      <c r="T100" s="382"/>
      <c r="U100" s="382"/>
      <c r="V100" s="381"/>
      <c r="W100" s="382"/>
      <c r="X100" s="382"/>
      <c r="Y100" s="382"/>
      <c r="Z100" s="382"/>
      <c r="AA100" s="382"/>
      <c r="AB100" s="382"/>
      <c r="AC100" s="381"/>
      <c r="AD100" s="382"/>
      <c r="AE100" s="382"/>
      <c r="AF100" s="382"/>
      <c r="AG100" s="382"/>
      <c r="AH100" s="382"/>
      <c r="AI100" s="382"/>
      <c r="AJ100" s="382"/>
      <c r="AK100" s="382"/>
      <c r="AL100" s="382"/>
      <c r="AM100" s="301"/>
      <c r="AN100" s="357"/>
      <c r="AO100" s="357"/>
      <c r="AP100" s="357"/>
      <c r="AQ100" s="357"/>
      <c r="AR100" s="357"/>
      <c r="AS100" s="357"/>
      <c r="AT100" s="357"/>
      <c r="AU100" s="357"/>
      <c r="AV100" s="357"/>
      <c r="AW100" s="357"/>
      <c r="AX100" s="357"/>
      <c r="AY100" s="357"/>
      <c r="AZ100" s="357"/>
      <c r="BA100" s="357"/>
      <c r="BB100" s="357"/>
      <c r="BC100" s="357"/>
      <c r="BD100" s="357"/>
      <c r="BE100" s="358"/>
      <c r="BF100" s="358"/>
      <c r="BG100" s="358"/>
      <c r="BH100" s="358"/>
      <c r="BI100" s="358"/>
      <c r="BJ100" s="358"/>
      <c r="BK100" s="358"/>
      <c r="BL100" s="358"/>
      <c r="BM100" s="358"/>
      <c r="BN100" s="358"/>
      <c r="BO100" s="358"/>
      <c r="BP100" s="358"/>
      <c r="BQ100" s="358"/>
      <c r="BR100" s="358"/>
      <c r="BS100" s="358"/>
      <c r="BT100" s="359"/>
      <c r="BU100" s="359"/>
      <c r="BV100" s="359"/>
      <c r="BW100" s="359"/>
      <c r="BX100" s="359"/>
      <c r="BY100" s="359"/>
      <c r="BZ100" s="359"/>
      <c r="CA100" s="359"/>
      <c r="CB100" s="359"/>
      <c r="CC100" s="359"/>
    </row>
    <row r="101" spans="1:81" s="360" customFormat="1" ht="12.75" thickBot="1">
      <c r="A101" s="396"/>
      <c r="B101" s="403"/>
      <c r="F101" s="404">
        <f>SUM(F93:F100)</f>
        <v>13827741</v>
      </c>
      <c r="G101" s="405">
        <f>SUM(G98:G100)</f>
        <v>13827741</v>
      </c>
      <c r="H101" s="381"/>
      <c r="I101" s="381"/>
      <c r="J101" s="382"/>
      <c r="K101" s="382"/>
      <c r="L101" s="382"/>
      <c r="M101" s="382"/>
      <c r="N101" s="382"/>
      <c r="O101" s="382"/>
      <c r="P101" s="382"/>
      <c r="Q101" s="383"/>
      <c r="R101" s="382"/>
      <c r="S101" s="357"/>
      <c r="T101" s="382"/>
      <c r="U101" s="382"/>
      <c r="V101" s="381"/>
      <c r="W101" s="382"/>
      <c r="X101" s="382"/>
      <c r="Y101" s="382"/>
      <c r="Z101" s="382"/>
      <c r="AA101" s="382"/>
      <c r="AB101" s="382"/>
      <c r="AC101" s="381"/>
      <c r="AD101" s="382"/>
      <c r="AE101" s="382"/>
      <c r="AF101" s="382"/>
      <c r="AG101" s="382"/>
      <c r="AH101" s="382"/>
      <c r="AI101" s="382"/>
      <c r="AJ101" s="382"/>
      <c r="AK101" s="382"/>
      <c r="AL101" s="382"/>
      <c r="AM101" s="301"/>
      <c r="AN101" s="357"/>
      <c r="AO101" s="357"/>
      <c r="AP101" s="357"/>
      <c r="AQ101" s="357"/>
      <c r="AR101" s="357"/>
      <c r="AS101" s="357"/>
      <c r="AT101" s="357"/>
      <c r="AU101" s="357"/>
      <c r="AV101" s="357"/>
      <c r="AW101" s="357"/>
      <c r="AX101" s="357"/>
      <c r="AY101" s="357"/>
      <c r="AZ101" s="357"/>
      <c r="BA101" s="357"/>
      <c r="BB101" s="357"/>
      <c r="BC101" s="357"/>
      <c r="BD101" s="357"/>
      <c r="BE101" s="358"/>
      <c r="BF101" s="358"/>
      <c r="BG101" s="358"/>
      <c r="BH101" s="358"/>
      <c r="BI101" s="358"/>
      <c r="BJ101" s="358"/>
      <c r="BK101" s="358"/>
      <c r="BL101" s="358"/>
      <c r="BM101" s="358"/>
      <c r="BN101" s="358"/>
      <c r="BO101" s="358"/>
      <c r="BP101" s="358"/>
      <c r="BQ101" s="358"/>
      <c r="BR101" s="358"/>
      <c r="BS101" s="358"/>
      <c r="BT101" s="359"/>
      <c r="BU101" s="359"/>
      <c r="BV101" s="359"/>
      <c r="BW101" s="359"/>
      <c r="BX101" s="359"/>
      <c r="BY101" s="359"/>
      <c r="BZ101" s="359"/>
      <c r="CA101" s="359"/>
      <c r="CB101" s="359"/>
      <c r="CC101" s="359"/>
    </row>
    <row r="102" spans="1:81" s="360" customFormat="1" ht="12.75" thickTop="1">
      <c r="A102" s="396"/>
      <c r="F102" s="357"/>
      <c r="G102" s="381"/>
      <c r="H102" s="381"/>
      <c r="I102" s="381"/>
      <c r="J102" s="382"/>
      <c r="K102" s="382"/>
      <c r="L102" s="382"/>
      <c r="M102" s="382"/>
      <c r="N102" s="382"/>
      <c r="O102" s="382"/>
      <c r="P102" s="382"/>
      <c r="Q102" s="383"/>
      <c r="R102" s="382"/>
      <c r="S102" s="357"/>
      <c r="T102" s="382"/>
      <c r="U102" s="382"/>
      <c r="V102" s="381"/>
      <c r="W102" s="382"/>
      <c r="X102" s="382"/>
      <c r="Y102" s="382"/>
      <c r="Z102" s="382"/>
      <c r="AA102" s="382"/>
      <c r="AB102" s="382"/>
      <c r="AC102" s="381"/>
      <c r="AD102" s="382"/>
      <c r="AE102" s="382"/>
      <c r="AF102" s="382"/>
      <c r="AG102" s="382"/>
      <c r="AH102" s="382"/>
      <c r="AI102" s="382"/>
      <c r="AJ102" s="382"/>
      <c r="AK102" s="382"/>
      <c r="AL102" s="382"/>
      <c r="AM102" s="301"/>
      <c r="AN102" s="357"/>
      <c r="AO102" s="357"/>
      <c r="AP102" s="357"/>
      <c r="AQ102" s="357"/>
      <c r="AR102" s="357"/>
      <c r="AS102" s="357"/>
      <c r="AT102" s="357"/>
      <c r="AU102" s="357"/>
      <c r="AV102" s="357"/>
      <c r="AW102" s="357"/>
      <c r="AX102" s="357"/>
      <c r="AY102" s="357"/>
      <c r="AZ102" s="357"/>
      <c r="BA102" s="357"/>
      <c r="BB102" s="357"/>
      <c r="BC102" s="357"/>
      <c r="BD102" s="357"/>
      <c r="BE102" s="358"/>
      <c r="BF102" s="358"/>
      <c r="BG102" s="358"/>
      <c r="BH102" s="358"/>
      <c r="BI102" s="358"/>
      <c r="BJ102" s="358"/>
      <c r="BK102" s="358"/>
      <c r="BL102" s="358"/>
      <c r="BM102" s="358"/>
      <c r="BN102" s="358"/>
      <c r="BO102" s="358"/>
      <c r="BP102" s="358"/>
      <c r="BQ102" s="358"/>
      <c r="BR102" s="358"/>
      <c r="BS102" s="358"/>
      <c r="BT102" s="359"/>
      <c r="BU102" s="359"/>
      <c r="BV102" s="359"/>
      <c r="BW102" s="359"/>
      <c r="BX102" s="359"/>
      <c r="BY102" s="359"/>
      <c r="BZ102" s="359"/>
      <c r="CA102" s="359"/>
      <c r="CB102" s="359"/>
      <c r="CC102" s="359"/>
    </row>
    <row r="103" spans="1:81" s="360" customFormat="1" ht="12">
      <c r="A103" s="396"/>
      <c r="C103" s="350" t="s">
        <v>717</v>
      </c>
      <c r="F103" s="357"/>
      <c r="G103" s="381"/>
      <c r="H103" s="381"/>
      <c r="I103" s="381"/>
      <c r="J103" s="382"/>
      <c r="K103" s="382"/>
      <c r="L103" s="382"/>
      <c r="M103" s="382"/>
      <c r="N103" s="382"/>
      <c r="O103" s="382"/>
      <c r="P103" s="382"/>
      <c r="Q103" s="383"/>
      <c r="R103" s="382"/>
      <c r="S103" s="357"/>
      <c r="T103" s="382"/>
      <c r="U103" s="382"/>
      <c r="V103" s="381"/>
      <c r="W103" s="382"/>
      <c r="X103" s="382"/>
      <c r="Y103" s="382"/>
      <c r="Z103" s="382"/>
      <c r="AA103" s="382"/>
      <c r="AB103" s="382"/>
      <c r="AC103" s="381"/>
      <c r="AD103" s="382"/>
      <c r="AE103" s="382"/>
      <c r="AF103" s="382"/>
      <c r="AG103" s="382"/>
      <c r="AH103" s="382"/>
      <c r="AI103" s="382"/>
      <c r="AJ103" s="382"/>
      <c r="AK103" s="382"/>
      <c r="AL103" s="382"/>
      <c r="AM103" s="301"/>
      <c r="AN103" s="357"/>
      <c r="AO103" s="357"/>
      <c r="AP103" s="357"/>
      <c r="AQ103" s="357"/>
      <c r="AR103" s="357"/>
      <c r="AS103" s="357"/>
      <c r="AT103" s="357"/>
      <c r="AU103" s="357"/>
      <c r="AV103" s="357"/>
      <c r="AW103" s="357"/>
      <c r="AX103" s="357"/>
      <c r="AY103" s="357"/>
      <c r="AZ103" s="357"/>
      <c r="BA103" s="357"/>
      <c r="BB103" s="357"/>
      <c r="BC103" s="357"/>
      <c r="BD103" s="357"/>
      <c r="BE103" s="358"/>
      <c r="BF103" s="358"/>
      <c r="BG103" s="358"/>
      <c r="BH103" s="358"/>
      <c r="BI103" s="358"/>
      <c r="BJ103" s="358"/>
      <c r="BK103" s="358"/>
      <c r="BL103" s="358"/>
      <c r="BM103" s="358"/>
      <c r="BN103" s="358"/>
      <c r="BO103" s="358"/>
      <c r="BP103" s="358"/>
      <c r="BQ103" s="358"/>
      <c r="BR103" s="358"/>
      <c r="BS103" s="358"/>
      <c r="BT103" s="359"/>
      <c r="BU103" s="359"/>
      <c r="BV103" s="359"/>
      <c r="BW103" s="359"/>
      <c r="BX103" s="359"/>
      <c r="BY103" s="359"/>
      <c r="BZ103" s="359"/>
      <c r="CA103" s="359"/>
      <c r="CB103" s="359"/>
      <c r="CC103" s="359"/>
    </row>
    <row r="104" spans="1:81" s="360" customFormat="1" ht="12">
      <c r="A104" s="396"/>
      <c r="C104" s="350" t="s">
        <v>718</v>
      </c>
      <c r="F104" s="357"/>
      <c r="G104" s="381"/>
      <c r="H104" s="381"/>
      <c r="I104" s="381"/>
      <c r="J104" s="382"/>
      <c r="K104" s="382"/>
      <c r="L104" s="382"/>
      <c r="M104" s="382"/>
      <c r="N104" s="382"/>
      <c r="O104" s="382"/>
      <c r="P104" s="382"/>
      <c r="Q104" s="383"/>
      <c r="R104" s="382"/>
      <c r="S104" s="357"/>
      <c r="T104" s="382"/>
      <c r="U104" s="382"/>
      <c r="V104" s="381"/>
      <c r="W104" s="382"/>
      <c r="X104" s="382"/>
      <c r="Y104" s="382"/>
      <c r="Z104" s="382"/>
      <c r="AA104" s="382"/>
      <c r="AB104" s="382"/>
      <c r="AC104" s="381"/>
      <c r="AD104" s="382"/>
      <c r="AE104" s="382"/>
      <c r="AF104" s="382"/>
      <c r="AG104" s="382"/>
      <c r="AH104" s="382"/>
      <c r="AI104" s="382"/>
      <c r="AJ104" s="382"/>
      <c r="AK104" s="382"/>
      <c r="AL104" s="382"/>
      <c r="AM104" s="301"/>
      <c r="AN104" s="357"/>
      <c r="AO104" s="357"/>
      <c r="AP104" s="357"/>
      <c r="AQ104" s="357"/>
      <c r="AR104" s="357"/>
      <c r="AS104" s="357"/>
      <c r="AT104" s="357"/>
      <c r="AU104" s="357"/>
      <c r="AV104" s="357"/>
      <c r="AW104" s="357"/>
      <c r="AX104" s="357"/>
      <c r="AY104" s="357"/>
      <c r="AZ104" s="357"/>
      <c r="BA104" s="357"/>
      <c r="BB104" s="357"/>
      <c r="BC104" s="357"/>
      <c r="BD104" s="357"/>
      <c r="BE104" s="358"/>
      <c r="BF104" s="358"/>
      <c r="BG104" s="358"/>
      <c r="BH104" s="358"/>
      <c r="BI104" s="358"/>
      <c r="BJ104" s="358"/>
      <c r="BK104" s="358"/>
      <c r="BL104" s="358"/>
      <c r="BM104" s="358"/>
      <c r="BN104" s="358"/>
      <c r="BO104" s="358"/>
      <c r="BP104" s="358"/>
      <c r="BQ104" s="358"/>
      <c r="BR104" s="358"/>
      <c r="BS104" s="358"/>
      <c r="BT104" s="359"/>
      <c r="BU104" s="359"/>
      <c r="BV104" s="359"/>
      <c r="BW104" s="359"/>
      <c r="BX104" s="359"/>
      <c r="BY104" s="359"/>
      <c r="BZ104" s="359"/>
      <c r="CA104" s="359"/>
      <c r="CB104" s="359"/>
      <c r="CC104" s="359"/>
    </row>
    <row r="105" spans="1:81" s="360" customFormat="1" ht="12.75" customHeight="1">
      <c r="A105" s="396"/>
      <c r="F105" s="357"/>
      <c r="G105" s="381"/>
      <c r="H105" s="381"/>
      <c r="I105" s="381"/>
      <c r="J105" s="382"/>
      <c r="K105" s="382"/>
      <c r="L105" s="382"/>
      <c r="M105" s="382"/>
      <c r="N105" s="382"/>
      <c r="O105" s="382"/>
      <c r="P105" s="382"/>
      <c r="Q105" s="383"/>
      <c r="R105" s="382"/>
      <c r="S105" s="357"/>
      <c r="T105" s="382"/>
      <c r="U105" s="382"/>
      <c r="V105" s="381"/>
      <c r="W105" s="382"/>
      <c r="X105" s="382"/>
      <c r="Y105" s="382"/>
      <c r="Z105" s="382"/>
      <c r="AA105" s="382"/>
      <c r="AB105" s="382"/>
      <c r="AC105" s="381"/>
      <c r="AD105" s="382"/>
      <c r="AE105" s="382"/>
      <c r="AF105" s="382"/>
      <c r="AG105" s="382"/>
      <c r="AH105" s="382"/>
      <c r="AI105" s="382"/>
      <c r="AJ105" s="382"/>
      <c r="AK105" s="382"/>
      <c r="AL105" s="382"/>
      <c r="AM105" s="301"/>
      <c r="AN105" s="357"/>
      <c r="AO105" s="357"/>
      <c r="AP105" s="357"/>
      <c r="AQ105" s="357"/>
      <c r="AR105" s="357"/>
      <c r="AS105" s="357"/>
      <c r="AT105" s="357"/>
      <c r="AU105" s="357"/>
      <c r="AV105" s="357"/>
      <c r="AW105" s="357"/>
      <c r="AX105" s="357"/>
      <c r="AY105" s="357"/>
      <c r="AZ105" s="357"/>
      <c r="BA105" s="357"/>
      <c r="BB105" s="357"/>
      <c r="BC105" s="357"/>
      <c r="BD105" s="357"/>
      <c r="BE105" s="358"/>
      <c r="BF105" s="358"/>
      <c r="BG105" s="358"/>
      <c r="BH105" s="358"/>
      <c r="BI105" s="358"/>
      <c r="BJ105" s="358"/>
      <c r="BK105" s="358"/>
      <c r="BL105" s="358"/>
      <c r="BM105" s="358"/>
      <c r="BN105" s="358"/>
      <c r="BO105" s="358"/>
      <c r="BP105" s="358"/>
      <c r="BQ105" s="358"/>
      <c r="BR105" s="358"/>
      <c r="BS105" s="358"/>
      <c r="BT105" s="359"/>
      <c r="BU105" s="359"/>
      <c r="BV105" s="359"/>
      <c r="BW105" s="359"/>
      <c r="BX105" s="359"/>
      <c r="BY105" s="359"/>
      <c r="BZ105" s="359"/>
      <c r="CA105" s="359"/>
      <c r="CB105" s="359"/>
      <c r="CC105" s="359"/>
    </row>
    <row r="106" spans="1:81" s="360" customFormat="1" ht="12">
      <c r="A106" s="406"/>
      <c r="B106" s="407"/>
      <c r="C106" s="407"/>
      <c r="D106" s="407"/>
      <c r="E106" s="407"/>
      <c r="F106" s="408" t="s">
        <v>27</v>
      </c>
      <c r="G106" s="409" t="s">
        <v>27</v>
      </c>
      <c r="H106" s="381"/>
      <c r="I106" s="381"/>
      <c r="J106" s="382"/>
      <c r="K106" s="382"/>
      <c r="L106" s="382"/>
      <c r="M106" s="382"/>
      <c r="N106" s="382"/>
      <c r="O106" s="382"/>
      <c r="P106" s="382"/>
      <c r="Q106" s="383"/>
      <c r="R106" s="382"/>
      <c r="S106" s="357"/>
      <c r="T106" s="382"/>
      <c r="U106" s="382"/>
      <c r="V106" s="381"/>
      <c r="W106" s="382"/>
      <c r="X106" s="382"/>
      <c r="Y106" s="382"/>
      <c r="Z106" s="382"/>
      <c r="AA106" s="382"/>
      <c r="AB106" s="382"/>
      <c r="AC106" s="381"/>
      <c r="AD106" s="382"/>
      <c r="AE106" s="382"/>
      <c r="AF106" s="382"/>
      <c r="AG106" s="382"/>
      <c r="AH106" s="382"/>
      <c r="AI106" s="382"/>
      <c r="AJ106" s="382"/>
      <c r="AK106" s="382"/>
      <c r="AL106" s="382"/>
      <c r="AM106" s="301"/>
      <c r="AN106" s="357"/>
      <c r="AO106" s="357"/>
      <c r="AP106" s="357"/>
      <c r="AQ106" s="357"/>
      <c r="AR106" s="357"/>
      <c r="AS106" s="357"/>
      <c r="AT106" s="357"/>
      <c r="AU106" s="357"/>
      <c r="AV106" s="357"/>
      <c r="AW106" s="357"/>
      <c r="AX106" s="357"/>
      <c r="AY106" s="357"/>
      <c r="AZ106" s="357"/>
      <c r="BA106" s="357"/>
      <c r="BB106" s="357"/>
      <c r="BC106" s="357"/>
      <c r="BD106" s="357"/>
      <c r="BE106" s="358"/>
      <c r="BF106" s="358"/>
      <c r="BG106" s="358"/>
      <c r="BH106" s="358"/>
      <c r="BI106" s="358"/>
      <c r="BJ106" s="358"/>
      <c r="BK106" s="358"/>
      <c r="BL106" s="358"/>
      <c r="BM106" s="358"/>
      <c r="BN106" s="358"/>
      <c r="BO106" s="358"/>
      <c r="BP106" s="358"/>
      <c r="BQ106" s="358"/>
      <c r="BR106" s="358"/>
      <c r="BS106" s="358"/>
      <c r="BT106" s="359"/>
      <c r="BU106" s="359"/>
      <c r="BV106" s="359"/>
      <c r="BW106" s="359"/>
      <c r="BX106" s="359"/>
      <c r="BY106" s="359"/>
      <c r="BZ106" s="359"/>
      <c r="CA106" s="359"/>
      <c r="CB106" s="359"/>
      <c r="CC106" s="359"/>
    </row>
    <row r="107" spans="1:81" s="360" customFormat="1" ht="12">
      <c r="A107" s="396" t="s">
        <v>719</v>
      </c>
      <c r="C107" s="360" t="s">
        <v>623</v>
      </c>
      <c r="D107" s="360" t="s">
        <v>720</v>
      </c>
      <c r="F107" s="357">
        <f>G112-F108</f>
        <v>9639310</v>
      </c>
      <c r="G107" s="381"/>
      <c r="H107" s="381"/>
      <c r="I107" s="381"/>
      <c r="J107" s="382"/>
      <c r="K107" s="382"/>
      <c r="L107" s="382"/>
      <c r="M107" s="382">
        <f>F107</f>
        <v>9639310</v>
      </c>
      <c r="N107" s="382"/>
      <c r="O107" s="382"/>
      <c r="P107" s="382"/>
      <c r="Q107" s="383"/>
      <c r="R107" s="382"/>
      <c r="S107" s="357"/>
      <c r="T107" s="382"/>
      <c r="U107" s="382"/>
      <c r="V107" s="381"/>
      <c r="W107" s="382"/>
      <c r="X107" s="382"/>
      <c r="Y107" s="382"/>
      <c r="Z107" s="382"/>
      <c r="AA107" s="382"/>
      <c r="AB107" s="382"/>
      <c r="AC107" s="381"/>
      <c r="AD107" s="382"/>
      <c r="AE107" s="382"/>
      <c r="AF107" s="382"/>
      <c r="AG107" s="382"/>
      <c r="AH107" s="382"/>
      <c r="AI107" s="382"/>
      <c r="AJ107" s="382"/>
      <c r="AK107" s="382"/>
      <c r="AL107" s="382"/>
      <c r="AM107" s="301"/>
      <c r="AN107" s="357"/>
      <c r="AO107" s="357"/>
      <c r="AP107" s="357"/>
      <c r="AQ107" s="357"/>
      <c r="AR107" s="357"/>
      <c r="AS107" s="357"/>
      <c r="AT107" s="357"/>
      <c r="AU107" s="357"/>
      <c r="AV107" s="357"/>
      <c r="AW107" s="357"/>
      <c r="AX107" s="357"/>
      <c r="AY107" s="357"/>
      <c r="AZ107" s="357"/>
      <c r="BA107" s="357"/>
      <c r="BB107" s="357"/>
      <c r="BC107" s="357"/>
      <c r="BD107" s="357"/>
      <c r="BE107" s="358"/>
      <c r="BF107" s="358"/>
      <c r="BG107" s="358"/>
      <c r="BH107" s="358"/>
      <c r="BI107" s="358"/>
      <c r="BJ107" s="358"/>
      <c r="BK107" s="358"/>
      <c r="BL107" s="358"/>
      <c r="BM107" s="358"/>
      <c r="BN107" s="358"/>
      <c r="BO107" s="358"/>
      <c r="BP107" s="358"/>
      <c r="BQ107" s="358"/>
      <c r="BR107" s="358"/>
      <c r="BS107" s="358"/>
      <c r="BT107" s="359"/>
      <c r="BU107" s="359"/>
      <c r="BV107" s="359"/>
      <c r="BW107" s="359"/>
      <c r="BX107" s="359"/>
      <c r="BY107" s="359"/>
      <c r="BZ107" s="359"/>
      <c r="CA107" s="359"/>
      <c r="CB107" s="359"/>
      <c r="CC107" s="359"/>
    </row>
    <row r="108" spans="1:81" s="360" customFormat="1" ht="12">
      <c r="A108" s="396"/>
      <c r="C108" s="360" t="s">
        <v>623</v>
      </c>
      <c r="D108" s="360" t="s">
        <v>721</v>
      </c>
      <c r="F108" s="357">
        <f>ROUND(G112*0.28,0)</f>
        <v>3748620</v>
      </c>
      <c r="G108" s="381"/>
      <c r="H108" s="381"/>
      <c r="I108" s="381"/>
      <c r="J108" s="382"/>
      <c r="K108" s="382"/>
      <c r="L108" s="382"/>
      <c r="M108" s="382"/>
      <c r="N108" s="382"/>
      <c r="O108" s="382"/>
      <c r="P108" s="382"/>
      <c r="Q108" s="383"/>
      <c r="R108" s="382"/>
      <c r="S108" s="357"/>
      <c r="T108" s="382"/>
      <c r="U108" s="382"/>
      <c r="V108" s="381"/>
      <c r="W108" s="382"/>
      <c r="X108" s="382"/>
      <c r="Y108" s="382"/>
      <c r="Z108" s="382"/>
      <c r="AA108" s="382"/>
      <c r="AB108" s="382"/>
      <c r="AC108" s="381">
        <f>F108</f>
        <v>3748620</v>
      </c>
      <c r="AD108" s="382"/>
      <c r="AE108" s="382"/>
      <c r="AF108" s="382"/>
      <c r="AG108" s="382"/>
      <c r="AH108" s="382"/>
      <c r="AI108" s="382"/>
      <c r="AJ108" s="382"/>
      <c r="AK108" s="382"/>
      <c r="AL108" s="382"/>
      <c r="AM108" s="301"/>
      <c r="AN108" s="357"/>
      <c r="AO108" s="357"/>
      <c r="AP108" s="357"/>
      <c r="AQ108" s="357"/>
      <c r="AR108" s="357"/>
      <c r="AS108" s="357"/>
      <c r="AT108" s="357"/>
      <c r="AU108" s="357"/>
      <c r="AV108" s="357"/>
      <c r="AW108" s="357"/>
      <c r="AX108" s="357"/>
      <c r="AY108" s="357"/>
      <c r="AZ108" s="357"/>
      <c r="BA108" s="357"/>
      <c r="BB108" s="357"/>
      <c r="BC108" s="357"/>
      <c r="BD108" s="357"/>
      <c r="BE108" s="358"/>
      <c r="BF108" s="358"/>
      <c r="BG108" s="358"/>
      <c r="BH108" s="358"/>
      <c r="BI108" s="358"/>
      <c r="BJ108" s="358"/>
      <c r="BK108" s="358"/>
      <c r="BL108" s="358"/>
      <c r="BM108" s="358"/>
      <c r="BN108" s="358"/>
      <c r="BO108" s="358"/>
      <c r="BP108" s="358"/>
      <c r="BQ108" s="358"/>
      <c r="BR108" s="358"/>
      <c r="BS108" s="358"/>
      <c r="BT108" s="359"/>
      <c r="BU108" s="359"/>
      <c r="BV108" s="359"/>
      <c r="BW108" s="359"/>
      <c r="BX108" s="359"/>
      <c r="BY108" s="359"/>
      <c r="BZ108" s="359"/>
      <c r="CA108" s="359"/>
      <c r="CB108" s="359"/>
      <c r="CC108" s="359"/>
    </row>
    <row r="109" spans="1:81" s="360" customFormat="1" ht="12">
      <c r="A109" s="396"/>
      <c r="C109" s="360" t="s">
        <v>624</v>
      </c>
      <c r="D109" s="360" t="s">
        <v>722</v>
      </c>
      <c r="F109" s="357"/>
      <c r="G109" s="381">
        <v>13157</v>
      </c>
      <c r="H109" s="381"/>
      <c r="I109" s="381"/>
      <c r="J109" s="382"/>
      <c r="K109" s="382"/>
      <c r="L109" s="382"/>
      <c r="M109" s="382"/>
      <c r="N109" s="382"/>
      <c r="O109" s="382"/>
      <c r="P109" s="382"/>
      <c r="Q109" s="383">
        <f>-G109</f>
        <v>-13157</v>
      </c>
      <c r="R109" s="382"/>
      <c r="S109" s="357"/>
      <c r="T109" s="382"/>
      <c r="U109" s="382"/>
      <c r="V109" s="381"/>
      <c r="W109" s="382"/>
      <c r="X109" s="382"/>
      <c r="Y109" s="382"/>
      <c r="Z109" s="382"/>
      <c r="AA109" s="382"/>
      <c r="AB109" s="382"/>
      <c r="AC109" s="381"/>
      <c r="AD109" s="382"/>
      <c r="AE109" s="382"/>
      <c r="AF109" s="382"/>
      <c r="AG109" s="382"/>
      <c r="AH109" s="382"/>
      <c r="AI109" s="382"/>
      <c r="AJ109" s="382"/>
      <c r="AK109" s="382"/>
      <c r="AL109" s="382"/>
      <c r="AM109" s="301"/>
      <c r="AN109" s="357"/>
      <c r="AO109" s="357"/>
      <c r="AP109" s="357"/>
      <c r="AQ109" s="357"/>
      <c r="AR109" s="357"/>
      <c r="AS109" s="357"/>
      <c r="AT109" s="357"/>
      <c r="AU109" s="357"/>
      <c r="AV109" s="357"/>
      <c r="AW109" s="357"/>
      <c r="AX109" s="357"/>
      <c r="AY109" s="357"/>
      <c r="AZ109" s="357"/>
      <c r="BA109" s="357"/>
      <c r="BB109" s="357"/>
      <c r="BC109" s="357"/>
      <c r="BD109" s="357"/>
      <c r="BE109" s="358"/>
      <c r="BF109" s="358"/>
      <c r="BG109" s="358"/>
      <c r="BH109" s="358"/>
      <c r="BI109" s="358"/>
      <c r="BJ109" s="358"/>
      <c r="BK109" s="358"/>
      <c r="BL109" s="358"/>
      <c r="BM109" s="358"/>
      <c r="BN109" s="358"/>
      <c r="BO109" s="358"/>
      <c r="BP109" s="358"/>
      <c r="BQ109" s="358"/>
      <c r="BR109" s="358"/>
      <c r="BS109" s="358"/>
      <c r="BT109" s="359"/>
      <c r="BU109" s="359"/>
      <c r="BV109" s="359"/>
      <c r="BW109" s="359"/>
      <c r="BX109" s="359"/>
      <c r="BY109" s="359"/>
      <c r="BZ109" s="359"/>
      <c r="CA109" s="359"/>
      <c r="CB109" s="359"/>
      <c r="CC109" s="359"/>
    </row>
    <row r="110" spans="1:81" s="360" customFormat="1" ht="12">
      <c r="A110" s="396"/>
      <c r="C110" s="360" t="s">
        <v>624</v>
      </c>
      <c r="D110" s="360" t="s">
        <v>723</v>
      </c>
      <c r="F110" s="357"/>
      <c r="G110" s="381">
        <v>9300306</v>
      </c>
      <c r="H110" s="381"/>
      <c r="I110" s="381"/>
      <c r="J110" s="382"/>
      <c r="K110" s="382"/>
      <c r="L110" s="382"/>
      <c r="M110" s="382"/>
      <c r="N110" s="382"/>
      <c r="O110" s="382"/>
      <c r="P110" s="382"/>
      <c r="Q110" s="383">
        <f>-G110</f>
        <v>-9300306</v>
      </c>
      <c r="R110" s="382"/>
      <c r="S110" s="357"/>
      <c r="T110" s="382"/>
      <c r="U110" s="382"/>
      <c r="V110" s="381"/>
      <c r="W110" s="382"/>
      <c r="X110" s="382"/>
      <c r="Y110" s="382"/>
      <c r="Z110" s="382"/>
      <c r="AA110" s="382"/>
      <c r="AB110" s="382"/>
      <c r="AC110" s="381"/>
      <c r="AD110" s="382"/>
      <c r="AE110" s="382"/>
      <c r="AF110" s="382"/>
      <c r="AG110" s="382"/>
      <c r="AH110" s="382"/>
      <c r="AI110" s="382"/>
      <c r="AJ110" s="382"/>
      <c r="AK110" s="382"/>
      <c r="AL110" s="382"/>
      <c r="AM110" s="301"/>
      <c r="AN110" s="357"/>
      <c r="AO110" s="357"/>
      <c r="AP110" s="357"/>
      <c r="AQ110" s="357"/>
      <c r="AR110" s="357"/>
      <c r="AS110" s="357"/>
      <c r="AT110" s="357"/>
      <c r="AU110" s="357"/>
      <c r="AV110" s="357"/>
      <c r="AW110" s="357"/>
      <c r="AX110" s="357"/>
      <c r="AY110" s="357"/>
      <c r="AZ110" s="357"/>
      <c r="BA110" s="357"/>
      <c r="BB110" s="357"/>
      <c r="BC110" s="357"/>
      <c r="BD110" s="357"/>
      <c r="BE110" s="358"/>
      <c r="BF110" s="358"/>
      <c r="BG110" s="358"/>
      <c r="BH110" s="358"/>
      <c r="BI110" s="358"/>
      <c r="BJ110" s="358"/>
      <c r="BK110" s="358"/>
      <c r="BL110" s="358"/>
      <c r="BM110" s="358"/>
      <c r="BN110" s="358"/>
      <c r="BO110" s="358"/>
      <c r="BP110" s="358"/>
      <c r="BQ110" s="358"/>
      <c r="BR110" s="358"/>
      <c r="BS110" s="358"/>
      <c r="BT110" s="359"/>
      <c r="BU110" s="359"/>
      <c r="BV110" s="359"/>
      <c r="BW110" s="359"/>
      <c r="BX110" s="359"/>
      <c r="BY110" s="359"/>
      <c r="BZ110" s="359"/>
      <c r="CA110" s="359"/>
      <c r="CB110" s="359"/>
      <c r="CC110" s="359"/>
    </row>
    <row r="111" spans="1:81" s="360" customFormat="1" ht="12">
      <c r="A111" s="396"/>
      <c r="C111" s="360" t="s">
        <v>624</v>
      </c>
      <c r="D111" s="360" t="s">
        <v>724</v>
      </c>
      <c r="F111" s="357"/>
      <c r="G111" s="381">
        <v>4074467</v>
      </c>
      <c r="H111" s="381"/>
      <c r="I111" s="381"/>
      <c r="J111" s="382"/>
      <c r="K111" s="382"/>
      <c r="L111" s="382"/>
      <c r="M111" s="382"/>
      <c r="N111" s="382"/>
      <c r="O111" s="382"/>
      <c r="P111" s="382"/>
      <c r="Q111" s="383">
        <f>-G111</f>
        <v>-4074467</v>
      </c>
      <c r="R111" s="382"/>
      <c r="S111" s="357"/>
      <c r="T111" s="382"/>
      <c r="U111" s="382"/>
      <c r="V111" s="381"/>
      <c r="W111" s="382"/>
      <c r="X111" s="382"/>
      <c r="Y111" s="382"/>
      <c r="Z111" s="382"/>
      <c r="AA111" s="382"/>
      <c r="AB111" s="382"/>
      <c r="AC111" s="381"/>
      <c r="AD111" s="382"/>
      <c r="AE111" s="382"/>
      <c r="AF111" s="382"/>
      <c r="AG111" s="382"/>
      <c r="AH111" s="382"/>
      <c r="AI111" s="382"/>
      <c r="AJ111" s="382"/>
      <c r="AK111" s="382"/>
      <c r="AL111" s="382"/>
      <c r="AM111" s="301"/>
      <c r="AN111" s="357"/>
      <c r="AO111" s="357"/>
      <c r="AP111" s="357"/>
      <c r="AQ111" s="357"/>
      <c r="AR111" s="357"/>
      <c r="AS111" s="357"/>
      <c r="AT111" s="357"/>
      <c r="AU111" s="357"/>
      <c r="AV111" s="357"/>
      <c r="AW111" s="357"/>
      <c r="AX111" s="357"/>
      <c r="AY111" s="357"/>
      <c r="AZ111" s="357"/>
      <c r="BA111" s="357"/>
      <c r="BB111" s="357"/>
      <c r="BC111" s="357"/>
      <c r="BD111" s="357"/>
      <c r="BE111" s="358"/>
      <c r="BF111" s="358"/>
      <c r="BG111" s="358"/>
      <c r="BH111" s="358"/>
      <c r="BI111" s="358"/>
      <c r="BJ111" s="358"/>
      <c r="BK111" s="358"/>
      <c r="BL111" s="358"/>
      <c r="BM111" s="358"/>
      <c r="BN111" s="358"/>
      <c r="BO111" s="358"/>
      <c r="BP111" s="358"/>
      <c r="BQ111" s="358"/>
      <c r="BR111" s="358"/>
      <c r="BS111" s="358"/>
      <c r="BT111" s="359"/>
      <c r="BU111" s="359"/>
      <c r="BV111" s="359"/>
      <c r="BW111" s="359"/>
      <c r="BX111" s="359"/>
      <c r="BY111" s="359"/>
      <c r="BZ111" s="359"/>
      <c r="CA111" s="359"/>
      <c r="CB111" s="359"/>
      <c r="CC111" s="359"/>
    </row>
    <row r="112" spans="1:81" s="360" customFormat="1" ht="12.75" thickBot="1">
      <c r="A112" s="396"/>
      <c r="F112" s="404">
        <f>SUM(F107:F110)</f>
        <v>13387930</v>
      </c>
      <c r="G112" s="405">
        <f>SUM(G109:G111)</f>
        <v>13387930</v>
      </c>
      <c r="H112" s="381"/>
      <c r="I112" s="381"/>
      <c r="J112" s="382"/>
      <c r="K112" s="382"/>
      <c r="L112" s="382"/>
      <c r="M112" s="382"/>
      <c r="N112" s="382"/>
      <c r="O112" s="382"/>
      <c r="P112" s="382"/>
      <c r="Q112" s="383"/>
      <c r="R112" s="382"/>
      <c r="S112" s="357"/>
      <c r="T112" s="382"/>
      <c r="U112" s="382"/>
      <c r="V112" s="381"/>
      <c r="W112" s="382"/>
      <c r="X112" s="382"/>
      <c r="Y112" s="382"/>
      <c r="Z112" s="382"/>
      <c r="AA112" s="382"/>
      <c r="AB112" s="382"/>
      <c r="AC112" s="381"/>
      <c r="AD112" s="382"/>
      <c r="AE112" s="382"/>
      <c r="AF112" s="382"/>
      <c r="AG112" s="382"/>
      <c r="AH112" s="382"/>
      <c r="AI112" s="382"/>
      <c r="AJ112" s="382"/>
      <c r="AK112" s="382"/>
      <c r="AL112" s="382"/>
      <c r="AM112" s="301"/>
      <c r="AN112" s="357"/>
      <c r="AO112" s="357"/>
      <c r="AP112" s="357"/>
      <c r="AQ112" s="357"/>
      <c r="AR112" s="357"/>
      <c r="AS112" s="357"/>
      <c r="AT112" s="357"/>
      <c r="AU112" s="357"/>
      <c r="AV112" s="357"/>
      <c r="AW112" s="357"/>
      <c r="AX112" s="357"/>
      <c r="AY112" s="357"/>
      <c r="AZ112" s="357"/>
      <c r="BA112" s="357"/>
      <c r="BB112" s="357"/>
      <c r="BC112" s="357"/>
      <c r="BD112" s="357"/>
      <c r="BE112" s="358"/>
      <c r="BF112" s="358"/>
      <c r="BG112" s="358"/>
      <c r="BH112" s="358"/>
      <c r="BI112" s="358"/>
      <c r="BJ112" s="358"/>
      <c r="BK112" s="358"/>
      <c r="BL112" s="358"/>
      <c r="BM112" s="358"/>
      <c r="BN112" s="358"/>
      <c r="BO112" s="358"/>
      <c r="BP112" s="358"/>
      <c r="BQ112" s="358"/>
      <c r="BR112" s="358"/>
      <c r="BS112" s="358"/>
      <c r="BT112" s="359"/>
      <c r="BU112" s="359"/>
      <c r="BV112" s="359"/>
      <c r="BW112" s="359"/>
      <c r="BX112" s="359"/>
      <c r="BY112" s="359"/>
      <c r="BZ112" s="359"/>
      <c r="CA112" s="359"/>
      <c r="CB112" s="359"/>
      <c r="CC112" s="359"/>
    </row>
    <row r="113" spans="1:81" s="360" customFormat="1" ht="12.75" thickTop="1">
      <c r="A113" s="396"/>
      <c r="C113" s="410"/>
      <c r="F113" s="357"/>
      <c r="G113" s="381"/>
      <c r="H113" s="381"/>
      <c r="I113" s="381"/>
      <c r="J113" s="382"/>
      <c r="K113" s="382"/>
      <c r="L113" s="382"/>
      <c r="M113" s="382"/>
      <c r="N113" s="382"/>
      <c r="O113" s="382"/>
      <c r="P113" s="382"/>
      <c r="Q113" s="383"/>
      <c r="R113" s="382"/>
      <c r="S113" s="357"/>
      <c r="T113" s="382"/>
      <c r="U113" s="382"/>
      <c r="V113" s="381"/>
      <c r="W113" s="382"/>
      <c r="X113" s="382"/>
      <c r="Y113" s="382"/>
      <c r="Z113" s="382"/>
      <c r="AA113" s="382"/>
      <c r="AB113" s="382"/>
      <c r="AC113" s="357"/>
      <c r="AD113" s="382"/>
      <c r="AE113" s="382"/>
      <c r="AF113" s="382"/>
      <c r="AG113" s="382"/>
      <c r="AH113" s="382"/>
      <c r="AI113" s="382"/>
      <c r="AJ113" s="382"/>
      <c r="AK113" s="382"/>
      <c r="AL113" s="382"/>
      <c r="AM113" s="301"/>
      <c r="AN113" s="357"/>
      <c r="AO113" s="357"/>
      <c r="AP113" s="357"/>
      <c r="AQ113" s="357"/>
      <c r="AR113" s="357"/>
      <c r="AS113" s="357"/>
      <c r="AT113" s="357"/>
      <c r="AU113" s="357"/>
      <c r="AV113" s="357"/>
      <c r="AW113" s="357"/>
      <c r="AX113" s="357"/>
      <c r="AY113" s="357"/>
      <c r="AZ113" s="357"/>
      <c r="BA113" s="357"/>
      <c r="BB113" s="357"/>
      <c r="BC113" s="357"/>
      <c r="BD113" s="357"/>
      <c r="BE113" s="358"/>
      <c r="BF113" s="358"/>
      <c r="BG113" s="358"/>
      <c r="BH113" s="358"/>
      <c r="BI113" s="358"/>
      <c r="BJ113" s="358"/>
      <c r="BK113" s="358"/>
      <c r="BL113" s="358"/>
      <c r="BM113" s="358"/>
      <c r="BN113" s="358"/>
      <c r="BO113" s="358"/>
      <c r="BP113" s="358"/>
      <c r="BQ113" s="358"/>
      <c r="BR113" s="358"/>
      <c r="BS113" s="358"/>
      <c r="BT113" s="359"/>
      <c r="BU113" s="359"/>
      <c r="BV113" s="359"/>
      <c r="BW113" s="359"/>
      <c r="BX113" s="359"/>
      <c r="BY113" s="359"/>
      <c r="BZ113" s="359"/>
      <c r="CA113" s="359"/>
      <c r="CB113" s="359"/>
      <c r="CC113" s="359"/>
    </row>
    <row r="114" spans="1:81" s="360" customFormat="1" ht="12">
      <c r="A114" s="396"/>
      <c r="B114" s="411"/>
      <c r="C114" s="350" t="s">
        <v>725</v>
      </c>
      <c r="F114" s="357"/>
      <c r="G114" s="381"/>
      <c r="H114" s="381"/>
      <c r="I114" s="381"/>
      <c r="J114" s="382"/>
      <c r="K114" s="382"/>
      <c r="L114" s="382"/>
      <c r="M114" s="382"/>
      <c r="N114" s="382"/>
      <c r="O114" s="382"/>
      <c r="P114" s="382"/>
      <c r="Q114" s="383"/>
      <c r="R114" s="382"/>
      <c r="S114" s="357"/>
      <c r="T114" s="382"/>
      <c r="U114" s="382"/>
      <c r="V114" s="381"/>
      <c r="W114" s="382"/>
      <c r="X114" s="382"/>
      <c r="Y114" s="382"/>
      <c r="Z114" s="382"/>
      <c r="AA114" s="382"/>
      <c r="AB114" s="382"/>
      <c r="AC114" s="357"/>
      <c r="AD114" s="382"/>
      <c r="AE114" s="382"/>
      <c r="AF114" s="382"/>
      <c r="AG114" s="382"/>
      <c r="AH114" s="382"/>
      <c r="AI114" s="382"/>
      <c r="AJ114" s="382"/>
      <c r="AK114" s="382"/>
      <c r="AL114" s="382"/>
      <c r="AM114" s="301"/>
      <c r="AN114" s="357"/>
      <c r="AO114" s="357"/>
      <c r="AP114" s="357"/>
      <c r="AQ114" s="357"/>
      <c r="AR114" s="357"/>
      <c r="AS114" s="357"/>
      <c r="AT114" s="357"/>
      <c r="AU114" s="357"/>
      <c r="AV114" s="357"/>
      <c r="AW114" s="357"/>
      <c r="AX114" s="357"/>
      <c r="AY114" s="357"/>
      <c r="AZ114" s="357"/>
      <c r="BA114" s="357"/>
      <c r="BB114" s="357"/>
      <c r="BC114" s="357"/>
      <c r="BD114" s="357"/>
      <c r="BE114" s="358"/>
      <c r="BF114" s="358"/>
      <c r="BG114" s="358"/>
      <c r="BH114" s="358"/>
      <c r="BI114" s="358"/>
      <c r="BJ114" s="358"/>
      <c r="BK114" s="358"/>
      <c r="BL114" s="358"/>
      <c r="BM114" s="358"/>
      <c r="BN114" s="358"/>
      <c r="BO114" s="358"/>
      <c r="BP114" s="358"/>
      <c r="BQ114" s="358"/>
      <c r="BR114" s="358"/>
      <c r="BS114" s="358"/>
      <c r="BT114" s="359"/>
      <c r="BU114" s="359"/>
      <c r="BV114" s="359"/>
      <c r="BW114" s="359"/>
      <c r="BX114" s="359"/>
      <c r="BY114" s="359"/>
      <c r="BZ114" s="359"/>
      <c r="CA114" s="359"/>
      <c r="CB114" s="359"/>
      <c r="CC114" s="359"/>
    </row>
    <row r="115" spans="1:81" s="360" customFormat="1" ht="12">
      <c r="A115" s="396"/>
      <c r="B115" s="411"/>
      <c r="C115" s="350" t="s">
        <v>726</v>
      </c>
      <c r="F115" s="357"/>
      <c r="G115" s="381"/>
      <c r="H115" s="381"/>
      <c r="I115" s="381"/>
      <c r="J115" s="382"/>
      <c r="K115" s="382"/>
      <c r="L115" s="382"/>
      <c r="M115" s="382"/>
      <c r="N115" s="382"/>
      <c r="O115" s="382"/>
      <c r="P115" s="382"/>
      <c r="Q115" s="383"/>
      <c r="R115" s="382"/>
      <c r="S115" s="357"/>
      <c r="T115" s="382"/>
      <c r="U115" s="382"/>
      <c r="V115" s="381"/>
      <c r="W115" s="382"/>
      <c r="X115" s="382"/>
      <c r="Y115" s="382"/>
      <c r="Z115" s="382"/>
      <c r="AA115" s="382"/>
      <c r="AB115" s="382"/>
      <c r="AC115" s="357"/>
      <c r="AD115" s="382"/>
      <c r="AE115" s="382"/>
      <c r="AF115" s="382"/>
      <c r="AG115" s="382"/>
      <c r="AH115" s="382"/>
      <c r="AI115" s="382"/>
      <c r="AJ115" s="382"/>
      <c r="AK115" s="382"/>
      <c r="AL115" s="382"/>
      <c r="AM115" s="301"/>
      <c r="AN115" s="357"/>
      <c r="AO115" s="357"/>
      <c r="AP115" s="357"/>
      <c r="AQ115" s="357"/>
      <c r="AR115" s="357"/>
      <c r="AS115" s="357"/>
      <c r="AT115" s="357"/>
      <c r="AU115" s="357"/>
      <c r="AV115" s="357"/>
      <c r="AW115" s="357"/>
      <c r="AX115" s="357"/>
      <c r="AY115" s="357"/>
      <c r="AZ115" s="357"/>
      <c r="BA115" s="357"/>
      <c r="BB115" s="357"/>
      <c r="BC115" s="357"/>
      <c r="BD115" s="357"/>
      <c r="BE115" s="358"/>
      <c r="BF115" s="358"/>
      <c r="BG115" s="358"/>
      <c r="BH115" s="358"/>
      <c r="BI115" s="358"/>
      <c r="BJ115" s="358"/>
      <c r="BK115" s="358"/>
      <c r="BL115" s="358"/>
      <c r="BM115" s="358"/>
      <c r="BN115" s="358"/>
      <c r="BO115" s="358"/>
      <c r="BP115" s="358"/>
      <c r="BQ115" s="358"/>
      <c r="BR115" s="358"/>
      <c r="BS115" s="358"/>
      <c r="BT115" s="359"/>
      <c r="BU115" s="359"/>
      <c r="BV115" s="359"/>
      <c r="BW115" s="359"/>
      <c r="BX115" s="359"/>
      <c r="BY115" s="359"/>
      <c r="BZ115" s="359"/>
      <c r="CA115" s="359"/>
      <c r="CB115" s="359"/>
      <c r="CC115" s="359"/>
    </row>
    <row r="116" spans="1:81" s="360" customFormat="1" ht="12">
      <c r="A116" s="396"/>
      <c r="B116" s="411"/>
      <c r="C116" s="350" t="s">
        <v>727</v>
      </c>
      <c r="F116" s="357"/>
      <c r="G116" s="381"/>
      <c r="H116" s="381"/>
      <c r="I116" s="381"/>
      <c r="J116" s="382"/>
      <c r="K116" s="382"/>
      <c r="L116" s="382"/>
      <c r="M116" s="382"/>
      <c r="N116" s="382"/>
      <c r="O116" s="382"/>
      <c r="P116" s="382"/>
      <c r="Q116" s="383"/>
      <c r="R116" s="382"/>
      <c r="S116" s="357"/>
      <c r="T116" s="382"/>
      <c r="U116" s="382"/>
      <c r="V116" s="381"/>
      <c r="W116" s="382"/>
      <c r="X116" s="382"/>
      <c r="Y116" s="382"/>
      <c r="Z116" s="382"/>
      <c r="AA116" s="382"/>
      <c r="AB116" s="382"/>
      <c r="AC116" s="357"/>
      <c r="AD116" s="382"/>
      <c r="AE116" s="382"/>
      <c r="AF116" s="382"/>
      <c r="AG116" s="382"/>
      <c r="AH116" s="382"/>
      <c r="AI116" s="382"/>
      <c r="AJ116" s="382"/>
      <c r="AK116" s="382"/>
      <c r="AL116" s="382"/>
      <c r="AM116" s="301"/>
      <c r="AN116" s="357"/>
      <c r="AO116" s="357"/>
      <c r="AP116" s="357"/>
      <c r="AQ116" s="357"/>
      <c r="AR116" s="357"/>
      <c r="AS116" s="357"/>
      <c r="AT116" s="357"/>
      <c r="AU116" s="357"/>
      <c r="AV116" s="357"/>
      <c r="AW116" s="357"/>
      <c r="AX116" s="357"/>
      <c r="AY116" s="357"/>
      <c r="AZ116" s="357"/>
      <c r="BA116" s="357"/>
      <c r="BB116" s="357"/>
      <c r="BC116" s="357"/>
      <c r="BD116" s="357"/>
      <c r="BE116" s="358"/>
      <c r="BF116" s="358"/>
      <c r="BG116" s="358"/>
      <c r="BH116" s="358"/>
      <c r="BI116" s="358"/>
      <c r="BJ116" s="358"/>
      <c r="BK116" s="358"/>
      <c r="BL116" s="358"/>
      <c r="BM116" s="358"/>
      <c r="BN116" s="358"/>
      <c r="BO116" s="358"/>
      <c r="BP116" s="358"/>
      <c r="BQ116" s="358"/>
      <c r="BR116" s="358"/>
      <c r="BS116" s="358"/>
      <c r="BT116" s="359"/>
      <c r="BU116" s="359"/>
      <c r="BV116" s="359"/>
      <c r="BW116" s="359"/>
      <c r="BX116" s="359"/>
      <c r="BY116" s="359"/>
      <c r="BZ116" s="359"/>
      <c r="CA116" s="359"/>
      <c r="CB116" s="359"/>
      <c r="CC116" s="359"/>
    </row>
    <row r="117" spans="1:81" s="360" customFormat="1" ht="12">
      <c r="A117" s="412"/>
      <c r="B117" s="413"/>
      <c r="C117" s="414"/>
      <c r="D117" s="415"/>
      <c r="E117" s="415"/>
      <c r="F117" s="394"/>
      <c r="G117" s="395"/>
      <c r="H117" s="381"/>
      <c r="I117" s="381"/>
      <c r="J117" s="382"/>
      <c r="K117" s="382"/>
      <c r="L117" s="382"/>
      <c r="M117" s="382"/>
      <c r="N117" s="382"/>
      <c r="O117" s="382"/>
      <c r="P117" s="382"/>
      <c r="Q117" s="383"/>
      <c r="R117" s="382"/>
      <c r="S117" s="357"/>
      <c r="T117" s="382"/>
      <c r="U117" s="382"/>
      <c r="V117" s="381"/>
      <c r="W117" s="382"/>
      <c r="X117" s="382"/>
      <c r="Y117" s="382"/>
      <c r="Z117" s="382"/>
      <c r="AA117" s="382"/>
      <c r="AB117" s="382"/>
      <c r="AC117" s="357"/>
      <c r="AD117" s="382"/>
      <c r="AE117" s="382"/>
      <c r="AF117" s="382"/>
      <c r="AG117" s="382"/>
      <c r="AH117" s="382"/>
      <c r="AI117" s="382"/>
      <c r="AJ117" s="382"/>
      <c r="AK117" s="382"/>
      <c r="AL117" s="382"/>
      <c r="AM117" s="301"/>
      <c r="AN117" s="357"/>
      <c r="AO117" s="357"/>
      <c r="AP117" s="357"/>
      <c r="AQ117" s="357"/>
      <c r="AR117" s="357"/>
      <c r="AS117" s="357"/>
      <c r="AT117" s="357"/>
      <c r="AU117" s="357"/>
      <c r="AV117" s="357"/>
      <c r="AW117" s="357"/>
      <c r="AX117" s="357"/>
      <c r="AY117" s="357"/>
      <c r="AZ117" s="357"/>
      <c r="BA117" s="357"/>
      <c r="BB117" s="357"/>
      <c r="BC117" s="357"/>
      <c r="BD117" s="357"/>
      <c r="BE117" s="358"/>
      <c r="BF117" s="358"/>
      <c r="BG117" s="358"/>
      <c r="BH117" s="358"/>
      <c r="BI117" s="358"/>
      <c r="BJ117" s="358"/>
      <c r="BK117" s="358"/>
      <c r="BL117" s="358"/>
      <c r="BM117" s="358"/>
      <c r="BN117" s="358"/>
      <c r="BO117" s="358"/>
      <c r="BP117" s="358"/>
      <c r="BQ117" s="358"/>
      <c r="BR117" s="358"/>
      <c r="BS117" s="358"/>
      <c r="BT117" s="359"/>
      <c r="BU117" s="359"/>
      <c r="BV117" s="359"/>
      <c r="BW117" s="359"/>
      <c r="BX117" s="359"/>
      <c r="BY117" s="359"/>
      <c r="BZ117" s="359"/>
      <c r="CA117" s="359"/>
      <c r="CB117" s="359"/>
      <c r="CC117" s="359"/>
    </row>
    <row r="118" spans="1:81" s="360" customFormat="1" ht="12">
      <c r="A118" s="396"/>
      <c r="B118" s="411"/>
      <c r="C118" s="350"/>
      <c r="F118" s="357"/>
      <c r="G118" s="381"/>
      <c r="H118" s="381"/>
      <c r="I118" s="381"/>
      <c r="J118" s="382"/>
      <c r="K118" s="382"/>
      <c r="L118" s="382"/>
      <c r="M118" s="382"/>
      <c r="N118" s="382"/>
      <c r="O118" s="382"/>
      <c r="P118" s="382"/>
      <c r="Q118" s="383"/>
      <c r="R118" s="382"/>
      <c r="S118" s="357"/>
      <c r="T118" s="382"/>
      <c r="U118" s="382"/>
      <c r="V118" s="381"/>
      <c r="W118" s="382"/>
      <c r="X118" s="382"/>
      <c r="Y118" s="382"/>
      <c r="Z118" s="382"/>
      <c r="AA118" s="382"/>
      <c r="AB118" s="382"/>
      <c r="AC118" s="357"/>
      <c r="AD118" s="382"/>
      <c r="AE118" s="382"/>
      <c r="AF118" s="382"/>
      <c r="AG118" s="382"/>
      <c r="AH118" s="382"/>
      <c r="AI118" s="382"/>
      <c r="AJ118" s="382"/>
      <c r="AK118" s="382"/>
      <c r="AL118" s="382"/>
      <c r="AM118" s="301"/>
      <c r="AN118" s="357"/>
      <c r="AO118" s="357"/>
      <c r="AP118" s="357"/>
      <c r="AQ118" s="357"/>
      <c r="AR118" s="357"/>
      <c r="AS118" s="357"/>
      <c r="AT118" s="357"/>
      <c r="AU118" s="357"/>
      <c r="AV118" s="357"/>
      <c r="AW118" s="357"/>
      <c r="AX118" s="357"/>
      <c r="AY118" s="357"/>
      <c r="AZ118" s="357"/>
      <c r="BA118" s="357"/>
      <c r="BB118" s="357"/>
      <c r="BC118" s="357"/>
      <c r="BD118" s="357"/>
      <c r="BE118" s="358"/>
      <c r="BF118" s="358"/>
      <c r="BG118" s="358"/>
      <c r="BH118" s="358"/>
      <c r="BI118" s="358"/>
      <c r="BJ118" s="358"/>
      <c r="BK118" s="358"/>
      <c r="BL118" s="358"/>
      <c r="BM118" s="358"/>
      <c r="BN118" s="358"/>
      <c r="BO118" s="358"/>
      <c r="BP118" s="358"/>
      <c r="BQ118" s="358"/>
      <c r="BR118" s="358"/>
      <c r="BS118" s="358"/>
      <c r="BT118" s="359"/>
      <c r="BU118" s="359"/>
      <c r="BV118" s="359"/>
      <c r="BW118" s="359"/>
      <c r="BX118" s="359"/>
      <c r="BY118" s="359"/>
      <c r="BZ118" s="359"/>
      <c r="CA118" s="359"/>
      <c r="CB118" s="359"/>
      <c r="CC118" s="359"/>
    </row>
    <row r="119" spans="1:81" s="360" customFormat="1" ht="12">
      <c r="A119" s="396" t="s">
        <v>728</v>
      </c>
      <c r="B119" s="411"/>
      <c r="C119" s="300" t="s">
        <v>623</v>
      </c>
      <c r="D119" s="300" t="s">
        <v>720</v>
      </c>
      <c r="E119" s="300"/>
      <c r="F119" s="357">
        <v>529379</v>
      </c>
      <c r="G119" s="381"/>
      <c r="H119" s="381"/>
      <c r="I119" s="381"/>
      <c r="J119" s="382"/>
      <c r="K119" s="382"/>
      <c r="L119" s="382"/>
      <c r="M119" s="382">
        <f>F119</f>
        <v>529379</v>
      </c>
      <c r="N119" s="382"/>
      <c r="O119" s="382"/>
      <c r="P119" s="382"/>
      <c r="Q119" s="383"/>
      <c r="R119" s="382"/>
      <c r="S119" s="357"/>
      <c r="T119" s="382"/>
      <c r="U119" s="382"/>
      <c r="V119" s="381"/>
      <c r="W119" s="382"/>
      <c r="X119" s="382"/>
      <c r="Y119" s="382"/>
      <c r="Z119" s="382"/>
      <c r="AA119" s="382"/>
      <c r="AB119" s="382"/>
      <c r="AC119" s="357"/>
      <c r="AD119" s="382"/>
      <c r="AE119" s="382"/>
      <c r="AF119" s="382"/>
      <c r="AG119" s="382"/>
      <c r="AH119" s="382"/>
      <c r="AI119" s="382"/>
      <c r="AJ119" s="382"/>
      <c r="AK119" s="382"/>
      <c r="AL119" s="382"/>
      <c r="AM119" s="301"/>
      <c r="AN119" s="357"/>
      <c r="AO119" s="357"/>
      <c r="AP119" s="357"/>
      <c r="AQ119" s="357"/>
      <c r="AR119" s="357"/>
      <c r="AS119" s="357"/>
      <c r="AT119" s="357"/>
      <c r="AU119" s="357"/>
      <c r="AV119" s="357"/>
      <c r="AW119" s="357"/>
      <c r="AX119" s="357"/>
      <c r="AY119" s="357"/>
      <c r="AZ119" s="357"/>
      <c r="BA119" s="357"/>
      <c r="BB119" s="357"/>
      <c r="BC119" s="357"/>
      <c r="BD119" s="357"/>
      <c r="BE119" s="358"/>
      <c r="BF119" s="358"/>
      <c r="BG119" s="358"/>
      <c r="BH119" s="358"/>
      <c r="BI119" s="358"/>
      <c r="BJ119" s="358"/>
      <c r="BK119" s="358"/>
      <c r="BL119" s="358"/>
      <c r="BM119" s="358"/>
      <c r="BN119" s="358"/>
      <c r="BO119" s="358"/>
      <c r="BP119" s="358"/>
      <c r="BQ119" s="358"/>
      <c r="BR119" s="358"/>
      <c r="BS119" s="358"/>
      <c r="BT119" s="359"/>
      <c r="BU119" s="359"/>
      <c r="BV119" s="359"/>
      <c r="BW119" s="359"/>
      <c r="BX119" s="359"/>
      <c r="BY119" s="359"/>
      <c r="BZ119" s="359"/>
      <c r="CA119" s="359"/>
      <c r="CB119" s="359"/>
      <c r="CC119" s="359"/>
    </row>
    <row r="120" spans="1:81" s="360" customFormat="1" ht="12">
      <c r="A120" s="396"/>
      <c r="B120" s="411"/>
      <c r="C120" s="300" t="s">
        <v>624</v>
      </c>
      <c r="D120" s="300" t="s">
        <v>729</v>
      </c>
      <c r="E120" s="300"/>
      <c r="F120" s="357"/>
      <c r="G120" s="381">
        <v>529379</v>
      </c>
      <c r="H120" s="381"/>
      <c r="I120" s="381"/>
      <c r="J120" s="382"/>
      <c r="K120" s="382"/>
      <c r="L120" s="382"/>
      <c r="M120" s="382"/>
      <c r="N120" s="382"/>
      <c r="O120" s="382"/>
      <c r="P120" s="382"/>
      <c r="Q120" s="383">
        <f>-G120</f>
        <v>-529379</v>
      </c>
      <c r="R120" s="382"/>
      <c r="S120" s="357"/>
      <c r="T120" s="382"/>
      <c r="U120" s="382"/>
      <c r="V120" s="381"/>
      <c r="W120" s="382"/>
      <c r="X120" s="382"/>
      <c r="Y120" s="382"/>
      <c r="Z120" s="382"/>
      <c r="AA120" s="382"/>
      <c r="AB120" s="382"/>
      <c r="AC120" s="357"/>
      <c r="AD120" s="382"/>
      <c r="AE120" s="382"/>
      <c r="AF120" s="382"/>
      <c r="AG120" s="382"/>
      <c r="AH120" s="382"/>
      <c r="AI120" s="382"/>
      <c r="AJ120" s="382"/>
      <c r="AK120" s="382"/>
      <c r="AL120" s="382"/>
      <c r="AM120" s="301"/>
      <c r="AN120" s="357"/>
      <c r="AO120" s="357"/>
      <c r="AP120" s="357"/>
      <c r="AQ120" s="357"/>
      <c r="AR120" s="357"/>
      <c r="AS120" s="357"/>
      <c r="AT120" s="357"/>
      <c r="AU120" s="357"/>
      <c r="AV120" s="357"/>
      <c r="AW120" s="357"/>
      <c r="AX120" s="357"/>
      <c r="AY120" s="357"/>
      <c r="AZ120" s="357"/>
      <c r="BA120" s="357"/>
      <c r="BB120" s="357"/>
      <c r="BC120" s="357"/>
      <c r="BD120" s="357"/>
      <c r="BE120" s="358"/>
      <c r="BF120" s="358"/>
      <c r="BG120" s="358"/>
      <c r="BH120" s="358"/>
      <c r="BI120" s="358"/>
      <c r="BJ120" s="358"/>
      <c r="BK120" s="358"/>
      <c r="BL120" s="358"/>
      <c r="BM120" s="358"/>
      <c r="BN120" s="358"/>
      <c r="BO120" s="358"/>
      <c r="BP120" s="358"/>
      <c r="BQ120" s="358"/>
      <c r="BR120" s="358"/>
      <c r="BS120" s="358"/>
      <c r="BT120" s="359"/>
      <c r="BU120" s="359"/>
      <c r="BV120" s="359"/>
      <c r="BW120" s="359"/>
      <c r="BX120" s="359"/>
      <c r="BY120" s="359"/>
      <c r="BZ120" s="359"/>
      <c r="CA120" s="359"/>
      <c r="CB120" s="359"/>
      <c r="CC120" s="359"/>
    </row>
    <row r="121" spans="1:81" s="360" customFormat="1" ht="12">
      <c r="A121" s="396"/>
      <c r="B121" s="411"/>
      <c r="C121" s="300"/>
      <c r="D121" s="300"/>
      <c r="E121" s="300"/>
      <c r="F121" s="357"/>
      <c r="G121" s="381"/>
      <c r="H121" s="381"/>
      <c r="I121" s="381"/>
      <c r="J121" s="382"/>
      <c r="K121" s="382"/>
      <c r="L121" s="382"/>
      <c r="M121" s="382"/>
      <c r="N121" s="382"/>
      <c r="O121" s="382"/>
      <c r="P121" s="382"/>
      <c r="Q121" s="383"/>
      <c r="R121" s="382"/>
      <c r="S121" s="357"/>
      <c r="T121" s="382"/>
      <c r="U121" s="382"/>
      <c r="V121" s="381"/>
      <c r="W121" s="382"/>
      <c r="X121" s="382"/>
      <c r="Y121" s="382"/>
      <c r="Z121" s="382"/>
      <c r="AA121" s="382"/>
      <c r="AB121" s="382"/>
      <c r="AC121" s="357"/>
      <c r="AD121" s="382"/>
      <c r="AE121" s="382"/>
      <c r="AF121" s="382"/>
      <c r="AG121" s="382"/>
      <c r="AH121" s="382"/>
      <c r="AI121" s="382"/>
      <c r="AJ121" s="382"/>
      <c r="AK121" s="382"/>
      <c r="AL121" s="382"/>
      <c r="AM121" s="301"/>
      <c r="AN121" s="357"/>
      <c r="AO121" s="357"/>
      <c r="AP121" s="357"/>
      <c r="AQ121" s="357"/>
      <c r="AR121" s="357"/>
      <c r="AS121" s="357"/>
      <c r="AT121" s="357"/>
      <c r="AU121" s="357"/>
      <c r="AV121" s="357"/>
      <c r="AW121" s="357"/>
      <c r="AX121" s="357"/>
      <c r="AY121" s="357"/>
      <c r="AZ121" s="357"/>
      <c r="BA121" s="357"/>
      <c r="BB121" s="357"/>
      <c r="BC121" s="357"/>
      <c r="BD121" s="357"/>
      <c r="BE121" s="358"/>
      <c r="BF121" s="358"/>
      <c r="BG121" s="358"/>
      <c r="BH121" s="358"/>
      <c r="BI121" s="358"/>
      <c r="BJ121" s="358"/>
      <c r="BK121" s="358"/>
      <c r="BL121" s="358"/>
      <c r="BM121" s="358"/>
      <c r="BN121" s="358"/>
      <c r="BO121" s="358"/>
      <c r="BP121" s="358"/>
      <c r="BQ121" s="358"/>
      <c r="BR121" s="358"/>
      <c r="BS121" s="358"/>
      <c r="BT121" s="359"/>
      <c r="BU121" s="359"/>
      <c r="BV121" s="359"/>
      <c r="BW121" s="359"/>
      <c r="BX121" s="359"/>
      <c r="BY121" s="359"/>
      <c r="BZ121" s="359"/>
      <c r="CA121" s="359"/>
      <c r="CB121" s="359"/>
      <c r="CC121" s="359"/>
    </row>
    <row r="122" spans="1:81" s="360" customFormat="1" ht="12.75" thickBot="1">
      <c r="A122" s="396"/>
      <c r="B122" s="411"/>
      <c r="C122" s="300"/>
      <c r="D122" s="300"/>
      <c r="E122" s="300"/>
      <c r="F122" s="404">
        <f>SUM(F119:F121)</f>
        <v>529379</v>
      </c>
      <c r="G122" s="405">
        <f>SUM(G119:G121)</f>
        <v>529379</v>
      </c>
      <c r="H122" s="381"/>
      <c r="I122" s="381"/>
      <c r="J122" s="382"/>
      <c r="K122" s="382"/>
      <c r="L122" s="382"/>
      <c r="M122" s="382"/>
      <c r="N122" s="382"/>
      <c r="O122" s="382"/>
      <c r="P122" s="382"/>
      <c r="Q122" s="383"/>
      <c r="R122" s="382"/>
      <c r="S122" s="357"/>
      <c r="T122" s="382"/>
      <c r="U122" s="382"/>
      <c r="V122" s="381"/>
      <c r="W122" s="382"/>
      <c r="X122" s="382"/>
      <c r="Y122" s="382"/>
      <c r="Z122" s="382"/>
      <c r="AA122" s="382"/>
      <c r="AB122" s="382"/>
      <c r="AC122" s="357"/>
      <c r="AD122" s="382"/>
      <c r="AE122" s="382"/>
      <c r="AF122" s="382"/>
      <c r="AG122" s="382"/>
      <c r="AH122" s="382"/>
      <c r="AI122" s="382"/>
      <c r="AJ122" s="382"/>
      <c r="AK122" s="382"/>
      <c r="AL122" s="382"/>
      <c r="AM122" s="301"/>
      <c r="AN122" s="357"/>
      <c r="AO122" s="357"/>
      <c r="AP122" s="357"/>
      <c r="AQ122" s="357"/>
      <c r="AR122" s="357"/>
      <c r="AS122" s="357"/>
      <c r="AT122" s="357"/>
      <c r="AU122" s="357"/>
      <c r="AV122" s="357"/>
      <c r="AW122" s="357"/>
      <c r="AX122" s="357"/>
      <c r="AY122" s="357"/>
      <c r="AZ122" s="357"/>
      <c r="BA122" s="357"/>
      <c r="BB122" s="357"/>
      <c r="BC122" s="357"/>
      <c r="BD122" s="357"/>
      <c r="BE122" s="358"/>
      <c r="BF122" s="358"/>
      <c r="BG122" s="358"/>
      <c r="BH122" s="358"/>
      <c r="BI122" s="358"/>
      <c r="BJ122" s="358"/>
      <c r="BK122" s="358"/>
      <c r="BL122" s="358"/>
      <c r="BM122" s="358"/>
      <c r="BN122" s="358"/>
      <c r="BO122" s="358"/>
      <c r="BP122" s="358"/>
      <c r="BQ122" s="358"/>
      <c r="BR122" s="358"/>
      <c r="BS122" s="358"/>
      <c r="BT122" s="359"/>
      <c r="BU122" s="359"/>
      <c r="BV122" s="359"/>
      <c r="BW122" s="359"/>
      <c r="BX122" s="359"/>
      <c r="BY122" s="359"/>
      <c r="BZ122" s="359"/>
      <c r="CA122" s="359"/>
      <c r="CB122" s="359"/>
      <c r="CC122" s="359"/>
    </row>
    <row r="123" spans="1:81" s="360" customFormat="1" ht="12.75" thickTop="1">
      <c r="A123" s="396"/>
      <c r="B123" s="411"/>
      <c r="C123" s="300"/>
      <c r="D123" s="299" t="s">
        <v>730</v>
      </c>
      <c r="E123" s="300"/>
      <c r="F123" s="357"/>
      <c r="G123" s="381"/>
      <c r="H123" s="381"/>
      <c r="I123" s="381"/>
      <c r="J123" s="382"/>
      <c r="K123" s="382"/>
      <c r="L123" s="382"/>
      <c r="M123" s="382"/>
      <c r="N123" s="382"/>
      <c r="O123" s="382"/>
      <c r="P123" s="382"/>
      <c r="Q123" s="383"/>
      <c r="R123" s="382"/>
      <c r="S123" s="357"/>
      <c r="T123" s="382"/>
      <c r="U123" s="382"/>
      <c r="V123" s="381"/>
      <c r="W123" s="382"/>
      <c r="X123" s="382"/>
      <c r="Y123" s="382"/>
      <c r="Z123" s="382"/>
      <c r="AA123" s="382"/>
      <c r="AB123" s="382"/>
      <c r="AC123" s="357"/>
      <c r="AD123" s="382"/>
      <c r="AE123" s="382"/>
      <c r="AF123" s="382"/>
      <c r="AG123" s="382"/>
      <c r="AH123" s="382"/>
      <c r="AI123" s="382"/>
      <c r="AJ123" s="382"/>
      <c r="AK123" s="382"/>
      <c r="AL123" s="382"/>
      <c r="AM123" s="301"/>
      <c r="AN123" s="357"/>
      <c r="AO123" s="357"/>
      <c r="AP123" s="357"/>
      <c r="AQ123" s="357"/>
      <c r="AR123" s="357"/>
      <c r="AS123" s="357"/>
      <c r="AT123" s="357"/>
      <c r="AU123" s="357"/>
      <c r="AV123" s="357"/>
      <c r="AW123" s="357"/>
      <c r="AX123" s="357"/>
      <c r="AY123" s="357"/>
      <c r="AZ123" s="357"/>
      <c r="BA123" s="357"/>
      <c r="BB123" s="357"/>
      <c r="BC123" s="357"/>
      <c r="BD123" s="357"/>
      <c r="BE123" s="358"/>
      <c r="BF123" s="358"/>
      <c r="BG123" s="358"/>
      <c r="BH123" s="358"/>
      <c r="BI123" s="358"/>
      <c r="BJ123" s="358"/>
      <c r="BK123" s="358"/>
      <c r="BL123" s="358"/>
      <c r="BM123" s="358"/>
      <c r="BN123" s="358"/>
      <c r="BO123" s="358"/>
      <c r="BP123" s="358"/>
      <c r="BQ123" s="358"/>
      <c r="BR123" s="358"/>
      <c r="BS123" s="358"/>
      <c r="BT123" s="359"/>
      <c r="BU123" s="359"/>
      <c r="BV123" s="359"/>
      <c r="BW123" s="359"/>
      <c r="BX123" s="359"/>
      <c r="BY123" s="359"/>
      <c r="BZ123" s="359"/>
      <c r="CA123" s="359"/>
      <c r="CB123" s="359"/>
      <c r="CC123" s="359"/>
    </row>
    <row r="124" spans="1:81" s="360" customFormat="1" ht="12">
      <c r="A124" s="396"/>
      <c r="B124" s="411"/>
      <c r="C124" s="300"/>
      <c r="D124" s="300"/>
      <c r="E124" s="300"/>
      <c r="F124" s="357"/>
      <c r="G124" s="381"/>
      <c r="H124" s="381"/>
      <c r="I124" s="381"/>
      <c r="J124" s="382"/>
      <c r="K124" s="382"/>
      <c r="L124" s="382"/>
      <c r="M124" s="382"/>
      <c r="N124" s="382"/>
      <c r="O124" s="382"/>
      <c r="P124" s="382"/>
      <c r="Q124" s="383"/>
      <c r="R124" s="382"/>
      <c r="S124" s="357"/>
      <c r="T124" s="382"/>
      <c r="U124" s="382"/>
      <c r="V124" s="381"/>
      <c r="W124" s="382"/>
      <c r="X124" s="382"/>
      <c r="Y124" s="382"/>
      <c r="Z124" s="382"/>
      <c r="AA124" s="382"/>
      <c r="AB124" s="382"/>
      <c r="AC124" s="357"/>
      <c r="AD124" s="382"/>
      <c r="AE124" s="382"/>
      <c r="AF124" s="382"/>
      <c r="AG124" s="382"/>
      <c r="AH124" s="382"/>
      <c r="AI124" s="382"/>
      <c r="AJ124" s="382"/>
      <c r="AK124" s="382"/>
      <c r="AL124" s="382"/>
      <c r="AM124" s="301"/>
      <c r="AN124" s="357"/>
      <c r="AO124" s="357"/>
      <c r="AP124" s="357"/>
      <c r="AQ124" s="357"/>
      <c r="AR124" s="357"/>
      <c r="AS124" s="357"/>
      <c r="AT124" s="357"/>
      <c r="AU124" s="357"/>
      <c r="AV124" s="357"/>
      <c r="AW124" s="357"/>
      <c r="AX124" s="357"/>
      <c r="AY124" s="357"/>
      <c r="AZ124" s="357"/>
      <c r="BA124" s="357"/>
      <c r="BB124" s="357"/>
      <c r="BC124" s="357"/>
      <c r="BD124" s="357"/>
      <c r="BE124" s="358"/>
      <c r="BF124" s="358"/>
      <c r="BG124" s="358"/>
      <c r="BH124" s="358"/>
      <c r="BI124" s="358"/>
      <c r="BJ124" s="358"/>
      <c r="BK124" s="358"/>
      <c r="BL124" s="358"/>
      <c r="BM124" s="358"/>
      <c r="BN124" s="358"/>
      <c r="BO124" s="358"/>
      <c r="BP124" s="358"/>
      <c r="BQ124" s="358"/>
      <c r="BR124" s="358"/>
      <c r="BS124" s="358"/>
      <c r="BT124" s="359"/>
      <c r="BU124" s="359"/>
      <c r="BV124" s="359"/>
      <c r="BW124" s="359"/>
      <c r="BX124" s="359"/>
      <c r="BY124" s="359"/>
      <c r="BZ124" s="359"/>
      <c r="CA124" s="359"/>
      <c r="CB124" s="359"/>
      <c r="CC124" s="359"/>
    </row>
    <row r="125" spans="1:81" s="360" customFormat="1" ht="12">
      <c r="A125" s="396"/>
      <c r="B125" s="411"/>
      <c r="C125" s="300"/>
      <c r="D125" s="300"/>
      <c r="E125" s="300"/>
      <c r="F125" s="357"/>
      <c r="G125" s="381"/>
      <c r="H125" s="381"/>
      <c r="I125" s="381"/>
      <c r="J125" s="382"/>
      <c r="K125" s="382"/>
      <c r="L125" s="382"/>
      <c r="M125" s="382"/>
      <c r="N125" s="382"/>
      <c r="O125" s="382"/>
      <c r="P125" s="382"/>
      <c r="Q125" s="383"/>
      <c r="R125" s="382"/>
      <c r="S125" s="357"/>
      <c r="T125" s="382"/>
      <c r="U125" s="382"/>
      <c r="V125" s="381"/>
      <c r="W125" s="382"/>
      <c r="X125" s="382"/>
      <c r="Y125" s="382"/>
      <c r="Z125" s="382"/>
      <c r="AA125" s="382"/>
      <c r="AB125" s="382"/>
      <c r="AC125" s="357"/>
      <c r="AD125" s="382"/>
      <c r="AE125" s="382"/>
      <c r="AF125" s="382"/>
      <c r="AG125" s="382"/>
      <c r="AH125" s="382"/>
      <c r="AI125" s="382"/>
      <c r="AJ125" s="382"/>
      <c r="AK125" s="382"/>
      <c r="AL125" s="382"/>
      <c r="AM125" s="301"/>
      <c r="AN125" s="357"/>
      <c r="AO125" s="357"/>
      <c r="AP125" s="357"/>
      <c r="AQ125" s="357"/>
      <c r="AR125" s="357"/>
      <c r="AS125" s="357"/>
      <c r="AT125" s="357"/>
      <c r="AU125" s="357"/>
      <c r="AV125" s="357"/>
      <c r="AW125" s="357"/>
      <c r="AX125" s="357"/>
      <c r="AY125" s="357"/>
      <c r="AZ125" s="357"/>
      <c r="BA125" s="357"/>
      <c r="BB125" s="357"/>
      <c r="BC125" s="357"/>
      <c r="BD125" s="357"/>
      <c r="BE125" s="358"/>
      <c r="BF125" s="358"/>
      <c r="BG125" s="358"/>
      <c r="BH125" s="358"/>
      <c r="BI125" s="358"/>
      <c r="BJ125" s="358"/>
      <c r="BK125" s="358"/>
      <c r="BL125" s="358"/>
      <c r="BM125" s="358"/>
      <c r="BN125" s="358"/>
      <c r="BO125" s="358"/>
      <c r="BP125" s="358"/>
      <c r="BQ125" s="358"/>
      <c r="BR125" s="358"/>
      <c r="BS125" s="358"/>
      <c r="BT125" s="359"/>
      <c r="BU125" s="359"/>
      <c r="BV125" s="359"/>
      <c r="BW125" s="359"/>
      <c r="BX125" s="359"/>
      <c r="BY125" s="359"/>
      <c r="BZ125" s="359"/>
      <c r="CA125" s="359"/>
      <c r="CB125" s="359"/>
      <c r="CC125" s="359"/>
    </row>
    <row r="126" spans="1:81" s="360" customFormat="1" ht="12">
      <c r="A126" s="396"/>
      <c r="B126" s="411"/>
      <c r="C126" s="300"/>
      <c r="D126" s="350" t="s">
        <v>556</v>
      </c>
      <c r="E126" s="300"/>
      <c r="F126" s="357"/>
      <c r="G126" s="381"/>
      <c r="H126" s="381"/>
      <c r="I126" s="381"/>
      <c r="J126" s="382"/>
      <c r="K126" s="382"/>
      <c r="L126" s="382"/>
      <c r="M126" s="382"/>
      <c r="N126" s="382"/>
      <c r="O126" s="382"/>
      <c r="P126" s="382"/>
      <c r="Q126" s="383"/>
      <c r="R126" s="382"/>
      <c r="S126" s="357"/>
      <c r="T126" s="382"/>
      <c r="U126" s="382"/>
      <c r="V126" s="381"/>
      <c r="W126" s="382"/>
      <c r="X126" s="382"/>
      <c r="Y126" s="382"/>
      <c r="Z126" s="382"/>
      <c r="AA126" s="382"/>
      <c r="AB126" s="382"/>
      <c r="AC126" s="357"/>
      <c r="AD126" s="382"/>
      <c r="AE126" s="382"/>
      <c r="AF126" s="382"/>
      <c r="AG126" s="382"/>
      <c r="AH126" s="382"/>
      <c r="AI126" s="382"/>
      <c r="AJ126" s="382"/>
      <c r="AK126" s="382"/>
      <c r="AL126" s="382"/>
      <c r="AM126" s="301"/>
      <c r="AN126" s="357"/>
      <c r="AO126" s="357"/>
      <c r="AP126" s="357"/>
      <c r="AQ126" s="357"/>
      <c r="AR126" s="357"/>
      <c r="AS126" s="357"/>
      <c r="AT126" s="357"/>
      <c r="AU126" s="357"/>
      <c r="AV126" s="357"/>
      <c r="AW126" s="357"/>
      <c r="AX126" s="357"/>
      <c r="AY126" s="357"/>
      <c r="AZ126" s="357"/>
      <c r="BA126" s="357"/>
      <c r="BB126" s="357"/>
      <c r="BC126" s="357"/>
      <c r="BD126" s="357"/>
      <c r="BE126" s="358"/>
      <c r="BF126" s="358"/>
      <c r="BG126" s="358"/>
      <c r="BH126" s="358"/>
      <c r="BI126" s="358"/>
      <c r="BJ126" s="358"/>
      <c r="BK126" s="358"/>
      <c r="BL126" s="358"/>
      <c r="BM126" s="358"/>
      <c r="BN126" s="358"/>
      <c r="BO126" s="358"/>
      <c r="BP126" s="358"/>
      <c r="BQ126" s="358"/>
      <c r="BR126" s="358"/>
      <c r="BS126" s="358"/>
      <c r="BT126" s="359"/>
      <c r="BU126" s="359"/>
      <c r="BV126" s="359"/>
      <c r="BW126" s="359"/>
      <c r="BX126" s="359"/>
      <c r="BY126" s="359"/>
      <c r="BZ126" s="359"/>
      <c r="CA126" s="359"/>
      <c r="CB126" s="359"/>
      <c r="CC126" s="359"/>
    </row>
    <row r="127" spans="1:81" s="360" customFormat="1" ht="12">
      <c r="A127" s="396"/>
      <c r="B127" s="411"/>
      <c r="C127" s="300"/>
      <c r="D127" s="416" t="s">
        <v>731</v>
      </c>
      <c r="E127" s="300"/>
      <c r="F127" s="417" t="s">
        <v>732</v>
      </c>
      <c r="G127" s="381"/>
      <c r="H127" s="381"/>
      <c r="I127" s="381"/>
      <c r="J127" s="382"/>
      <c r="K127" s="382"/>
      <c r="L127" s="382"/>
      <c r="M127" s="382"/>
      <c r="N127" s="382"/>
      <c r="O127" s="382"/>
      <c r="P127" s="382"/>
      <c r="Q127" s="383"/>
      <c r="R127" s="382"/>
      <c r="S127" s="357"/>
      <c r="T127" s="382"/>
      <c r="U127" s="382"/>
      <c r="V127" s="381"/>
      <c r="W127" s="382"/>
      <c r="X127" s="382"/>
      <c r="Y127" s="382"/>
      <c r="Z127" s="382"/>
      <c r="AA127" s="382"/>
      <c r="AB127" s="382"/>
      <c r="AC127" s="357"/>
      <c r="AD127" s="382"/>
      <c r="AE127" s="382"/>
      <c r="AF127" s="382"/>
      <c r="AG127" s="382"/>
      <c r="AH127" s="382"/>
      <c r="AI127" s="382"/>
      <c r="AJ127" s="382"/>
      <c r="AK127" s="382"/>
      <c r="AL127" s="382"/>
      <c r="AM127" s="301"/>
      <c r="AN127" s="357"/>
      <c r="AO127" s="357"/>
      <c r="AP127" s="357"/>
      <c r="AQ127" s="357"/>
      <c r="AR127" s="357"/>
      <c r="AS127" s="357"/>
      <c r="AT127" s="357"/>
      <c r="AU127" s="357"/>
      <c r="AV127" s="357"/>
      <c r="AW127" s="357"/>
      <c r="AX127" s="357"/>
      <c r="AY127" s="357"/>
      <c r="AZ127" s="357"/>
      <c r="BA127" s="357"/>
      <c r="BB127" s="357"/>
      <c r="BC127" s="357"/>
      <c r="BD127" s="357"/>
      <c r="BE127" s="358"/>
      <c r="BF127" s="358"/>
      <c r="BG127" s="358"/>
      <c r="BH127" s="358"/>
      <c r="BI127" s="358"/>
      <c r="BJ127" s="358"/>
      <c r="BK127" s="358"/>
      <c r="BL127" s="358"/>
      <c r="BM127" s="358"/>
      <c r="BN127" s="358"/>
      <c r="BO127" s="358"/>
      <c r="BP127" s="358"/>
      <c r="BQ127" s="358"/>
      <c r="BR127" s="358"/>
      <c r="BS127" s="358"/>
      <c r="BT127" s="359"/>
      <c r="BU127" s="359"/>
      <c r="BV127" s="359"/>
      <c r="BW127" s="359"/>
      <c r="BX127" s="359"/>
      <c r="BY127" s="359"/>
      <c r="BZ127" s="359"/>
      <c r="CA127" s="359"/>
      <c r="CB127" s="359"/>
      <c r="CC127" s="359"/>
    </row>
    <row r="128" spans="1:81" s="360" customFormat="1" ht="12">
      <c r="A128" s="396"/>
      <c r="B128" s="411"/>
      <c r="C128" s="300"/>
      <c r="D128" s="360" t="s">
        <v>733</v>
      </c>
      <c r="E128" s="300"/>
      <c r="F128" s="357">
        <f>1156216497*0+1155525370</f>
        <v>1155525370</v>
      </c>
      <c r="G128" s="381">
        <f>F14</f>
        <v>0</v>
      </c>
      <c r="H128" s="381"/>
      <c r="I128" s="381"/>
      <c r="J128" s="382"/>
      <c r="K128" s="382"/>
      <c r="L128" s="382"/>
      <c r="M128" s="382"/>
      <c r="N128" s="382"/>
      <c r="O128" s="382"/>
      <c r="P128" s="382"/>
      <c r="Q128" s="383"/>
      <c r="R128" s="382"/>
      <c r="S128" s="357"/>
      <c r="T128" s="382"/>
      <c r="U128" s="382"/>
      <c r="V128" s="381"/>
      <c r="W128" s="382"/>
      <c r="X128" s="382"/>
      <c r="Y128" s="382"/>
      <c r="Z128" s="382"/>
      <c r="AA128" s="382"/>
      <c r="AB128" s="382"/>
      <c r="AC128" s="357"/>
      <c r="AD128" s="382"/>
      <c r="AE128" s="382"/>
      <c r="AF128" s="382"/>
      <c r="AG128" s="382"/>
      <c r="AH128" s="382"/>
      <c r="AI128" s="382"/>
      <c r="AJ128" s="382"/>
      <c r="AK128" s="382"/>
      <c r="AL128" s="382"/>
      <c r="AM128" s="301"/>
      <c r="AN128" s="357"/>
      <c r="AO128" s="357"/>
      <c r="AP128" s="357"/>
      <c r="AQ128" s="357"/>
      <c r="AR128" s="357"/>
      <c r="AS128" s="357"/>
      <c r="AT128" s="357"/>
      <c r="AU128" s="357"/>
      <c r="AV128" s="357"/>
      <c r="AW128" s="357"/>
      <c r="AX128" s="357"/>
      <c r="AY128" s="357"/>
      <c r="AZ128" s="357"/>
      <c r="BA128" s="357"/>
      <c r="BB128" s="357"/>
      <c r="BC128" s="357"/>
      <c r="BD128" s="357"/>
      <c r="BE128" s="358"/>
      <c r="BF128" s="358"/>
      <c r="BG128" s="358"/>
      <c r="BH128" s="358"/>
      <c r="BI128" s="358"/>
      <c r="BJ128" s="358"/>
      <c r="BK128" s="358"/>
      <c r="BL128" s="358"/>
      <c r="BM128" s="358"/>
      <c r="BN128" s="358"/>
      <c r="BO128" s="358"/>
      <c r="BP128" s="358"/>
      <c r="BQ128" s="358"/>
      <c r="BR128" s="358"/>
      <c r="BS128" s="358"/>
      <c r="BT128" s="359"/>
      <c r="BU128" s="359"/>
      <c r="BV128" s="359"/>
      <c r="BW128" s="359"/>
      <c r="BX128" s="359"/>
      <c r="BY128" s="359"/>
      <c r="BZ128" s="359"/>
      <c r="CA128" s="359"/>
      <c r="CB128" s="359"/>
      <c r="CC128" s="359"/>
    </row>
    <row r="129" spans="1:81" s="360" customFormat="1" ht="12">
      <c r="A129" s="396"/>
      <c r="B129" s="411"/>
      <c r="C129" s="300"/>
      <c r="D129" s="300" t="s">
        <v>734</v>
      </c>
      <c r="E129" s="300"/>
      <c r="F129" s="394">
        <f>-1139686622*0+656671*0-1138925845</f>
        <v>-1138925845</v>
      </c>
      <c r="G129" s="381"/>
      <c r="H129" s="381"/>
      <c r="I129" s="381"/>
      <c r="J129" s="382"/>
      <c r="K129" s="382"/>
      <c r="L129" s="382"/>
      <c r="M129" s="382"/>
      <c r="N129" s="382"/>
      <c r="O129" s="382"/>
      <c r="P129" s="382"/>
      <c r="Q129" s="383"/>
      <c r="R129" s="382"/>
      <c r="S129" s="357"/>
      <c r="T129" s="382"/>
      <c r="U129" s="382"/>
      <c r="V129" s="381"/>
      <c r="W129" s="382"/>
      <c r="X129" s="382"/>
      <c r="Y129" s="382"/>
      <c r="Z129" s="382"/>
      <c r="AA129" s="382"/>
      <c r="AB129" s="382"/>
      <c r="AC129" s="357"/>
      <c r="AD129" s="382"/>
      <c r="AE129" s="382"/>
      <c r="AF129" s="382"/>
      <c r="AG129" s="382"/>
      <c r="AH129" s="382"/>
      <c r="AI129" s="382"/>
      <c r="AJ129" s="382"/>
      <c r="AK129" s="382"/>
      <c r="AL129" s="382"/>
      <c r="AM129" s="301"/>
      <c r="AN129" s="357"/>
      <c r="AO129" s="357"/>
      <c r="AP129" s="357"/>
      <c r="AQ129" s="357"/>
      <c r="AR129" s="357"/>
      <c r="AS129" s="357"/>
      <c r="AT129" s="357"/>
      <c r="AU129" s="357"/>
      <c r="AV129" s="357"/>
      <c r="AW129" s="357"/>
      <c r="AX129" s="357"/>
      <c r="AY129" s="357"/>
      <c r="AZ129" s="357"/>
      <c r="BA129" s="357"/>
      <c r="BB129" s="357"/>
      <c r="BC129" s="357"/>
      <c r="BD129" s="357"/>
      <c r="BE129" s="358"/>
      <c r="BF129" s="358"/>
      <c r="BG129" s="358"/>
      <c r="BH129" s="358"/>
      <c r="BI129" s="358"/>
      <c r="BJ129" s="358"/>
      <c r="BK129" s="358"/>
      <c r="BL129" s="358"/>
      <c r="BM129" s="358"/>
      <c r="BN129" s="358"/>
      <c r="BO129" s="358"/>
      <c r="BP129" s="358"/>
      <c r="BQ129" s="358"/>
      <c r="BR129" s="358"/>
      <c r="BS129" s="358"/>
      <c r="BT129" s="359"/>
      <c r="BU129" s="359"/>
      <c r="BV129" s="359"/>
      <c r="BW129" s="359"/>
      <c r="BX129" s="359"/>
      <c r="BY129" s="359"/>
      <c r="BZ129" s="359"/>
      <c r="CA129" s="359"/>
      <c r="CB129" s="359"/>
      <c r="CC129" s="359"/>
    </row>
    <row r="130" spans="1:81" s="360" customFormat="1" ht="12">
      <c r="A130" s="396"/>
      <c r="B130" s="411"/>
      <c r="C130" s="300"/>
      <c r="D130" s="360" t="s">
        <v>735</v>
      </c>
      <c r="E130" s="300"/>
      <c r="F130" s="388">
        <f>F128+F129</f>
        <v>16599525</v>
      </c>
      <c r="G130" s="381"/>
      <c r="H130" s="381"/>
      <c r="I130" s="381"/>
      <c r="J130" s="382"/>
      <c r="K130" s="382"/>
      <c r="L130" s="382"/>
      <c r="M130" s="382"/>
      <c r="N130" s="382"/>
      <c r="O130" s="382"/>
      <c r="P130" s="382"/>
      <c r="Q130" s="383"/>
      <c r="R130" s="382"/>
      <c r="S130" s="357"/>
      <c r="T130" s="382"/>
      <c r="U130" s="382"/>
      <c r="V130" s="381"/>
      <c r="W130" s="382"/>
      <c r="X130" s="382"/>
      <c r="Y130" s="382"/>
      <c r="Z130" s="382"/>
      <c r="AA130" s="382"/>
      <c r="AB130" s="382"/>
      <c r="AC130" s="357"/>
      <c r="AD130" s="382"/>
      <c r="AE130" s="382"/>
      <c r="AF130" s="382"/>
      <c r="AG130" s="382"/>
      <c r="AH130" s="382"/>
      <c r="AI130" s="382"/>
      <c r="AJ130" s="382"/>
      <c r="AK130" s="382"/>
      <c r="AL130" s="382"/>
      <c r="AM130" s="301"/>
      <c r="AN130" s="357"/>
      <c r="AO130" s="357"/>
      <c r="AP130" s="357"/>
      <c r="AQ130" s="357"/>
      <c r="AR130" s="357"/>
      <c r="AS130" s="357"/>
      <c r="AT130" s="357"/>
      <c r="AU130" s="357"/>
      <c r="AV130" s="357"/>
      <c r="AW130" s="357"/>
      <c r="AX130" s="357"/>
      <c r="AY130" s="357"/>
      <c r="AZ130" s="357"/>
      <c r="BA130" s="357"/>
      <c r="BB130" s="357"/>
      <c r="BC130" s="357"/>
      <c r="BD130" s="357"/>
      <c r="BE130" s="358"/>
      <c r="BF130" s="358"/>
      <c r="BG130" s="358"/>
      <c r="BH130" s="358"/>
      <c r="BI130" s="358"/>
      <c r="BJ130" s="358"/>
      <c r="BK130" s="358"/>
      <c r="BL130" s="358"/>
      <c r="BM130" s="358"/>
      <c r="BN130" s="358"/>
      <c r="BO130" s="358"/>
      <c r="BP130" s="358"/>
      <c r="BQ130" s="358"/>
      <c r="BR130" s="358"/>
      <c r="BS130" s="358"/>
      <c r="BT130" s="359"/>
      <c r="BU130" s="359"/>
      <c r="BV130" s="359"/>
      <c r="BW130" s="359"/>
      <c r="BX130" s="359"/>
      <c r="BY130" s="359"/>
      <c r="BZ130" s="359"/>
      <c r="CA130" s="359"/>
      <c r="CB130" s="359"/>
      <c r="CC130" s="359"/>
    </row>
    <row r="131" spans="1:81" s="360" customFormat="1" ht="12">
      <c r="A131" s="396"/>
      <c r="B131" s="411"/>
      <c r="C131" s="300"/>
      <c r="E131" s="300"/>
      <c r="F131" s="418">
        <v>0.99989</v>
      </c>
      <c r="G131" s="419" t="s">
        <v>736</v>
      </c>
      <c r="H131" s="381"/>
      <c r="I131" s="381"/>
      <c r="J131" s="382"/>
      <c r="K131" s="382"/>
      <c r="L131" s="382"/>
      <c r="M131" s="382"/>
      <c r="N131" s="382"/>
      <c r="O131" s="382"/>
      <c r="P131" s="382"/>
      <c r="Q131" s="383"/>
      <c r="R131" s="382"/>
      <c r="S131" s="357"/>
      <c r="T131" s="382"/>
      <c r="U131" s="382"/>
      <c r="V131" s="381"/>
      <c r="W131" s="382"/>
      <c r="X131" s="382"/>
      <c r="Y131" s="382"/>
      <c r="Z131" s="382"/>
      <c r="AA131" s="382"/>
      <c r="AB131" s="382"/>
      <c r="AC131" s="357"/>
      <c r="AD131" s="382"/>
      <c r="AE131" s="382"/>
      <c r="AF131" s="382"/>
      <c r="AG131" s="382"/>
      <c r="AH131" s="382"/>
      <c r="AI131" s="382"/>
      <c r="AJ131" s="382"/>
      <c r="AK131" s="382"/>
      <c r="AL131" s="382"/>
      <c r="AM131" s="301"/>
      <c r="AN131" s="357"/>
      <c r="AO131" s="357"/>
      <c r="AP131" s="357"/>
      <c r="AQ131" s="357"/>
      <c r="AR131" s="357"/>
      <c r="AS131" s="357"/>
      <c r="AT131" s="357"/>
      <c r="AU131" s="357"/>
      <c r="AV131" s="357"/>
      <c r="AW131" s="357"/>
      <c r="AX131" s="357"/>
      <c r="AY131" s="357"/>
      <c r="AZ131" s="357"/>
      <c r="BA131" s="357"/>
      <c r="BB131" s="357"/>
      <c r="BC131" s="357"/>
      <c r="BD131" s="357"/>
      <c r="BE131" s="358"/>
      <c r="BF131" s="358"/>
      <c r="BG131" s="358"/>
      <c r="BH131" s="358"/>
      <c r="BI131" s="358"/>
      <c r="BJ131" s="358"/>
      <c r="BK131" s="358"/>
      <c r="BL131" s="358"/>
      <c r="BM131" s="358"/>
      <c r="BN131" s="358"/>
      <c r="BO131" s="358"/>
      <c r="BP131" s="358"/>
      <c r="BQ131" s="358"/>
      <c r="BR131" s="358"/>
      <c r="BS131" s="358"/>
      <c r="BT131" s="359"/>
      <c r="BU131" s="359"/>
      <c r="BV131" s="359"/>
      <c r="BW131" s="359"/>
      <c r="BX131" s="359"/>
      <c r="BY131" s="359"/>
      <c r="BZ131" s="359"/>
      <c r="CA131" s="359"/>
      <c r="CB131" s="359"/>
      <c r="CC131" s="359"/>
    </row>
    <row r="132" spans="1:81" s="360" customFormat="1" ht="12">
      <c r="A132" s="396"/>
      <c r="B132" s="411"/>
      <c r="C132" s="300"/>
      <c r="D132" s="360" t="s">
        <v>737</v>
      </c>
      <c r="E132" s="300"/>
      <c r="F132" s="357">
        <v>16597719</v>
      </c>
      <c r="G132" s="381"/>
      <c r="H132" s="381"/>
      <c r="I132" s="381"/>
      <c r="J132" s="382"/>
      <c r="K132" s="382"/>
      <c r="L132" s="382"/>
      <c r="M132" s="382"/>
      <c r="N132" s="382"/>
      <c r="O132" s="382"/>
      <c r="P132" s="382"/>
      <c r="Q132" s="383"/>
      <c r="R132" s="382"/>
      <c r="S132" s="357"/>
      <c r="T132" s="382"/>
      <c r="U132" s="382"/>
      <c r="V132" s="381"/>
      <c r="W132" s="382"/>
      <c r="X132" s="382"/>
      <c r="Y132" s="382"/>
      <c r="Z132" s="382"/>
      <c r="AA132" s="382"/>
      <c r="AB132" s="382"/>
      <c r="AC132" s="357"/>
      <c r="AD132" s="382"/>
      <c r="AE132" s="382"/>
      <c r="AF132" s="382"/>
      <c r="AG132" s="382"/>
      <c r="AH132" s="382"/>
      <c r="AI132" s="382"/>
      <c r="AJ132" s="382"/>
      <c r="AK132" s="382"/>
      <c r="AL132" s="382"/>
      <c r="AM132" s="301"/>
      <c r="AN132" s="357"/>
      <c r="AO132" s="357"/>
      <c r="AP132" s="357"/>
      <c r="AQ132" s="357"/>
      <c r="AR132" s="357"/>
      <c r="AS132" s="357"/>
      <c r="AT132" s="357"/>
      <c r="AU132" s="357"/>
      <c r="AV132" s="357"/>
      <c r="AW132" s="357"/>
      <c r="AX132" s="357"/>
      <c r="AY132" s="357"/>
      <c r="AZ132" s="357"/>
      <c r="BA132" s="357"/>
      <c r="BB132" s="357"/>
      <c r="BC132" s="357"/>
      <c r="BD132" s="357"/>
      <c r="BE132" s="358"/>
      <c r="BF132" s="358"/>
      <c r="BG132" s="358"/>
      <c r="BH132" s="358"/>
      <c r="BI132" s="358"/>
      <c r="BJ132" s="358"/>
      <c r="BK132" s="358"/>
      <c r="BL132" s="358"/>
      <c r="BM132" s="358"/>
      <c r="BN132" s="358"/>
      <c r="BO132" s="358"/>
      <c r="BP132" s="358"/>
      <c r="BQ132" s="358"/>
      <c r="BR132" s="358"/>
      <c r="BS132" s="358"/>
      <c r="BT132" s="359"/>
      <c r="BU132" s="359"/>
      <c r="BV132" s="359"/>
      <c r="BW132" s="359"/>
      <c r="BX132" s="359"/>
      <c r="BY132" s="359"/>
      <c r="BZ132" s="359"/>
      <c r="CA132" s="359"/>
      <c r="CB132" s="359"/>
      <c r="CC132" s="359"/>
    </row>
    <row r="133" spans="1:81" s="360" customFormat="1" ht="12">
      <c r="A133" s="396"/>
      <c r="B133" s="411"/>
      <c r="C133" s="300"/>
      <c r="D133" s="360" t="s">
        <v>738</v>
      </c>
      <c r="E133" s="300"/>
      <c r="F133" s="394">
        <f>ROUND(F130/10000*9680,0)</f>
        <v>16068340</v>
      </c>
      <c r="G133" s="419" t="s">
        <v>739</v>
      </c>
      <c r="H133" s="381"/>
      <c r="I133" s="381"/>
      <c r="J133" s="382"/>
      <c r="K133" s="382"/>
      <c r="L133" s="382"/>
      <c r="M133" s="382"/>
      <c r="N133" s="382"/>
      <c r="O133" s="382"/>
      <c r="P133" s="382"/>
      <c r="Q133" s="383"/>
      <c r="R133" s="382"/>
      <c r="S133" s="357"/>
      <c r="T133" s="382"/>
      <c r="U133" s="382"/>
      <c r="V133" s="381"/>
      <c r="W133" s="382"/>
      <c r="X133" s="382"/>
      <c r="Y133" s="382"/>
      <c r="Z133" s="382"/>
      <c r="AA133" s="382"/>
      <c r="AB133" s="382"/>
      <c r="AC133" s="357"/>
      <c r="AD133" s="382"/>
      <c r="AE133" s="382"/>
      <c r="AF133" s="382"/>
      <c r="AG133" s="382"/>
      <c r="AH133" s="382"/>
      <c r="AI133" s="382"/>
      <c r="AJ133" s="382"/>
      <c r="AK133" s="382"/>
      <c r="AL133" s="382"/>
      <c r="AM133" s="301"/>
      <c r="AN133" s="357"/>
      <c r="AO133" s="357"/>
      <c r="AP133" s="357"/>
      <c r="AQ133" s="357"/>
      <c r="AR133" s="357"/>
      <c r="AS133" s="357"/>
      <c r="AT133" s="357"/>
      <c r="AU133" s="357"/>
      <c r="AV133" s="357"/>
      <c r="AW133" s="357"/>
      <c r="AX133" s="357"/>
      <c r="AY133" s="357"/>
      <c r="AZ133" s="357"/>
      <c r="BA133" s="357"/>
      <c r="BB133" s="357"/>
      <c r="BC133" s="357"/>
      <c r="BD133" s="357"/>
      <c r="BE133" s="358"/>
      <c r="BF133" s="358"/>
      <c r="BG133" s="358"/>
      <c r="BH133" s="358"/>
      <c r="BI133" s="358"/>
      <c r="BJ133" s="358"/>
      <c r="BK133" s="358"/>
      <c r="BL133" s="358"/>
      <c r="BM133" s="358"/>
      <c r="BN133" s="358"/>
      <c r="BO133" s="358"/>
      <c r="BP133" s="358"/>
      <c r="BQ133" s="358"/>
      <c r="BR133" s="358"/>
      <c r="BS133" s="358"/>
      <c r="BT133" s="359"/>
      <c r="BU133" s="359"/>
      <c r="BV133" s="359"/>
      <c r="BW133" s="359"/>
      <c r="BX133" s="359"/>
      <c r="BY133" s="359"/>
      <c r="BZ133" s="359"/>
      <c r="CA133" s="359"/>
      <c r="CB133" s="359"/>
      <c r="CC133" s="359"/>
    </row>
    <row r="134" spans="1:81" s="360" customFormat="1" ht="12">
      <c r="A134" s="396"/>
      <c r="B134" s="411"/>
      <c r="C134" s="300"/>
      <c r="D134" s="350" t="s">
        <v>740</v>
      </c>
      <c r="E134" s="299"/>
      <c r="F134" s="388">
        <f>F132-F133</f>
        <v>529379</v>
      </c>
      <c r="G134" s="419"/>
      <c r="H134" s="381"/>
      <c r="I134" s="381"/>
      <c r="J134" s="382"/>
      <c r="K134" s="382"/>
      <c r="L134" s="382"/>
      <c r="M134" s="382"/>
      <c r="N134" s="382"/>
      <c r="O134" s="382"/>
      <c r="P134" s="382"/>
      <c r="Q134" s="383"/>
      <c r="R134" s="382"/>
      <c r="S134" s="357"/>
      <c r="T134" s="382"/>
      <c r="U134" s="382"/>
      <c r="V134" s="381"/>
      <c r="W134" s="382"/>
      <c r="X134" s="382"/>
      <c r="Y134" s="382"/>
      <c r="Z134" s="382"/>
      <c r="AA134" s="382"/>
      <c r="AB134" s="382"/>
      <c r="AC134" s="357"/>
      <c r="AD134" s="382"/>
      <c r="AE134" s="382"/>
      <c r="AF134" s="382"/>
      <c r="AG134" s="382"/>
      <c r="AH134" s="382"/>
      <c r="AI134" s="382"/>
      <c r="AJ134" s="382"/>
      <c r="AK134" s="382"/>
      <c r="AL134" s="382"/>
      <c r="AM134" s="301"/>
      <c r="AN134" s="357"/>
      <c r="AO134" s="357"/>
      <c r="AP134" s="357"/>
      <c r="AQ134" s="357"/>
      <c r="AR134" s="357"/>
      <c r="AS134" s="357"/>
      <c r="AT134" s="357"/>
      <c r="AU134" s="357"/>
      <c r="AV134" s="357"/>
      <c r="AW134" s="357"/>
      <c r="AX134" s="357"/>
      <c r="AY134" s="357"/>
      <c r="AZ134" s="357"/>
      <c r="BA134" s="357"/>
      <c r="BB134" s="357"/>
      <c r="BC134" s="357"/>
      <c r="BD134" s="357"/>
      <c r="BE134" s="358"/>
      <c r="BF134" s="358"/>
      <c r="BG134" s="358"/>
      <c r="BH134" s="358"/>
      <c r="BI134" s="358"/>
      <c r="BJ134" s="358"/>
      <c r="BK134" s="358"/>
      <c r="BL134" s="358"/>
      <c r="BM134" s="358"/>
      <c r="BN134" s="358"/>
      <c r="BO134" s="358"/>
      <c r="BP134" s="358"/>
      <c r="BQ134" s="358"/>
      <c r="BR134" s="358"/>
      <c r="BS134" s="358"/>
      <c r="BT134" s="359"/>
      <c r="BU134" s="359"/>
      <c r="BV134" s="359"/>
      <c r="BW134" s="359"/>
      <c r="BX134" s="359"/>
      <c r="BY134" s="359"/>
      <c r="BZ134" s="359"/>
      <c r="CA134" s="359"/>
      <c r="CB134" s="359"/>
      <c r="CC134" s="359"/>
    </row>
    <row r="135" spans="1:81" s="360" customFormat="1" ht="12">
      <c r="A135" s="396"/>
      <c r="B135" s="411"/>
      <c r="C135" s="300"/>
      <c r="D135" s="350"/>
      <c r="E135" s="299"/>
      <c r="F135" s="357"/>
      <c r="G135" s="381"/>
      <c r="H135" s="381"/>
      <c r="I135" s="381"/>
      <c r="J135" s="382"/>
      <c r="K135" s="382"/>
      <c r="L135" s="382"/>
      <c r="M135" s="382"/>
      <c r="N135" s="382"/>
      <c r="O135" s="382"/>
      <c r="P135" s="382"/>
      <c r="Q135" s="383"/>
      <c r="R135" s="382"/>
      <c r="S135" s="357"/>
      <c r="T135" s="382"/>
      <c r="U135" s="382"/>
      <c r="V135" s="381"/>
      <c r="W135" s="382"/>
      <c r="X135" s="382"/>
      <c r="Y135" s="382"/>
      <c r="Z135" s="382"/>
      <c r="AA135" s="382"/>
      <c r="AB135" s="382"/>
      <c r="AC135" s="357"/>
      <c r="AD135" s="382"/>
      <c r="AE135" s="382"/>
      <c r="AF135" s="382"/>
      <c r="AG135" s="382"/>
      <c r="AH135" s="382"/>
      <c r="AI135" s="382"/>
      <c r="AJ135" s="382"/>
      <c r="AK135" s="382"/>
      <c r="AL135" s="382"/>
      <c r="AM135" s="301"/>
      <c r="AN135" s="357"/>
      <c r="AO135" s="357"/>
      <c r="AP135" s="357"/>
      <c r="AQ135" s="357"/>
      <c r="AR135" s="357"/>
      <c r="AS135" s="357"/>
      <c r="AT135" s="357"/>
      <c r="AU135" s="357"/>
      <c r="AV135" s="357"/>
      <c r="AW135" s="357"/>
      <c r="AX135" s="357"/>
      <c r="AY135" s="357"/>
      <c r="AZ135" s="357"/>
      <c r="BA135" s="357"/>
      <c r="BB135" s="357"/>
      <c r="BC135" s="357"/>
      <c r="BD135" s="357"/>
      <c r="BE135" s="358"/>
      <c r="BF135" s="358"/>
      <c r="BG135" s="358"/>
      <c r="BH135" s="358"/>
      <c r="BI135" s="358"/>
      <c r="BJ135" s="358"/>
      <c r="BK135" s="358"/>
      <c r="BL135" s="358"/>
      <c r="BM135" s="358"/>
      <c r="BN135" s="358"/>
      <c r="BO135" s="358"/>
      <c r="BP135" s="358"/>
      <c r="BQ135" s="358"/>
      <c r="BR135" s="358"/>
      <c r="BS135" s="358"/>
      <c r="BT135" s="359"/>
      <c r="BU135" s="359"/>
      <c r="BV135" s="359"/>
      <c r="BW135" s="359"/>
      <c r="BX135" s="359"/>
      <c r="BY135" s="359"/>
      <c r="BZ135" s="359"/>
      <c r="CA135" s="359"/>
      <c r="CB135" s="359"/>
      <c r="CC135" s="359"/>
    </row>
    <row r="136" spans="1:81" s="360" customFormat="1" ht="12">
      <c r="A136" s="396" t="s">
        <v>741</v>
      </c>
      <c r="C136" s="350" t="s">
        <v>742</v>
      </c>
      <c r="F136" s="357"/>
      <c r="G136" s="381"/>
      <c r="H136" s="381"/>
      <c r="I136" s="381"/>
      <c r="J136" s="382"/>
      <c r="K136" s="382"/>
      <c r="L136" s="382"/>
      <c r="M136" s="382">
        <f>F136</f>
        <v>0</v>
      </c>
      <c r="N136" s="382"/>
      <c r="O136" s="382"/>
      <c r="P136" s="382"/>
      <c r="Q136" s="383"/>
      <c r="R136" s="382"/>
      <c r="S136" s="357"/>
      <c r="T136" s="382"/>
      <c r="U136" s="382"/>
      <c r="V136" s="381"/>
      <c r="W136" s="382"/>
      <c r="X136" s="382"/>
      <c r="Y136" s="382"/>
      <c r="Z136" s="382"/>
      <c r="AA136" s="382"/>
      <c r="AB136" s="382"/>
      <c r="AC136" s="381"/>
      <c r="AD136" s="382"/>
      <c r="AE136" s="382"/>
      <c r="AF136" s="382"/>
      <c r="AG136" s="382"/>
      <c r="AH136" s="382"/>
      <c r="AI136" s="382"/>
      <c r="AJ136" s="382"/>
      <c r="AK136" s="382"/>
      <c r="AL136" s="382"/>
      <c r="AM136" s="301"/>
      <c r="AN136" s="357"/>
      <c r="AO136" s="357"/>
      <c r="AP136" s="357"/>
      <c r="AQ136" s="357"/>
      <c r="AR136" s="357"/>
      <c r="AS136" s="357"/>
      <c r="AT136" s="357"/>
      <c r="AU136" s="357"/>
      <c r="AV136" s="357"/>
      <c r="AW136" s="357"/>
      <c r="AX136" s="357"/>
      <c r="AY136" s="357"/>
      <c r="AZ136" s="357"/>
      <c r="BA136" s="357"/>
      <c r="BB136" s="357"/>
      <c r="BC136" s="357"/>
      <c r="BD136" s="357"/>
      <c r="BE136" s="358"/>
      <c r="BF136" s="358"/>
      <c r="BG136" s="358"/>
      <c r="BH136" s="358"/>
      <c r="BI136" s="358"/>
      <c r="BJ136" s="358"/>
      <c r="BK136" s="358"/>
      <c r="BL136" s="358"/>
      <c r="BM136" s="358"/>
      <c r="BN136" s="358"/>
      <c r="BO136" s="358"/>
      <c r="BP136" s="358"/>
      <c r="BQ136" s="358"/>
      <c r="BR136" s="358"/>
      <c r="BS136" s="358"/>
      <c r="BT136" s="359"/>
      <c r="BU136" s="359"/>
      <c r="BV136" s="359"/>
      <c r="BW136" s="359"/>
      <c r="BX136" s="359"/>
      <c r="BY136" s="359"/>
      <c r="BZ136" s="359"/>
      <c r="CA136" s="359"/>
      <c r="CB136" s="359"/>
      <c r="CC136" s="359"/>
    </row>
    <row r="137" spans="1:81" s="360" customFormat="1" ht="12">
      <c r="A137" s="396"/>
      <c r="C137" s="360" t="s">
        <v>743</v>
      </c>
      <c r="D137" s="360" t="s">
        <v>744</v>
      </c>
      <c r="F137" s="357">
        <v>1346467</v>
      </c>
      <c r="G137" s="381"/>
      <c r="H137" s="381"/>
      <c r="I137" s="381"/>
      <c r="J137" s="382"/>
      <c r="K137" s="382"/>
      <c r="L137" s="382"/>
      <c r="M137" s="382">
        <f>+F137</f>
        <v>1346467</v>
      </c>
      <c r="N137" s="382"/>
      <c r="O137" s="382"/>
      <c r="P137" s="382"/>
      <c r="Q137" s="383"/>
      <c r="R137" s="382"/>
      <c r="S137" s="357"/>
      <c r="T137" s="382"/>
      <c r="U137" s="382"/>
      <c r="V137" s="381"/>
      <c r="W137" s="382"/>
      <c r="X137" s="382"/>
      <c r="Y137" s="382"/>
      <c r="Z137" s="382"/>
      <c r="AA137" s="382"/>
      <c r="AB137" s="382"/>
      <c r="AC137" s="381"/>
      <c r="AD137" s="382"/>
      <c r="AE137" s="382"/>
      <c r="AF137" s="382"/>
      <c r="AG137" s="382"/>
      <c r="AH137" s="382"/>
      <c r="AI137" s="382"/>
      <c r="AJ137" s="382"/>
      <c r="AK137" s="382"/>
      <c r="AL137" s="382"/>
      <c r="AM137" s="301"/>
      <c r="AN137" s="357"/>
      <c r="AO137" s="357"/>
      <c r="AP137" s="357"/>
      <c r="AQ137" s="357"/>
      <c r="AR137" s="357"/>
      <c r="AS137" s="357"/>
      <c r="AT137" s="357"/>
      <c r="AU137" s="357"/>
      <c r="AV137" s="357"/>
      <c r="AW137" s="357"/>
      <c r="AX137" s="357"/>
      <c r="AY137" s="357"/>
      <c r="AZ137" s="357"/>
      <c r="BA137" s="357"/>
      <c r="BB137" s="357"/>
      <c r="BC137" s="357"/>
      <c r="BD137" s="357"/>
      <c r="BE137" s="358"/>
      <c r="BF137" s="358"/>
      <c r="BG137" s="358"/>
      <c r="BH137" s="358"/>
      <c r="BI137" s="358"/>
      <c r="BJ137" s="358"/>
      <c r="BK137" s="358"/>
      <c r="BL137" s="358"/>
      <c r="BM137" s="358"/>
      <c r="BN137" s="358"/>
      <c r="BO137" s="358"/>
      <c r="BP137" s="358"/>
      <c r="BQ137" s="358"/>
      <c r="BR137" s="358"/>
      <c r="BS137" s="358"/>
      <c r="BT137" s="359"/>
      <c r="BU137" s="359"/>
      <c r="BV137" s="359"/>
      <c r="BW137" s="359"/>
      <c r="BX137" s="359"/>
      <c r="BY137" s="359"/>
      <c r="BZ137" s="359"/>
      <c r="CA137" s="359"/>
      <c r="CB137" s="359"/>
      <c r="CC137" s="359"/>
    </row>
    <row r="138" spans="1:81" s="360" customFormat="1" ht="12">
      <c r="A138" s="396"/>
      <c r="C138" s="360" t="s">
        <v>743</v>
      </c>
      <c r="D138" s="360" t="s">
        <v>745</v>
      </c>
      <c r="F138" s="357">
        <v>1293665</v>
      </c>
      <c r="G138" s="381"/>
      <c r="H138" s="381"/>
      <c r="I138" s="381">
        <f>+F138</f>
        <v>1293665</v>
      </c>
      <c r="J138" s="382"/>
      <c r="K138" s="382"/>
      <c r="L138" s="382"/>
      <c r="M138" s="382"/>
      <c r="N138" s="382"/>
      <c r="O138" s="382"/>
      <c r="P138" s="382"/>
      <c r="Q138" s="383"/>
      <c r="R138" s="382"/>
      <c r="S138" s="357"/>
      <c r="T138" s="382"/>
      <c r="U138" s="382"/>
      <c r="V138" s="381"/>
      <c r="W138" s="382"/>
      <c r="X138" s="382"/>
      <c r="Y138" s="382"/>
      <c r="Z138" s="382"/>
      <c r="AA138" s="382"/>
      <c r="AB138" s="382"/>
      <c r="AC138" s="381"/>
      <c r="AD138" s="382"/>
      <c r="AE138" s="382"/>
      <c r="AF138" s="382"/>
      <c r="AG138" s="382"/>
      <c r="AH138" s="382"/>
      <c r="AI138" s="382"/>
      <c r="AJ138" s="382"/>
      <c r="AK138" s="382"/>
      <c r="AL138" s="382"/>
      <c r="AM138" s="301"/>
      <c r="AN138" s="357"/>
      <c r="AO138" s="357"/>
      <c r="AP138" s="357"/>
      <c r="AQ138" s="357"/>
      <c r="AR138" s="357"/>
      <c r="AS138" s="357"/>
      <c r="AT138" s="357"/>
      <c r="AU138" s="357"/>
      <c r="AV138" s="357"/>
      <c r="AW138" s="357"/>
      <c r="AX138" s="357"/>
      <c r="AY138" s="357"/>
      <c r="AZ138" s="357"/>
      <c r="BA138" s="357"/>
      <c r="BB138" s="357"/>
      <c r="BC138" s="357"/>
      <c r="BD138" s="357"/>
      <c r="BE138" s="358"/>
      <c r="BF138" s="358"/>
      <c r="BG138" s="358"/>
      <c r="BH138" s="358"/>
      <c r="BI138" s="358"/>
      <c r="BJ138" s="358"/>
      <c r="BK138" s="358"/>
      <c r="BL138" s="358"/>
      <c r="BM138" s="358"/>
      <c r="BN138" s="358"/>
      <c r="BO138" s="358"/>
      <c r="BP138" s="358"/>
      <c r="BQ138" s="358"/>
      <c r="BR138" s="358"/>
      <c r="BS138" s="358"/>
      <c r="BT138" s="359"/>
      <c r="BU138" s="359"/>
      <c r="BV138" s="359"/>
      <c r="BW138" s="359"/>
      <c r="BX138" s="359"/>
      <c r="BY138" s="359"/>
      <c r="BZ138" s="359"/>
      <c r="CA138" s="359"/>
      <c r="CB138" s="359"/>
      <c r="CC138" s="359"/>
    </row>
    <row r="139" spans="1:81" s="360" customFormat="1" ht="12">
      <c r="A139" s="396"/>
      <c r="D139" s="360" t="s">
        <v>746</v>
      </c>
      <c r="F139" s="357"/>
      <c r="G139" s="381"/>
      <c r="H139" s="381"/>
      <c r="I139" s="381"/>
      <c r="J139" s="382"/>
      <c r="K139" s="382"/>
      <c r="L139" s="382"/>
      <c r="M139" s="382"/>
      <c r="N139" s="382"/>
      <c r="O139" s="382"/>
      <c r="P139" s="382"/>
      <c r="Q139" s="383"/>
      <c r="R139" s="382"/>
      <c r="S139" s="357"/>
      <c r="T139" s="382"/>
      <c r="U139" s="382"/>
      <c r="V139" s="381"/>
      <c r="W139" s="382"/>
      <c r="X139" s="382"/>
      <c r="Y139" s="382"/>
      <c r="Z139" s="382"/>
      <c r="AA139" s="382"/>
      <c r="AB139" s="382"/>
      <c r="AC139" s="381"/>
      <c r="AD139" s="382"/>
      <c r="AE139" s="382"/>
      <c r="AF139" s="382"/>
      <c r="AG139" s="382"/>
      <c r="AH139" s="382"/>
      <c r="AI139" s="382"/>
      <c r="AJ139" s="382"/>
      <c r="AK139" s="382"/>
      <c r="AL139" s="382"/>
      <c r="AM139" s="301"/>
      <c r="AN139" s="357"/>
      <c r="AO139" s="357"/>
      <c r="AP139" s="357"/>
      <c r="AQ139" s="357"/>
      <c r="AR139" s="357"/>
      <c r="AS139" s="357"/>
      <c r="AT139" s="357"/>
      <c r="AU139" s="357"/>
      <c r="AV139" s="357"/>
      <c r="AW139" s="357"/>
      <c r="AX139" s="357"/>
      <c r="AY139" s="357"/>
      <c r="AZ139" s="357"/>
      <c r="BA139" s="357"/>
      <c r="BB139" s="357"/>
      <c r="BC139" s="357"/>
      <c r="BD139" s="357"/>
      <c r="BE139" s="358"/>
      <c r="BF139" s="358"/>
      <c r="BG139" s="358"/>
      <c r="BH139" s="358"/>
      <c r="BI139" s="358"/>
      <c r="BJ139" s="358"/>
      <c r="BK139" s="358"/>
      <c r="BL139" s="358"/>
      <c r="BM139" s="358"/>
      <c r="BN139" s="358"/>
      <c r="BO139" s="358"/>
      <c r="BP139" s="358"/>
      <c r="BQ139" s="358"/>
      <c r="BR139" s="358"/>
      <c r="BS139" s="358"/>
      <c r="BT139" s="359"/>
      <c r="BU139" s="359"/>
      <c r="BV139" s="359"/>
      <c r="BW139" s="359"/>
      <c r="BX139" s="359"/>
      <c r="BY139" s="359"/>
      <c r="BZ139" s="359"/>
      <c r="CA139" s="359"/>
      <c r="CB139" s="359"/>
      <c r="CC139" s="359"/>
    </row>
    <row r="140" spans="1:81" s="360" customFormat="1" ht="12">
      <c r="A140" s="396"/>
      <c r="D140" s="360" t="s">
        <v>747</v>
      </c>
      <c r="F140" s="357"/>
      <c r="G140" s="381"/>
      <c r="H140" s="381"/>
      <c r="I140" s="381"/>
      <c r="J140" s="382"/>
      <c r="K140" s="382"/>
      <c r="L140" s="382"/>
      <c r="M140" s="382"/>
      <c r="N140" s="382"/>
      <c r="O140" s="382"/>
      <c r="P140" s="382"/>
      <c r="Q140" s="383"/>
      <c r="R140" s="382"/>
      <c r="S140" s="357"/>
      <c r="T140" s="382"/>
      <c r="U140" s="382"/>
      <c r="V140" s="381"/>
      <c r="W140" s="382"/>
      <c r="X140" s="382"/>
      <c r="Y140" s="382"/>
      <c r="Z140" s="382"/>
      <c r="AA140" s="382"/>
      <c r="AB140" s="382"/>
      <c r="AC140" s="381"/>
      <c r="AD140" s="382"/>
      <c r="AE140" s="382"/>
      <c r="AF140" s="382"/>
      <c r="AG140" s="382"/>
      <c r="AH140" s="382"/>
      <c r="AI140" s="382"/>
      <c r="AJ140" s="382"/>
      <c r="AK140" s="382"/>
      <c r="AL140" s="382"/>
      <c r="AM140" s="301"/>
      <c r="AN140" s="357"/>
      <c r="AO140" s="357"/>
      <c r="AP140" s="357"/>
      <c r="AQ140" s="357"/>
      <c r="AR140" s="357"/>
      <c r="AS140" s="357"/>
      <c r="AT140" s="357"/>
      <c r="AU140" s="357"/>
      <c r="AV140" s="357"/>
      <c r="AW140" s="357"/>
      <c r="AX140" s="357"/>
      <c r="AY140" s="357"/>
      <c r="AZ140" s="357"/>
      <c r="BA140" s="357"/>
      <c r="BB140" s="357"/>
      <c r="BC140" s="357"/>
      <c r="BD140" s="357"/>
      <c r="BE140" s="358"/>
      <c r="BF140" s="358"/>
      <c r="BG140" s="358"/>
      <c r="BH140" s="358"/>
      <c r="BI140" s="358"/>
      <c r="BJ140" s="358"/>
      <c r="BK140" s="358"/>
      <c r="BL140" s="358"/>
      <c r="BM140" s="358"/>
      <c r="BN140" s="358"/>
      <c r="BO140" s="358"/>
      <c r="BP140" s="358"/>
      <c r="BQ140" s="358"/>
      <c r="BR140" s="358"/>
      <c r="BS140" s="358"/>
      <c r="BT140" s="359"/>
      <c r="BU140" s="359"/>
      <c r="BV140" s="359"/>
      <c r="BW140" s="359"/>
      <c r="BX140" s="359"/>
      <c r="BY140" s="359"/>
      <c r="BZ140" s="359"/>
      <c r="CA140" s="359"/>
      <c r="CB140" s="359"/>
      <c r="CC140" s="359"/>
    </row>
    <row r="141" spans="1:81" s="360" customFormat="1" ht="12">
      <c r="A141" s="396"/>
      <c r="C141" s="398" t="s">
        <v>624</v>
      </c>
      <c r="D141" s="360" t="s">
        <v>748</v>
      </c>
      <c r="F141" s="357"/>
      <c r="G141" s="381">
        <v>2640132</v>
      </c>
      <c r="H141" s="381"/>
      <c r="I141" s="381"/>
      <c r="J141" s="382"/>
      <c r="K141" s="382"/>
      <c r="L141" s="382"/>
      <c r="M141" s="382">
        <f>G141*-1</f>
        <v>-2640132</v>
      </c>
      <c r="N141" s="382"/>
      <c r="O141" s="382"/>
      <c r="P141" s="382"/>
      <c r="Q141" s="383"/>
      <c r="R141" s="382"/>
      <c r="S141" s="357"/>
      <c r="T141" s="382"/>
      <c r="U141" s="382"/>
      <c r="V141" s="381"/>
      <c r="W141" s="382"/>
      <c r="X141" s="382"/>
      <c r="Y141" s="382"/>
      <c r="Z141" s="382"/>
      <c r="AA141" s="382"/>
      <c r="AB141" s="382"/>
      <c r="AC141" s="381"/>
      <c r="AD141" s="382"/>
      <c r="AE141" s="382"/>
      <c r="AF141" s="382"/>
      <c r="AG141" s="382"/>
      <c r="AH141" s="382"/>
      <c r="AI141" s="382"/>
      <c r="AJ141" s="382"/>
      <c r="AK141" s="382"/>
      <c r="AL141" s="382"/>
      <c r="AM141" s="301"/>
      <c r="AN141" s="357"/>
      <c r="AO141" s="357"/>
      <c r="AP141" s="357"/>
      <c r="AQ141" s="357"/>
      <c r="AR141" s="357"/>
      <c r="AS141" s="357"/>
      <c r="AT141" s="357"/>
      <c r="AU141" s="357"/>
      <c r="AV141" s="357"/>
      <c r="AW141" s="357"/>
      <c r="AX141" s="357"/>
      <c r="AY141" s="357"/>
      <c r="AZ141" s="357"/>
      <c r="BA141" s="357"/>
      <c r="BB141" s="357"/>
      <c r="BC141" s="357"/>
      <c r="BD141" s="357"/>
      <c r="BE141" s="358"/>
      <c r="BF141" s="358"/>
      <c r="BG141" s="358"/>
      <c r="BH141" s="358"/>
      <c r="BI141" s="358"/>
      <c r="BJ141" s="358"/>
      <c r="BK141" s="358"/>
      <c r="BL141" s="358"/>
      <c r="BM141" s="358"/>
      <c r="BN141" s="358"/>
      <c r="BO141" s="358"/>
      <c r="BP141" s="358"/>
      <c r="BQ141" s="358"/>
      <c r="BR141" s="358"/>
      <c r="BS141" s="358"/>
      <c r="BT141" s="359"/>
      <c r="BU141" s="359"/>
      <c r="BV141" s="359"/>
      <c r="BW141" s="359"/>
      <c r="BX141" s="359"/>
      <c r="BY141" s="359"/>
      <c r="BZ141" s="359"/>
      <c r="CA141" s="359"/>
      <c r="CB141" s="359"/>
      <c r="CC141" s="359"/>
    </row>
    <row r="142" spans="1:81" s="360" customFormat="1" ht="12">
      <c r="A142" s="396"/>
      <c r="C142" s="359"/>
      <c r="D142" s="359"/>
      <c r="F142" s="357"/>
      <c r="G142" s="381"/>
      <c r="H142" s="381"/>
      <c r="I142" s="381"/>
      <c r="J142" s="382"/>
      <c r="K142" s="382"/>
      <c r="L142" s="382"/>
      <c r="M142" s="382"/>
      <c r="N142" s="382"/>
      <c r="O142" s="382"/>
      <c r="P142" s="382"/>
      <c r="Q142" s="383"/>
      <c r="R142" s="382"/>
      <c r="S142" s="357"/>
      <c r="T142" s="382"/>
      <c r="U142" s="382"/>
      <c r="V142" s="381"/>
      <c r="W142" s="382"/>
      <c r="X142" s="382"/>
      <c r="Y142" s="382"/>
      <c r="Z142" s="382"/>
      <c r="AA142" s="382"/>
      <c r="AB142" s="382"/>
      <c r="AC142" s="381"/>
      <c r="AD142" s="382"/>
      <c r="AE142" s="382"/>
      <c r="AF142" s="382"/>
      <c r="AG142" s="382"/>
      <c r="AH142" s="382"/>
      <c r="AI142" s="382"/>
      <c r="AJ142" s="382"/>
      <c r="AK142" s="382"/>
      <c r="AL142" s="382"/>
      <c r="AM142" s="301"/>
      <c r="AN142" s="357"/>
      <c r="AO142" s="357"/>
      <c r="AP142" s="357"/>
      <c r="AQ142" s="357"/>
      <c r="AR142" s="357"/>
      <c r="AS142" s="357"/>
      <c r="AT142" s="357"/>
      <c r="AU142" s="357"/>
      <c r="AV142" s="357"/>
      <c r="AW142" s="357"/>
      <c r="AX142" s="357"/>
      <c r="AY142" s="357"/>
      <c r="AZ142" s="357"/>
      <c r="BA142" s="357"/>
      <c r="BB142" s="357"/>
      <c r="BC142" s="357"/>
      <c r="BD142" s="357"/>
      <c r="BE142" s="358"/>
      <c r="BF142" s="358"/>
      <c r="BG142" s="358"/>
      <c r="BH142" s="358"/>
      <c r="BI142" s="358"/>
      <c r="BJ142" s="358"/>
      <c r="BK142" s="358"/>
      <c r="BL142" s="358"/>
      <c r="BM142" s="358"/>
      <c r="BN142" s="358"/>
      <c r="BO142" s="358"/>
      <c r="BP142" s="358"/>
      <c r="BQ142" s="358"/>
      <c r="BR142" s="358"/>
      <c r="BS142" s="358"/>
      <c r="BT142" s="359"/>
      <c r="BU142" s="359"/>
      <c r="BV142" s="359"/>
      <c r="BW142" s="359"/>
      <c r="BX142" s="359"/>
      <c r="BY142" s="359"/>
      <c r="BZ142" s="359"/>
      <c r="CA142" s="359"/>
      <c r="CB142" s="359"/>
      <c r="CC142" s="359"/>
    </row>
    <row r="143" spans="1:81" s="360" customFormat="1" ht="12">
      <c r="A143" s="396"/>
      <c r="C143" s="420" t="s">
        <v>749</v>
      </c>
      <c r="D143" s="359"/>
      <c r="F143" s="357"/>
      <c r="G143" s="381"/>
      <c r="H143" s="381"/>
      <c r="I143" s="381"/>
      <c r="J143" s="382"/>
      <c r="K143" s="382"/>
      <c r="L143" s="382"/>
      <c r="M143" s="382"/>
      <c r="N143" s="382"/>
      <c r="O143" s="382"/>
      <c r="P143" s="382"/>
      <c r="Q143" s="383"/>
      <c r="R143" s="382"/>
      <c r="S143" s="357"/>
      <c r="T143" s="382"/>
      <c r="U143" s="382"/>
      <c r="V143" s="381"/>
      <c r="W143" s="382"/>
      <c r="X143" s="382"/>
      <c r="Y143" s="382"/>
      <c r="Z143" s="382"/>
      <c r="AA143" s="382"/>
      <c r="AB143" s="382"/>
      <c r="AC143" s="381"/>
      <c r="AD143" s="382"/>
      <c r="AE143" s="382"/>
      <c r="AF143" s="382"/>
      <c r="AG143" s="382"/>
      <c r="AH143" s="382"/>
      <c r="AI143" s="382"/>
      <c r="AJ143" s="382"/>
      <c r="AK143" s="382"/>
      <c r="AL143" s="382"/>
      <c r="AM143" s="301"/>
      <c r="AN143" s="357"/>
      <c r="AO143" s="357"/>
      <c r="AP143" s="357"/>
      <c r="AQ143" s="357"/>
      <c r="AR143" s="357"/>
      <c r="AS143" s="357"/>
      <c r="AT143" s="357"/>
      <c r="AU143" s="357"/>
      <c r="AV143" s="357"/>
      <c r="AW143" s="357"/>
      <c r="AX143" s="357"/>
      <c r="AY143" s="357"/>
      <c r="AZ143" s="357"/>
      <c r="BA143" s="357"/>
      <c r="BB143" s="357"/>
      <c r="BC143" s="357"/>
      <c r="BD143" s="357"/>
      <c r="BE143" s="358"/>
      <c r="BF143" s="358"/>
      <c r="BG143" s="358"/>
      <c r="BH143" s="358"/>
      <c r="BI143" s="358"/>
      <c r="BJ143" s="358"/>
      <c r="BK143" s="358"/>
      <c r="BL143" s="358"/>
      <c r="BM143" s="358"/>
      <c r="BN143" s="358"/>
      <c r="BO143" s="358"/>
      <c r="BP143" s="358"/>
      <c r="BQ143" s="358"/>
      <c r="BR143" s="358"/>
      <c r="BS143" s="358"/>
      <c r="BT143" s="359"/>
      <c r="BU143" s="359"/>
      <c r="BV143" s="359"/>
      <c r="BW143" s="359"/>
      <c r="BX143" s="359"/>
      <c r="BY143" s="359"/>
      <c r="BZ143" s="359"/>
      <c r="CA143" s="359"/>
      <c r="CB143" s="359"/>
      <c r="CC143" s="359"/>
    </row>
    <row r="144" spans="1:81" s="360" customFormat="1" ht="12">
      <c r="A144" s="396"/>
      <c r="C144" s="359"/>
      <c r="D144" s="359"/>
      <c r="F144" s="421" t="s">
        <v>750</v>
      </c>
      <c r="G144" s="422" t="s">
        <v>751</v>
      </c>
      <c r="H144" s="381"/>
      <c r="I144" s="381"/>
      <c r="J144" s="382"/>
      <c r="K144" s="382"/>
      <c r="L144" s="382"/>
      <c r="M144" s="382"/>
      <c r="N144" s="382"/>
      <c r="O144" s="382"/>
      <c r="P144" s="382"/>
      <c r="Q144" s="383"/>
      <c r="R144" s="382"/>
      <c r="S144" s="357"/>
      <c r="T144" s="382"/>
      <c r="U144" s="382"/>
      <c r="V144" s="381"/>
      <c r="W144" s="382"/>
      <c r="X144" s="382"/>
      <c r="Y144" s="382"/>
      <c r="Z144" s="382"/>
      <c r="AA144" s="382"/>
      <c r="AB144" s="382"/>
      <c r="AC144" s="381"/>
      <c r="AD144" s="382"/>
      <c r="AE144" s="382"/>
      <c r="AF144" s="382"/>
      <c r="AG144" s="382"/>
      <c r="AH144" s="382"/>
      <c r="AI144" s="382"/>
      <c r="AJ144" s="382"/>
      <c r="AK144" s="382"/>
      <c r="AL144" s="382"/>
      <c r="AM144" s="301"/>
      <c r="AN144" s="357"/>
      <c r="AO144" s="357"/>
      <c r="AP144" s="357"/>
      <c r="AQ144" s="357"/>
      <c r="AR144" s="357"/>
      <c r="AS144" s="357"/>
      <c r="AT144" s="357"/>
      <c r="AU144" s="357"/>
      <c r="AV144" s="357"/>
      <c r="AW144" s="357"/>
      <c r="AX144" s="357"/>
      <c r="AY144" s="357"/>
      <c r="AZ144" s="357"/>
      <c r="BA144" s="357"/>
      <c r="BB144" s="357"/>
      <c r="BC144" s="357"/>
      <c r="BD144" s="357"/>
      <c r="BE144" s="358"/>
      <c r="BF144" s="358"/>
      <c r="BG144" s="358"/>
      <c r="BH144" s="358"/>
      <c r="BI144" s="358"/>
      <c r="BJ144" s="358"/>
      <c r="BK144" s="358"/>
      <c r="BL144" s="358"/>
      <c r="BM144" s="358"/>
      <c r="BN144" s="358"/>
      <c r="BO144" s="358"/>
      <c r="BP144" s="358"/>
      <c r="BQ144" s="358"/>
      <c r="BR144" s="358"/>
      <c r="BS144" s="358"/>
      <c r="BT144" s="359"/>
      <c r="BU144" s="359"/>
      <c r="BV144" s="359"/>
      <c r="BW144" s="359"/>
      <c r="BX144" s="359"/>
      <c r="BY144" s="359"/>
      <c r="BZ144" s="359"/>
      <c r="CA144" s="359"/>
      <c r="CB144" s="359"/>
      <c r="CC144" s="359"/>
    </row>
    <row r="145" spans="1:81" s="360" customFormat="1" ht="12">
      <c r="A145" s="396"/>
      <c r="C145" s="359"/>
      <c r="D145" s="359" t="s">
        <v>752</v>
      </c>
      <c r="F145" s="357">
        <f>80004000*0.05/12*11</f>
        <v>3666850</v>
      </c>
      <c r="G145" s="381">
        <f>80004000*0.05/12*1</f>
        <v>333350</v>
      </c>
      <c r="H145" s="381"/>
      <c r="I145" s="381"/>
      <c r="J145" s="382"/>
      <c r="K145" s="382"/>
      <c r="L145" s="382"/>
      <c r="M145" s="382"/>
      <c r="N145" s="382"/>
      <c r="O145" s="382"/>
      <c r="P145" s="382"/>
      <c r="Q145" s="383"/>
      <c r="R145" s="382"/>
      <c r="S145" s="357"/>
      <c r="T145" s="382"/>
      <c r="U145" s="382"/>
      <c r="V145" s="381"/>
      <c r="W145" s="382"/>
      <c r="X145" s="382"/>
      <c r="Y145" s="382"/>
      <c r="Z145" s="382"/>
      <c r="AA145" s="382"/>
      <c r="AB145" s="382"/>
      <c r="AC145" s="381"/>
      <c r="AD145" s="382"/>
      <c r="AE145" s="382"/>
      <c r="AF145" s="382"/>
      <c r="AG145" s="382"/>
      <c r="AH145" s="382"/>
      <c r="AI145" s="382"/>
      <c r="AJ145" s="382"/>
      <c r="AK145" s="382"/>
      <c r="AL145" s="382"/>
      <c r="AM145" s="301"/>
      <c r="AN145" s="357"/>
      <c r="AO145" s="357"/>
      <c r="AP145" s="357"/>
      <c r="AQ145" s="357"/>
      <c r="AR145" s="357"/>
      <c r="AS145" s="357"/>
      <c r="AT145" s="357"/>
      <c r="AU145" s="357"/>
      <c r="AV145" s="357"/>
      <c r="AW145" s="357"/>
      <c r="AX145" s="357"/>
      <c r="AY145" s="357"/>
      <c r="AZ145" s="357"/>
      <c r="BA145" s="357"/>
      <c r="BB145" s="357"/>
      <c r="BC145" s="357"/>
      <c r="BD145" s="357"/>
      <c r="BE145" s="358"/>
      <c r="BF145" s="358"/>
      <c r="BG145" s="358"/>
      <c r="BH145" s="358"/>
      <c r="BI145" s="358"/>
      <c r="BJ145" s="358"/>
      <c r="BK145" s="358"/>
      <c r="BL145" s="358"/>
      <c r="BM145" s="358"/>
      <c r="BN145" s="358"/>
      <c r="BO145" s="358"/>
      <c r="BP145" s="358"/>
      <c r="BQ145" s="358"/>
      <c r="BR145" s="358"/>
      <c r="BS145" s="358"/>
      <c r="BT145" s="359"/>
      <c r="BU145" s="359"/>
      <c r="BV145" s="359"/>
      <c r="BW145" s="359"/>
      <c r="BX145" s="359"/>
      <c r="BY145" s="359"/>
      <c r="BZ145" s="359"/>
      <c r="CA145" s="359"/>
      <c r="CB145" s="359"/>
      <c r="CC145" s="359"/>
    </row>
    <row r="146" spans="1:81" s="360" customFormat="1" ht="12">
      <c r="A146" s="396"/>
      <c r="C146" s="359"/>
      <c r="D146" s="359" t="s">
        <v>753</v>
      </c>
      <c r="F146" s="357">
        <f>0.28*-F145</f>
        <v>-1026718.0000000001</v>
      </c>
      <c r="G146" s="381">
        <f>0.28*-G145</f>
        <v>-93338.00000000001</v>
      </c>
      <c r="H146" s="381"/>
      <c r="I146" s="381"/>
      <c r="J146" s="382"/>
      <c r="K146" s="382"/>
      <c r="L146" s="382"/>
      <c r="M146" s="382"/>
      <c r="N146" s="382"/>
      <c r="O146" s="382"/>
      <c r="P146" s="382"/>
      <c r="Q146" s="383"/>
      <c r="R146" s="382"/>
      <c r="S146" s="357"/>
      <c r="T146" s="382"/>
      <c r="U146" s="382"/>
      <c r="V146" s="381"/>
      <c r="W146" s="382"/>
      <c r="X146" s="382"/>
      <c r="Y146" s="382"/>
      <c r="Z146" s="382"/>
      <c r="AA146" s="382"/>
      <c r="AB146" s="382"/>
      <c r="AC146" s="381"/>
      <c r="AD146" s="382"/>
      <c r="AE146" s="382"/>
      <c r="AF146" s="382"/>
      <c r="AG146" s="382"/>
      <c r="AH146" s="382"/>
      <c r="AI146" s="382"/>
      <c r="AJ146" s="382"/>
      <c r="AK146" s="382"/>
      <c r="AL146" s="382"/>
      <c r="AM146" s="301"/>
      <c r="AN146" s="357"/>
      <c r="AO146" s="357"/>
      <c r="AP146" s="357"/>
      <c r="AQ146" s="357"/>
      <c r="AR146" s="357"/>
      <c r="AS146" s="357"/>
      <c r="AT146" s="357"/>
      <c r="AU146" s="357"/>
      <c r="AV146" s="357"/>
      <c r="AW146" s="357"/>
      <c r="AX146" s="357"/>
      <c r="AY146" s="357"/>
      <c r="AZ146" s="357"/>
      <c r="BA146" s="357"/>
      <c r="BB146" s="357"/>
      <c r="BC146" s="357"/>
      <c r="BD146" s="357"/>
      <c r="BE146" s="358"/>
      <c r="BF146" s="358"/>
      <c r="BG146" s="358"/>
      <c r="BH146" s="358"/>
      <c r="BI146" s="358"/>
      <c r="BJ146" s="358"/>
      <c r="BK146" s="358"/>
      <c r="BL146" s="358"/>
      <c r="BM146" s="358"/>
      <c r="BN146" s="358"/>
      <c r="BO146" s="358"/>
      <c r="BP146" s="358"/>
      <c r="BQ146" s="358"/>
      <c r="BR146" s="358"/>
      <c r="BS146" s="358"/>
      <c r="BT146" s="359"/>
      <c r="BU146" s="359"/>
      <c r="BV146" s="359"/>
      <c r="BW146" s="359"/>
      <c r="BX146" s="359"/>
      <c r="BY146" s="359"/>
      <c r="BZ146" s="359"/>
      <c r="CA146" s="359"/>
      <c r="CB146" s="359"/>
      <c r="CC146" s="359"/>
    </row>
    <row r="147" spans="1:81" s="360" customFormat="1" ht="12">
      <c r="A147" s="396"/>
      <c r="C147" s="359"/>
      <c r="D147" s="359" t="s">
        <v>754</v>
      </c>
      <c r="F147" s="388">
        <f>F145+F146</f>
        <v>2640132</v>
      </c>
      <c r="G147" s="423">
        <f>G145+G146</f>
        <v>240012</v>
      </c>
      <c r="H147" s="381"/>
      <c r="I147" s="381"/>
      <c r="J147" s="382"/>
      <c r="K147" s="382"/>
      <c r="L147" s="382"/>
      <c r="M147" s="382"/>
      <c r="N147" s="382"/>
      <c r="O147" s="382"/>
      <c r="P147" s="382"/>
      <c r="Q147" s="383"/>
      <c r="R147" s="382"/>
      <c r="S147" s="357"/>
      <c r="T147" s="382"/>
      <c r="U147" s="382"/>
      <c r="V147" s="381"/>
      <c r="W147" s="382"/>
      <c r="X147" s="382"/>
      <c r="Y147" s="382"/>
      <c r="Z147" s="382"/>
      <c r="AA147" s="382"/>
      <c r="AB147" s="382"/>
      <c r="AC147" s="381"/>
      <c r="AD147" s="382"/>
      <c r="AE147" s="382"/>
      <c r="AF147" s="382"/>
      <c r="AG147" s="382"/>
      <c r="AH147" s="382"/>
      <c r="AI147" s="382"/>
      <c r="AJ147" s="382"/>
      <c r="AK147" s="382"/>
      <c r="AL147" s="382"/>
      <c r="AM147" s="301"/>
      <c r="AN147" s="357"/>
      <c r="AO147" s="357"/>
      <c r="AP147" s="357"/>
      <c r="AQ147" s="357"/>
      <c r="AR147" s="357"/>
      <c r="AS147" s="357"/>
      <c r="AT147" s="357"/>
      <c r="AU147" s="357"/>
      <c r="AV147" s="357"/>
      <c r="AW147" s="357"/>
      <c r="AX147" s="357"/>
      <c r="AY147" s="357"/>
      <c r="AZ147" s="357"/>
      <c r="BA147" s="357"/>
      <c r="BB147" s="357"/>
      <c r="BC147" s="357"/>
      <c r="BD147" s="357"/>
      <c r="BE147" s="358"/>
      <c r="BF147" s="358"/>
      <c r="BG147" s="358"/>
      <c r="BH147" s="358"/>
      <c r="BI147" s="358"/>
      <c r="BJ147" s="358"/>
      <c r="BK147" s="358"/>
      <c r="BL147" s="358"/>
      <c r="BM147" s="358"/>
      <c r="BN147" s="358"/>
      <c r="BO147" s="358"/>
      <c r="BP147" s="358"/>
      <c r="BQ147" s="358"/>
      <c r="BR147" s="358"/>
      <c r="BS147" s="358"/>
      <c r="BT147" s="359"/>
      <c r="BU147" s="359"/>
      <c r="BV147" s="359"/>
      <c r="BW147" s="359"/>
      <c r="BX147" s="359"/>
      <c r="BY147" s="359"/>
      <c r="BZ147" s="359"/>
      <c r="CA147" s="359"/>
      <c r="CB147" s="359"/>
      <c r="CC147" s="359"/>
    </row>
    <row r="148" spans="1:81" s="360" customFormat="1" ht="12">
      <c r="A148" s="396"/>
      <c r="C148" s="359"/>
      <c r="D148" s="359"/>
      <c r="F148" s="418"/>
      <c r="G148" s="424"/>
      <c r="H148" s="381"/>
      <c r="I148" s="381"/>
      <c r="J148" s="381"/>
      <c r="K148" s="381"/>
      <c r="L148" s="381"/>
      <c r="M148" s="381"/>
      <c r="N148" s="381"/>
      <c r="O148" s="381"/>
      <c r="P148" s="381"/>
      <c r="Q148" s="357"/>
      <c r="R148" s="382"/>
      <c r="S148" s="357"/>
      <c r="T148" s="382"/>
      <c r="U148" s="382"/>
      <c r="V148" s="381"/>
      <c r="W148" s="382"/>
      <c r="X148" s="381"/>
      <c r="Y148" s="381"/>
      <c r="Z148" s="381"/>
      <c r="AA148" s="381"/>
      <c r="AB148" s="381"/>
      <c r="AC148" s="381"/>
      <c r="AD148" s="381"/>
      <c r="AE148" s="381"/>
      <c r="AF148" s="381"/>
      <c r="AG148" s="381"/>
      <c r="AH148" s="381"/>
      <c r="AI148" s="381"/>
      <c r="AJ148" s="381"/>
      <c r="AK148" s="381"/>
      <c r="AL148" s="381"/>
      <c r="AM148" s="301"/>
      <c r="AN148" s="357"/>
      <c r="AO148" s="357"/>
      <c r="AP148" s="357"/>
      <c r="AQ148" s="357"/>
      <c r="AR148" s="357"/>
      <c r="AS148" s="357"/>
      <c r="AT148" s="357"/>
      <c r="AU148" s="357"/>
      <c r="AV148" s="357"/>
      <c r="AW148" s="357"/>
      <c r="AX148" s="357"/>
      <c r="AY148" s="357"/>
      <c r="AZ148" s="357"/>
      <c r="BA148" s="357"/>
      <c r="BB148" s="357"/>
      <c r="BC148" s="357"/>
      <c r="BD148" s="357"/>
      <c r="BE148" s="358"/>
      <c r="BF148" s="358"/>
      <c r="BG148" s="358"/>
      <c r="BH148" s="358"/>
      <c r="BI148" s="358"/>
      <c r="BJ148" s="358"/>
      <c r="BK148" s="358"/>
      <c r="BL148" s="358"/>
      <c r="BM148" s="358"/>
      <c r="BN148" s="358"/>
      <c r="BO148" s="358"/>
      <c r="BP148" s="358"/>
      <c r="BQ148" s="358"/>
      <c r="BR148" s="358"/>
      <c r="BS148" s="358"/>
      <c r="BT148" s="359"/>
      <c r="BU148" s="359"/>
      <c r="BV148" s="359"/>
      <c r="BW148" s="359"/>
      <c r="BX148" s="359"/>
      <c r="BY148" s="359"/>
      <c r="BZ148" s="359"/>
      <c r="CA148" s="359"/>
      <c r="CB148" s="359"/>
      <c r="CC148" s="359"/>
    </row>
    <row r="149" spans="1:81" s="360" customFormat="1" ht="12">
      <c r="A149" s="425" t="s">
        <v>755</v>
      </c>
      <c r="C149" s="350" t="s">
        <v>756</v>
      </c>
      <c r="D149" s="300"/>
      <c r="F149" s="418"/>
      <c r="G149" s="424"/>
      <c r="H149" s="381"/>
      <c r="I149" s="381"/>
      <c r="J149" s="381"/>
      <c r="K149" s="381"/>
      <c r="L149" s="381"/>
      <c r="M149" s="381"/>
      <c r="N149" s="381"/>
      <c r="O149" s="381"/>
      <c r="P149" s="381"/>
      <c r="Q149" s="357"/>
      <c r="R149" s="382"/>
      <c r="S149" s="357"/>
      <c r="T149" s="382"/>
      <c r="U149" s="382"/>
      <c r="V149" s="381"/>
      <c r="W149" s="382"/>
      <c r="X149" s="381"/>
      <c r="Y149" s="381"/>
      <c r="Z149" s="381"/>
      <c r="AA149" s="381"/>
      <c r="AB149" s="381"/>
      <c r="AC149" s="381"/>
      <c r="AD149" s="381"/>
      <c r="AE149" s="381"/>
      <c r="AF149" s="381"/>
      <c r="AG149" s="381"/>
      <c r="AH149" s="381"/>
      <c r="AI149" s="381"/>
      <c r="AJ149" s="381"/>
      <c r="AK149" s="381"/>
      <c r="AL149" s="381"/>
      <c r="AM149" s="301"/>
      <c r="AN149" s="357"/>
      <c r="AO149" s="357"/>
      <c r="AP149" s="357"/>
      <c r="AQ149" s="357"/>
      <c r="AR149" s="357"/>
      <c r="AS149" s="357"/>
      <c r="AT149" s="357"/>
      <c r="AU149" s="357"/>
      <c r="AV149" s="357"/>
      <c r="AW149" s="357"/>
      <c r="AX149" s="357"/>
      <c r="AY149" s="357"/>
      <c r="AZ149" s="357"/>
      <c r="BA149" s="357"/>
      <c r="BB149" s="357"/>
      <c r="BC149" s="357"/>
      <c r="BD149" s="357"/>
      <c r="BE149" s="358"/>
      <c r="BF149" s="358"/>
      <c r="BG149" s="358"/>
      <c r="BH149" s="358"/>
      <c r="BI149" s="358"/>
      <c r="BJ149" s="358"/>
      <c r="BK149" s="358"/>
      <c r="BL149" s="358"/>
      <c r="BM149" s="358"/>
      <c r="BN149" s="358"/>
      <c r="BO149" s="358"/>
      <c r="BP149" s="358"/>
      <c r="BQ149" s="358"/>
      <c r="BR149" s="358"/>
      <c r="BS149" s="358"/>
      <c r="BT149" s="359"/>
      <c r="BU149" s="359"/>
      <c r="BV149" s="359"/>
      <c r="BW149" s="359"/>
      <c r="BX149" s="359"/>
      <c r="BY149" s="359"/>
      <c r="BZ149" s="359"/>
      <c r="CA149" s="359"/>
      <c r="CB149" s="359"/>
      <c r="CC149" s="359"/>
    </row>
    <row r="150" spans="1:81" s="360" customFormat="1" ht="12">
      <c r="A150" s="396"/>
      <c r="C150" s="360" t="s">
        <v>623</v>
      </c>
      <c r="D150" s="300" t="s">
        <v>757</v>
      </c>
      <c r="F150" s="426">
        <f>-0.49*F165</f>
        <v>242550</v>
      </c>
      <c r="G150" s="381"/>
      <c r="H150" s="381"/>
      <c r="I150" s="381"/>
      <c r="J150" s="381"/>
      <c r="K150" s="381"/>
      <c r="L150" s="381"/>
      <c r="M150" s="427">
        <f>+F150</f>
        <v>242550</v>
      </c>
      <c r="N150" s="381"/>
      <c r="O150" s="381"/>
      <c r="P150" s="381"/>
      <c r="Q150" s="357"/>
      <c r="R150" s="382"/>
      <c r="S150" s="357"/>
      <c r="T150" s="382"/>
      <c r="U150" s="382"/>
      <c r="V150" s="381"/>
      <c r="W150" s="382"/>
      <c r="X150" s="381"/>
      <c r="Y150" s="381"/>
      <c r="Z150" s="381"/>
      <c r="AA150" s="381"/>
      <c r="AB150" s="381"/>
      <c r="AC150" s="381"/>
      <c r="AD150" s="381"/>
      <c r="AE150" s="381"/>
      <c r="AF150" s="381"/>
      <c r="AG150" s="381"/>
      <c r="AH150" s="381"/>
      <c r="AI150" s="381"/>
      <c r="AJ150" s="381"/>
      <c r="AK150" s="381"/>
      <c r="AL150" s="381"/>
      <c r="AM150" s="301"/>
      <c r="AN150" s="357"/>
      <c r="AO150" s="357"/>
      <c r="AP150" s="357"/>
      <c r="AQ150" s="357"/>
      <c r="AR150" s="357"/>
      <c r="AS150" s="357"/>
      <c r="AT150" s="357"/>
      <c r="AU150" s="357"/>
      <c r="AV150" s="357"/>
      <c r="AW150" s="357"/>
      <c r="AX150" s="357"/>
      <c r="AY150" s="357"/>
      <c r="AZ150" s="357"/>
      <c r="BA150" s="357"/>
      <c r="BB150" s="357"/>
      <c r="BC150" s="357"/>
      <c r="BD150" s="357"/>
      <c r="BE150" s="358"/>
      <c r="BF150" s="358"/>
      <c r="BG150" s="358"/>
      <c r="BH150" s="358"/>
      <c r="BI150" s="358"/>
      <c r="BJ150" s="358"/>
      <c r="BK150" s="358"/>
      <c r="BL150" s="358"/>
      <c r="BM150" s="358"/>
      <c r="BN150" s="358"/>
      <c r="BO150" s="358"/>
      <c r="BP150" s="358"/>
      <c r="BQ150" s="358"/>
      <c r="BR150" s="358"/>
      <c r="BS150" s="358"/>
      <c r="BT150" s="359"/>
      <c r="BU150" s="359"/>
      <c r="BV150" s="359"/>
      <c r="BW150" s="359"/>
      <c r="BX150" s="359"/>
      <c r="BY150" s="359"/>
      <c r="BZ150" s="359"/>
      <c r="CA150" s="359"/>
      <c r="CB150" s="359"/>
      <c r="CC150" s="359"/>
    </row>
    <row r="151" spans="1:81" s="360" customFormat="1" ht="12">
      <c r="A151" s="396"/>
      <c r="D151" s="300" t="s">
        <v>758</v>
      </c>
      <c r="F151" s="357"/>
      <c r="G151" s="381"/>
      <c r="H151" s="381"/>
      <c r="I151" s="381"/>
      <c r="J151" s="381"/>
      <c r="K151" s="381"/>
      <c r="L151" s="381"/>
      <c r="M151" s="381"/>
      <c r="N151" s="381"/>
      <c r="O151" s="381"/>
      <c r="P151" s="381"/>
      <c r="Q151" s="357"/>
      <c r="R151" s="382"/>
      <c r="S151" s="357"/>
      <c r="T151" s="382"/>
      <c r="U151" s="382"/>
      <c r="V151" s="381"/>
      <c r="W151" s="382"/>
      <c r="X151" s="381"/>
      <c r="Y151" s="381"/>
      <c r="Z151" s="381"/>
      <c r="AA151" s="381"/>
      <c r="AB151" s="381"/>
      <c r="AC151" s="381"/>
      <c r="AD151" s="381"/>
      <c r="AE151" s="381"/>
      <c r="AF151" s="381"/>
      <c r="AG151" s="381"/>
      <c r="AH151" s="381"/>
      <c r="AI151" s="381"/>
      <c r="AJ151" s="381"/>
      <c r="AK151" s="381"/>
      <c r="AL151" s="381"/>
      <c r="AM151" s="301"/>
      <c r="AN151" s="357"/>
      <c r="AO151" s="357"/>
      <c r="AP151" s="357"/>
      <c r="AQ151" s="357"/>
      <c r="AR151" s="357"/>
      <c r="AS151" s="357"/>
      <c r="AT151" s="357"/>
      <c r="AU151" s="357"/>
      <c r="AV151" s="357"/>
      <c r="AW151" s="357"/>
      <c r="AX151" s="357"/>
      <c r="AY151" s="357"/>
      <c r="AZ151" s="357"/>
      <c r="BA151" s="357"/>
      <c r="BB151" s="357"/>
      <c r="BC151" s="357"/>
      <c r="BD151" s="357"/>
      <c r="BE151" s="358"/>
      <c r="BF151" s="358"/>
      <c r="BG151" s="358"/>
      <c r="BH151" s="358"/>
      <c r="BI151" s="358"/>
      <c r="BJ151" s="358"/>
      <c r="BK151" s="358"/>
      <c r="BL151" s="358"/>
      <c r="BM151" s="358"/>
      <c r="BN151" s="358"/>
      <c r="BO151" s="358"/>
      <c r="BP151" s="358"/>
      <c r="BQ151" s="358"/>
      <c r="BR151" s="358"/>
      <c r="BS151" s="358"/>
      <c r="BT151" s="359"/>
      <c r="BU151" s="359"/>
      <c r="BV151" s="359"/>
      <c r="BW151" s="359"/>
      <c r="BX151" s="359"/>
      <c r="BY151" s="359"/>
      <c r="BZ151" s="359"/>
      <c r="CA151" s="359"/>
      <c r="CB151" s="359"/>
      <c r="CC151" s="359"/>
    </row>
    <row r="152" spans="1:81" s="360" customFormat="1" ht="12">
      <c r="A152" s="396"/>
      <c r="D152" s="300" t="s">
        <v>759</v>
      </c>
      <c r="F152" s="357"/>
      <c r="G152" s="381"/>
      <c r="H152" s="381"/>
      <c r="I152" s="381"/>
      <c r="J152" s="381"/>
      <c r="K152" s="381"/>
      <c r="L152" s="381"/>
      <c r="M152" s="381"/>
      <c r="N152" s="381"/>
      <c r="O152" s="381"/>
      <c r="P152" s="381"/>
      <c r="Q152" s="357"/>
      <c r="R152" s="382"/>
      <c r="S152" s="357"/>
      <c r="T152" s="382"/>
      <c r="U152" s="382"/>
      <c r="V152" s="381"/>
      <c r="W152" s="382"/>
      <c r="X152" s="381"/>
      <c r="Y152" s="381"/>
      <c r="Z152" s="381"/>
      <c r="AA152" s="381"/>
      <c r="AB152" s="381"/>
      <c r="AC152" s="381"/>
      <c r="AD152" s="381"/>
      <c r="AE152" s="381"/>
      <c r="AF152" s="381"/>
      <c r="AG152" s="381"/>
      <c r="AH152" s="381"/>
      <c r="AI152" s="381"/>
      <c r="AJ152" s="381"/>
      <c r="AK152" s="381"/>
      <c r="AL152" s="381"/>
      <c r="AM152" s="301"/>
      <c r="AN152" s="357"/>
      <c r="AO152" s="357"/>
      <c r="AP152" s="357"/>
      <c r="AQ152" s="357"/>
      <c r="AR152" s="357"/>
      <c r="AS152" s="357"/>
      <c r="AT152" s="357"/>
      <c r="AU152" s="357"/>
      <c r="AV152" s="357"/>
      <c r="AW152" s="357"/>
      <c r="AX152" s="357"/>
      <c r="AY152" s="357"/>
      <c r="AZ152" s="357"/>
      <c r="BA152" s="357"/>
      <c r="BB152" s="357"/>
      <c r="BC152" s="357"/>
      <c r="BD152" s="357"/>
      <c r="BE152" s="358"/>
      <c r="BF152" s="358"/>
      <c r="BG152" s="358"/>
      <c r="BH152" s="358"/>
      <c r="BI152" s="358"/>
      <c r="BJ152" s="358"/>
      <c r="BK152" s="358"/>
      <c r="BL152" s="358"/>
      <c r="BM152" s="358"/>
      <c r="BN152" s="358"/>
      <c r="BO152" s="358"/>
      <c r="BP152" s="358"/>
      <c r="BQ152" s="358"/>
      <c r="BR152" s="358"/>
      <c r="BS152" s="358"/>
      <c r="BT152" s="359"/>
      <c r="BU152" s="359"/>
      <c r="BV152" s="359"/>
      <c r="BW152" s="359"/>
      <c r="BX152" s="359"/>
      <c r="BY152" s="359"/>
      <c r="BZ152" s="359"/>
      <c r="CA152" s="359"/>
      <c r="CB152" s="359"/>
      <c r="CC152" s="359"/>
    </row>
    <row r="153" spans="1:81" s="360" customFormat="1" ht="12">
      <c r="A153" s="396"/>
      <c r="C153" s="360" t="s">
        <v>623</v>
      </c>
      <c r="D153" s="300" t="s">
        <v>745</v>
      </c>
      <c r="F153" s="357">
        <f>0.49*F166</f>
        <v>541909.62</v>
      </c>
      <c r="G153" s="381"/>
      <c r="H153" s="381"/>
      <c r="I153" s="381">
        <f>+F153</f>
        <v>541909.62</v>
      </c>
      <c r="J153" s="381"/>
      <c r="K153" s="381"/>
      <c r="L153" s="381"/>
      <c r="M153" s="381"/>
      <c r="N153" s="381"/>
      <c r="O153" s="381"/>
      <c r="P153" s="381"/>
      <c r="Q153" s="357"/>
      <c r="R153" s="382"/>
      <c r="S153" s="357"/>
      <c r="T153" s="382"/>
      <c r="U153" s="382"/>
      <c r="V153" s="381"/>
      <c r="W153" s="382"/>
      <c r="X153" s="381"/>
      <c r="Y153" s="381"/>
      <c r="Z153" s="381"/>
      <c r="AA153" s="381"/>
      <c r="AB153" s="381"/>
      <c r="AC153" s="381"/>
      <c r="AD153" s="381"/>
      <c r="AE153" s="381"/>
      <c r="AF153" s="381"/>
      <c r="AG153" s="381"/>
      <c r="AH153" s="381"/>
      <c r="AI153" s="381"/>
      <c r="AJ153" s="381"/>
      <c r="AK153" s="381"/>
      <c r="AL153" s="381"/>
      <c r="AM153" s="301"/>
      <c r="AN153" s="357"/>
      <c r="AO153" s="357"/>
      <c r="AP153" s="357"/>
      <c r="AQ153" s="357"/>
      <c r="AR153" s="357"/>
      <c r="AS153" s="357"/>
      <c r="AT153" s="357"/>
      <c r="AU153" s="357"/>
      <c r="AV153" s="357"/>
      <c r="AW153" s="357"/>
      <c r="AX153" s="357"/>
      <c r="AY153" s="357"/>
      <c r="AZ153" s="357"/>
      <c r="BA153" s="357"/>
      <c r="BB153" s="357"/>
      <c r="BC153" s="357"/>
      <c r="BD153" s="357"/>
      <c r="BE153" s="358"/>
      <c r="BF153" s="358"/>
      <c r="BG153" s="358"/>
      <c r="BH153" s="358"/>
      <c r="BI153" s="358"/>
      <c r="BJ153" s="358"/>
      <c r="BK153" s="358"/>
      <c r="BL153" s="358"/>
      <c r="BM153" s="358"/>
      <c r="BN153" s="358"/>
      <c r="BO153" s="358"/>
      <c r="BP153" s="358"/>
      <c r="BQ153" s="358"/>
      <c r="BR153" s="358"/>
      <c r="BS153" s="358"/>
      <c r="BT153" s="359"/>
      <c r="BU153" s="359"/>
      <c r="BV153" s="359"/>
      <c r="BW153" s="359"/>
      <c r="BX153" s="359"/>
      <c r="BY153" s="359"/>
      <c r="BZ153" s="359"/>
      <c r="CA153" s="359"/>
      <c r="CB153" s="359"/>
      <c r="CC153" s="359"/>
    </row>
    <row r="154" spans="1:81" s="360" customFormat="1" ht="12">
      <c r="A154" s="396"/>
      <c r="D154" s="300" t="s">
        <v>760</v>
      </c>
      <c r="F154" s="357"/>
      <c r="G154" s="381"/>
      <c r="H154" s="381"/>
      <c r="I154" s="381"/>
      <c r="J154" s="381"/>
      <c r="K154" s="381"/>
      <c r="L154" s="381"/>
      <c r="M154" s="381"/>
      <c r="N154" s="381"/>
      <c r="O154" s="381"/>
      <c r="P154" s="381"/>
      <c r="Q154" s="357"/>
      <c r="R154" s="382"/>
      <c r="S154" s="357"/>
      <c r="T154" s="382"/>
      <c r="U154" s="382"/>
      <c r="V154" s="381"/>
      <c r="W154" s="382"/>
      <c r="X154" s="381"/>
      <c r="Y154" s="381"/>
      <c r="Z154" s="381"/>
      <c r="AA154" s="381"/>
      <c r="AB154" s="381"/>
      <c r="AC154" s="381"/>
      <c r="AD154" s="381"/>
      <c r="AE154" s="381"/>
      <c r="AF154" s="381"/>
      <c r="AG154" s="381"/>
      <c r="AH154" s="381"/>
      <c r="AI154" s="381"/>
      <c r="AJ154" s="381"/>
      <c r="AK154" s="381"/>
      <c r="AL154" s="381"/>
      <c r="AM154" s="301"/>
      <c r="AN154" s="357"/>
      <c r="AO154" s="357"/>
      <c r="AP154" s="357"/>
      <c r="AQ154" s="357"/>
      <c r="AR154" s="357"/>
      <c r="AS154" s="357"/>
      <c r="AT154" s="357"/>
      <c r="AU154" s="357"/>
      <c r="AV154" s="357"/>
      <c r="AW154" s="357"/>
      <c r="AX154" s="357"/>
      <c r="AY154" s="357"/>
      <c r="AZ154" s="357"/>
      <c r="BA154" s="357"/>
      <c r="BB154" s="357"/>
      <c r="BC154" s="357"/>
      <c r="BD154" s="357"/>
      <c r="BE154" s="358"/>
      <c r="BF154" s="358"/>
      <c r="BG154" s="358"/>
      <c r="BH154" s="358"/>
      <c r="BI154" s="358"/>
      <c r="BJ154" s="358"/>
      <c r="BK154" s="358"/>
      <c r="BL154" s="358"/>
      <c r="BM154" s="358"/>
      <c r="BN154" s="358"/>
      <c r="BO154" s="358"/>
      <c r="BP154" s="358"/>
      <c r="BQ154" s="358"/>
      <c r="BR154" s="358"/>
      <c r="BS154" s="358"/>
      <c r="BT154" s="359"/>
      <c r="BU154" s="359"/>
      <c r="BV154" s="359"/>
      <c r="BW154" s="359"/>
      <c r="BX154" s="359"/>
      <c r="BY154" s="359"/>
      <c r="BZ154" s="359"/>
      <c r="CA154" s="359"/>
      <c r="CB154" s="359"/>
      <c r="CC154" s="359"/>
    </row>
    <row r="155" spans="1:81" s="360" customFormat="1" ht="12">
      <c r="A155" s="396"/>
      <c r="D155" s="300" t="s">
        <v>761</v>
      </c>
      <c r="F155" s="357"/>
      <c r="G155" s="381"/>
      <c r="H155" s="381"/>
      <c r="I155" s="381"/>
      <c r="J155" s="381"/>
      <c r="K155" s="381"/>
      <c r="L155" s="381"/>
      <c r="M155" s="381"/>
      <c r="N155" s="381"/>
      <c r="O155" s="381"/>
      <c r="P155" s="381"/>
      <c r="Q155" s="357"/>
      <c r="R155" s="382"/>
      <c r="S155" s="357"/>
      <c r="T155" s="382"/>
      <c r="U155" s="382"/>
      <c r="V155" s="381"/>
      <c r="W155" s="382"/>
      <c r="X155" s="381"/>
      <c r="Y155" s="381"/>
      <c r="Z155" s="381"/>
      <c r="AA155" s="381"/>
      <c r="AB155" s="381"/>
      <c r="AC155" s="381"/>
      <c r="AD155" s="381"/>
      <c r="AE155" s="381"/>
      <c r="AF155" s="381"/>
      <c r="AG155" s="381"/>
      <c r="AH155" s="381"/>
      <c r="AI155" s="381"/>
      <c r="AJ155" s="381"/>
      <c r="AK155" s="381"/>
      <c r="AL155" s="381"/>
      <c r="AM155" s="301"/>
      <c r="AN155" s="357"/>
      <c r="AO155" s="357"/>
      <c r="AP155" s="357"/>
      <c r="AQ155" s="357"/>
      <c r="AR155" s="357"/>
      <c r="AS155" s="357"/>
      <c r="AT155" s="357"/>
      <c r="AU155" s="357"/>
      <c r="AV155" s="357"/>
      <c r="AW155" s="357"/>
      <c r="AX155" s="357"/>
      <c r="AY155" s="357"/>
      <c r="AZ155" s="357"/>
      <c r="BA155" s="357"/>
      <c r="BB155" s="357"/>
      <c r="BC155" s="357"/>
      <c r="BD155" s="357"/>
      <c r="BE155" s="358"/>
      <c r="BF155" s="358"/>
      <c r="BG155" s="358"/>
      <c r="BH155" s="358"/>
      <c r="BI155" s="358"/>
      <c r="BJ155" s="358"/>
      <c r="BK155" s="358"/>
      <c r="BL155" s="358"/>
      <c r="BM155" s="358"/>
      <c r="BN155" s="358"/>
      <c r="BO155" s="358"/>
      <c r="BP155" s="358"/>
      <c r="BQ155" s="358"/>
      <c r="BR155" s="358"/>
      <c r="BS155" s="358"/>
      <c r="BT155" s="359"/>
      <c r="BU155" s="359"/>
      <c r="BV155" s="359"/>
      <c r="BW155" s="359"/>
      <c r="BX155" s="359"/>
      <c r="BY155" s="359"/>
      <c r="BZ155" s="359"/>
      <c r="CA155" s="359"/>
      <c r="CB155" s="359"/>
      <c r="CC155" s="359"/>
    </row>
    <row r="156" spans="1:81" s="360" customFormat="1" ht="12">
      <c r="A156" s="396"/>
      <c r="C156" s="360" t="s">
        <v>624</v>
      </c>
      <c r="D156" s="380" t="s">
        <v>762</v>
      </c>
      <c r="F156" s="357"/>
      <c r="G156" s="381">
        <f>0.49*F164</f>
        <v>784459.62</v>
      </c>
      <c r="H156" s="381"/>
      <c r="I156" s="381"/>
      <c r="J156" s="381"/>
      <c r="K156" s="381"/>
      <c r="L156" s="381"/>
      <c r="M156" s="381">
        <f>-G156</f>
        <v>-784459.62</v>
      </c>
      <c r="N156" s="381"/>
      <c r="O156" s="381"/>
      <c r="P156" s="381"/>
      <c r="Q156" s="357"/>
      <c r="R156" s="382"/>
      <c r="S156" s="357"/>
      <c r="T156" s="382"/>
      <c r="U156" s="382"/>
      <c r="V156" s="381"/>
      <c r="W156" s="382"/>
      <c r="X156" s="381"/>
      <c r="Y156" s="381"/>
      <c r="Z156" s="381"/>
      <c r="AA156" s="381"/>
      <c r="AB156" s="381"/>
      <c r="AC156" s="381"/>
      <c r="AD156" s="381"/>
      <c r="AE156" s="381"/>
      <c r="AF156" s="381"/>
      <c r="AG156" s="381"/>
      <c r="AH156" s="381"/>
      <c r="AI156" s="381"/>
      <c r="AJ156" s="381"/>
      <c r="AK156" s="381"/>
      <c r="AL156" s="381"/>
      <c r="AM156" s="301"/>
      <c r="AN156" s="357"/>
      <c r="AO156" s="357"/>
      <c r="AP156" s="357"/>
      <c r="AQ156" s="357"/>
      <c r="AR156" s="357"/>
      <c r="AS156" s="357"/>
      <c r="AT156" s="357"/>
      <c r="AU156" s="357"/>
      <c r="AV156" s="357"/>
      <c r="AW156" s="357"/>
      <c r="AX156" s="357"/>
      <c r="AY156" s="357"/>
      <c r="AZ156" s="357"/>
      <c r="BA156" s="357"/>
      <c r="BB156" s="357"/>
      <c r="BC156" s="357"/>
      <c r="BD156" s="357"/>
      <c r="BE156" s="358"/>
      <c r="BF156" s="358"/>
      <c r="BG156" s="358"/>
      <c r="BH156" s="358"/>
      <c r="BI156" s="358"/>
      <c r="BJ156" s="358"/>
      <c r="BK156" s="358"/>
      <c r="BL156" s="358"/>
      <c r="BM156" s="358"/>
      <c r="BN156" s="358"/>
      <c r="BO156" s="358"/>
      <c r="BP156" s="358"/>
      <c r="BQ156" s="358"/>
      <c r="BR156" s="358"/>
      <c r="BS156" s="358"/>
      <c r="BT156" s="359"/>
      <c r="BU156" s="359"/>
      <c r="BV156" s="359"/>
      <c r="BW156" s="359"/>
      <c r="BX156" s="359"/>
      <c r="BY156" s="359"/>
      <c r="BZ156" s="359"/>
      <c r="CA156" s="359"/>
      <c r="CB156" s="359"/>
      <c r="CC156" s="359"/>
    </row>
    <row r="157" spans="1:81" s="360" customFormat="1" ht="12">
      <c r="A157" s="396"/>
      <c r="D157" s="380" t="s">
        <v>763</v>
      </c>
      <c r="F157" s="357"/>
      <c r="G157" s="381"/>
      <c r="H157" s="381"/>
      <c r="I157" s="381"/>
      <c r="J157" s="381"/>
      <c r="K157" s="381"/>
      <c r="L157" s="381"/>
      <c r="M157" s="381"/>
      <c r="N157" s="381"/>
      <c r="O157" s="381"/>
      <c r="P157" s="381"/>
      <c r="Q157" s="357"/>
      <c r="R157" s="382"/>
      <c r="S157" s="357"/>
      <c r="T157" s="382"/>
      <c r="U157" s="382"/>
      <c r="V157" s="381"/>
      <c r="W157" s="382"/>
      <c r="X157" s="381"/>
      <c r="Y157" s="381"/>
      <c r="Z157" s="381"/>
      <c r="AA157" s="381"/>
      <c r="AB157" s="381"/>
      <c r="AC157" s="381"/>
      <c r="AD157" s="381"/>
      <c r="AE157" s="381"/>
      <c r="AF157" s="381"/>
      <c r="AG157" s="381"/>
      <c r="AH157" s="381"/>
      <c r="AI157" s="381"/>
      <c r="AJ157" s="381"/>
      <c r="AK157" s="381"/>
      <c r="AL157" s="381"/>
      <c r="AM157" s="301"/>
      <c r="AN157" s="357"/>
      <c r="AO157" s="357"/>
      <c r="AP157" s="357"/>
      <c r="AQ157" s="357"/>
      <c r="AR157" s="357"/>
      <c r="AS157" s="357"/>
      <c r="AT157" s="357"/>
      <c r="AU157" s="357"/>
      <c r="AV157" s="357"/>
      <c r="AW157" s="357"/>
      <c r="AX157" s="357"/>
      <c r="AY157" s="357"/>
      <c r="AZ157" s="357"/>
      <c r="BA157" s="357"/>
      <c r="BB157" s="357"/>
      <c r="BC157" s="357"/>
      <c r="BD157" s="357"/>
      <c r="BE157" s="358"/>
      <c r="BF157" s="358"/>
      <c r="BG157" s="358"/>
      <c r="BH157" s="358"/>
      <c r="BI157" s="358"/>
      <c r="BJ157" s="358"/>
      <c r="BK157" s="358"/>
      <c r="BL157" s="358"/>
      <c r="BM157" s="358"/>
      <c r="BN157" s="358"/>
      <c r="BO157" s="358"/>
      <c r="BP157" s="358"/>
      <c r="BQ157" s="358"/>
      <c r="BR157" s="358"/>
      <c r="BS157" s="358"/>
      <c r="BT157" s="359"/>
      <c r="BU157" s="359"/>
      <c r="BV157" s="359"/>
      <c r="BW157" s="359"/>
      <c r="BX157" s="359"/>
      <c r="BY157" s="359"/>
      <c r="BZ157" s="359"/>
      <c r="CA157" s="359"/>
      <c r="CB157" s="359"/>
      <c r="CC157" s="359"/>
    </row>
    <row r="158" spans="1:81" s="360" customFormat="1" ht="12">
      <c r="A158" s="396"/>
      <c r="D158" s="380" t="s">
        <v>764</v>
      </c>
      <c r="F158" s="357"/>
      <c r="G158" s="381"/>
      <c r="H158" s="381"/>
      <c r="I158" s="381"/>
      <c r="J158" s="381"/>
      <c r="K158" s="381"/>
      <c r="L158" s="381"/>
      <c r="M158" s="381"/>
      <c r="N158" s="381"/>
      <c r="O158" s="381"/>
      <c r="P158" s="381"/>
      <c r="Q158" s="357"/>
      <c r="R158" s="382"/>
      <c r="S158" s="357"/>
      <c r="T158" s="382"/>
      <c r="U158" s="382"/>
      <c r="V158" s="381"/>
      <c r="W158" s="382"/>
      <c r="X158" s="381"/>
      <c r="Y158" s="381"/>
      <c r="Z158" s="381"/>
      <c r="AA158" s="381"/>
      <c r="AB158" s="381"/>
      <c r="AC158" s="381"/>
      <c r="AD158" s="381"/>
      <c r="AE158" s="381"/>
      <c r="AF158" s="381"/>
      <c r="AG158" s="381"/>
      <c r="AH158" s="381"/>
      <c r="AI158" s="381"/>
      <c r="AJ158" s="381"/>
      <c r="AK158" s="381"/>
      <c r="AL158" s="381"/>
      <c r="AM158" s="301"/>
      <c r="AN158" s="357"/>
      <c r="AO158" s="357"/>
      <c r="AP158" s="357"/>
      <c r="AQ158" s="357"/>
      <c r="AR158" s="357"/>
      <c r="AS158" s="357"/>
      <c r="AT158" s="357"/>
      <c r="AU158" s="357"/>
      <c r="AV158" s="357"/>
      <c r="AW158" s="357"/>
      <c r="AX158" s="357"/>
      <c r="AY158" s="357"/>
      <c r="AZ158" s="357"/>
      <c r="BA158" s="357"/>
      <c r="BB158" s="357"/>
      <c r="BC158" s="357"/>
      <c r="BD158" s="357"/>
      <c r="BE158" s="358"/>
      <c r="BF158" s="358"/>
      <c r="BG158" s="358"/>
      <c r="BH158" s="358"/>
      <c r="BI158" s="358"/>
      <c r="BJ158" s="358"/>
      <c r="BK158" s="358"/>
      <c r="BL158" s="358"/>
      <c r="BM158" s="358"/>
      <c r="BN158" s="358"/>
      <c r="BO158" s="358"/>
      <c r="BP158" s="358"/>
      <c r="BQ158" s="358"/>
      <c r="BR158" s="358"/>
      <c r="BS158" s="358"/>
      <c r="BT158" s="359"/>
      <c r="BU158" s="359"/>
      <c r="BV158" s="359"/>
      <c r="BW158" s="359"/>
      <c r="BX158" s="359"/>
      <c r="BY158" s="359"/>
      <c r="BZ158" s="359"/>
      <c r="CA158" s="359"/>
      <c r="CB158" s="359"/>
      <c r="CC158" s="359"/>
    </row>
    <row r="159" spans="1:81" s="360" customFormat="1" ht="12">
      <c r="A159" s="396"/>
      <c r="D159" s="380"/>
      <c r="F159" s="357"/>
      <c r="G159" s="424"/>
      <c r="H159" s="381"/>
      <c r="I159" s="381"/>
      <c r="J159" s="381"/>
      <c r="K159" s="381"/>
      <c r="L159" s="381"/>
      <c r="M159" s="381"/>
      <c r="N159" s="381"/>
      <c r="O159" s="381"/>
      <c r="P159" s="381"/>
      <c r="Q159" s="357"/>
      <c r="R159" s="382"/>
      <c r="S159" s="357"/>
      <c r="T159" s="382"/>
      <c r="U159" s="382"/>
      <c r="V159" s="381"/>
      <c r="W159" s="382"/>
      <c r="X159" s="381"/>
      <c r="Y159" s="381"/>
      <c r="Z159" s="381"/>
      <c r="AA159" s="381"/>
      <c r="AB159" s="381"/>
      <c r="AC159" s="381"/>
      <c r="AD159" s="381"/>
      <c r="AE159" s="381"/>
      <c r="AF159" s="381"/>
      <c r="AG159" s="381"/>
      <c r="AH159" s="381"/>
      <c r="AI159" s="381"/>
      <c r="AJ159" s="381"/>
      <c r="AK159" s="381"/>
      <c r="AL159" s="381"/>
      <c r="AM159" s="301"/>
      <c r="AN159" s="357"/>
      <c r="AO159" s="357"/>
      <c r="AP159" s="357"/>
      <c r="AQ159" s="357"/>
      <c r="AR159" s="357"/>
      <c r="AS159" s="357"/>
      <c r="AT159" s="357"/>
      <c r="AU159" s="357"/>
      <c r="AV159" s="357"/>
      <c r="AW159" s="357"/>
      <c r="AX159" s="357"/>
      <c r="AY159" s="357"/>
      <c r="AZ159" s="357"/>
      <c r="BA159" s="357"/>
      <c r="BB159" s="357"/>
      <c r="BC159" s="357"/>
      <c r="BD159" s="357"/>
      <c r="BE159" s="358"/>
      <c r="BF159" s="358"/>
      <c r="BG159" s="358"/>
      <c r="BH159" s="358"/>
      <c r="BI159" s="358"/>
      <c r="BJ159" s="358"/>
      <c r="BK159" s="358"/>
      <c r="BL159" s="358"/>
      <c r="BM159" s="358"/>
      <c r="BN159" s="358"/>
      <c r="BO159" s="358"/>
      <c r="BP159" s="358"/>
      <c r="BQ159" s="358"/>
      <c r="BR159" s="358"/>
      <c r="BS159" s="358"/>
      <c r="BT159" s="359"/>
      <c r="BU159" s="359"/>
      <c r="BV159" s="359"/>
      <c r="BW159" s="359"/>
      <c r="BX159" s="359"/>
      <c r="BY159" s="359"/>
      <c r="BZ159" s="359"/>
      <c r="CA159" s="359"/>
      <c r="CB159" s="359"/>
      <c r="CC159" s="359"/>
    </row>
    <row r="160" spans="1:81" s="360" customFormat="1" ht="12.75" thickBot="1">
      <c r="A160" s="396"/>
      <c r="C160" s="297"/>
      <c r="D160" s="380"/>
      <c r="F160" s="404">
        <f>SUM(F150:F158)</f>
        <v>784459.62</v>
      </c>
      <c r="G160" s="405">
        <f>SUM(G150:G158)</f>
        <v>784459.62</v>
      </c>
      <c r="H160" s="381"/>
      <c r="I160" s="381"/>
      <c r="J160" s="381"/>
      <c r="K160" s="381"/>
      <c r="L160" s="381"/>
      <c r="M160" s="381"/>
      <c r="N160" s="381"/>
      <c r="O160" s="381"/>
      <c r="P160" s="381"/>
      <c r="Q160" s="357"/>
      <c r="R160" s="382"/>
      <c r="S160" s="357"/>
      <c r="T160" s="382"/>
      <c r="U160" s="382"/>
      <c r="V160" s="381"/>
      <c r="W160" s="382"/>
      <c r="X160" s="381"/>
      <c r="Y160" s="381"/>
      <c r="Z160" s="381"/>
      <c r="AA160" s="381"/>
      <c r="AB160" s="381"/>
      <c r="AC160" s="381"/>
      <c r="AD160" s="381"/>
      <c r="AE160" s="381"/>
      <c r="AF160" s="381"/>
      <c r="AG160" s="381"/>
      <c r="AH160" s="381"/>
      <c r="AI160" s="381"/>
      <c r="AJ160" s="381"/>
      <c r="AK160" s="381"/>
      <c r="AL160" s="381"/>
      <c r="AM160" s="301"/>
      <c r="AN160" s="357"/>
      <c r="AO160" s="357"/>
      <c r="AP160" s="357"/>
      <c r="AQ160" s="357"/>
      <c r="AR160" s="357"/>
      <c r="AS160" s="357"/>
      <c r="AT160" s="357"/>
      <c r="AU160" s="357"/>
      <c r="AV160" s="357"/>
      <c r="AW160" s="357"/>
      <c r="AX160" s="357"/>
      <c r="AY160" s="357"/>
      <c r="AZ160" s="357"/>
      <c r="BA160" s="357"/>
      <c r="BB160" s="357"/>
      <c r="BC160" s="357"/>
      <c r="BD160" s="357"/>
      <c r="BE160" s="358"/>
      <c r="BF160" s="358"/>
      <c r="BG160" s="358"/>
      <c r="BH160" s="358"/>
      <c r="BI160" s="358"/>
      <c r="BJ160" s="358"/>
      <c r="BK160" s="358"/>
      <c r="BL160" s="358"/>
      <c r="BM160" s="358"/>
      <c r="BN160" s="358"/>
      <c r="BO160" s="358"/>
      <c r="BP160" s="358"/>
      <c r="BQ160" s="358"/>
      <c r="BR160" s="358"/>
      <c r="BS160" s="358"/>
      <c r="BT160" s="359"/>
      <c r="BU160" s="359"/>
      <c r="BV160" s="359"/>
      <c r="BW160" s="359"/>
      <c r="BX160" s="359"/>
      <c r="BY160" s="359"/>
      <c r="BZ160" s="359"/>
      <c r="CA160" s="359"/>
      <c r="CB160" s="359"/>
      <c r="CC160" s="359"/>
    </row>
    <row r="161" spans="1:81" s="360" customFormat="1" ht="12.75" thickTop="1">
      <c r="A161" s="396"/>
      <c r="F161" s="418"/>
      <c r="G161" s="424"/>
      <c r="H161" s="381"/>
      <c r="I161" s="381"/>
      <c r="J161" s="381"/>
      <c r="K161" s="381"/>
      <c r="L161" s="381"/>
      <c r="M161" s="381"/>
      <c r="N161" s="381"/>
      <c r="O161" s="381"/>
      <c r="P161" s="381"/>
      <c r="Q161" s="357"/>
      <c r="R161" s="382"/>
      <c r="S161" s="357"/>
      <c r="T161" s="382"/>
      <c r="U161" s="382"/>
      <c r="V161" s="381"/>
      <c r="W161" s="382"/>
      <c r="X161" s="381"/>
      <c r="Y161" s="381"/>
      <c r="Z161" s="381"/>
      <c r="AA161" s="381"/>
      <c r="AB161" s="381"/>
      <c r="AC161" s="381"/>
      <c r="AD161" s="381"/>
      <c r="AE161" s="381"/>
      <c r="AF161" s="381"/>
      <c r="AG161" s="381"/>
      <c r="AH161" s="381"/>
      <c r="AI161" s="381"/>
      <c r="AJ161" s="381"/>
      <c r="AK161" s="381"/>
      <c r="AL161" s="381"/>
      <c r="AM161" s="301"/>
      <c r="AN161" s="357"/>
      <c r="AO161" s="357"/>
      <c r="AP161" s="357"/>
      <c r="AQ161" s="357"/>
      <c r="AR161" s="357"/>
      <c r="AS161" s="357"/>
      <c r="AT161" s="357"/>
      <c r="AU161" s="357"/>
      <c r="AV161" s="357"/>
      <c r="AW161" s="357"/>
      <c r="AX161" s="357"/>
      <c r="AY161" s="357"/>
      <c r="AZ161" s="357"/>
      <c r="BA161" s="357"/>
      <c r="BB161" s="357"/>
      <c r="BC161" s="357"/>
      <c r="BD161" s="357"/>
      <c r="BE161" s="358"/>
      <c r="BF161" s="358"/>
      <c r="BG161" s="358"/>
      <c r="BH161" s="358"/>
      <c r="BI161" s="358"/>
      <c r="BJ161" s="358"/>
      <c r="BK161" s="358"/>
      <c r="BL161" s="358"/>
      <c r="BM161" s="358"/>
      <c r="BN161" s="358"/>
      <c r="BO161" s="358"/>
      <c r="BP161" s="358"/>
      <c r="BQ161" s="358"/>
      <c r="BR161" s="358"/>
      <c r="BS161" s="358"/>
      <c r="BT161" s="359"/>
      <c r="BU161" s="359"/>
      <c r="BV161" s="359"/>
      <c r="BW161" s="359"/>
      <c r="BX161" s="359"/>
      <c r="BY161" s="359"/>
      <c r="BZ161" s="359"/>
      <c r="CA161" s="359"/>
      <c r="CB161" s="359"/>
      <c r="CC161" s="359"/>
    </row>
    <row r="162" spans="1:81" s="360" customFormat="1" ht="12">
      <c r="A162" s="396"/>
      <c r="C162" s="350" t="s">
        <v>765</v>
      </c>
      <c r="F162" s="418"/>
      <c r="G162" s="424"/>
      <c r="H162" s="381"/>
      <c r="I162" s="381"/>
      <c r="J162" s="381"/>
      <c r="K162" s="381"/>
      <c r="L162" s="381"/>
      <c r="M162" s="381"/>
      <c r="N162" s="381"/>
      <c r="O162" s="381"/>
      <c r="P162" s="381"/>
      <c r="Q162" s="357"/>
      <c r="R162" s="382"/>
      <c r="S162" s="357"/>
      <c r="T162" s="382"/>
      <c r="U162" s="382"/>
      <c r="V162" s="381"/>
      <c r="W162" s="382"/>
      <c r="X162" s="381"/>
      <c r="Y162" s="381"/>
      <c r="Z162" s="381"/>
      <c r="AA162" s="381"/>
      <c r="AB162" s="381"/>
      <c r="AC162" s="381"/>
      <c r="AD162" s="381"/>
      <c r="AE162" s="381"/>
      <c r="AF162" s="381"/>
      <c r="AG162" s="381"/>
      <c r="AH162" s="381"/>
      <c r="AI162" s="381"/>
      <c r="AJ162" s="381"/>
      <c r="AK162" s="381"/>
      <c r="AL162" s="381"/>
      <c r="AM162" s="301"/>
      <c r="AN162" s="357"/>
      <c r="AO162" s="357"/>
      <c r="AP162" s="357"/>
      <c r="AQ162" s="357"/>
      <c r="AR162" s="357"/>
      <c r="AS162" s="357"/>
      <c r="AT162" s="357"/>
      <c r="AU162" s="357"/>
      <c r="AV162" s="357"/>
      <c r="AW162" s="357"/>
      <c r="AX162" s="357"/>
      <c r="AY162" s="357"/>
      <c r="AZ162" s="357"/>
      <c r="BA162" s="357"/>
      <c r="BB162" s="357"/>
      <c r="BC162" s="357"/>
      <c r="BD162" s="357"/>
      <c r="BE162" s="358"/>
      <c r="BF162" s="358"/>
      <c r="BG162" s="358"/>
      <c r="BH162" s="358"/>
      <c r="BI162" s="358"/>
      <c r="BJ162" s="358"/>
      <c r="BK162" s="358"/>
      <c r="BL162" s="358"/>
      <c r="BM162" s="358"/>
      <c r="BN162" s="358"/>
      <c r="BO162" s="358"/>
      <c r="BP162" s="358"/>
      <c r="BQ162" s="358"/>
      <c r="BR162" s="358"/>
      <c r="BS162" s="358"/>
      <c r="BT162" s="359"/>
      <c r="BU162" s="359"/>
      <c r="BV162" s="359"/>
      <c r="BW162" s="359"/>
      <c r="BX162" s="359"/>
      <c r="BY162" s="359"/>
      <c r="BZ162" s="359"/>
      <c r="CA162" s="359"/>
      <c r="CB162" s="359"/>
      <c r="CC162" s="359"/>
    </row>
    <row r="163" spans="1:81" s="360" customFormat="1" ht="12">
      <c r="A163" s="396"/>
      <c r="C163" s="360" t="s">
        <v>766</v>
      </c>
      <c r="F163" s="418"/>
      <c r="G163" s="424"/>
      <c r="H163" s="381"/>
      <c r="I163" s="381"/>
      <c r="J163" s="381"/>
      <c r="K163" s="381"/>
      <c r="L163" s="381"/>
      <c r="M163" s="381"/>
      <c r="N163" s="381"/>
      <c r="O163" s="381"/>
      <c r="P163" s="381"/>
      <c r="Q163" s="357"/>
      <c r="R163" s="382"/>
      <c r="S163" s="357"/>
      <c r="T163" s="382"/>
      <c r="U163" s="382"/>
      <c r="V163" s="381"/>
      <c r="W163" s="382"/>
      <c r="X163" s="381"/>
      <c r="Y163" s="381"/>
      <c r="Z163" s="381"/>
      <c r="AA163" s="381"/>
      <c r="AB163" s="381"/>
      <c r="AC163" s="381"/>
      <c r="AD163" s="381"/>
      <c r="AE163" s="381"/>
      <c r="AF163" s="381"/>
      <c r="AG163" s="381"/>
      <c r="AH163" s="381"/>
      <c r="AI163" s="381"/>
      <c r="AJ163" s="381"/>
      <c r="AK163" s="381"/>
      <c r="AL163" s="381"/>
      <c r="AM163" s="301"/>
      <c r="AN163" s="357"/>
      <c r="AO163" s="357"/>
      <c r="AP163" s="357"/>
      <c r="AQ163" s="357"/>
      <c r="AR163" s="357"/>
      <c r="AS163" s="357"/>
      <c r="AT163" s="357"/>
      <c r="AU163" s="357"/>
      <c r="AV163" s="357"/>
      <c r="AW163" s="357"/>
      <c r="AX163" s="357"/>
      <c r="AY163" s="357"/>
      <c r="AZ163" s="357"/>
      <c r="BA163" s="357"/>
      <c r="BB163" s="357"/>
      <c r="BC163" s="357"/>
      <c r="BD163" s="357"/>
      <c r="BE163" s="358"/>
      <c r="BF163" s="358"/>
      <c r="BG163" s="358"/>
      <c r="BH163" s="358"/>
      <c r="BI163" s="358"/>
      <c r="BJ163" s="358"/>
      <c r="BK163" s="358"/>
      <c r="BL163" s="358"/>
      <c r="BM163" s="358"/>
      <c r="BN163" s="358"/>
      <c r="BO163" s="358"/>
      <c r="BP163" s="358"/>
      <c r="BQ163" s="358"/>
      <c r="BR163" s="358"/>
      <c r="BS163" s="358"/>
      <c r="BT163" s="359"/>
      <c r="BU163" s="359"/>
      <c r="BV163" s="359"/>
      <c r="BW163" s="359"/>
      <c r="BX163" s="359"/>
      <c r="BY163" s="359"/>
      <c r="BZ163" s="359"/>
      <c r="CA163" s="359"/>
      <c r="CB163" s="359"/>
      <c r="CC163" s="359"/>
    </row>
    <row r="164" spans="1:81" s="360" customFormat="1" ht="12">
      <c r="A164" s="396"/>
      <c r="C164" s="360" t="s">
        <v>767</v>
      </c>
      <c r="D164" s="380"/>
      <c r="E164" s="357"/>
      <c r="F164" s="357">
        <v>1600938</v>
      </c>
      <c r="G164" s="381"/>
      <c r="H164" s="381"/>
      <c r="I164" s="381"/>
      <c r="J164" s="381"/>
      <c r="K164" s="381"/>
      <c r="L164" s="381"/>
      <c r="M164" s="381"/>
      <c r="N164" s="381"/>
      <c r="O164" s="381"/>
      <c r="P164" s="381"/>
      <c r="Q164" s="357"/>
      <c r="R164" s="382"/>
      <c r="S164" s="357"/>
      <c r="T164" s="382"/>
      <c r="U164" s="382"/>
      <c r="V164" s="381"/>
      <c r="W164" s="382"/>
      <c r="X164" s="381"/>
      <c r="Y164" s="381"/>
      <c r="Z164" s="381"/>
      <c r="AA164" s="381"/>
      <c r="AB164" s="381"/>
      <c r="AC164" s="381"/>
      <c r="AD164" s="381"/>
      <c r="AE164" s="381"/>
      <c r="AF164" s="381"/>
      <c r="AG164" s="381"/>
      <c r="AH164" s="381"/>
      <c r="AI164" s="381"/>
      <c r="AJ164" s="381"/>
      <c r="AK164" s="381"/>
      <c r="AL164" s="381"/>
      <c r="AM164" s="301"/>
      <c r="AN164" s="357"/>
      <c r="AO164" s="357"/>
      <c r="AP164" s="357"/>
      <c r="AQ164" s="357"/>
      <c r="AR164" s="357"/>
      <c r="AS164" s="357"/>
      <c r="AT164" s="357"/>
      <c r="AU164" s="357"/>
      <c r="AV164" s="357"/>
      <c r="AW164" s="357"/>
      <c r="AX164" s="357"/>
      <c r="AY164" s="357"/>
      <c r="AZ164" s="357"/>
      <c r="BA164" s="357"/>
      <c r="BB164" s="357"/>
      <c r="BC164" s="357"/>
      <c r="BD164" s="357"/>
      <c r="BE164" s="358"/>
      <c r="BF164" s="358"/>
      <c r="BG164" s="358"/>
      <c r="BH164" s="358"/>
      <c r="BI164" s="358"/>
      <c r="BJ164" s="358"/>
      <c r="BK164" s="358"/>
      <c r="BL164" s="358"/>
      <c r="BM164" s="358"/>
      <c r="BN164" s="358"/>
      <c r="BO164" s="358"/>
      <c r="BP164" s="358"/>
      <c r="BQ164" s="358"/>
      <c r="BR164" s="358"/>
      <c r="BS164" s="358"/>
      <c r="BT164" s="359"/>
      <c r="BU164" s="359"/>
      <c r="BV164" s="359"/>
      <c r="BW164" s="359"/>
      <c r="BX164" s="359"/>
      <c r="BY164" s="359"/>
      <c r="BZ164" s="359"/>
      <c r="CA164" s="359"/>
      <c r="CB164" s="359"/>
      <c r="CC164" s="359"/>
    </row>
    <row r="165" spans="1:81" s="360" customFormat="1" ht="12">
      <c r="A165" s="396"/>
      <c r="C165" s="360" t="s">
        <v>768</v>
      </c>
      <c r="D165" s="380"/>
      <c r="F165" s="357">
        <v>-495000</v>
      </c>
      <c r="G165" s="381"/>
      <c r="H165" s="381"/>
      <c r="I165" s="381"/>
      <c r="J165" s="381"/>
      <c r="K165" s="381"/>
      <c r="L165" s="381"/>
      <c r="M165" s="381"/>
      <c r="N165" s="381"/>
      <c r="O165" s="381"/>
      <c r="P165" s="381"/>
      <c r="Q165" s="357"/>
      <c r="R165" s="382"/>
      <c r="S165" s="357"/>
      <c r="T165" s="382"/>
      <c r="U165" s="382"/>
      <c r="V165" s="381"/>
      <c r="W165" s="382"/>
      <c r="X165" s="381"/>
      <c r="Y165" s="381"/>
      <c r="Z165" s="381"/>
      <c r="AA165" s="381"/>
      <c r="AB165" s="381"/>
      <c r="AC165" s="381"/>
      <c r="AD165" s="381"/>
      <c r="AE165" s="381"/>
      <c r="AF165" s="381"/>
      <c r="AG165" s="381"/>
      <c r="AH165" s="381"/>
      <c r="AI165" s="381"/>
      <c r="AJ165" s="381"/>
      <c r="AK165" s="381"/>
      <c r="AL165" s="381"/>
      <c r="AM165" s="301"/>
      <c r="AN165" s="357"/>
      <c r="AO165" s="357"/>
      <c r="AP165" s="357"/>
      <c r="AQ165" s="357"/>
      <c r="AR165" s="357"/>
      <c r="AS165" s="357"/>
      <c r="AT165" s="357"/>
      <c r="AU165" s="357"/>
      <c r="AV165" s="357"/>
      <c r="AW165" s="357"/>
      <c r="AX165" s="357"/>
      <c r="AY165" s="357"/>
      <c r="AZ165" s="357"/>
      <c r="BA165" s="357"/>
      <c r="BB165" s="357"/>
      <c r="BC165" s="357"/>
      <c r="BD165" s="357"/>
      <c r="BE165" s="358"/>
      <c r="BF165" s="358"/>
      <c r="BG165" s="358"/>
      <c r="BH165" s="358"/>
      <c r="BI165" s="358"/>
      <c r="BJ165" s="358"/>
      <c r="BK165" s="358"/>
      <c r="BL165" s="358"/>
      <c r="BM165" s="358"/>
      <c r="BN165" s="358"/>
      <c r="BO165" s="358"/>
      <c r="BP165" s="358"/>
      <c r="BQ165" s="358"/>
      <c r="BR165" s="358"/>
      <c r="BS165" s="358"/>
      <c r="BT165" s="359"/>
      <c r="BU165" s="359"/>
      <c r="BV165" s="359"/>
      <c r="BW165" s="359"/>
      <c r="BX165" s="359"/>
      <c r="BY165" s="359"/>
      <c r="BZ165" s="359"/>
      <c r="CA165" s="359"/>
      <c r="CB165" s="359"/>
      <c r="CC165" s="359"/>
    </row>
    <row r="166" spans="1:81" s="360" customFormat="1" ht="12">
      <c r="A166" s="396"/>
      <c r="C166" s="360" t="s">
        <v>769</v>
      </c>
      <c r="D166" s="380"/>
      <c r="F166" s="357">
        <v>1105938</v>
      </c>
      <c r="G166" s="381"/>
      <c r="H166" s="381"/>
      <c r="I166" s="381"/>
      <c r="J166" s="381"/>
      <c r="K166" s="381"/>
      <c r="L166" s="381"/>
      <c r="M166" s="381"/>
      <c r="N166" s="381"/>
      <c r="O166" s="381"/>
      <c r="P166" s="381"/>
      <c r="Q166" s="357"/>
      <c r="R166" s="382"/>
      <c r="S166" s="357"/>
      <c r="T166" s="382"/>
      <c r="U166" s="382"/>
      <c r="V166" s="381"/>
      <c r="W166" s="382"/>
      <c r="X166" s="381"/>
      <c r="Y166" s="381"/>
      <c r="Z166" s="381"/>
      <c r="AA166" s="381"/>
      <c r="AB166" s="381"/>
      <c r="AC166" s="381"/>
      <c r="AD166" s="381"/>
      <c r="AE166" s="381"/>
      <c r="AF166" s="381"/>
      <c r="AG166" s="381"/>
      <c r="AH166" s="381"/>
      <c r="AI166" s="381"/>
      <c r="AJ166" s="381"/>
      <c r="AK166" s="381"/>
      <c r="AL166" s="381"/>
      <c r="AM166" s="301"/>
      <c r="AN166" s="357"/>
      <c r="AO166" s="357"/>
      <c r="AP166" s="357"/>
      <c r="AQ166" s="357"/>
      <c r="AR166" s="357"/>
      <c r="AS166" s="357"/>
      <c r="AT166" s="357"/>
      <c r="AU166" s="357"/>
      <c r="AV166" s="357"/>
      <c r="AW166" s="357"/>
      <c r="AX166" s="357"/>
      <c r="AY166" s="357"/>
      <c r="AZ166" s="357"/>
      <c r="BA166" s="357"/>
      <c r="BB166" s="357"/>
      <c r="BC166" s="357"/>
      <c r="BD166" s="357"/>
      <c r="BE166" s="358"/>
      <c r="BF166" s="358"/>
      <c r="BG166" s="358"/>
      <c r="BH166" s="358"/>
      <c r="BI166" s="358"/>
      <c r="BJ166" s="358"/>
      <c r="BK166" s="358"/>
      <c r="BL166" s="358"/>
      <c r="BM166" s="358"/>
      <c r="BN166" s="358"/>
      <c r="BO166" s="358"/>
      <c r="BP166" s="358"/>
      <c r="BQ166" s="358"/>
      <c r="BR166" s="358"/>
      <c r="BS166" s="358"/>
      <c r="BT166" s="359"/>
      <c r="BU166" s="359"/>
      <c r="BV166" s="359"/>
      <c r="BW166" s="359"/>
      <c r="BX166" s="359"/>
      <c r="BY166" s="359"/>
      <c r="BZ166" s="359"/>
      <c r="CA166" s="359"/>
      <c r="CB166" s="359"/>
      <c r="CC166" s="359"/>
    </row>
    <row r="167" spans="1:81" s="360" customFormat="1" ht="12">
      <c r="A167" s="396"/>
      <c r="D167" s="380"/>
      <c r="F167" s="357"/>
      <c r="G167" s="381"/>
      <c r="H167" s="381"/>
      <c r="I167" s="381"/>
      <c r="J167" s="381"/>
      <c r="K167" s="381"/>
      <c r="L167" s="381"/>
      <c r="M167" s="381"/>
      <c r="N167" s="381"/>
      <c r="O167" s="381"/>
      <c r="P167" s="381"/>
      <c r="Q167" s="357"/>
      <c r="R167" s="382"/>
      <c r="S167" s="357"/>
      <c r="T167" s="382"/>
      <c r="U167" s="382"/>
      <c r="V167" s="381"/>
      <c r="W167" s="382"/>
      <c r="X167" s="381"/>
      <c r="Y167" s="381"/>
      <c r="Z167" s="381"/>
      <c r="AA167" s="381"/>
      <c r="AB167" s="381"/>
      <c r="AC167" s="381"/>
      <c r="AD167" s="381"/>
      <c r="AE167" s="381"/>
      <c r="AF167" s="381"/>
      <c r="AG167" s="381"/>
      <c r="AH167" s="381"/>
      <c r="AI167" s="381"/>
      <c r="AJ167" s="381"/>
      <c r="AK167" s="381"/>
      <c r="AL167" s="381"/>
      <c r="AM167" s="301"/>
      <c r="AN167" s="357"/>
      <c r="AO167" s="357"/>
      <c r="AP167" s="357"/>
      <c r="AQ167" s="357"/>
      <c r="AR167" s="357"/>
      <c r="AS167" s="357"/>
      <c r="AT167" s="357"/>
      <c r="AU167" s="357"/>
      <c r="AV167" s="357"/>
      <c r="AW167" s="357"/>
      <c r="AX167" s="357"/>
      <c r="AY167" s="357"/>
      <c r="AZ167" s="357"/>
      <c r="BA167" s="357"/>
      <c r="BB167" s="357"/>
      <c r="BC167" s="357"/>
      <c r="BD167" s="357"/>
      <c r="BE167" s="358"/>
      <c r="BF167" s="358"/>
      <c r="BG167" s="358"/>
      <c r="BH167" s="358"/>
      <c r="BI167" s="358"/>
      <c r="BJ167" s="358"/>
      <c r="BK167" s="358"/>
      <c r="BL167" s="358"/>
      <c r="BM167" s="358"/>
      <c r="BN167" s="358"/>
      <c r="BO167" s="358"/>
      <c r="BP167" s="358"/>
      <c r="BQ167" s="358"/>
      <c r="BR167" s="358"/>
      <c r="BS167" s="358"/>
      <c r="BT167" s="359"/>
      <c r="BU167" s="359"/>
      <c r="BV167" s="359"/>
      <c r="BW167" s="359"/>
      <c r="BX167" s="359"/>
      <c r="BY167" s="359"/>
      <c r="BZ167" s="359"/>
      <c r="CA167" s="359"/>
      <c r="CB167" s="359"/>
      <c r="CC167" s="359"/>
    </row>
    <row r="168" spans="1:38" ht="12">
      <c r="A168" s="326"/>
      <c r="B168" s="328"/>
      <c r="C168" s="328"/>
      <c r="D168" s="328"/>
      <c r="E168" s="328"/>
      <c r="F168" s="408"/>
      <c r="G168" s="409"/>
      <c r="H168" s="381"/>
      <c r="I168" s="381"/>
      <c r="J168" s="382"/>
      <c r="K168" s="382"/>
      <c r="L168" s="382"/>
      <c r="M168" s="382"/>
      <c r="N168" s="382"/>
      <c r="O168" s="382"/>
      <c r="P168" s="382"/>
      <c r="Q168" s="383"/>
      <c r="R168" s="382"/>
      <c r="S168" s="357"/>
      <c r="T168" s="382"/>
      <c r="U168" s="382"/>
      <c r="V168" s="381"/>
      <c r="W168" s="382"/>
      <c r="X168" s="382"/>
      <c r="Y168" s="382">
        <f>F168</f>
        <v>0</v>
      </c>
      <c r="Z168" s="382"/>
      <c r="AA168" s="382"/>
      <c r="AB168" s="382"/>
      <c r="AC168" s="381"/>
      <c r="AD168" s="382"/>
      <c r="AE168" s="382"/>
      <c r="AF168" s="382"/>
      <c r="AG168" s="382"/>
      <c r="AH168" s="382"/>
      <c r="AI168" s="382"/>
      <c r="AJ168" s="382"/>
      <c r="AK168" s="382"/>
      <c r="AL168" s="334"/>
    </row>
    <row r="169" spans="1:38" ht="12">
      <c r="A169" s="337" t="s">
        <v>770</v>
      </c>
      <c r="B169" s="428" t="s">
        <v>771</v>
      </c>
      <c r="C169" s="300" t="s">
        <v>713</v>
      </c>
      <c r="D169" s="300" t="s">
        <v>772</v>
      </c>
      <c r="E169" s="297"/>
      <c r="F169" s="426">
        <f>F176</f>
        <v>2765.801399998367</v>
      </c>
      <c r="G169" s="381"/>
      <c r="H169" s="381"/>
      <c r="I169" s="381"/>
      <c r="J169" s="382"/>
      <c r="K169" s="382"/>
      <c r="L169" s="382"/>
      <c r="M169" s="382"/>
      <c r="N169" s="382"/>
      <c r="O169" s="382"/>
      <c r="P169" s="382"/>
      <c r="Q169" s="383">
        <f>F169</f>
        <v>2765.801399998367</v>
      </c>
      <c r="R169" s="382"/>
      <c r="S169" s="357"/>
      <c r="T169" s="382"/>
      <c r="U169" s="382"/>
      <c r="V169" s="381"/>
      <c r="W169" s="382"/>
      <c r="X169" s="382"/>
      <c r="Y169" s="382"/>
      <c r="Z169" s="382"/>
      <c r="AA169" s="382"/>
      <c r="AB169" s="382"/>
      <c r="AC169" s="381"/>
      <c r="AD169" s="382"/>
      <c r="AE169" s="382"/>
      <c r="AF169" s="382"/>
      <c r="AG169" s="382"/>
      <c r="AH169" s="382"/>
      <c r="AI169" s="382"/>
      <c r="AJ169" s="382"/>
      <c r="AK169" s="382"/>
      <c r="AL169" s="334"/>
    </row>
    <row r="170" spans="1:38" ht="12">
      <c r="A170" s="337"/>
      <c r="B170" s="299"/>
      <c r="C170" s="300" t="s">
        <v>624</v>
      </c>
      <c r="D170" s="300" t="s">
        <v>773</v>
      </c>
      <c r="F170" s="357"/>
      <c r="G170" s="381">
        <f>F169</f>
        <v>2765.801399998367</v>
      </c>
      <c r="H170" s="381"/>
      <c r="I170" s="381"/>
      <c r="J170" s="382"/>
      <c r="K170" s="382"/>
      <c r="L170" s="382"/>
      <c r="M170" s="382">
        <f>-G170</f>
        <v>-2765.801399998367</v>
      </c>
      <c r="N170" s="382"/>
      <c r="O170" s="382"/>
      <c r="P170" s="382"/>
      <c r="Q170" s="383"/>
      <c r="R170" s="382"/>
      <c r="S170" s="357"/>
      <c r="T170" s="382"/>
      <c r="U170" s="382"/>
      <c r="V170" s="381"/>
      <c r="W170" s="382"/>
      <c r="X170" s="382"/>
      <c r="Y170" s="382"/>
      <c r="Z170" s="382"/>
      <c r="AA170" s="382"/>
      <c r="AB170" s="382"/>
      <c r="AC170" s="381"/>
      <c r="AD170" s="382"/>
      <c r="AE170" s="382"/>
      <c r="AF170" s="382"/>
      <c r="AG170" s="382"/>
      <c r="AH170" s="382"/>
      <c r="AI170" s="382"/>
      <c r="AJ170" s="382"/>
      <c r="AK170" s="382"/>
      <c r="AL170" s="334"/>
    </row>
    <row r="171" spans="1:38" ht="12">
      <c r="A171" s="337"/>
      <c r="B171" s="299"/>
      <c r="F171" s="357"/>
      <c r="G171" s="381"/>
      <c r="H171" s="381"/>
      <c r="I171" s="381"/>
      <c r="J171" s="382"/>
      <c r="K171" s="382"/>
      <c r="L171" s="382"/>
      <c r="M171" s="382"/>
      <c r="N171" s="382"/>
      <c r="O171" s="382"/>
      <c r="P171" s="382"/>
      <c r="Q171" s="383"/>
      <c r="R171" s="382"/>
      <c r="S171" s="357"/>
      <c r="T171" s="382"/>
      <c r="U171" s="382"/>
      <c r="V171" s="381"/>
      <c r="W171" s="382"/>
      <c r="X171" s="382"/>
      <c r="Y171" s="382"/>
      <c r="Z171" s="382"/>
      <c r="AA171" s="382"/>
      <c r="AB171" s="382"/>
      <c r="AC171" s="381"/>
      <c r="AD171" s="382"/>
      <c r="AE171" s="382"/>
      <c r="AF171" s="382"/>
      <c r="AG171" s="382"/>
      <c r="AH171" s="382"/>
      <c r="AI171" s="382"/>
      <c r="AJ171" s="382"/>
      <c r="AK171" s="382"/>
      <c r="AL171" s="334"/>
    </row>
    <row r="172" spans="1:38" ht="12.75" thickBot="1">
      <c r="A172" s="337"/>
      <c r="B172" s="299"/>
      <c r="F172" s="404">
        <f>SUM(F169:F171)</f>
        <v>2765.801399998367</v>
      </c>
      <c r="G172" s="405">
        <f>SUM(G169:G171)</f>
        <v>2765.801399998367</v>
      </c>
      <c r="H172" s="381"/>
      <c r="I172" s="381"/>
      <c r="J172" s="382"/>
      <c r="K172" s="382"/>
      <c r="L172" s="382"/>
      <c r="M172" s="382"/>
      <c r="N172" s="382"/>
      <c r="O172" s="382"/>
      <c r="P172" s="382"/>
      <c r="Q172" s="383"/>
      <c r="R172" s="382"/>
      <c r="S172" s="357"/>
      <c r="T172" s="382"/>
      <c r="U172" s="382"/>
      <c r="V172" s="381"/>
      <c r="W172" s="382"/>
      <c r="X172" s="382"/>
      <c r="Y172" s="382"/>
      <c r="Z172" s="382"/>
      <c r="AA172" s="382"/>
      <c r="AB172" s="382"/>
      <c r="AC172" s="381"/>
      <c r="AD172" s="382"/>
      <c r="AE172" s="382"/>
      <c r="AF172" s="382"/>
      <c r="AG172" s="382"/>
      <c r="AH172" s="382"/>
      <c r="AI172" s="382"/>
      <c r="AJ172" s="382"/>
      <c r="AK172" s="382"/>
      <c r="AL172" s="334"/>
    </row>
    <row r="173" spans="1:38" ht="12.75" thickTop="1">
      <c r="A173" s="337"/>
      <c r="B173" s="299"/>
      <c r="F173" s="357"/>
      <c r="G173" s="381"/>
      <c r="H173" s="381"/>
      <c r="I173" s="381"/>
      <c r="J173" s="382"/>
      <c r="K173" s="382"/>
      <c r="L173" s="382"/>
      <c r="M173" s="382"/>
      <c r="N173" s="382"/>
      <c r="O173" s="382"/>
      <c r="P173" s="382"/>
      <c r="Q173" s="383"/>
      <c r="R173" s="382"/>
      <c r="S173" s="357"/>
      <c r="T173" s="382"/>
      <c r="U173" s="382"/>
      <c r="V173" s="381"/>
      <c r="W173" s="382"/>
      <c r="X173" s="382"/>
      <c r="Y173" s="382"/>
      <c r="Z173" s="382"/>
      <c r="AA173" s="382"/>
      <c r="AB173" s="382"/>
      <c r="AC173" s="381"/>
      <c r="AD173" s="382"/>
      <c r="AE173" s="382"/>
      <c r="AF173" s="382"/>
      <c r="AG173" s="382"/>
      <c r="AH173" s="382"/>
      <c r="AI173" s="382"/>
      <c r="AJ173" s="382"/>
      <c r="AK173" s="382"/>
      <c r="AL173" s="334"/>
    </row>
    <row r="174" spans="1:38" ht="12">
      <c r="A174" s="337"/>
      <c r="B174" s="299"/>
      <c r="D174" s="387" t="s">
        <v>774</v>
      </c>
      <c r="E174" s="360"/>
      <c r="F174" s="357">
        <v>13830506.7</v>
      </c>
      <c r="G174" s="381"/>
      <c r="H174" s="381"/>
      <c r="I174" s="381"/>
      <c r="J174" s="382"/>
      <c r="K174" s="382"/>
      <c r="L174" s="382"/>
      <c r="M174" s="382"/>
      <c r="N174" s="382"/>
      <c r="O174" s="382"/>
      <c r="P174" s="382"/>
      <c r="Q174" s="383"/>
      <c r="R174" s="382"/>
      <c r="S174" s="357"/>
      <c r="T174" s="382"/>
      <c r="U174" s="382"/>
      <c r="V174" s="381"/>
      <c r="W174" s="382"/>
      <c r="X174" s="382"/>
      <c r="Y174" s="382"/>
      <c r="Z174" s="382"/>
      <c r="AA174" s="382"/>
      <c r="AB174" s="382"/>
      <c r="AC174" s="381"/>
      <c r="AD174" s="382"/>
      <c r="AE174" s="382"/>
      <c r="AF174" s="382"/>
      <c r="AG174" s="382"/>
      <c r="AH174" s="382"/>
      <c r="AI174" s="382"/>
      <c r="AJ174" s="382"/>
      <c r="AK174" s="382"/>
      <c r="AL174" s="334"/>
    </row>
    <row r="175" spans="1:38" ht="12">
      <c r="A175" s="337"/>
      <c r="B175" s="299"/>
      <c r="D175" s="387" t="s">
        <v>775</v>
      </c>
      <c r="E175" s="360"/>
      <c r="F175" s="357">
        <f>13830507*0.9998</f>
        <v>13827740.8986</v>
      </c>
      <c r="G175" s="381"/>
      <c r="H175" s="381"/>
      <c r="I175" s="381"/>
      <c r="J175" s="382"/>
      <c r="K175" s="382"/>
      <c r="L175" s="382"/>
      <c r="M175" s="382"/>
      <c r="N175" s="382"/>
      <c r="O175" s="382"/>
      <c r="P175" s="382"/>
      <c r="Q175" s="383"/>
      <c r="R175" s="382"/>
      <c r="S175" s="357"/>
      <c r="T175" s="382"/>
      <c r="U175" s="382"/>
      <c r="V175" s="381"/>
      <c r="W175" s="382"/>
      <c r="X175" s="382"/>
      <c r="Y175" s="382"/>
      <c r="Z175" s="382"/>
      <c r="AA175" s="382"/>
      <c r="AB175" s="382"/>
      <c r="AC175" s="381"/>
      <c r="AD175" s="382"/>
      <c r="AE175" s="382"/>
      <c r="AF175" s="382"/>
      <c r="AG175" s="382"/>
      <c r="AH175" s="382"/>
      <c r="AI175" s="382"/>
      <c r="AJ175" s="382"/>
      <c r="AK175" s="382"/>
      <c r="AL175" s="334"/>
    </row>
    <row r="176" spans="1:38" ht="12">
      <c r="A176" s="337"/>
      <c r="B176" s="299"/>
      <c r="F176" s="388">
        <f>F174-F175</f>
        <v>2765.801399998367</v>
      </c>
      <c r="G176" s="419" t="s">
        <v>776</v>
      </c>
      <c r="H176" s="381"/>
      <c r="I176" s="381"/>
      <c r="J176" s="382"/>
      <c r="K176" s="382"/>
      <c r="L176" s="382"/>
      <c r="M176" s="382"/>
      <c r="N176" s="382"/>
      <c r="O176" s="382"/>
      <c r="P176" s="382"/>
      <c r="Q176" s="383"/>
      <c r="R176" s="382"/>
      <c r="S176" s="357"/>
      <c r="T176" s="382"/>
      <c r="U176" s="382"/>
      <c r="V176" s="381"/>
      <c r="W176" s="382"/>
      <c r="X176" s="382"/>
      <c r="Y176" s="382"/>
      <c r="Z176" s="382"/>
      <c r="AA176" s="382"/>
      <c r="AB176" s="382"/>
      <c r="AC176" s="381"/>
      <c r="AD176" s="382"/>
      <c r="AE176" s="382"/>
      <c r="AF176" s="382"/>
      <c r="AG176" s="382"/>
      <c r="AH176" s="382"/>
      <c r="AI176" s="382"/>
      <c r="AJ176" s="382"/>
      <c r="AK176" s="382"/>
      <c r="AL176" s="334"/>
    </row>
    <row r="177" spans="1:38" ht="12">
      <c r="A177" s="337"/>
      <c r="B177" s="299"/>
      <c r="F177" s="357"/>
      <c r="G177" s="381"/>
      <c r="H177" s="381"/>
      <c r="I177" s="381"/>
      <c r="J177" s="382"/>
      <c r="K177" s="382"/>
      <c r="L177" s="382"/>
      <c r="M177" s="382"/>
      <c r="N177" s="382"/>
      <c r="O177" s="382"/>
      <c r="P177" s="382"/>
      <c r="Q177" s="383"/>
      <c r="R177" s="382"/>
      <c r="S177" s="357"/>
      <c r="T177" s="382"/>
      <c r="U177" s="382"/>
      <c r="V177" s="381"/>
      <c r="W177" s="382"/>
      <c r="X177" s="382"/>
      <c r="Y177" s="382"/>
      <c r="Z177" s="382"/>
      <c r="AA177" s="382"/>
      <c r="AB177" s="382"/>
      <c r="AC177" s="381"/>
      <c r="AD177" s="382"/>
      <c r="AE177" s="382"/>
      <c r="AF177" s="382"/>
      <c r="AG177" s="382"/>
      <c r="AH177" s="382"/>
      <c r="AI177" s="382"/>
      <c r="AJ177" s="382"/>
      <c r="AK177" s="382"/>
      <c r="AL177" s="334"/>
    </row>
    <row r="178" spans="1:38" ht="12" customHeight="1">
      <c r="A178" s="337"/>
      <c r="B178" s="299"/>
      <c r="C178" s="299" t="s">
        <v>777</v>
      </c>
      <c r="F178" s="357"/>
      <c r="G178" s="381"/>
      <c r="H178" s="381"/>
      <c r="I178" s="381"/>
      <c r="J178" s="382"/>
      <c r="K178" s="382"/>
      <c r="L178" s="382"/>
      <c r="M178" s="382"/>
      <c r="N178" s="382"/>
      <c r="O178" s="382"/>
      <c r="P178" s="382"/>
      <c r="Q178" s="383"/>
      <c r="R178" s="382"/>
      <c r="S178" s="357"/>
      <c r="T178" s="382"/>
      <c r="U178" s="382"/>
      <c r="V178" s="381"/>
      <c r="W178" s="382"/>
      <c r="X178" s="382"/>
      <c r="Y178" s="382"/>
      <c r="Z178" s="382"/>
      <c r="AA178" s="382"/>
      <c r="AB178" s="382"/>
      <c r="AC178" s="381"/>
      <c r="AD178" s="382"/>
      <c r="AE178" s="382"/>
      <c r="AF178" s="382"/>
      <c r="AG178" s="382"/>
      <c r="AH178" s="382"/>
      <c r="AI178" s="382"/>
      <c r="AJ178" s="382"/>
      <c r="AK178" s="382"/>
      <c r="AL178" s="334"/>
    </row>
    <row r="179" spans="1:38" ht="12" customHeight="1">
      <c r="A179" s="337"/>
      <c r="B179" s="299"/>
      <c r="C179" s="299" t="s">
        <v>778</v>
      </c>
      <c r="F179" s="357"/>
      <c r="G179" s="381"/>
      <c r="H179" s="381"/>
      <c r="I179" s="381"/>
      <c r="J179" s="382"/>
      <c r="K179" s="382"/>
      <c r="L179" s="382"/>
      <c r="M179" s="382"/>
      <c r="N179" s="382"/>
      <c r="O179" s="382"/>
      <c r="P179" s="382"/>
      <c r="Q179" s="383"/>
      <c r="R179" s="382"/>
      <c r="S179" s="357"/>
      <c r="T179" s="382"/>
      <c r="U179" s="382"/>
      <c r="V179" s="381"/>
      <c r="W179" s="382"/>
      <c r="X179" s="382"/>
      <c r="Y179" s="382"/>
      <c r="Z179" s="382"/>
      <c r="AA179" s="382"/>
      <c r="AB179" s="382"/>
      <c r="AC179" s="381"/>
      <c r="AD179" s="382"/>
      <c r="AE179" s="382"/>
      <c r="AF179" s="382"/>
      <c r="AG179" s="382"/>
      <c r="AH179" s="382"/>
      <c r="AI179" s="382"/>
      <c r="AJ179" s="382"/>
      <c r="AK179" s="382"/>
      <c r="AL179" s="334"/>
    </row>
    <row r="180" spans="1:38" ht="12" customHeight="1">
      <c r="A180" s="337"/>
      <c r="B180" s="299"/>
      <c r="F180" s="357"/>
      <c r="G180" s="381"/>
      <c r="H180" s="381"/>
      <c r="I180" s="381"/>
      <c r="J180" s="382"/>
      <c r="K180" s="382"/>
      <c r="L180" s="382"/>
      <c r="M180" s="382"/>
      <c r="N180" s="382"/>
      <c r="O180" s="382"/>
      <c r="P180" s="382"/>
      <c r="Q180" s="383"/>
      <c r="R180" s="382"/>
      <c r="S180" s="357"/>
      <c r="T180" s="382"/>
      <c r="U180" s="382"/>
      <c r="V180" s="381"/>
      <c r="W180" s="382"/>
      <c r="X180" s="382"/>
      <c r="Y180" s="382"/>
      <c r="Z180" s="382"/>
      <c r="AA180" s="382"/>
      <c r="AB180" s="382"/>
      <c r="AC180" s="381"/>
      <c r="AD180" s="382"/>
      <c r="AE180" s="382"/>
      <c r="AF180" s="382"/>
      <c r="AG180" s="382"/>
      <c r="AH180" s="382"/>
      <c r="AI180" s="382"/>
      <c r="AJ180" s="382"/>
      <c r="AK180" s="382"/>
      <c r="AL180" s="334"/>
    </row>
    <row r="181" spans="1:38" ht="12" customHeight="1">
      <c r="A181" s="337"/>
      <c r="B181" s="299"/>
      <c r="F181" s="357"/>
      <c r="G181" s="381"/>
      <c r="H181" s="381"/>
      <c r="I181" s="381"/>
      <c r="J181" s="382"/>
      <c r="K181" s="382"/>
      <c r="L181" s="382"/>
      <c r="M181" s="382"/>
      <c r="N181" s="382"/>
      <c r="O181" s="382"/>
      <c r="P181" s="382"/>
      <c r="Q181" s="383"/>
      <c r="R181" s="382"/>
      <c r="S181" s="357"/>
      <c r="T181" s="382"/>
      <c r="U181" s="382"/>
      <c r="V181" s="381"/>
      <c r="W181" s="382"/>
      <c r="X181" s="382"/>
      <c r="Y181" s="382"/>
      <c r="Z181" s="382"/>
      <c r="AA181" s="382"/>
      <c r="AB181" s="382"/>
      <c r="AC181" s="381"/>
      <c r="AD181" s="382"/>
      <c r="AE181" s="382"/>
      <c r="AF181" s="382"/>
      <c r="AG181" s="382"/>
      <c r="AH181" s="382"/>
      <c r="AI181" s="382"/>
      <c r="AJ181" s="382"/>
      <c r="AK181" s="382"/>
      <c r="AL181" s="334"/>
    </row>
    <row r="182" spans="1:38" ht="12">
      <c r="A182" s="337"/>
      <c r="B182" s="429" t="s">
        <v>779</v>
      </c>
      <c r="C182" s="300" t="s">
        <v>623</v>
      </c>
      <c r="D182" s="300" t="s">
        <v>780</v>
      </c>
      <c r="E182" s="410"/>
      <c r="F182" s="426">
        <f>ROUND(F169*0.28,0)+1</f>
        <v>775</v>
      </c>
      <c r="G182" s="381"/>
      <c r="H182" s="381"/>
      <c r="I182" s="381"/>
      <c r="J182" s="382"/>
      <c r="K182" s="382"/>
      <c r="L182" s="382"/>
      <c r="M182" s="430">
        <f>+F182</f>
        <v>775</v>
      </c>
      <c r="N182" s="382"/>
      <c r="O182" s="382"/>
      <c r="P182" s="382"/>
      <c r="Q182" s="383"/>
      <c r="R182" s="382"/>
      <c r="S182" s="357"/>
      <c r="T182" s="382"/>
      <c r="U182" s="382"/>
      <c r="V182" s="381"/>
      <c r="W182" s="382"/>
      <c r="X182" s="382"/>
      <c r="Y182" s="382"/>
      <c r="Z182" s="382"/>
      <c r="AA182" s="382"/>
      <c r="AB182" s="382"/>
      <c r="AC182" s="381"/>
      <c r="AD182" s="382"/>
      <c r="AE182" s="382"/>
      <c r="AF182" s="382"/>
      <c r="AG182" s="382"/>
      <c r="AH182" s="382"/>
      <c r="AI182" s="382"/>
      <c r="AJ182" s="382"/>
      <c r="AK182" s="382"/>
      <c r="AL182" s="334"/>
    </row>
    <row r="183" spans="1:38" ht="12">
      <c r="A183" s="337"/>
      <c r="B183" s="299"/>
      <c r="C183" s="360" t="s">
        <v>624</v>
      </c>
      <c r="D183" s="300" t="s">
        <v>781</v>
      </c>
      <c r="E183" s="410"/>
      <c r="F183" s="357"/>
      <c r="G183" s="381">
        <f>F182</f>
        <v>775</v>
      </c>
      <c r="H183" s="381"/>
      <c r="I183" s="381"/>
      <c r="J183" s="382"/>
      <c r="K183" s="382"/>
      <c r="L183" s="382"/>
      <c r="M183" s="382"/>
      <c r="N183" s="382"/>
      <c r="O183" s="382"/>
      <c r="P183" s="382"/>
      <c r="Q183" s="383"/>
      <c r="R183" s="382"/>
      <c r="S183" s="357"/>
      <c r="T183" s="382"/>
      <c r="U183" s="382"/>
      <c r="V183" s="381"/>
      <c r="W183" s="382"/>
      <c r="X183" s="382"/>
      <c r="Y183" s="382"/>
      <c r="Z183" s="382"/>
      <c r="AA183" s="382"/>
      <c r="AB183" s="382"/>
      <c r="AC183" s="381">
        <f>-G183</f>
        <v>-775</v>
      </c>
      <c r="AD183" s="382"/>
      <c r="AE183" s="382"/>
      <c r="AF183" s="382"/>
      <c r="AG183" s="382"/>
      <c r="AH183" s="382"/>
      <c r="AI183" s="382"/>
      <c r="AJ183" s="382"/>
      <c r="AK183" s="382"/>
      <c r="AL183" s="334"/>
    </row>
    <row r="184" spans="1:38" ht="12" customHeight="1">
      <c r="A184" s="337"/>
      <c r="B184" s="299"/>
      <c r="F184" s="357"/>
      <c r="G184" s="381"/>
      <c r="H184" s="381"/>
      <c r="I184" s="381"/>
      <c r="J184" s="382"/>
      <c r="K184" s="382"/>
      <c r="L184" s="382"/>
      <c r="M184" s="382"/>
      <c r="N184" s="382"/>
      <c r="O184" s="382"/>
      <c r="P184" s="382"/>
      <c r="Q184" s="383"/>
      <c r="R184" s="382"/>
      <c r="S184" s="357"/>
      <c r="T184" s="382"/>
      <c r="U184" s="382"/>
      <c r="V184" s="381"/>
      <c r="W184" s="382"/>
      <c r="X184" s="382"/>
      <c r="Y184" s="382"/>
      <c r="Z184" s="382"/>
      <c r="AA184" s="382"/>
      <c r="AB184" s="382"/>
      <c r="AC184" s="381"/>
      <c r="AD184" s="382"/>
      <c r="AE184" s="382"/>
      <c r="AF184" s="382"/>
      <c r="AG184" s="382"/>
      <c r="AH184" s="382"/>
      <c r="AI184" s="382"/>
      <c r="AJ184" s="382"/>
      <c r="AK184" s="382"/>
      <c r="AL184" s="334"/>
    </row>
    <row r="185" spans="1:38" ht="12" customHeight="1">
      <c r="A185" s="337"/>
      <c r="B185" s="299"/>
      <c r="C185" s="299" t="s">
        <v>782</v>
      </c>
      <c r="F185" s="357"/>
      <c r="G185" s="381"/>
      <c r="H185" s="381"/>
      <c r="I185" s="381"/>
      <c r="J185" s="382"/>
      <c r="K185" s="382"/>
      <c r="L185" s="382"/>
      <c r="M185" s="382"/>
      <c r="N185" s="382"/>
      <c r="O185" s="382"/>
      <c r="P185" s="382"/>
      <c r="Q185" s="383"/>
      <c r="R185" s="382"/>
      <c r="S185" s="357"/>
      <c r="T185" s="382"/>
      <c r="U185" s="382"/>
      <c r="V185" s="381"/>
      <c r="W185" s="382"/>
      <c r="X185" s="382"/>
      <c r="Y185" s="382"/>
      <c r="Z185" s="382"/>
      <c r="AA185" s="382"/>
      <c r="AB185" s="382"/>
      <c r="AC185" s="381"/>
      <c r="AD185" s="382"/>
      <c r="AE185" s="382"/>
      <c r="AF185" s="382"/>
      <c r="AG185" s="382"/>
      <c r="AH185" s="382"/>
      <c r="AI185" s="382"/>
      <c r="AJ185" s="382"/>
      <c r="AK185" s="382"/>
      <c r="AL185" s="334"/>
    </row>
    <row r="186" spans="1:38" ht="12" customHeight="1" thickBot="1">
      <c r="A186" s="344"/>
      <c r="B186" s="431"/>
      <c r="C186" s="352"/>
      <c r="D186" s="352"/>
      <c r="E186" s="352"/>
      <c r="F186" s="394"/>
      <c r="G186" s="395"/>
      <c r="H186" s="395"/>
      <c r="I186" s="395"/>
      <c r="J186" s="432"/>
      <c r="K186" s="432"/>
      <c r="L186" s="432"/>
      <c r="M186" s="432"/>
      <c r="N186" s="432"/>
      <c r="O186" s="432"/>
      <c r="P186" s="432"/>
      <c r="Q186" s="433"/>
      <c r="R186" s="432"/>
      <c r="S186" s="394"/>
      <c r="T186" s="432"/>
      <c r="U186" s="432"/>
      <c r="V186" s="395"/>
      <c r="W186" s="432"/>
      <c r="X186" s="432"/>
      <c r="Y186" s="434"/>
      <c r="Z186" s="434"/>
      <c r="AA186" s="382"/>
      <c r="AB186" s="432"/>
      <c r="AC186" s="395"/>
      <c r="AD186" s="432"/>
      <c r="AE186" s="432"/>
      <c r="AF186" s="432"/>
      <c r="AG186" s="432"/>
      <c r="AH186" s="432"/>
      <c r="AI186" s="432"/>
      <c r="AJ186" s="432"/>
      <c r="AK186" s="432"/>
      <c r="AL186" s="435"/>
    </row>
    <row r="187" spans="1:38" ht="12" customHeight="1">
      <c r="A187" s="337"/>
      <c r="B187" s="299"/>
      <c r="F187" s="357"/>
      <c r="G187" s="381"/>
      <c r="H187" s="381"/>
      <c r="I187" s="381"/>
      <c r="J187" s="382"/>
      <c r="K187" s="382"/>
      <c r="L187" s="382"/>
      <c r="M187" s="382"/>
      <c r="N187" s="382"/>
      <c r="O187" s="382"/>
      <c r="P187" s="382"/>
      <c r="Q187" s="383"/>
      <c r="R187" s="382"/>
      <c r="S187" s="357"/>
      <c r="T187" s="382"/>
      <c r="U187" s="382"/>
      <c r="V187" s="381"/>
      <c r="W187" s="382"/>
      <c r="X187" s="382"/>
      <c r="Y187" s="382"/>
      <c r="Z187" s="382"/>
      <c r="AA187" s="382"/>
      <c r="AB187" s="382"/>
      <c r="AC187" s="381"/>
      <c r="AD187" s="382"/>
      <c r="AE187" s="382"/>
      <c r="AF187" s="382"/>
      <c r="AG187" s="382"/>
      <c r="AH187" s="382"/>
      <c r="AI187" s="382"/>
      <c r="AJ187" s="382"/>
      <c r="AK187" s="382"/>
      <c r="AL187" s="334"/>
    </row>
    <row r="188" spans="1:38" ht="12">
      <c r="A188" s="337" t="s">
        <v>783</v>
      </c>
      <c r="B188" s="429" t="s">
        <v>771</v>
      </c>
      <c r="C188" s="300" t="s">
        <v>623</v>
      </c>
      <c r="D188" s="300" t="s">
        <v>784</v>
      </c>
      <c r="E188" s="410"/>
      <c r="F188" s="357">
        <f>F199</f>
        <v>442577</v>
      </c>
      <c r="G188" s="381"/>
      <c r="H188" s="381"/>
      <c r="I188" s="381"/>
      <c r="J188" s="382"/>
      <c r="K188" s="382"/>
      <c r="L188" s="382"/>
      <c r="M188" s="382">
        <f>+F188</f>
        <v>442577</v>
      </c>
      <c r="N188" s="382"/>
      <c r="O188" s="382"/>
      <c r="P188" s="382"/>
      <c r="Q188" s="383"/>
      <c r="R188" s="382"/>
      <c r="S188" s="357"/>
      <c r="T188" s="382"/>
      <c r="U188" s="382"/>
      <c r="V188" s="381"/>
      <c r="W188" s="382"/>
      <c r="X188" s="382"/>
      <c r="Y188" s="382"/>
      <c r="Z188" s="382"/>
      <c r="AA188" s="382"/>
      <c r="AB188" s="382"/>
      <c r="AC188" s="381"/>
      <c r="AD188" s="382"/>
      <c r="AE188" s="382"/>
      <c r="AF188" s="382"/>
      <c r="AG188" s="382"/>
      <c r="AH188" s="382"/>
      <c r="AI188" s="382"/>
      <c r="AJ188" s="382"/>
      <c r="AK188" s="382"/>
      <c r="AL188" s="334"/>
    </row>
    <row r="189" spans="1:38" ht="12">
      <c r="A189" s="337"/>
      <c r="B189" s="299"/>
      <c r="C189" s="300" t="s">
        <v>624</v>
      </c>
      <c r="D189" s="300" t="s">
        <v>785</v>
      </c>
      <c r="F189" s="357"/>
      <c r="G189" s="381">
        <f>F188</f>
        <v>442577</v>
      </c>
      <c r="H189" s="381"/>
      <c r="I189" s="381"/>
      <c r="J189" s="382"/>
      <c r="K189" s="382"/>
      <c r="L189" s="382"/>
      <c r="M189" s="382"/>
      <c r="N189" s="382"/>
      <c r="O189" s="382"/>
      <c r="P189" s="382"/>
      <c r="Q189" s="383">
        <f>-G189</f>
        <v>-442577</v>
      </c>
      <c r="R189" s="382"/>
      <c r="S189" s="357"/>
      <c r="T189" s="382"/>
      <c r="U189" s="382"/>
      <c r="V189" s="381"/>
      <c r="W189" s="382"/>
      <c r="X189" s="382"/>
      <c r="Y189" s="382"/>
      <c r="Z189" s="382"/>
      <c r="AA189" s="382"/>
      <c r="AB189" s="382"/>
      <c r="AC189" s="381"/>
      <c r="AD189" s="382"/>
      <c r="AE189" s="382"/>
      <c r="AF189" s="382"/>
      <c r="AG189" s="382"/>
      <c r="AH189" s="382"/>
      <c r="AI189" s="382"/>
      <c r="AJ189" s="382"/>
      <c r="AK189" s="382"/>
      <c r="AL189" s="334"/>
    </row>
    <row r="190" spans="1:38" ht="12">
      <c r="A190" s="337"/>
      <c r="B190" s="299"/>
      <c r="F190" s="357"/>
      <c r="G190" s="381"/>
      <c r="H190" s="381"/>
      <c r="I190" s="381"/>
      <c r="J190" s="382"/>
      <c r="K190" s="382"/>
      <c r="L190" s="382"/>
      <c r="M190" s="382"/>
      <c r="N190" s="382"/>
      <c r="O190" s="382"/>
      <c r="P190" s="382"/>
      <c r="Q190" s="383"/>
      <c r="R190" s="382"/>
      <c r="S190" s="357"/>
      <c r="T190" s="382"/>
      <c r="U190" s="382"/>
      <c r="V190" s="381"/>
      <c r="W190" s="382"/>
      <c r="X190" s="382"/>
      <c r="Y190" s="382"/>
      <c r="Z190" s="382"/>
      <c r="AA190" s="382"/>
      <c r="AB190" s="382"/>
      <c r="AC190" s="381"/>
      <c r="AD190" s="382"/>
      <c r="AE190" s="382"/>
      <c r="AF190" s="382"/>
      <c r="AG190" s="382"/>
      <c r="AH190" s="382"/>
      <c r="AI190" s="382"/>
      <c r="AJ190" s="382"/>
      <c r="AK190" s="382"/>
      <c r="AL190" s="334"/>
    </row>
    <row r="191" spans="1:38" ht="12">
      <c r="A191" s="337"/>
      <c r="B191" s="299"/>
      <c r="D191" s="436"/>
      <c r="F191" s="357"/>
      <c r="G191" s="381"/>
      <c r="H191" s="381"/>
      <c r="I191" s="381"/>
      <c r="J191" s="382"/>
      <c r="K191" s="382"/>
      <c r="L191" s="382"/>
      <c r="M191" s="382"/>
      <c r="N191" s="382"/>
      <c r="O191" s="382"/>
      <c r="P191" s="382"/>
      <c r="Q191" s="383"/>
      <c r="R191" s="382"/>
      <c r="S191" s="357"/>
      <c r="T191" s="382"/>
      <c r="U191" s="382"/>
      <c r="V191" s="381"/>
      <c r="W191" s="382"/>
      <c r="X191" s="382"/>
      <c r="Y191" s="382"/>
      <c r="Z191" s="382"/>
      <c r="AA191" s="382"/>
      <c r="AB191" s="382"/>
      <c r="AC191" s="381"/>
      <c r="AD191" s="382"/>
      <c r="AE191" s="382"/>
      <c r="AF191" s="382"/>
      <c r="AG191" s="382"/>
      <c r="AH191" s="382"/>
      <c r="AI191" s="382"/>
      <c r="AJ191" s="382"/>
      <c r="AK191" s="382"/>
      <c r="AL191" s="334"/>
    </row>
    <row r="192" spans="1:38" ht="12">
      <c r="A192" s="337"/>
      <c r="B192" s="299"/>
      <c r="C192" s="299" t="s">
        <v>786</v>
      </c>
      <c r="D192" s="436"/>
      <c r="F192" s="437">
        <f>13830506.7</f>
        <v>13830506.7</v>
      </c>
      <c r="G192" s="381"/>
      <c r="H192" s="381"/>
      <c r="I192" s="381"/>
      <c r="J192" s="382"/>
      <c r="K192" s="382"/>
      <c r="L192" s="382"/>
      <c r="M192" s="382"/>
      <c r="N192" s="382"/>
      <c r="O192" s="382"/>
      <c r="P192" s="382"/>
      <c r="Q192" s="383"/>
      <c r="R192" s="382"/>
      <c r="S192" s="357"/>
      <c r="T192" s="382"/>
      <c r="U192" s="382"/>
      <c r="V192" s="381"/>
      <c r="W192" s="382"/>
      <c r="X192" s="382"/>
      <c r="Y192" s="382"/>
      <c r="Z192" s="382"/>
      <c r="AA192" s="382"/>
      <c r="AB192" s="382"/>
      <c r="AC192" s="381"/>
      <c r="AD192" s="382"/>
      <c r="AE192" s="382"/>
      <c r="AF192" s="382"/>
      <c r="AG192" s="382"/>
      <c r="AH192" s="382"/>
      <c r="AI192" s="382"/>
      <c r="AJ192" s="382"/>
      <c r="AK192" s="382"/>
      <c r="AL192" s="334"/>
    </row>
    <row r="193" spans="1:38" ht="12">
      <c r="A193" s="337"/>
      <c r="B193" s="299"/>
      <c r="C193" s="299" t="s">
        <v>787</v>
      </c>
      <c r="F193" s="438">
        <v>10000</v>
      </c>
      <c r="G193" s="439"/>
      <c r="H193" s="381"/>
      <c r="I193" s="381"/>
      <c r="J193" s="382"/>
      <c r="K193" s="382"/>
      <c r="L193" s="382"/>
      <c r="M193" s="382"/>
      <c r="N193" s="382"/>
      <c r="O193" s="382"/>
      <c r="P193" s="382"/>
      <c r="Q193" s="383"/>
      <c r="R193" s="382"/>
      <c r="S193" s="357"/>
      <c r="T193" s="382"/>
      <c r="U193" s="382"/>
      <c r="V193" s="381"/>
      <c r="W193" s="382"/>
      <c r="X193" s="382"/>
      <c r="Y193" s="382"/>
      <c r="Z193" s="382"/>
      <c r="AA193" s="382"/>
      <c r="AB193" s="382"/>
      <c r="AC193" s="381"/>
      <c r="AD193" s="382"/>
      <c r="AE193" s="382"/>
      <c r="AF193" s="382"/>
      <c r="AG193" s="382"/>
      <c r="AH193" s="382"/>
      <c r="AI193" s="382"/>
      <c r="AJ193" s="382"/>
      <c r="AK193" s="382"/>
      <c r="AL193" s="334"/>
    </row>
    <row r="194" spans="1:38" ht="12">
      <c r="A194" s="337"/>
      <c r="B194" s="299"/>
      <c r="C194" s="299" t="s">
        <v>788</v>
      </c>
      <c r="F194" s="440">
        <v>10000</v>
      </c>
      <c r="G194" s="381"/>
      <c r="H194" s="381"/>
      <c r="I194" s="381"/>
      <c r="J194" s="382"/>
      <c r="K194" s="382"/>
      <c r="L194" s="382"/>
      <c r="M194" s="382"/>
      <c r="N194" s="382"/>
      <c r="O194" s="382"/>
      <c r="P194" s="382"/>
      <c r="Q194" s="383"/>
      <c r="R194" s="382"/>
      <c r="S194" s="357"/>
      <c r="T194" s="382"/>
      <c r="U194" s="382"/>
      <c r="V194" s="381"/>
      <c r="W194" s="382"/>
      <c r="X194" s="382"/>
      <c r="Y194" s="382"/>
      <c r="Z194" s="382"/>
      <c r="AA194" s="382"/>
      <c r="AB194" s="382"/>
      <c r="AC194" s="381"/>
      <c r="AD194" s="382"/>
      <c r="AE194" s="382"/>
      <c r="AF194" s="382"/>
      <c r="AG194" s="382"/>
      <c r="AH194" s="382"/>
      <c r="AI194" s="382"/>
      <c r="AJ194" s="382"/>
      <c r="AK194" s="382"/>
      <c r="AL194" s="334"/>
    </row>
    <row r="195" spans="1:38" ht="12">
      <c r="A195" s="337"/>
      <c r="B195" s="299"/>
      <c r="F195" s="357"/>
      <c r="G195" s="381"/>
      <c r="H195" s="381"/>
      <c r="I195" s="381"/>
      <c r="J195" s="382"/>
      <c r="K195" s="382"/>
      <c r="L195" s="382"/>
      <c r="M195" s="382"/>
      <c r="N195" s="382"/>
      <c r="O195" s="382"/>
      <c r="P195" s="382"/>
      <c r="Q195" s="383"/>
      <c r="R195" s="382"/>
      <c r="S195" s="357"/>
      <c r="T195" s="382"/>
      <c r="U195" s="382"/>
      <c r="V195" s="381"/>
      <c r="W195" s="382"/>
      <c r="X195" s="382"/>
      <c r="Y195" s="382"/>
      <c r="Z195" s="382"/>
      <c r="AA195" s="382"/>
      <c r="AB195" s="382"/>
      <c r="AC195" s="381"/>
      <c r="AD195" s="382"/>
      <c r="AE195" s="382"/>
      <c r="AF195" s="382"/>
      <c r="AG195" s="382"/>
      <c r="AH195" s="382"/>
      <c r="AI195" s="382"/>
      <c r="AJ195" s="382"/>
      <c r="AK195" s="382"/>
      <c r="AL195" s="334"/>
    </row>
    <row r="196" spans="1:38" ht="12">
      <c r="A196" s="337"/>
      <c r="C196" s="441" t="s">
        <v>789</v>
      </c>
      <c r="D196" s="441"/>
      <c r="E196" s="441"/>
      <c r="F196" s="442">
        <f>ROUND(F194/F193*F192,0)</f>
        <v>13830507</v>
      </c>
      <c r="G196" s="381"/>
      <c r="H196" s="381"/>
      <c r="I196" s="381"/>
      <c r="J196" s="382"/>
      <c r="K196" s="382"/>
      <c r="L196" s="382"/>
      <c r="M196" s="382"/>
      <c r="N196" s="382"/>
      <c r="O196" s="382"/>
      <c r="P196" s="382"/>
      <c r="Q196" s="383"/>
      <c r="R196" s="382"/>
      <c r="S196" s="357"/>
      <c r="T196" s="382"/>
      <c r="U196" s="382"/>
      <c r="V196" s="381"/>
      <c r="W196" s="382"/>
      <c r="X196" s="382"/>
      <c r="Y196" s="382"/>
      <c r="Z196" s="382"/>
      <c r="AA196" s="382"/>
      <c r="AB196" s="382"/>
      <c r="AC196" s="381"/>
      <c r="AD196" s="382"/>
      <c r="AE196" s="382"/>
      <c r="AF196" s="382"/>
      <c r="AG196" s="382"/>
      <c r="AH196" s="382"/>
      <c r="AI196" s="382"/>
      <c r="AJ196" s="382"/>
      <c r="AK196" s="382"/>
      <c r="AL196" s="334"/>
    </row>
    <row r="197" spans="1:38" ht="12">
      <c r="A197" s="337"/>
      <c r="C197" s="441"/>
      <c r="D197" s="441"/>
      <c r="E197" s="441"/>
      <c r="F197" s="442"/>
      <c r="G197" s="381"/>
      <c r="H197" s="381"/>
      <c r="I197" s="381"/>
      <c r="J197" s="382"/>
      <c r="K197" s="382"/>
      <c r="L197" s="382"/>
      <c r="M197" s="382"/>
      <c r="N197" s="382"/>
      <c r="O197" s="382"/>
      <c r="P197" s="382"/>
      <c r="Q197" s="383"/>
      <c r="R197" s="382"/>
      <c r="S197" s="357"/>
      <c r="T197" s="382"/>
      <c r="U197" s="382"/>
      <c r="V197" s="381"/>
      <c r="W197" s="382"/>
      <c r="X197" s="382"/>
      <c r="Y197" s="382"/>
      <c r="Z197" s="382"/>
      <c r="AA197" s="382"/>
      <c r="AB197" s="382"/>
      <c r="AC197" s="381"/>
      <c r="AD197" s="382"/>
      <c r="AE197" s="382"/>
      <c r="AF197" s="382"/>
      <c r="AG197" s="382"/>
      <c r="AH197" s="382"/>
      <c r="AI197" s="382"/>
      <c r="AJ197" s="382"/>
      <c r="AK197" s="382"/>
      <c r="AL197" s="334"/>
    </row>
    <row r="198" spans="1:38" ht="12">
      <c r="A198" s="337"/>
      <c r="C198" s="441" t="s">
        <v>790</v>
      </c>
      <c r="D198" s="441"/>
      <c r="E198" s="441"/>
      <c r="F198" s="443">
        <v>13387930</v>
      </c>
      <c r="G198" s="381"/>
      <c r="H198" s="381"/>
      <c r="I198" s="381"/>
      <c r="J198" s="382"/>
      <c r="K198" s="382"/>
      <c r="L198" s="382"/>
      <c r="M198" s="382"/>
      <c r="N198" s="382"/>
      <c r="O198" s="382"/>
      <c r="P198" s="382"/>
      <c r="Q198" s="383"/>
      <c r="R198" s="382"/>
      <c r="S198" s="357"/>
      <c r="T198" s="382"/>
      <c r="U198" s="382"/>
      <c r="V198" s="381"/>
      <c r="W198" s="382"/>
      <c r="X198" s="382"/>
      <c r="Y198" s="382"/>
      <c r="Z198" s="382"/>
      <c r="AA198" s="382"/>
      <c r="AB198" s="382"/>
      <c r="AC198" s="381"/>
      <c r="AD198" s="382"/>
      <c r="AE198" s="382"/>
      <c r="AF198" s="382"/>
      <c r="AG198" s="382"/>
      <c r="AH198" s="382"/>
      <c r="AI198" s="382"/>
      <c r="AJ198" s="382"/>
      <c r="AK198" s="382"/>
      <c r="AL198" s="334"/>
    </row>
    <row r="199" spans="1:38" ht="12">
      <c r="A199" s="337"/>
      <c r="C199" s="298" t="s">
        <v>791</v>
      </c>
      <c r="D199" s="441"/>
      <c r="E199" s="441"/>
      <c r="F199" s="444">
        <f>ROUND(F196-F198,0)</f>
        <v>442577</v>
      </c>
      <c r="G199" s="381"/>
      <c r="H199" s="381"/>
      <c r="I199" s="381"/>
      <c r="J199" s="382"/>
      <c r="K199" s="382"/>
      <c r="L199" s="382"/>
      <c r="M199" s="382"/>
      <c r="N199" s="382"/>
      <c r="O199" s="382"/>
      <c r="P199" s="382"/>
      <c r="Q199" s="383"/>
      <c r="R199" s="382"/>
      <c r="S199" s="357"/>
      <c r="T199" s="382"/>
      <c r="U199" s="382"/>
      <c r="V199" s="381"/>
      <c r="W199" s="382"/>
      <c r="X199" s="382"/>
      <c r="Y199" s="382"/>
      <c r="Z199" s="382"/>
      <c r="AA199" s="382"/>
      <c r="AB199" s="382"/>
      <c r="AC199" s="381"/>
      <c r="AD199" s="382"/>
      <c r="AE199" s="382"/>
      <c r="AF199" s="382"/>
      <c r="AG199" s="382"/>
      <c r="AH199" s="382"/>
      <c r="AI199" s="382"/>
      <c r="AJ199" s="382"/>
      <c r="AK199" s="382"/>
      <c r="AL199" s="334"/>
    </row>
    <row r="200" spans="1:38" ht="12">
      <c r="A200" s="337"/>
      <c r="F200" s="357"/>
      <c r="G200" s="381"/>
      <c r="H200" s="381"/>
      <c r="I200" s="381"/>
      <c r="J200" s="382"/>
      <c r="K200" s="382"/>
      <c r="L200" s="382"/>
      <c r="M200" s="382"/>
      <c r="N200" s="382"/>
      <c r="O200" s="382"/>
      <c r="P200" s="382"/>
      <c r="Q200" s="383"/>
      <c r="R200" s="382"/>
      <c r="S200" s="357"/>
      <c r="T200" s="382"/>
      <c r="U200" s="382"/>
      <c r="V200" s="381"/>
      <c r="W200" s="382"/>
      <c r="X200" s="382"/>
      <c r="Y200" s="382"/>
      <c r="Z200" s="382"/>
      <c r="AA200" s="382"/>
      <c r="AB200" s="382"/>
      <c r="AC200" s="381"/>
      <c r="AD200" s="382"/>
      <c r="AE200" s="382"/>
      <c r="AF200" s="382"/>
      <c r="AG200" s="382"/>
      <c r="AH200" s="382"/>
      <c r="AI200" s="382"/>
      <c r="AJ200" s="382"/>
      <c r="AK200" s="382"/>
      <c r="AL200" s="334"/>
    </row>
    <row r="201" spans="1:38" ht="12">
      <c r="A201" s="337"/>
      <c r="C201" s="445" t="s">
        <v>792</v>
      </c>
      <c r="F201" s="357"/>
      <c r="G201" s="381"/>
      <c r="H201" s="381"/>
      <c r="I201" s="381"/>
      <c r="J201" s="382"/>
      <c r="K201" s="382"/>
      <c r="L201" s="382"/>
      <c r="M201" s="382"/>
      <c r="N201" s="382"/>
      <c r="O201" s="382"/>
      <c r="P201" s="382"/>
      <c r="Q201" s="383"/>
      <c r="R201" s="382"/>
      <c r="S201" s="357"/>
      <c r="T201" s="382"/>
      <c r="U201" s="382"/>
      <c r="V201" s="381"/>
      <c r="W201" s="382"/>
      <c r="X201" s="382"/>
      <c r="Y201" s="382"/>
      <c r="Z201" s="382"/>
      <c r="AA201" s="382"/>
      <c r="AB201" s="382"/>
      <c r="AC201" s="381"/>
      <c r="AD201" s="382"/>
      <c r="AE201" s="382"/>
      <c r="AF201" s="382"/>
      <c r="AG201" s="382"/>
      <c r="AH201" s="382"/>
      <c r="AI201" s="382"/>
      <c r="AJ201" s="382"/>
      <c r="AK201" s="382"/>
      <c r="AL201" s="334"/>
    </row>
    <row r="202" spans="1:38" ht="12">
      <c r="A202" s="337"/>
      <c r="C202" s="445" t="s">
        <v>793</v>
      </c>
      <c r="F202" s="357"/>
      <c r="G202" s="381"/>
      <c r="H202" s="381"/>
      <c r="I202" s="381"/>
      <c r="J202" s="382"/>
      <c r="K202" s="382"/>
      <c r="L202" s="382"/>
      <c r="M202" s="382"/>
      <c r="N202" s="382"/>
      <c r="O202" s="382"/>
      <c r="P202" s="382"/>
      <c r="Q202" s="383"/>
      <c r="R202" s="382"/>
      <c r="S202" s="357"/>
      <c r="T202" s="382"/>
      <c r="U202" s="382"/>
      <c r="V202" s="381"/>
      <c r="W202" s="382"/>
      <c r="X202" s="382"/>
      <c r="Y202" s="382"/>
      <c r="Z202" s="382"/>
      <c r="AA202" s="382"/>
      <c r="AB202" s="382"/>
      <c r="AC202" s="381"/>
      <c r="AD202" s="382"/>
      <c r="AE202" s="382"/>
      <c r="AF202" s="382"/>
      <c r="AG202" s="382"/>
      <c r="AH202" s="382"/>
      <c r="AI202" s="382"/>
      <c r="AJ202" s="382"/>
      <c r="AK202" s="382"/>
      <c r="AL202" s="334"/>
    </row>
    <row r="203" spans="1:38" ht="12">
      <c r="A203" s="337"/>
      <c r="E203" s="410"/>
      <c r="F203" s="357"/>
      <c r="G203" s="381"/>
      <c r="H203" s="381"/>
      <c r="I203" s="381"/>
      <c r="J203" s="382"/>
      <c r="K203" s="382"/>
      <c r="L203" s="382"/>
      <c r="M203" s="382"/>
      <c r="N203" s="382"/>
      <c r="O203" s="382"/>
      <c r="P203" s="382"/>
      <c r="Q203" s="383"/>
      <c r="R203" s="382"/>
      <c r="S203" s="357"/>
      <c r="T203" s="382"/>
      <c r="U203" s="382"/>
      <c r="V203" s="381"/>
      <c r="W203" s="382"/>
      <c r="X203" s="382"/>
      <c r="Y203" s="382"/>
      <c r="Z203" s="382"/>
      <c r="AA203" s="382"/>
      <c r="AB203" s="382"/>
      <c r="AC203" s="381"/>
      <c r="AD203" s="382"/>
      <c r="AE203" s="382"/>
      <c r="AF203" s="382"/>
      <c r="AG203" s="382"/>
      <c r="AH203" s="382"/>
      <c r="AI203" s="382"/>
      <c r="AJ203" s="382"/>
      <c r="AK203" s="382"/>
      <c r="AL203" s="334"/>
    </row>
    <row r="204" spans="1:38" ht="12">
      <c r="A204" s="337"/>
      <c r="B204" s="429" t="s">
        <v>779</v>
      </c>
      <c r="E204" s="410"/>
      <c r="F204" s="357"/>
      <c r="G204" s="381"/>
      <c r="H204" s="381"/>
      <c r="I204" s="381"/>
      <c r="J204" s="382"/>
      <c r="K204" s="382"/>
      <c r="L204" s="382"/>
      <c r="M204" s="382"/>
      <c r="N204" s="382"/>
      <c r="O204" s="382"/>
      <c r="P204" s="382"/>
      <c r="Q204" s="383"/>
      <c r="R204" s="382"/>
      <c r="S204" s="357"/>
      <c r="T204" s="382"/>
      <c r="U204" s="382"/>
      <c r="V204" s="381"/>
      <c r="W204" s="382"/>
      <c r="X204" s="382"/>
      <c r="Y204" s="382"/>
      <c r="Z204" s="382"/>
      <c r="AA204" s="382"/>
      <c r="AB204" s="382"/>
      <c r="AC204" s="381"/>
      <c r="AD204" s="382"/>
      <c r="AE204" s="382"/>
      <c r="AF204" s="382"/>
      <c r="AG204" s="382"/>
      <c r="AH204" s="382"/>
      <c r="AI204" s="382"/>
      <c r="AJ204" s="382"/>
      <c r="AK204" s="382"/>
      <c r="AL204" s="334"/>
    </row>
    <row r="205" spans="1:38" ht="12">
      <c r="A205" s="337"/>
      <c r="C205" s="300" t="s">
        <v>623</v>
      </c>
      <c r="D205" s="300" t="s">
        <v>794</v>
      </c>
      <c r="E205" s="410"/>
      <c r="F205" s="357">
        <f>ROUND(F188*0.28,0)</f>
        <v>123922</v>
      </c>
      <c r="G205" s="381"/>
      <c r="H205" s="381"/>
      <c r="I205" s="381"/>
      <c r="J205" s="382"/>
      <c r="K205" s="382"/>
      <c r="L205" s="382"/>
      <c r="M205" s="382"/>
      <c r="N205" s="382"/>
      <c r="O205" s="382"/>
      <c r="P205" s="382"/>
      <c r="Q205" s="383"/>
      <c r="R205" s="382"/>
      <c r="S205" s="357"/>
      <c r="T205" s="382"/>
      <c r="U205" s="382"/>
      <c r="V205" s="381"/>
      <c r="W205" s="382"/>
      <c r="X205" s="382"/>
      <c r="Y205" s="382"/>
      <c r="Z205" s="382"/>
      <c r="AA205" s="382"/>
      <c r="AB205" s="382"/>
      <c r="AC205" s="381">
        <f>F205</f>
        <v>123922</v>
      </c>
      <c r="AD205" s="382"/>
      <c r="AE205" s="382"/>
      <c r="AF205" s="382"/>
      <c r="AG205" s="382"/>
      <c r="AH205" s="382"/>
      <c r="AI205" s="382"/>
      <c r="AJ205" s="382"/>
      <c r="AK205" s="382"/>
      <c r="AL205" s="334"/>
    </row>
    <row r="206" spans="1:38" ht="12">
      <c r="A206" s="337"/>
      <c r="C206" s="300" t="s">
        <v>624</v>
      </c>
      <c r="D206" s="300" t="s">
        <v>795</v>
      </c>
      <c r="E206" s="410"/>
      <c r="F206" s="357">
        <f>G205</f>
        <v>0</v>
      </c>
      <c r="G206" s="427">
        <f>F205</f>
        <v>123922</v>
      </c>
      <c r="H206" s="381"/>
      <c r="I206" s="381"/>
      <c r="J206" s="382"/>
      <c r="K206" s="382"/>
      <c r="L206" s="382"/>
      <c r="M206" s="430">
        <f>-G206</f>
        <v>-123922</v>
      </c>
      <c r="N206" s="382"/>
      <c r="O206" s="382"/>
      <c r="P206" s="382"/>
      <c r="Q206" s="383"/>
      <c r="R206" s="382"/>
      <c r="S206" s="357"/>
      <c r="T206" s="382"/>
      <c r="U206" s="382"/>
      <c r="V206" s="381"/>
      <c r="W206" s="382"/>
      <c r="X206" s="382"/>
      <c r="Y206" s="382"/>
      <c r="Z206" s="382"/>
      <c r="AA206" s="382"/>
      <c r="AB206" s="382"/>
      <c r="AC206" s="381">
        <f>F206</f>
        <v>0</v>
      </c>
      <c r="AD206" s="382"/>
      <c r="AE206" s="382"/>
      <c r="AF206" s="382"/>
      <c r="AG206" s="382"/>
      <c r="AH206" s="382"/>
      <c r="AI206" s="382"/>
      <c r="AJ206" s="382"/>
      <c r="AK206" s="382"/>
      <c r="AL206" s="334"/>
    </row>
    <row r="207" spans="1:38" ht="12.75" thickBot="1">
      <c r="A207" s="337"/>
      <c r="E207" s="446">
        <f>SUM(E183)</f>
        <v>0</v>
      </c>
      <c r="F207" s="404">
        <f>SUM(F205:F206)</f>
        <v>123922</v>
      </c>
      <c r="G207" s="405">
        <f>SUM(G205:G206)</f>
        <v>123922</v>
      </c>
      <c r="H207" s="381"/>
      <c r="I207" s="381"/>
      <c r="J207" s="382"/>
      <c r="K207" s="382"/>
      <c r="L207" s="382"/>
      <c r="M207" s="382"/>
      <c r="N207" s="382"/>
      <c r="O207" s="382"/>
      <c r="P207" s="382"/>
      <c r="Q207" s="383"/>
      <c r="R207" s="382"/>
      <c r="S207" s="357"/>
      <c r="T207" s="382"/>
      <c r="U207" s="382"/>
      <c r="V207" s="381"/>
      <c r="W207" s="382"/>
      <c r="X207" s="382"/>
      <c r="Y207" s="382"/>
      <c r="Z207" s="382"/>
      <c r="AA207" s="382"/>
      <c r="AB207" s="382"/>
      <c r="AC207" s="381"/>
      <c r="AD207" s="382"/>
      <c r="AE207" s="382"/>
      <c r="AF207" s="382"/>
      <c r="AG207" s="382"/>
      <c r="AH207" s="382"/>
      <c r="AI207" s="382"/>
      <c r="AJ207" s="382"/>
      <c r="AK207" s="382"/>
      <c r="AL207" s="334"/>
    </row>
    <row r="208" spans="1:38" ht="12.75" thickTop="1">
      <c r="A208" s="337"/>
      <c r="B208" s="342"/>
      <c r="C208" s="299" t="s">
        <v>796</v>
      </c>
      <c r="F208" s="357"/>
      <c r="G208" s="381"/>
      <c r="H208" s="381"/>
      <c r="I208" s="381"/>
      <c r="J208" s="382"/>
      <c r="K208" s="382"/>
      <c r="L208" s="382"/>
      <c r="M208" s="382"/>
      <c r="N208" s="382"/>
      <c r="O208" s="382"/>
      <c r="P208" s="382"/>
      <c r="Q208" s="383"/>
      <c r="R208" s="382"/>
      <c r="S208" s="357"/>
      <c r="T208" s="382"/>
      <c r="U208" s="382"/>
      <c r="V208" s="381"/>
      <c r="W208" s="382"/>
      <c r="X208" s="382"/>
      <c r="Y208" s="382"/>
      <c r="Z208" s="382"/>
      <c r="AA208" s="382"/>
      <c r="AB208" s="382"/>
      <c r="AC208" s="381"/>
      <c r="AD208" s="382"/>
      <c r="AE208" s="382"/>
      <c r="AF208" s="382"/>
      <c r="AG208" s="382"/>
      <c r="AH208" s="382"/>
      <c r="AI208" s="382"/>
      <c r="AJ208" s="382"/>
      <c r="AK208" s="382"/>
      <c r="AL208" s="334"/>
    </row>
    <row r="209" spans="1:38" ht="12">
      <c r="A209" s="337"/>
      <c r="B209" s="351"/>
      <c r="C209" s="352"/>
      <c r="D209" s="352"/>
      <c r="E209" s="352"/>
      <c r="F209" s="394"/>
      <c r="G209" s="395"/>
      <c r="H209" s="395"/>
      <c r="I209" s="395"/>
      <c r="J209" s="432"/>
      <c r="K209" s="432"/>
      <c r="L209" s="432"/>
      <c r="M209" s="432"/>
      <c r="N209" s="432"/>
      <c r="O209" s="432"/>
      <c r="P209" s="432"/>
      <c r="Q209" s="433"/>
      <c r="R209" s="432"/>
      <c r="S209" s="394"/>
      <c r="T209" s="432"/>
      <c r="U209" s="432"/>
      <c r="V209" s="395"/>
      <c r="W209" s="432"/>
      <c r="X209" s="432"/>
      <c r="Y209" s="432"/>
      <c r="Z209" s="432"/>
      <c r="AA209" s="432"/>
      <c r="AB209" s="432"/>
      <c r="AC209" s="395"/>
      <c r="AD209" s="432"/>
      <c r="AE209" s="432"/>
      <c r="AF209" s="432"/>
      <c r="AG209" s="432"/>
      <c r="AH209" s="432"/>
      <c r="AI209" s="432"/>
      <c r="AJ209" s="432"/>
      <c r="AK209" s="432"/>
      <c r="AL209" s="435"/>
    </row>
    <row r="210" spans="1:38" ht="12">
      <c r="A210" s="326"/>
      <c r="F210" s="357"/>
      <c r="G210" s="381"/>
      <c r="H210" s="381"/>
      <c r="I210" s="381"/>
      <c r="J210" s="382"/>
      <c r="K210" s="382"/>
      <c r="L210" s="382"/>
      <c r="M210" s="382"/>
      <c r="N210" s="382"/>
      <c r="O210" s="382"/>
      <c r="P210" s="382"/>
      <c r="Q210" s="383"/>
      <c r="R210" s="382"/>
      <c r="S210" s="357"/>
      <c r="T210" s="382"/>
      <c r="U210" s="382"/>
      <c r="V210" s="381"/>
      <c r="W210" s="382"/>
      <c r="X210" s="382"/>
      <c r="Y210" s="382"/>
      <c r="Z210" s="382"/>
      <c r="AA210" s="382"/>
      <c r="AB210" s="382"/>
      <c r="AC210" s="381"/>
      <c r="AD210" s="382"/>
      <c r="AE210" s="382"/>
      <c r="AF210" s="382"/>
      <c r="AG210" s="382"/>
      <c r="AH210" s="382"/>
      <c r="AI210" s="382"/>
      <c r="AJ210" s="382"/>
      <c r="AK210" s="382"/>
      <c r="AL210" s="334"/>
    </row>
    <row r="211" spans="1:38" ht="12">
      <c r="A211" s="337" t="s">
        <v>797</v>
      </c>
      <c r="C211" s="300" t="s">
        <v>623</v>
      </c>
      <c r="D211" s="300" t="s">
        <v>798</v>
      </c>
      <c r="F211" s="357">
        <v>125639</v>
      </c>
      <c r="G211" s="381"/>
      <c r="H211" s="381"/>
      <c r="I211" s="381"/>
      <c r="J211" s="382"/>
      <c r="K211" s="382"/>
      <c r="L211" s="382"/>
      <c r="M211" s="382">
        <f>+F211</f>
        <v>125639</v>
      </c>
      <c r="N211" s="382"/>
      <c r="O211" s="382"/>
      <c r="P211" s="382"/>
      <c r="Q211" s="383"/>
      <c r="R211" s="382"/>
      <c r="S211" s="357"/>
      <c r="T211" s="382"/>
      <c r="U211" s="382"/>
      <c r="V211" s="381"/>
      <c r="W211" s="382"/>
      <c r="X211" s="382"/>
      <c r="Y211" s="382"/>
      <c r="Z211" s="382"/>
      <c r="AA211" s="382"/>
      <c r="AB211" s="382"/>
      <c r="AC211" s="381"/>
      <c r="AD211" s="382"/>
      <c r="AE211" s="382"/>
      <c r="AF211" s="382"/>
      <c r="AG211" s="382"/>
      <c r="AH211" s="382"/>
      <c r="AI211" s="382"/>
      <c r="AJ211" s="382"/>
      <c r="AK211" s="382"/>
      <c r="AL211" s="334"/>
    </row>
    <row r="212" spans="1:38" ht="12">
      <c r="A212" s="337"/>
      <c r="C212" s="300" t="s">
        <v>623</v>
      </c>
      <c r="D212" s="300" t="s">
        <v>350</v>
      </c>
      <c r="F212" s="357">
        <v>529379</v>
      </c>
      <c r="G212" s="381"/>
      <c r="H212" s="381"/>
      <c r="I212" s="381"/>
      <c r="J212" s="382"/>
      <c r="K212" s="382"/>
      <c r="L212" s="382"/>
      <c r="M212" s="382"/>
      <c r="N212" s="382"/>
      <c r="O212" s="382"/>
      <c r="P212" s="382"/>
      <c r="Q212" s="383">
        <f>F212</f>
        <v>529379</v>
      </c>
      <c r="R212" s="382"/>
      <c r="S212" s="357"/>
      <c r="T212" s="382"/>
      <c r="U212" s="382"/>
      <c r="V212" s="381"/>
      <c r="W212" s="382"/>
      <c r="X212" s="382"/>
      <c r="Y212" s="382"/>
      <c r="Z212" s="382"/>
      <c r="AA212" s="382"/>
      <c r="AB212" s="382"/>
      <c r="AC212" s="381"/>
      <c r="AD212" s="382"/>
      <c r="AE212" s="382"/>
      <c r="AF212" s="382"/>
      <c r="AG212" s="382"/>
      <c r="AH212" s="382"/>
      <c r="AI212" s="382"/>
      <c r="AJ212" s="382"/>
      <c r="AK212" s="382"/>
      <c r="AL212" s="334"/>
    </row>
    <row r="213" spans="1:38" ht="12">
      <c r="A213" s="337"/>
      <c r="F213" s="357"/>
      <c r="G213" s="381"/>
      <c r="H213" s="381"/>
      <c r="I213" s="381"/>
      <c r="J213" s="382"/>
      <c r="K213" s="382"/>
      <c r="L213" s="382"/>
      <c r="M213" s="382"/>
      <c r="N213" s="382"/>
      <c r="O213" s="382"/>
      <c r="P213" s="382"/>
      <c r="Q213" s="383"/>
      <c r="R213" s="382"/>
      <c r="S213" s="357"/>
      <c r="T213" s="382"/>
      <c r="U213" s="382"/>
      <c r="V213" s="381"/>
      <c r="W213" s="382"/>
      <c r="X213" s="382"/>
      <c r="Y213" s="382"/>
      <c r="Z213" s="382"/>
      <c r="AA213" s="382"/>
      <c r="AB213" s="382"/>
      <c r="AC213" s="381"/>
      <c r="AD213" s="382"/>
      <c r="AE213" s="382"/>
      <c r="AF213" s="382"/>
      <c r="AG213" s="382"/>
      <c r="AH213" s="382"/>
      <c r="AI213" s="382"/>
      <c r="AJ213" s="382"/>
      <c r="AK213" s="382"/>
      <c r="AL213" s="334"/>
    </row>
    <row r="214" spans="1:38" ht="12">
      <c r="A214" s="337"/>
      <c r="C214" s="300" t="s">
        <v>624</v>
      </c>
      <c r="D214" s="300" t="s">
        <v>799</v>
      </c>
      <c r="F214" s="357"/>
      <c r="G214" s="381">
        <v>531185</v>
      </c>
      <c r="H214" s="381"/>
      <c r="I214" s="381"/>
      <c r="J214" s="382"/>
      <c r="K214" s="382"/>
      <c r="L214" s="382"/>
      <c r="M214" s="382">
        <f>-G214</f>
        <v>-531185</v>
      </c>
      <c r="N214" s="382"/>
      <c r="O214" s="382"/>
      <c r="P214" s="382"/>
      <c r="Q214" s="383"/>
      <c r="R214" s="382"/>
      <c r="S214" s="357"/>
      <c r="T214" s="382"/>
      <c r="U214" s="382"/>
      <c r="V214" s="381"/>
      <c r="W214" s="382"/>
      <c r="X214" s="382"/>
      <c r="Y214" s="382"/>
      <c r="Z214" s="382"/>
      <c r="AA214" s="382"/>
      <c r="AB214" s="382"/>
      <c r="AC214" s="381"/>
      <c r="AD214" s="382"/>
      <c r="AE214" s="382"/>
      <c r="AF214" s="382"/>
      <c r="AG214" s="382"/>
      <c r="AH214" s="382"/>
      <c r="AI214" s="382"/>
      <c r="AJ214" s="382"/>
      <c r="AK214" s="382"/>
      <c r="AL214" s="334"/>
    </row>
    <row r="215" spans="1:38" ht="12">
      <c r="A215" s="337"/>
      <c r="C215" s="300" t="s">
        <v>624</v>
      </c>
      <c r="D215" s="300" t="s">
        <v>800</v>
      </c>
      <c r="F215" s="357"/>
      <c r="G215" s="381">
        <v>123833</v>
      </c>
      <c r="H215" s="381"/>
      <c r="I215" s="381"/>
      <c r="J215" s="382"/>
      <c r="K215" s="382"/>
      <c r="L215" s="382"/>
      <c r="M215" s="382">
        <f>-G215</f>
        <v>-123833</v>
      </c>
      <c r="N215" s="382"/>
      <c r="O215" s="382"/>
      <c r="P215" s="382"/>
      <c r="Q215" s="383"/>
      <c r="R215" s="382"/>
      <c r="S215" s="357"/>
      <c r="T215" s="382"/>
      <c r="U215" s="382"/>
      <c r="V215" s="381"/>
      <c r="W215" s="382"/>
      <c r="X215" s="382"/>
      <c r="Y215" s="382"/>
      <c r="Z215" s="382"/>
      <c r="AA215" s="382"/>
      <c r="AB215" s="382"/>
      <c r="AC215" s="381"/>
      <c r="AD215" s="382"/>
      <c r="AE215" s="382"/>
      <c r="AF215" s="382"/>
      <c r="AG215" s="382"/>
      <c r="AH215" s="382"/>
      <c r="AI215" s="382"/>
      <c r="AJ215" s="382"/>
      <c r="AK215" s="382"/>
      <c r="AL215" s="334"/>
    </row>
    <row r="216" spans="1:38" ht="12.75" thickBot="1">
      <c r="A216" s="337"/>
      <c r="F216" s="404">
        <f>SUM(F211:F215)</f>
        <v>655018</v>
      </c>
      <c r="G216" s="405">
        <f>SUM(G211:G215)</f>
        <v>655018</v>
      </c>
      <c r="H216" s="381"/>
      <c r="I216" s="381"/>
      <c r="J216" s="382"/>
      <c r="K216" s="382"/>
      <c r="L216" s="382"/>
      <c r="M216" s="382"/>
      <c r="N216" s="382"/>
      <c r="O216" s="382"/>
      <c r="P216" s="382"/>
      <c r="Q216" s="383"/>
      <c r="R216" s="382"/>
      <c r="S216" s="357"/>
      <c r="T216" s="382"/>
      <c r="U216" s="382"/>
      <c r="V216" s="381"/>
      <c r="W216" s="382"/>
      <c r="X216" s="382"/>
      <c r="Y216" s="382"/>
      <c r="Z216" s="382"/>
      <c r="AA216" s="382"/>
      <c r="AB216" s="382"/>
      <c r="AC216" s="381"/>
      <c r="AD216" s="382"/>
      <c r="AE216" s="382"/>
      <c r="AF216" s="382"/>
      <c r="AG216" s="382"/>
      <c r="AH216" s="382"/>
      <c r="AI216" s="382"/>
      <c r="AJ216" s="382"/>
      <c r="AK216" s="382"/>
      <c r="AL216" s="334"/>
    </row>
    <row r="217" spans="1:38" ht="12.75" thickTop="1">
      <c r="A217" s="337"/>
      <c r="F217" s="357"/>
      <c r="G217" s="381"/>
      <c r="H217" s="381"/>
      <c r="I217" s="381"/>
      <c r="J217" s="382"/>
      <c r="K217" s="382"/>
      <c r="L217" s="382"/>
      <c r="M217" s="382"/>
      <c r="N217" s="382"/>
      <c r="O217" s="382"/>
      <c r="P217" s="382"/>
      <c r="Q217" s="383"/>
      <c r="R217" s="382"/>
      <c r="S217" s="357"/>
      <c r="T217" s="382"/>
      <c r="U217" s="382"/>
      <c r="V217" s="381"/>
      <c r="W217" s="382"/>
      <c r="X217" s="382"/>
      <c r="Y217" s="382"/>
      <c r="Z217" s="382"/>
      <c r="AA217" s="382"/>
      <c r="AB217" s="382"/>
      <c r="AC217" s="381"/>
      <c r="AD217" s="382"/>
      <c r="AE217" s="382"/>
      <c r="AF217" s="382"/>
      <c r="AG217" s="382"/>
      <c r="AH217" s="382"/>
      <c r="AI217" s="382"/>
      <c r="AJ217" s="382"/>
      <c r="AK217" s="382"/>
      <c r="AL217" s="334"/>
    </row>
    <row r="218" spans="1:38" ht="12">
      <c r="A218" s="337"/>
      <c r="D218" s="350" t="s">
        <v>556</v>
      </c>
      <c r="F218" s="357"/>
      <c r="G218" s="381"/>
      <c r="H218" s="381"/>
      <c r="I218" s="381"/>
      <c r="J218" s="382"/>
      <c r="K218" s="382"/>
      <c r="L218" s="382"/>
      <c r="M218" s="382"/>
      <c r="N218" s="382"/>
      <c r="O218" s="382"/>
      <c r="P218" s="382"/>
      <c r="Q218" s="383"/>
      <c r="R218" s="382"/>
      <c r="S218" s="357"/>
      <c r="T218" s="382"/>
      <c r="U218" s="382"/>
      <c r="V218" s="381"/>
      <c r="W218" s="382"/>
      <c r="X218" s="382"/>
      <c r="Y218" s="382"/>
      <c r="Z218" s="382"/>
      <c r="AA218" s="382"/>
      <c r="AB218" s="382"/>
      <c r="AC218" s="381"/>
      <c r="AD218" s="382"/>
      <c r="AE218" s="382"/>
      <c r="AF218" s="382"/>
      <c r="AG218" s="382"/>
      <c r="AH218" s="382"/>
      <c r="AI218" s="382"/>
      <c r="AJ218" s="382"/>
      <c r="AK218" s="382"/>
      <c r="AL218" s="334"/>
    </row>
    <row r="219" spans="1:38" ht="12">
      <c r="A219" s="337"/>
      <c r="D219" s="416" t="s">
        <v>731</v>
      </c>
      <c r="F219" s="417" t="s">
        <v>732</v>
      </c>
      <c r="G219" s="381"/>
      <c r="H219" s="381"/>
      <c r="I219" s="381"/>
      <c r="J219" s="382"/>
      <c r="K219" s="382"/>
      <c r="L219" s="382"/>
      <c r="M219" s="382"/>
      <c r="N219" s="382"/>
      <c r="O219" s="382"/>
      <c r="P219" s="382"/>
      <c r="Q219" s="383"/>
      <c r="R219" s="382"/>
      <c r="S219" s="357"/>
      <c r="T219" s="382"/>
      <c r="U219" s="382"/>
      <c r="V219" s="381"/>
      <c r="W219" s="382"/>
      <c r="X219" s="382"/>
      <c r="Y219" s="382"/>
      <c r="Z219" s="382"/>
      <c r="AA219" s="382"/>
      <c r="AB219" s="382"/>
      <c r="AC219" s="381"/>
      <c r="AD219" s="382"/>
      <c r="AE219" s="382"/>
      <c r="AF219" s="382"/>
      <c r="AG219" s="382"/>
      <c r="AH219" s="382"/>
      <c r="AI219" s="382"/>
      <c r="AJ219" s="382"/>
      <c r="AK219" s="382"/>
      <c r="AL219" s="334"/>
    </row>
    <row r="220" spans="1:38" ht="12">
      <c r="A220" s="337"/>
      <c r="D220" s="360" t="s">
        <v>733</v>
      </c>
      <c r="F220" s="357">
        <f>1156216497*0+1155525370</f>
        <v>1155525370</v>
      </c>
      <c r="G220" s="381">
        <f>F330</f>
        <v>1155525370</v>
      </c>
      <c r="H220" s="447"/>
      <c r="I220" s="447"/>
      <c r="J220" s="382"/>
      <c r="K220" s="382"/>
      <c r="L220" s="382"/>
      <c r="M220" s="382"/>
      <c r="N220" s="382"/>
      <c r="O220" s="382"/>
      <c r="P220" s="382"/>
      <c r="Q220" s="383"/>
      <c r="R220" s="382"/>
      <c r="S220" s="357"/>
      <c r="T220" s="382"/>
      <c r="U220" s="382"/>
      <c r="V220" s="381"/>
      <c r="W220" s="382"/>
      <c r="X220" s="382"/>
      <c r="Y220" s="382"/>
      <c r="Z220" s="382"/>
      <c r="AA220" s="382"/>
      <c r="AB220" s="382"/>
      <c r="AC220" s="381"/>
      <c r="AD220" s="382"/>
      <c r="AE220" s="382"/>
      <c r="AF220" s="382"/>
      <c r="AG220" s="382"/>
      <c r="AH220" s="382"/>
      <c r="AI220" s="382"/>
      <c r="AJ220" s="382"/>
      <c r="AK220" s="382"/>
      <c r="AL220" s="334"/>
    </row>
    <row r="221" spans="1:38" ht="12">
      <c r="A221" s="337"/>
      <c r="D221" s="300" t="s">
        <v>734</v>
      </c>
      <c r="F221" s="394">
        <f>-1139686622*0+656671*0-1138925845</f>
        <v>-1138925845</v>
      </c>
      <c r="G221" s="395">
        <f>F328</f>
        <v>1138925845</v>
      </c>
      <c r="H221" s="447"/>
      <c r="I221" s="447"/>
      <c r="J221" s="382"/>
      <c r="K221" s="382"/>
      <c r="L221" s="382"/>
      <c r="M221" s="382"/>
      <c r="N221" s="382"/>
      <c r="O221" s="382"/>
      <c r="P221" s="382"/>
      <c r="Q221" s="383"/>
      <c r="R221" s="382"/>
      <c r="S221" s="357"/>
      <c r="T221" s="382"/>
      <c r="U221" s="382"/>
      <c r="V221" s="381"/>
      <c r="W221" s="382"/>
      <c r="X221" s="382"/>
      <c r="Y221" s="382"/>
      <c r="Z221" s="382"/>
      <c r="AA221" s="382"/>
      <c r="AB221" s="382"/>
      <c r="AC221" s="381"/>
      <c r="AD221" s="382"/>
      <c r="AE221" s="382"/>
      <c r="AF221" s="382"/>
      <c r="AG221" s="382" t="s">
        <v>27</v>
      </c>
      <c r="AH221" s="382"/>
      <c r="AI221" s="382"/>
      <c r="AJ221" s="382"/>
      <c r="AK221" s="382"/>
      <c r="AL221" s="334"/>
    </row>
    <row r="222" spans="1:38" ht="12">
      <c r="A222" s="337"/>
      <c r="D222" s="360" t="s">
        <v>735</v>
      </c>
      <c r="F222" s="388">
        <f>F220+F221</f>
        <v>16599525</v>
      </c>
      <c r="G222" s="381">
        <f>G220-G221</f>
        <v>16599525</v>
      </c>
      <c r="H222" s="381"/>
      <c r="I222" s="381"/>
      <c r="J222" s="382"/>
      <c r="K222" s="382"/>
      <c r="L222" s="382"/>
      <c r="M222" s="382"/>
      <c r="N222" s="382"/>
      <c r="O222" s="382"/>
      <c r="P222" s="382"/>
      <c r="Q222" s="383"/>
      <c r="R222" s="382"/>
      <c r="S222" s="357"/>
      <c r="T222" s="382"/>
      <c r="U222" s="382"/>
      <c r="V222" s="381"/>
      <c r="W222" s="382"/>
      <c r="X222" s="382"/>
      <c r="Y222" s="382"/>
      <c r="Z222" s="382"/>
      <c r="AA222" s="382"/>
      <c r="AB222" s="382"/>
      <c r="AC222" s="381"/>
      <c r="AD222" s="382"/>
      <c r="AE222" s="382"/>
      <c r="AF222" s="382"/>
      <c r="AG222" s="382"/>
      <c r="AH222" s="382"/>
      <c r="AI222" s="382"/>
      <c r="AJ222" s="382"/>
      <c r="AK222" s="382"/>
      <c r="AL222" s="334"/>
    </row>
    <row r="223" spans="1:38" ht="12">
      <c r="A223" s="337"/>
      <c r="D223" s="360"/>
      <c r="F223" s="418">
        <v>1</v>
      </c>
      <c r="G223" s="419" t="s">
        <v>801</v>
      </c>
      <c r="H223" s="381"/>
      <c r="I223" s="381"/>
      <c r="J223" s="382"/>
      <c r="K223" s="382"/>
      <c r="L223" s="382"/>
      <c r="M223" s="382"/>
      <c r="N223" s="382"/>
      <c r="O223" s="382"/>
      <c r="P223" s="382"/>
      <c r="Q223" s="383"/>
      <c r="R223" s="382"/>
      <c r="S223" s="357"/>
      <c r="T223" s="382"/>
      <c r="U223" s="382"/>
      <c r="V223" s="381"/>
      <c r="W223" s="382"/>
      <c r="X223" s="382"/>
      <c r="Y223" s="382"/>
      <c r="Z223" s="382"/>
      <c r="AA223" s="382"/>
      <c r="AB223" s="382"/>
      <c r="AC223" s="381"/>
      <c r="AD223" s="382"/>
      <c r="AE223" s="382"/>
      <c r="AF223" s="382"/>
      <c r="AG223" s="382"/>
      <c r="AH223" s="382"/>
      <c r="AI223" s="382"/>
      <c r="AJ223" s="382"/>
      <c r="AK223" s="382"/>
      <c r="AL223" s="334"/>
    </row>
    <row r="224" spans="1:38" ht="12">
      <c r="A224" s="337"/>
      <c r="D224" s="360" t="s">
        <v>737</v>
      </c>
      <c r="F224" s="357">
        <v>16599525</v>
      </c>
      <c r="G224" s="381"/>
      <c r="H224" s="381"/>
      <c r="I224" s="381"/>
      <c r="J224" s="382"/>
      <c r="K224" s="382"/>
      <c r="L224" s="382"/>
      <c r="M224" s="382"/>
      <c r="N224" s="382"/>
      <c r="O224" s="382"/>
      <c r="P224" s="382"/>
      <c r="Q224" s="383"/>
      <c r="R224" s="382"/>
      <c r="S224" s="357"/>
      <c r="T224" s="382"/>
      <c r="U224" s="382"/>
      <c r="V224" s="381"/>
      <c r="W224" s="382"/>
      <c r="X224" s="382"/>
      <c r="Y224" s="382"/>
      <c r="Z224" s="382"/>
      <c r="AA224" s="382"/>
      <c r="AB224" s="382"/>
      <c r="AC224" s="381"/>
      <c r="AD224" s="382"/>
      <c r="AE224" s="382"/>
      <c r="AF224" s="382"/>
      <c r="AG224" s="382"/>
      <c r="AH224" s="382"/>
      <c r="AI224" s="382"/>
      <c r="AJ224" s="382"/>
      <c r="AK224" s="382"/>
      <c r="AL224" s="334"/>
    </row>
    <row r="225" spans="1:38" ht="12">
      <c r="A225" s="337"/>
      <c r="D225" s="360" t="s">
        <v>738</v>
      </c>
      <c r="F225" s="394">
        <v>16068340</v>
      </c>
      <c r="G225" s="381" t="s">
        <v>802</v>
      </c>
      <c r="H225" s="381"/>
      <c r="I225" s="381"/>
      <c r="J225" s="382"/>
      <c r="K225" s="382"/>
      <c r="L225" s="382"/>
      <c r="M225" s="382"/>
      <c r="N225" s="382"/>
      <c r="O225" s="382"/>
      <c r="P225" s="382"/>
      <c r="Q225" s="383"/>
      <c r="R225" s="382"/>
      <c r="S225" s="357"/>
      <c r="T225" s="382"/>
      <c r="U225" s="382"/>
      <c r="V225" s="381"/>
      <c r="W225" s="382"/>
      <c r="X225" s="382"/>
      <c r="Y225" s="382"/>
      <c r="Z225" s="382"/>
      <c r="AA225" s="382"/>
      <c r="AB225" s="382"/>
      <c r="AC225" s="381"/>
      <c r="AD225" s="382"/>
      <c r="AE225" s="382"/>
      <c r="AF225" s="382"/>
      <c r="AG225" s="382"/>
      <c r="AH225" s="382"/>
      <c r="AI225" s="382"/>
      <c r="AJ225" s="382"/>
      <c r="AK225" s="382"/>
      <c r="AL225" s="334"/>
    </row>
    <row r="226" spans="1:38" ht="12">
      <c r="A226" s="337"/>
      <c r="D226" s="350" t="s">
        <v>803</v>
      </c>
      <c r="E226" s="299"/>
      <c r="F226" s="388">
        <f>F224-F225</f>
        <v>531185</v>
      </c>
      <c r="G226" s="381" t="s">
        <v>804</v>
      </c>
      <c r="H226" s="381"/>
      <c r="I226" s="381"/>
      <c r="J226" s="382"/>
      <c r="K226" s="382"/>
      <c r="L226" s="382"/>
      <c r="M226" s="382"/>
      <c r="N226" s="382"/>
      <c r="O226" s="382"/>
      <c r="P226" s="382"/>
      <c r="Q226" s="383"/>
      <c r="R226" s="382"/>
      <c r="S226" s="357"/>
      <c r="T226" s="382"/>
      <c r="U226" s="382"/>
      <c r="V226" s="381"/>
      <c r="W226" s="382"/>
      <c r="X226" s="382"/>
      <c r="Y226" s="382"/>
      <c r="Z226" s="382"/>
      <c r="AA226" s="382"/>
      <c r="AB226" s="382"/>
      <c r="AC226" s="381"/>
      <c r="AD226" s="382"/>
      <c r="AE226" s="382"/>
      <c r="AF226" s="382"/>
      <c r="AG226" s="382"/>
      <c r="AH226" s="382"/>
      <c r="AI226" s="382"/>
      <c r="AJ226" s="382"/>
      <c r="AK226" s="382"/>
      <c r="AL226" s="334"/>
    </row>
    <row r="227" spans="1:38" ht="12">
      <c r="A227" s="337"/>
      <c r="F227" s="357"/>
      <c r="G227" s="381"/>
      <c r="H227" s="381"/>
      <c r="I227" s="381"/>
      <c r="J227" s="382"/>
      <c r="K227" s="382"/>
      <c r="L227" s="382"/>
      <c r="M227" s="382"/>
      <c r="N227" s="382"/>
      <c r="O227" s="382"/>
      <c r="P227" s="382"/>
      <c r="Q227" s="383"/>
      <c r="R227" s="382"/>
      <c r="S227" s="357"/>
      <c r="T227" s="382"/>
      <c r="U227" s="382"/>
      <c r="V227" s="381"/>
      <c r="W227" s="382"/>
      <c r="X227" s="382"/>
      <c r="Y227" s="382"/>
      <c r="Z227" s="382"/>
      <c r="AA227" s="382"/>
      <c r="AB227" s="382"/>
      <c r="AC227" s="381"/>
      <c r="AD227" s="382"/>
      <c r="AE227" s="382"/>
      <c r="AF227" s="382"/>
      <c r="AG227" s="382"/>
      <c r="AH227" s="382"/>
      <c r="AI227" s="382"/>
      <c r="AJ227" s="382"/>
      <c r="AK227" s="382"/>
      <c r="AL227" s="334"/>
    </row>
    <row r="228" spans="1:38" ht="12">
      <c r="A228" s="337"/>
      <c r="D228" s="448" t="s">
        <v>805</v>
      </c>
      <c r="F228" s="357"/>
      <c r="G228" s="381"/>
      <c r="H228" s="381"/>
      <c r="I228" s="381"/>
      <c r="J228" s="382"/>
      <c r="K228" s="382"/>
      <c r="L228" s="382"/>
      <c r="M228" s="382"/>
      <c r="N228" s="382"/>
      <c r="O228" s="382"/>
      <c r="P228" s="382"/>
      <c r="Q228" s="383"/>
      <c r="R228" s="382"/>
      <c r="S228" s="357"/>
      <c r="T228" s="382"/>
      <c r="U228" s="382"/>
      <c r="V228" s="381"/>
      <c r="W228" s="382"/>
      <c r="X228" s="382"/>
      <c r="Y228" s="382"/>
      <c r="Z228" s="382"/>
      <c r="AA228" s="382"/>
      <c r="AB228" s="382"/>
      <c r="AC228" s="381"/>
      <c r="AD228" s="382"/>
      <c r="AE228" s="382"/>
      <c r="AF228" s="382"/>
      <c r="AG228" s="382"/>
      <c r="AH228" s="382"/>
      <c r="AI228" s="382"/>
      <c r="AJ228" s="382"/>
      <c r="AK228" s="382"/>
      <c r="AL228" s="334"/>
    </row>
    <row r="229" spans="1:38" ht="12">
      <c r="A229" s="337"/>
      <c r="D229" s="448" t="s">
        <v>806</v>
      </c>
      <c r="F229" s="357"/>
      <c r="G229" s="381"/>
      <c r="H229" s="381"/>
      <c r="I229" s="381"/>
      <c r="J229" s="382"/>
      <c r="K229" s="382"/>
      <c r="L229" s="382"/>
      <c r="M229" s="382"/>
      <c r="N229" s="382"/>
      <c r="O229" s="382"/>
      <c r="P229" s="382"/>
      <c r="Q229" s="383"/>
      <c r="R229" s="382"/>
      <c r="S229" s="357"/>
      <c r="T229" s="382"/>
      <c r="U229" s="382"/>
      <c r="V229" s="381"/>
      <c r="W229" s="382"/>
      <c r="X229" s="382"/>
      <c r="Y229" s="382"/>
      <c r="Z229" s="382"/>
      <c r="AA229" s="382"/>
      <c r="AB229" s="382"/>
      <c r="AC229" s="381"/>
      <c r="AD229" s="382"/>
      <c r="AE229" s="382"/>
      <c r="AF229" s="382"/>
      <c r="AG229" s="382"/>
      <c r="AH229" s="382"/>
      <c r="AI229" s="382"/>
      <c r="AJ229" s="382"/>
      <c r="AK229" s="382"/>
      <c r="AL229" s="334"/>
    </row>
    <row r="230" spans="1:38" ht="12">
      <c r="A230" s="344"/>
      <c r="B230" s="352"/>
      <c r="C230" s="352"/>
      <c r="D230" s="352"/>
      <c r="E230" s="352"/>
      <c r="F230" s="394"/>
      <c r="G230" s="395"/>
      <c r="H230" s="381"/>
      <c r="I230" s="381"/>
      <c r="J230" s="382"/>
      <c r="K230" s="382"/>
      <c r="L230" s="382"/>
      <c r="M230" s="382"/>
      <c r="N230" s="382"/>
      <c r="O230" s="382"/>
      <c r="P230" s="382"/>
      <c r="Q230" s="383"/>
      <c r="R230" s="382"/>
      <c r="S230" s="357"/>
      <c r="T230" s="382"/>
      <c r="U230" s="382"/>
      <c r="V230" s="381"/>
      <c r="W230" s="382"/>
      <c r="X230" s="382"/>
      <c r="Y230" s="382"/>
      <c r="Z230" s="382"/>
      <c r="AA230" s="382"/>
      <c r="AB230" s="382"/>
      <c r="AC230" s="357"/>
      <c r="AD230" s="382"/>
      <c r="AE230" s="382"/>
      <c r="AF230" s="382"/>
      <c r="AG230" s="382"/>
      <c r="AH230" s="382"/>
      <c r="AI230" s="382"/>
      <c r="AJ230" s="382"/>
      <c r="AK230" s="382"/>
      <c r="AL230" s="334"/>
    </row>
    <row r="231" spans="1:81" s="360" customFormat="1" ht="12">
      <c r="A231" s="396"/>
      <c r="B231" s="360" t="s">
        <v>27</v>
      </c>
      <c r="C231" s="359"/>
      <c r="D231" s="359"/>
      <c r="F231" s="418"/>
      <c r="G231" s="381"/>
      <c r="H231" s="381"/>
      <c r="I231" s="381"/>
      <c r="J231" s="382"/>
      <c r="K231" s="382"/>
      <c r="L231" s="382"/>
      <c r="M231" s="382"/>
      <c r="N231" s="382"/>
      <c r="O231" s="382"/>
      <c r="P231" s="382"/>
      <c r="Q231" s="383"/>
      <c r="R231" s="381"/>
      <c r="S231" s="357"/>
      <c r="T231" s="382"/>
      <c r="U231" s="382"/>
      <c r="V231" s="381"/>
      <c r="W231" s="382"/>
      <c r="X231" s="382"/>
      <c r="Y231" s="382"/>
      <c r="Z231" s="382"/>
      <c r="AA231" s="382"/>
      <c r="AB231" s="382"/>
      <c r="AC231" s="381"/>
      <c r="AD231" s="382"/>
      <c r="AE231" s="382"/>
      <c r="AF231" s="382"/>
      <c r="AG231" s="382"/>
      <c r="AH231" s="382"/>
      <c r="AI231" s="382"/>
      <c r="AJ231" s="382"/>
      <c r="AK231" s="382"/>
      <c r="AL231" s="382"/>
      <c r="AM231" s="301"/>
      <c r="AN231" s="357"/>
      <c r="AO231" s="357"/>
      <c r="AP231" s="357"/>
      <c r="AQ231" s="357"/>
      <c r="AR231" s="357"/>
      <c r="AS231" s="357"/>
      <c r="AT231" s="357"/>
      <c r="AU231" s="357"/>
      <c r="AV231" s="357"/>
      <c r="AW231" s="357"/>
      <c r="AX231" s="357"/>
      <c r="AY231" s="357"/>
      <c r="AZ231" s="357"/>
      <c r="BA231" s="357"/>
      <c r="BB231" s="357"/>
      <c r="BC231" s="357"/>
      <c r="BD231" s="357"/>
      <c r="BE231" s="358"/>
      <c r="BF231" s="358"/>
      <c r="BG231" s="358"/>
      <c r="BH231" s="358"/>
      <c r="BI231" s="358"/>
      <c r="BJ231" s="358"/>
      <c r="BK231" s="358"/>
      <c r="BL231" s="358"/>
      <c r="BM231" s="358"/>
      <c r="BN231" s="358"/>
      <c r="BO231" s="358"/>
      <c r="BP231" s="358"/>
      <c r="BQ231" s="358"/>
      <c r="BR231" s="358"/>
      <c r="BS231" s="358"/>
      <c r="BT231" s="359"/>
      <c r="BU231" s="359"/>
      <c r="BV231" s="359"/>
      <c r="BW231" s="359"/>
      <c r="BX231" s="359"/>
      <c r="BY231" s="359"/>
      <c r="BZ231" s="359"/>
      <c r="CA231" s="359"/>
      <c r="CB231" s="359"/>
      <c r="CC231" s="359"/>
    </row>
    <row r="232" spans="1:81" s="360" customFormat="1" ht="12">
      <c r="A232" s="396" t="s">
        <v>807</v>
      </c>
      <c r="C232" s="360" t="s">
        <v>623</v>
      </c>
      <c r="D232" s="449" t="s">
        <v>808</v>
      </c>
      <c r="F232" s="357">
        <v>1960098</v>
      </c>
      <c r="G232" s="424"/>
      <c r="H232" s="381"/>
      <c r="I232" s="381"/>
      <c r="J232" s="381"/>
      <c r="K232" s="381"/>
      <c r="L232" s="381"/>
      <c r="M232" s="381">
        <f>+F232</f>
        <v>1960098</v>
      </c>
      <c r="N232" s="381"/>
      <c r="O232" s="381"/>
      <c r="P232" s="381"/>
      <c r="Q232" s="357"/>
      <c r="R232" s="382"/>
      <c r="S232" s="357"/>
      <c r="T232" s="382"/>
      <c r="U232" s="382"/>
      <c r="V232" s="381"/>
      <c r="W232" s="382"/>
      <c r="X232" s="381"/>
      <c r="Y232" s="381"/>
      <c r="Z232" s="381"/>
      <c r="AA232" s="381"/>
      <c r="AB232" s="381"/>
      <c r="AC232" s="381"/>
      <c r="AD232" s="381"/>
      <c r="AE232" s="381"/>
      <c r="AF232" s="381"/>
      <c r="AG232" s="381"/>
      <c r="AH232" s="381"/>
      <c r="AI232" s="381"/>
      <c r="AJ232" s="381"/>
      <c r="AK232" s="381"/>
      <c r="AL232" s="381"/>
      <c r="AM232" s="301"/>
      <c r="AN232" s="357"/>
      <c r="AO232" s="357"/>
      <c r="AP232" s="357"/>
      <c r="AQ232" s="357"/>
      <c r="AR232" s="357"/>
      <c r="AS232" s="357"/>
      <c r="AT232" s="357"/>
      <c r="AU232" s="357"/>
      <c r="AV232" s="357"/>
      <c r="AW232" s="357"/>
      <c r="AX232" s="357"/>
      <c r="AY232" s="357"/>
      <c r="AZ232" s="357"/>
      <c r="BA232" s="357"/>
      <c r="BB232" s="357"/>
      <c r="BC232" s="357"/>
      <c r="BD232" s="357"/>
      <c r="BE232" s="358"/>
      <c r="BF232" s="358"/>
      <c r="BG232" s="358"/>
      <c r="BH232" s="358"/>
      <c r="BI232" s="358"/>
      <c r="BJ232" s="358"/>
      <c r="BK232" s="358"/>
      <c r="BL232" s="358"/>
      <c r="BM232" s="358"/>
      <c r="BN232" s="358"/>
      <c r="BO232" s="358"/>
      <c r="BP232" s="358"/>
      <c r="BQ232" s="358"/>
      <c r="BR232" s="358"/>
      <c r="BS232" s="358"/>
      <c r="BT232" s="359"/>
      <c r="BU232" s="359"/>
      <c r="BV232" s="359"/>
      <c r="BW232" s="359"/>
      <c r="BX232" s="359"/>
      <c r="BY232" s="359"/>
      <c r="BZ232" s="359"/>
      <c r="CA232" s="359"/>
      <c r="CB232" s="359"/>
      <c r="CC232" s="359"/>
    </row>
    <row r="233" spans="1:81" s="360" customFormat="1" ht="12">
      <c r="A233" s="396"/>
      <c r="C233" s="360" t="s">
        <v>623</v>
      </c>
      <c r="D233" s="449" t="s">
        <v>809</v>
      </c>
      <c r="F233" s="357">
        <v>784039</v>
      </c>
      <c r="G233" s="424"/>
      <c r="H233" s="381"/>
      <c r="I233" s="381"/>
      <c r="J233" s="381"/>
      <c r="K233" s="381"/>
      <c r="L233" s="381"/>
      <c r="M233" s="381">
        <f>+F233</f>
        <v>784039</v>
      </c>
      <c r="N233" s="381"/>
      <c r="O233" s="381"/>
      <c r="P233" s="381"/>
      <c r="Q233" s="357"/>
      <c r="R233" s="382"/>
      <c r="S233" s="357"/>
      <c r="T233" s="382"/>
      <c r="U233" s="382"/>
      <c r="V233" s="381"/>
      <c r="W233" s="382"/>
      <c r="X233" s="381"/>
      <c r="Y233" s="381"/>
      <c r="Z233" s="381"/>
      <c r="AA233" s="381"/>
      <c r="AB233" s="381"/>
      <c r="AC233" s="381"/>
      <c r="AD233" s="381"/>
      <c r="AE233" s="381"/>
      <c r="AF233" s="381"/>
      <c r="AG233" s="381"/>
      <c r="AH233" s="381"/>
      <c r="AI233" s="381"/>
      <c r="AJ233" s="381"/>
      <c r="AK233" s="381"/>
      <c r="AL233" s="381"/>
      <c r="AM233" s="301"/>
      <c r="AN233" s="357"/>
      <c r="AO233" s="357"/>
      <c r="AP233" s="357"/>
      <c r="AQ233" s="357"/>
      <c r="AR233" s="357"/>
      <c r="AS233" s="357"/>
      <c r="AT233" s="357"/>
      <c r="AU233" s="357"/>
      <c r="AV233" s="357"/>
      <c r="AW233" s="357"/>
      <c r="AX233" s="357"/>
      <c r="AY233" s="357"/>
      <c r="AZ233" s="357"/>
      <c r="BA233" s="357"/>
      <c r="BB233" s="357"/>
      <c r="BC233" s="357"/>
      <c r="BD233" s="357"/>
      <c r="BE233" s="358"/>
      <c r="BF233" s="358"/>
      <c r="BG233" s="358"/>
      <c r="BH233" s="358"/>
      <c r="BI233" s="358"/>
      <c r="BJ233" s="358"/>
      <c r="BK233" s="358"/>
      <c r="BL233" s="358"/>
      <c r="BM233" s="358"/>
      <c r="BN233" s="358"/>
      <c r="BO233" s="358"/>
      <c r="BP233" s="358"/>
      <c r="BQ233" s="358"/>
      <c r="BR233" s="358"/>
      <c r="BS233" s="358"/>
      <c r="BT233" s="359"/>
      <c r="BU233" s="359"/>
      <c r="BV233" s="359"/>
      <c r="BW233" s="359"/>
      <c r="BX233" s="359"/>
      <c r="BY233" s="359"/>
      <c r="BZ233" s="359"/>
      <c r="CA233" s="359"/>
      <c r="CB233" s="359"/>
      <c r="CC233" s="359"/>
    </row>
    <row r="234" spans="1:81" s="360" customFormat="1" ht="12">
      <c r="A234" s="396"/>
      <c r="C234" s="359" t="s">
        <v>624</v>
      </c>
      <c r="D234" s="360" t="s">
        <v>810</v>
      </c>
      <c r="F234" s="418"/>
      <c r="G234" s="381">
        <f>(1411271+564508+2056423)*0.49</f>
        <v>1975778.98</v>
      </c>
      <c r="H234" s="381"/>
      <c r="I234" s="381">
        <f>-G234</f>
        <v>-1975778.98</v>
      </c>
      <c r="J234" s="381"/>
      <c r="K234" s="381"/>
      <c r="L234" s="381"/>
      <c r="M234" s="381"/>
      <c r="N234" s="381"/>
      <c r="O234" s="381"/>
      <c r="P234" s="381"/>
      <c r="Q234" s="357"/>
      <c r="R234" s="382"/>
      <c r="S234" s="357"/>
      <c r="T234" s="382"/>
      <c r="U234" s="382"/>
      <c r="V234" s="381"/>
      <c r="W234" s="382"/>
      <c r="X234" s="381"/>
      <c r="Y234" s="381"/>
      <c r="Z234" s="381"/>
      <c r="AA234" s="381"/>
      <c r="AB234" s="381"/>
      <c r="AC234" s="381"/>
      <c r="AD234" s="381"/>
      <c r="AE234" s="381"/>
      <c r="AF234" s="381"/>
      <c r="AG234" s="381"/>
      <c r="AH234" s="381"/>
      <c r="AI234" s="381"/>
      <c r="AJ234" s="381"/>
      <c r="AK234" s="381"/>
      <c r="AL234" s="381"/>
      <c r="AM234" s="301"/>
      <c r="AN234" s="357"/>
      <c r="AO234" s="357"/>
      <c r="AP234" s="357"/>
      <c r="AQ234" s="357"/>
      <c r="AR234" s="357"/>
      <c r="AS234" s="357"/>
      <c r="AT234" s="357"/>
      <c r="AU234" s="357"/>
      <c r="AV234" s="357"/>
      <c r="AW234" s="357"/>
      <c r="AX234" s="357"/>
      <c r="AY234" s="357"/>
      <c r="AZ234" s="357"/>
      <c r="BA234" s="357"/>
      <c r="BB234" s="357"/>
      <c r="BC234" s="357"/>
      <c r="BD234" s="357"/>
      <c r="BE234" s="358"/>
      <c r="BF234" s="358"/>
      <c r="BG234" s="358"/>
      <c r="BH234" s="358"/>
      <c r="BI234" s="358"/>
      <c r="BJ234" s="358"/>
      <c r="BK234" s="358"/>
      <c r="BL234" s="358"/>
      <c r="BM234" s="358"/>
      <c r="BN234" s="358"/>
      <c r="BO234" s="358"/>
      <c r="BP234" s="358"/>
      <c r="BQ234" s="358"/>
      <c r="BR234" s="358"/>
      <c r="BS234" s="358"/>
      <c r="BT234" s="359"/>
      <c r="BU234" s="359"/>
      <c r="BV234" s="359"/>
      <c r="BW234" s="359"/>
      <c r="BX234" s="359"/>
      <c r="BY234" s="359"/>
      <c r="BZ234" s="359"/>
      <c r="CA234" s="359"/>
      <c r="CB234" s="359"/>
      <c r="CC234" s="359"/>
    </row>
    <row r="235" spans="1:81" s="360" customFormat="1" ht="12">
      <c r="A235" s="396"/>
      <c r="C235" s="360" t="s">
        <v>811</v>
      </c>
      <c r="D235" s="449" t="s">
        <v>812</v>
      </c>
      <c r="F235" s="418"/>
      <c r="G235" s="427">
        <f>219531+548827</f>
        <v>768358</v>
      </c>
      <c r="H235" s="381"/>
      <c r="I235" s="381"/>
      <c r="J235" s="381"/>
      <c r="K235" s="381"/>
      <c r="L235" s="381"/>
      <c r="M235" s="427">
        <f>-G235</f>
        <v>-768358</v>
      </c>
      <c r="N235" s="381"/>
      <c r="O235" s="381"/>
      <c r="P235" s="381"/>
      <c r="Q235" s="357"/>
      <c r="R235" s="382"/>
      <c r="S235" s="357"/>
      <c r="T235" s="382"/>
      <c r="U235" s="382"/>
      <c r="V235" s="381"/>
      <c r="W235" s="382"/>
      <c r="X235" s="381"/>
      <c r="Y235" s="381"/>
      <c r="Z235" s="381"/>
      <c r="AA235" s="381"/>
      <c r="AB235" s="381"/>
      <c r="AC235" s="381"/>
      <c r="AD235" s="381"/>
      <c r="AE235" s="381"/>
      <c r="AF235" s="381"/>
      <c r="AG235" s="381"/>
      <c r="AH235" s="381"/>
      <c r="AI235" s="381"/>
      <c r="AJ235" s="381"/>
      <c r="AK235" s="381"/>
      <c r="AL235" s="381"/>
      <c r="AM235" s="301"/>
      <c r="AN235" s="357"/>
      <c r="AO235" s="357"/>
      <c r="AP235" s="357"/>
      <c r="AQ235" s="357"/>
      <c r="AR235" s="357"/>
      <c r="AS235" s="357"/>
      <c r="AT235" s="357"/>
      <c r="AU235" s="357"/>
      <c r="AV235" s="357"/>
      <c r="AW235" s="357"/>
      <c r="AX235" s="357"/>
      <c r="AY235" s="357"/>
      <c r="AZ235" s="357"/>
      <c r="BA235" s="357"/>
      <c r="BB235" s="357"/>
      <c r="BC235" s="357"/>
      <c r="BD235" s="357"/>
      <c r="BE235" s="358"/>
      <c r="BF235" s="358"/>
      <c r="BG235" s="358"/>
      <c r="BH235" s="358"/>
      <c r="BI235" s="358"/>
      <c r="BJ235" s="358"/>
      <c r="BK235" s="358"/>
      <c r="BL235" s="358"/>
      <c r="BM235" s="358"/>
      <c r="BN235" s="358"/>
      <c r="BO235" s="358"/>
      <c r="BP235" s="358"/>
      <c r="BQ235" s="358"/>
      <c r="BR235" s="358"/>
      <c r="BS235" s="358"/>
      <c r="BT235" s="359"/>
      <c r="BU235" s="359"/>
      <c r="BV235" s="359"/>
      <c r="BW235" s="359"/>
      <c r="BX235" s="359"/>
      <c r="BY235" s="359"/>
      <c r="BZ235" s="359"/>
      <c r="CA235" s="359"/>
      <c r="CB235" s="359"/>
      <c r="CC235" s="359"/>
    </row>
    <row r="236" spans="1:81" s="360" customFormat="1" ht="12.75" thickBot="1">
      <c r="A236" s="396"/>
      <c r="D236" s="449"/>
      <c r="F236" s="404">
        <f>SUM(F232:F235)</f>
        <v>2744137</v>
      </c>
      <c r="G236" s="405">
        <f>SUM(G232:G235)</f>
        <v>2744136.98</v>
      </c>
      <c r="H236" s="381"/>
      <c r="I236" s="381"/>
      <c r="J236" s="381"/>
      <c r="K236" s="381"/>
      <c r="L236" s="381"/>
      <c r="M236" s="381"/>
      <c r="N236" s="381"/>
      <c r="O236" s="381"/>
      <c r="P236" s="381"/>
      <c r="Q236" s="357"/>
      <c r="R236" s="382"/>
      <c r="S236" s="357"/>
      <c r="T236" s="382"/>
      <c r="U236" s="382"/>
      <c r="V236" s="381"/>
      <c r="W236" s="382"/>
      <c r="X236" s="381"/>
      <c r="Y236" s="381"/>
      <c r="Z236" s="381"/>
      <c r="AA236" s="381"/>
      <c r="AB236" s="381"/>
      <c r="AC236" s="381"/>
      <c r="AD236" s="381"/>
      <c r="AE236" s="381"/>
      <c r="AF236" s="381"/>
      <c r="AG236" s="381"/>
      <c r="AH236" s="381"/>
      <c r="AI236" s="381"/>
      <c r="AJ236" s="381"/>
      <c r="AK236" s="381"/>
      <c r="AL236" s="381"/>
      <c r="AM236" s="301"/>
      <c r="AN236" s="357"/>
      <c r="AO236" s="357"/>
      <c r="AP236" s="357"/>
      <c r="AQ236" s="357"/>
      <c r="AR236" s="357"/>
      <c r="AS236" s="357"/>
      <c r="AT236" s="357"/>
      <c r="AU236" s="357"/>
      <c r="AV236" s="357"/>
      <c r="AW236" s="357"/>
      <c r="AX236" s="357"/>
      <c r="AY236" s="357"/>
      <c r="AZ236" s="357"/>
      <c r="BA236" s="357"/>
      <c r="BB236" s="357"/>
      <c r="BC236" s="357"/>
      <c r="BD236" s="357"/>
      <c r="BE236" s="358"/>
      <c r="BF236" s="358"/>
      <c r="BG236" s="358"/>
      <c r="BH236" s="358"/>
      <c r="BI236" s="358"/>
      <c r="BJ236" s="358"/>
      <c r="BK236" s="358"/>
      <c r="BL236" s="358"/>
      <c r="BM236" s="358"/>
      <c r="BN236" s="358"/>
      <c r="BO236" s="358"/>
      <c r="BP236" s="358"/>
      <c r="BQ236" s="358"/>
      <c r="BR236" s="358"/>
      <c r="BS236" s="358"/>
      <c r="BT236" s="359"/>
      <c r="BU236" s="359"/>
      <c r="BV236" s="359"/>
      <c r="BW236" s="359"/>
      <c r="BX236" s="359"/>
      <c r="BY236" s="359"/>
      <c r="BZ236" s="359"/>
      <c r="CA236" s="359"/>
      <c r="CB236" s="359"/>
      <c r="CC236" s="359"/>
    </row>
    <row r="237" spans="1:81" s="360" customFormat="1" ht="12.75" thickTop="1">
      <c r="A237" s="396"/>
      <c r="D237" s="449"/>
      <c r="F237" s="418"/>
      <c r="G237" s="424"/>
      <c r="H237" s="381"/>
      <c r="I237" s="381"/>
      <c r="J237" s="381"/>
      <c r="K237" s="381"/>
      <c r="L237" s="381"/>
      <c r="M237" s="381"/>
      <c r="N237" s="381"/>
      <c r="O237" s="381"/>
      <c r="P237" s="381"/>
      <c r="Q237" s="357"/>
      <c r="R237" s="382"/>
      <c r="S237" s="357"/>
      <c r="T237" s="382"/>
      <c r="U237" s="382"/>
      <c r="V237" s="381"/>
      <c r="W237" s="382"/>
      <c r="X237" s="381"/>
      <c r="Y237" s="381"/>
      <c r="Z237" s="381"/>
      <c r="AA237" s="381"/>
      <c r="AB237" s="381"/>
      <c r="AC237" s="381"/>
      <c r="AD237" s="381"/>
      <c r="AE237" s="381"/>
      <c r="AF237" s="381"/>
      <c r="AG237" s="381"/>
      <c r="AH237" s="381"/>
      <c r="AI237" s="381"/>
      <c r="AJ237" s="381"/>
      <c r="AK237" s="381"/>
      <c r="AL237" s="381"/>
      <c r="AM237" s="301"/>
      <c r="AN237" s="357"/>
      <c r="AO237" s="357"/>
      <c r="AP237" s="357"/>
      <c r="AQ237" s="357"/>
      <c r="AR237" s="357"/>
      <c r="AS237" s="357"/>
      <c r="AT237" s="357"/>
      <c r="AU237" s="357"/>
      <c r="AV237" s="357"/>
      <c r="AW237" s="357"/>
      <c r="AX237" s="357"/>
      <c r="AY237" s="357"/>
      <c r="AZ237" s="357"/>
      <c r="BA237" s="357"/>
      <c r="BB237" s="357"/>
      <c r="BC237" s="357"/>
      <c r="BD237" s="357"/>
      <c r="BE237" s="358"/>
      <c r="BF237" s="358"/>
      <c r="BG237" s="358"/>
      <c r="BH237" s="358"/>
      <c r="BI237" s="358"/>
      <c r="BJ237" s="358"/>
      <c r="BK237" s="358"/>
      <c r="BL237" s="358"/>
      <c r="BM237" s="358"/>
      <c r="BN237" s="358"/>
      <c r="BO237" s="358"/>
      <c r="BP237" s="358"/>
      <c r="BQ237" s="358"/>
      <c r="BR237" s="358"/>
      <c r="BS237" s="358"/>
      <c r="BT237" s="359"/>
      <c r="BU237" s="359"/>
      <c r="BV237" s="359"/>
      <c r="BW237" s="359"/>
      <c r="BX237" s="359"/>
      <c r="BY237" s="359"/>
      <c r="BZ237" s="359"/>
      <c r="CA237" s="359"/>
      <c r="CB237" s="359"/>
      <c r="CC237" s="359"/>
    </row>
    <row r="238" spans="1:81" s="360" customFormat="1" ht="12">
      <c r="A238" s="396"/>
      <c r="D238" s="449" t="s">
        <v>813</v>
      </c>
      <c r="F238" s="418"/>
      <c r="G238" s="424"/>
      <c r="H238" s="381"/>
      <c r="I238" s="381"/>
      <c r="J238" s="381"/>
      <c r="K238" s="381"/>
      <c r="L238" s="381"/>
      <c r="M238" s="381"/>
      <c r="N238" s="381"/>
      <c r="O238" s="381"/>
      <c r="P238" s="381"/>
      <c r="Q238" s="357"/>
      <c r="R238" s="382"/>
      <c r="S238" s="357"/>
      <c r="T238" s="382"/>
      <c r="U238" s="382"/>
      <c r="V238" s="381"/>
      <c r="W238" s="382"/>
      <c r="X238" s="381"/>
      <c r="Y238" s="381"/>
      <c r="Z238" s="381"/>
      <c r="AA238" s="381"/>
      <c r="AB238" s="381"/>
      <c r="AC238" s="381"/>
      <c r="AD238" s="381"/>
      <c r="AE238" s="381"/>
      <c r="AF238" s="381"/>
      <c r="AG238" s="381"/>
      <c r="AH238" s="381"/>
      <c r="AI238" s="381"/>
      <c r="AJ238" s="381"/>
      <c r="AK238" s="381"/>
      <c r="AL238" s="381"/>
      <c r="AM238" s="301"/>
      <c r="AN238" s="357"/>
      <c r="AO238" s="357"/>
      <c r="AP238" s="357"/>
      <c r="AQ238" s="357"/>
      <c r="AR238" s="357"/>
      <c r="AS238" s="357"/>
      <c r="AT238" s="357"/>
      <c r="AU238" s="357"/>
      <c r="AV238" s="357"/>
      <c r="AW238" s="357"/>
      <c r="AX238" s="357"/>
      <c r="AY238" s="357"/>
      <c r="AZ238" s="357"/>
      <c r="BA238" s="357"/>
      <c r="BB238" s="357"/>
      <c r="BC238" s="357"/>
      <c r="BD238" s="357"/>
      <c r="BE238" s="358"/>
      <c r="BF238" s="358"/>
      <c r="BG238" s="358"/>
      <c r="BH238" s="358"/>
      <c r="BI238" s="358"/>
      <c r="BJ238" s="358"/>
      <c r="BK238" s="358"/>
      <c r="BL238" s="358"/>
      <c r="BM238" s="358"/>
      <c r="BN238" s="358"/>
      <c r="BO238" s="358"/>
      <c r="BP238" s="358"/>
      <c r="BQ238" s="358"/>
      <c r="BR238" s="358"/>
      <c r="BS238" s="358"/>
      <c r="BT238" s="359"/>
      <c r="BU238" s="359"/>
      <c r="BV238" s="359"/>
      <c r="BW238" s="359"/>
      <c r="BX238" s="359"/>
      <c r="BY238" s="359"/>
      <c r="BZ238" s="359"/>
      <c r="CA238" s="359"/>
      <c r="CB238" s="359"/>
      <c r="CC238" s="359"/>
    </row>
    <row r="239" spans="1:81" s="360" customFormat="1" ht="12">
      <c r="A239" s="396"/>
      <c r="D239" s="449" t="s">
        <v>814</v>
      </c>
      <c r="F239" s="418"/>
      <c r="G239" s="424"/>
      <c r="H239" s="381"/>
      <c r="I239" s="381"/>
      <c r="J239" s="381"/>
      <c r="K239" s="381"/>
      <c r="L239" s="381"/>
      <c r="M239" s="381"/>
      <c r="N239" s="381"/>
      <c r="O239" s="381"/>
      <c r="P239" s="381"/>
      <c r="Q239" s="357"/>
      <c r="R239" s="382"/>
      <c r="S239" s="357"/>
      <c r="T239" s="382"/>
      <c r="U239" s="382"/>
      <c r="V239" s="381"/>
      <c r="W239" s="382"/>
      <c r="X239" s="381"/>
      <c r="Y239" s="381"/>
      <c r="Z239" s="381"/>
      <c r="AA239" s="381"/>
      <c r="AB239" s="381"/>
      <c r="AC239" s="381"/>
      <c r="AD239" s="381"/>
      <c r="AE239" s="381"/>
      <c r="AF239" s="381"/>
      <c r="AG239" s="381"/>
      <c r="AH239" s="381"/>
      <c r="AI239" s="381"/>
      <c r="AJ239" s="381"/>
      <c r="AK239" s="381"/>
      <c r="AL239" s="381"/>
      <c r="AM239" s="301"/>
      <c r="AN239" s="357"/>
      <c r="AO239" s="357"/>
      <c r="AP239" s="357"/>
      <c r="AQ239" s="357"/>
      <c r="AR239" s="357"/>
      <c r="AS239" s="357"/>
      <c r="AT239" s="357"/>
      <c r="AU239" s="357"/>
      <c r="AV239" s="357"/>
      <c r="AW239" s="357"/>
      <c r="AX239" s="357"/>
      <c r="AY239" s="357"/>
      <c r="AZ239" s="357"/>
      <c r="BA239" s="357"/>
      <c r="BB239" s="357"/>
      <c r="BC239" s="357"/>
      <c r="BD239" s="357"/>
      <c r="BE239" s="358"/>
      <c r="BF239" s="358"/>
      <c r="BG239" s="358"/>
      <c r="BH239" s="358"/>
      <c r="BI239" s="358"/>
      <c r="BJ239" s="358"/>
      <c r="BK239" s="358"/>
      <c r="BL239" s="358"/>
      <c r="BM239" s="358"/>
      <c r="BN239" s="358"/>
      <c r="BO239" s="358"/>
      <c r="BP239" s="358"/>
      <c r="BQ239" s="358"/>
      <c r="BR239" s="358"/>
      <c r="BS239" s="358"/>
      <c r="BT239" s="359"/>
      <c r="BU239" s="359"/>
      <c r="BV239" s="359"/>
      <c r="BW239" s="359"/>
      <c r="BX239" s="359"/>
      <c r="BY239" s="359"/>
      <c r="BZ239" s="359"/>
      <c r="CA239" s="359"/>
      <c r="CB239" s="359"/>
      <c r="CC239" s="359"/>
    </row>
    <row r="240" spans="1:81" s="360" customFormat="1" ht="12">
      <c r="A240" s="396"/>
      <c r="D240" s="450"/>
      <c r="F240" s="418"/>
      <c r="G240" s="424"/>
      <c r="H240" s="381"/>
      <c r="I240" s="381"/>
      <c r="J240" s="381"/>
      <c r="K240" s="381"/>
      <c r="L240" s="381"/>
      <c r="M240" s="381"/>
      <c r="N240" s="381"/>
      <c r="O240" s="381"/>
      <c r="P240" s="381"/>
      <c r="Q240" s="357"/>
      <c r="R240" s="382"/>
      <c r="S240" s="357"/>
      <c r="T240" s="382"/>
      <c r="U240" s="382"/>
      <c r="V240" s="381"/>
      <c r="W240" s="382"/>
      <c r="X240" s="381"/>
      <c r="Y240" s="381"/>
      <c r="Z240" s="381"/>
      <c r="AA240" s="381"/>
      <c r="AB240" s="381"/>
      <c r="AC240" s="381"/>
      <c r="AD240" s="381"/>
      <c r="AE240" s="381"/>
      <c r="AF240" s="381"/>
      <c r="AG240" s="381"/>
      <c r="AH240" s="381"/>
      <c r="AI240" s="381"/>
      <c r="AJ240" s="381"/>
      <c r="AK240" s="381"/>
      <c r="AL240" s="381"/>
      <c r="AM240" s="301"/>
      <c r="AN240" s="357"/>
      <c r="AO240" s="357"/>
      <c r="AP240" s="357"/>
      <c r="AQ240" s="357"/>
      <c r="AR240" s="357"/>
      <c r="AS240" s="357"/>
      <c r="AT240" s="357"/>
      <c r="AU240" s="357"/>
      <c r="AV240" s="357"/>
      <c r="AW240" s="357"/>
      <c r="AX240" s="357"/>
      <c r="AY240" s="357"/>
      <c r="AZ240" s="357"/>
      <c r="BA240" s="357"/>
      <c r="BB240" s="357"/>
      <c r="BC240" s="357"/>
      <c r="BD240" s="357"/>
      <c r="BE240" s="358"/>
      <c r="BF240" s="358"/>
      <c r="BG240" s="358"/>
      <c r="BH240" s="358"/>
      <c r="BI240" s="358"/>
      <c r="BJ240" s="358"/>
      <c r="BK240" s="358"/>
      <c r="BL240" s="358"/>
      <c r="BM240" s="358"/>
      <c r="BN240" s="358"/>
      <c r="BO240" s="358"/>
      <c r="BP240" s="358"/>
      <c r="BQ240" s="358"/>
      <c r="BR240" s="358"/>
      <c r="BS240" s="358"/>
      <c r="BT240" s="359"/>
      <c r="BU240" s="359"/>
      <c r="BV240" s="359"/>
      <c r="BW240" s="359"/>
      <c r="BX240" s="359"/>
      <c r="BY240" s="359"/>
      <c r="BZ240" s="359"/>
      <c r="CA240" s="359"/>
      <c r="CB240" s="359"/>
      <c r="CC240" s="359"/>
    </row>
    <row r="241" spans="1:81" s="360" customFormat="1" ht="12">
      <c r="A241" s="412"/>
      <c r="B241" s="415"/>
      <c r="C241" s="415"/>
      <c r="D241" s="415"/>
      <c r="E241" s="415"/>
      <c r="F241" s="451"/>
      <c r="G241" s="452"/>
      <c r="H241" s="381"/>
      <c r="I241" s="381"/>
      <c r="J241" s="381"/>
      <c r="K241" s="381"/>
      <c r="L241" s="381"/>
      <c r="M241" s="381"/>
      <c r="N241" s="381"/>
      <c r="O241" s="381"/>
      <c r="P241" s="381"/>
      <c r="Q241" s="357"/>
      <c r="R241" s="382"/>
      <c r="S241" s="357"/>
      <c r="T241" s="382"/>
      <c r="U241" s="382"/>
      <c r="V241" s="381"/>
      <c r="W241" s="382"/>
      <c r="X241" s="381"/>
      <c r="Y241" s="381"/>
      <c r="Z241" s="381"/>
      <c r="AA241" s="381"/>
      <c r="AB241" s="381"/>
      <c r="AC241" s="381"/>
      <c r="AD241" s="381"/>
      <c r="AE241" s="381"/>
      <c r="AF241" s="381"/>
      <c r="AG241" s="381"/>
      <c r="AH241" s="381"/>
      <c r="AI241" s="381"/>
      <c r="AJ241" s="381"/>
      <c r="AK241" s="381"/>
      <c r="AL241" s="381"/>
      <c r="AM241" s="301"/>
      <c r="AN241" s="357"/>
      <c r="AO241" s="357"/>
      <c r="AP241" s="357"/>
      <c r="AQ241" s="357"/>
      <c r="AR241" s="357"/>
      <c r="AS241" s="357"/>
      <c r="AT241" s="357"/>
      <c r="AU241" s="357"/>
      <c r="AV241" s="357"/>
      <c r="AW241" s="357"/>
      <c r="AX241" s="357"/>
      <c r="AY241" s="357"/>
      <c r="AZ241" s="357"/>
      <c r="BA241" s="357"/>
      <c r="BB241" s="357"/>
      <c r="BC241" s="357"/>
      <c r="BD241" s="357"/>
      <c r="BE241" s="358"/>
      <c r="BF241" s="358"/>
      <c r="BG241" s="358"/>
      <c r="BH241" s="358"/>
      <c r="BI241" s="358"/>
      <c r="BJ241" s="358"/>
      <c r="BK241" s="358"/>
      <c r="BL241" s="358"/>
      <c r="BM241" s="358"/>
      <c r="BN241" s="358"/>
      <c r="BO241" s="358"/>
      <c r="BP241" s="358"/>
      <c r="BQ241" s="358"/>
      <c r="BR241" s="358"/>
      <c r="BS241" s="358"/>
      <c r="BT241" s="359"/>
      <c r="BU241" s="359"/>
      <c r="BV241" s="359"/>
      <c r="BW241" s="359"/>
      <c r="BX241" s="359"/>
      <c r="BY241" s="359"/>
      <c r="BZ241" s="359"/>
      <c r="CA241" s="359"/>
      <c r="CB241" s="359"/>
      <c r="CC241" s="359"/>
    </row>
    <row r="242" spans="1:38" ht="12">
      <c r="A242" s="337"/>
      <c r="F242" s="357"/>
      <c r="G242" s="409"/>
      <c r="H242" s="381"/>
      <c r="I242" s="381"/>
      <c r="J242" s="382"/>
      <c r="K242" s="382"/>
      <c r="L242" s="382"/>
      <c r="M242" s="382"/>
      <c r="N242" s="382"/>
      <c r="O242" s="382"/>
      <c r="P242" s="382"/>
      <c r="Q242" s="383"/>
      <c r="R242" s="382"/>
      <c r="S242" s="357"/>
      <c r="T242" s="382"/>
      <c r="U242" s="382"/>
      <c r="V242" s="381"/>
      <c r="W242" s="382"/>
      <c r="X242" s="382"/>
      <c r="Y242" s="382"/>
      <c r="Z242" s="382"/>
      <c r="AA242" s="382"/>
      <c r="AB242" s="382"/>
      <c r="AC242" s="381"/>
      <c r="AD242" s="382"/>
      <c r="AE242" s="382"/>
      <c r="AF242" s="382"/>
      <c r="AG242" s="382"/>
      <c r="AH242" s="382"/>
      <c r="AI242" s="382"/>
      <c r="AJ242" s="382"/>
      <c r="AK242" s="382"/>
      <c r="AL242" s="334"/>
    </row>
    <row r="243" spans="1:38" ht="12">
      <c r="A243" s="337" t="s">
        <v>815</v>
      </c>
      <c r="B243" s="342"/>
      <c r="C243" s="299" t="s">
        <v>816</v>
      </c>
      <c r="F243" s="357"/>
      <c r="G243" s="381"/>
      <c r="H243" s="381"/>
      <c r="I243" s="381"/>
      <c r="J243" s="382"/>
      <c r="K243" s="382"/>
      <c r="L243" s="382"/>
      <c r="M243" s="382"/>
      <c r="N243" s="382"/>
      <c r="O243" s="382"/>
      <c r="P243" s="382"/>
      <c r="Q243" s="383"/>
      <c r="R243" s="382"/>
      <c r="S243" s="357"/>
      <c r="T243" s="382"/>
      <c r="U243" s="382"/>
      <c r="V243" s="381"/>
      <c r="W243" s="382"/>
      <c r="X243" s="382"/>
      <c r="Y243" s="382"/>
      <c r="Z243" s="382"/>
      <c r="AA243" s="382"/>
      <c r="AB243" s="382"/>
      <c r="AC243" s="381"/>
      <c r="AD243" s="382"/>
      <c r="AE243" s="382"/>
      <c r="AF243" s="382"/>
      <c r="AG243" s="382"/>
      <c r="AH243" s="382"/>
      <c r="AI243" s="382"/>
      <c r="AJ243" s="382"/>
      <c r="AK243" s="382"/>
      <c r="AL243" s="334"/>
    </row>
    <row r="244" spans="1:38" ht="12">
      <c r="A244" s="337"/>
      <c r="B244" s="342"/>
      <c r="C244" s="300" t="s">
        <v>623</v>
      </c>
      <c r="D244" s="300" t="s">
        <v>744</v>
      </c>
      <c r="F244" s="357">
        <v>830536</v>
      </c>
      <c r="G244" s="381"/>
      <c r="H244" s="381"/>
      <c r="I244" s="381"/>
      <c r="J244" s="382"/>
      <c r="K244" s="382"/>
      <c r="L244" s="382"/>
      <c r="M244" s="382">
        <f>+F244</f>
        <v>830536</v>
      </c>
      <c r="N244" s="382"/>
      <c r="O244" s="382"/>
      <c r="P244" s="382"/>
      <c r="Q244" s="357"/>
      <c r="R244" s="382"/>
      <c r="S244" s="357"/>
      <c r="T244" s="382"/>
      <c r="U244" s="382"/>
      <c r="V244" s="381"/>
      <c r="W244" s="382"/>
      <c r="X244" s="382"/>
      <c r="Y244" s="382"/>
      <c r="Z244" s="382"/>
      <c r="AA244" s="382"/>
      <c r="AB244" s="382"/>
      <c r="AC244" s="381"/>
      <c r="AD244" s="382"/>
      <c r="AE244" s="382"/>
      <c r="AF244" s="382"/>
      <c r="AG244" s="382"/>
      <c r="AH244" s="382"/>
      <c r="AI244" s="382"/>
      <c r="AJ244" s="382"/>
      <c r="AK244" s="382"/>
      <c r="AL244" s="334"/>
    </row>
    <row r="245" spans="1:38" ht="12">
      <c r="A245" s="337"/>
      <c r="B245" s="342"/>
      <c r="C245" s="300" t="s">
        <v>623</v>
      </c>
      <c r="D245" s="300" t="s">
        <v>745</v>
      </c>
      <c r="F245" s="357">
        <v>797965</v>
      </c>
      <c r="G245" s="381"/>
      <c r="H245" s="381"/>
      <c r="I245" s="381">
        <f>+F245</f>
        <v>797965</v>
      </c>
      <c r="J245" s="382"/>
      <c r="K245" s="382"/>
      <c r="L245" s="382"/>
      <c r="M245" s="382"/>
      <c r="N245" s="382"/>
      <c r="O245" s="382"/>
      <c r="P245" s="382"/>
      <c r="Q245" s="357"/>
      <c r="R245" s="382"/>
      <c r="S245" s="357"/>
      <c r="T245" s="382"/>
      <c r="U245" s="382"/>
      <c r="V245" s="381"/>
      <c r="W245" s="382"/>
      <c r="X245" s="382"/>
      <c r="Y245" s="382"/>
      <c r="Z245" s="382"/>
      <c r="AA245" s="382"/>
      <c r="AB245" s="382"/>
      <c r="AC245" s="381"/>
      <c r="AD245" s="382"/>
      <c r="AE245" s="382"/>
      <c r="AF245" s="382"/>
      <c r="AG245" s="382"/>
      <c r="AH245" s="382"/>
      <c r="AI245" s="382"/>
      <c r="AJ245" s="382"/>
      <c r="AK245" s="382"/>
      <c r="AL245" s="334"/>
    </row>
    <row r="246" spans="1:38" ht="12">
      <c r="A246" s="337"/>
      <c r="B246" s="342"/>
      <c r="D246" s="300" t="s">
        <v>817</v>
      </c>
      <c r="F246" s="357"/>
      <c r="G246" s="381"/>
      <c r="H246" s="381"/>
      <c r="I246" s="381"/>
      <c r="J246" s="382"/>
      <c r="K246" s="382"/>
      <c r="L246" s="382"/>
      <c r="M246" s="382"/>
      <c r="N246" s="382"/>
      <c r="O246" s="382"/>
      <c r="P246" s="382"/>
      <c r="Q246" s="357"/>
      <c r="R246" s="382"/>
      <c r="S246" s="357"/>
      <c r="T246" s="382"/>
      <c r="U246" s="382"/>
      <c r="V246" s="381"/>
      <c r="W246" s="382"/>
      <c r="X246" s="382"/>
      <c r="Y246" s="382"/>
      <c r="Z246" s="382"/>
      <c r="AA246" s="382"/>
      <c r="AB246" s="382"/>
      <c r="AC246" s="381"/>
      <c r="AD246" s="382"/>
      <c r="AE246" s="382"/>
      <c r="AF246" s="382"/>
      <c r="AG246" s="382"/>
      <c r="AH246" s="382"/>
      <c r="AI246" s="382"/>
      <c r="AJ246" s="382"/>
      <c r="AK246" s="382"/>
      <c r="AL246" s="334"/>
    </row>
    <row r="247" spans="1:38" ht="12">
      <c r="A247" s="337"/>
      <c r="B247" s="342"/>
      <c r="D247" s="360" t="s">
        <v>818</v>
      </c>
      <c r="F247" s="357"/>
      <c r="G247" s="381"/>
      <c r="H247" s="381"/>
      <c r="I247" s="381"/>
      <c r="J247" s="382"/>
      <c r="K247" s="382"/>
      <c r="L247" s="382"/>
      <c r="M247" s="382"/>
      <c r="N247" s="382"/>
      <c r="O247" s="382"/>
      <c r="P247" s="382"/>
      <c r="Q247" s="357"/>
      <c r="R247" s="382"/>
      <c r="S247" s="357"/>
      <c r="T247" s="382"/>
      <c r="U247" s="382"/>
      <c r="V247" s="381"/>
      <c r="W247" s="382"/>
      <c r="X247" s="382"/>
      <c r="Y247" s="382"/>
      <c r="Z247" s="382"/>
      <c r="AA247" s="382"/>
      <c r="AB247" s="382"/>
      <c r="AC247" s="381"/>
      <c r="AD247" s="382"/>
      <c r="AE247" s="382"/>
      <c r="AF247" s="382"/>
      <c r="AG247" s="382"/>
      <c r="AH247" s="382"/>
      <c r="AI247" s="382"/>
      <c r="AJ247" s="382"/>
      <c r="AK247" s="382"/>
      <c r="AL247" s="334"/>
    </row>
    <row r="248" spans="1:38" ht="12">
      <c r="A248" s="337"/>
      <c r="B248" s="342"/>
      <c r="C248" s="300" t="s">
        <v>624</v>
      </c>
      <c r="D248" s="360" t="s">
        <v>819</v>
      </c>
      <c r="F248" s="357"/>
      <c r="G248" s="381">
        <v>1628501</v>
      </c>
      <c r="H248" s="381"/>
      <c r="I248" s="381"/>
      <c r="J248" s="382"/>
      <c r="K248" s="382"/>
      <c r="L248" s="382"/>
      <c r="M248" s="382">
        <f>-G248</f>
        <v>-1628501</v>
      </c>
      <c r="N248" s="382"/>
      <c r="O248" s="382"/>
      <c r="P248" s="382"/>
      <c r="Q248" s="357"/>
      <c r="R248" s="382"/>
      <c r="S248" s="357"/>
      <c r="T248" s="382"/>
      <c r="U248" s="382"/>
      <c r="V248" s="381"/>
      <c r="W248" s="382"/>
      <c r="X248" s="382"/>
      <c r="Y248" s="382"/>
      <c r="Z248" s="382"/>
      <c r="AA248" s="382"/>
      <c r="AB248" s="382"/>
      <c r="AC248" s="381"/>
      <c r="AD248" s="382"/>
      <c r="AE248" s="382"/>
      <c r="AF248" s="382"/>
      <c r="AG248" s="382"/>
      <c r="AH248" s="382"/>
      <c r="AI248" s="382"/>
      <c r="AJ248" s="382"/>
      <c r="AK248" s="382"/>
      <c r="AL248" s="334"/>
    </row>
    <row r="249" spans="1:38" ht="12">
      <c r="A249" s="337"/>
      <c r="B249" s="342"/>
      <c r="F249" s="357"/>
      <c r="G249" s="395"/>
      <c r="H249" s="381"/>
      <c r="I249" s="381"/>
      <c r="J249" s="382"/>
      <c r="K249" s="382"/>
      <c r="L249" s="382"/>
      <c r="M249" s="382"/>
      <c r="N249" s="382"/>
      <c r="O249" s="382"/>
      <c r="P249" s="382"/>
      <c r="Q249" s="357"/>
      <c r="R249" s="382"/>
      <c r="S249" s="357"/>
      <c r="T249" s="382"/>
      <c r="U249" s="382"/>
      <c r="V249" s="381"/>
      <c r="W249" s="382"/>
      <c r="X249" s="382"/>
      <c r="Y249" s="382"/>
      <c r="Z249" s="382"/>
      <c r="AA249" s="382"/>
      <c r="AB249" s="382"/>
      <c r="AC249" s="381"/>
      <c r="AD249" s="382"/>
      <c r="AE249" s="382"/>
      <c r="AF249" s="382"/>
      <c r="AG249" s="382"/>
      <c r="AH249" s="382"/>
      <c r="AI249" s="382"/>
      <c r="AJ249" s="382"/>
      <c r="AK249" s="382"/>
      <c r="AL249" s="334"/>
    </row>
    <row r="250" spans="1:38" ht="12.75" thickBot="1">
      <c r="A250" s="337"/>
      <c r="B250" s="342"/>
      <c r="F250" s="404">
        <f>SUM(F244:F249)</f>
        <v>1628501</v>
      </c>
      <c r="G250" s="405">
        <f>SUM(G244:G249)</f>
        <v>1628501</v>
      </c>
      <c r="H250" s="381"/>
      <c r="I250" s="381"/>
      <c r="J250" s="382"/>
      <c r="K250" s="382"/>
      <c r="L250" s="382"/>
      <c r="M250" s="382"/>
      <c r="N250" s="382"/>
      <c r="O250" s="382"/>
      <c r="P250" s="382"/>
      <c r="Q250" s="357"/>
      <c r="R250" s="382"/>
      <c r="S250" s="357"/>
      <c r="T250" s="382"/>
      <c r="U250" s="382"/>
      <c r="V250" s="381"/>
      <c r="W250" s="382"/>
      <c r="X250" s="382"/>
      <c r="Y250" s="382"/>
      <c r="Z250" s="382"/>
      <c r="AA250" s="382"/>
      <c r="AB250" s="382"/>
      <c r="AC250" s="381"/>
      <c r="AD250" s="382"/>
      <c r="AE250" s="382"/>
      <c r="AF250" s="382"/>
      <c r="AG250" s="382"/>
      <c r="AH250" s="382"/>
      <c r="AI250" s="382"/>
      <c r="AJ250" s="382"/>
      <c r="AK250" s="382"/>
      <c r="AL250" s="334"/>
    </row>
    <row r="251" spans="1:38" ht="12.75" thickTop="1">
      <c r="A251" s="337"/>
      <c r="B251" s="342"/>
      <c r="C251" s="299" t="s">
        <v>820</v>
      </c>
      <c r="F251" s="357"/>
      <c r="G251" s="381"/>
      <c r="H251" s="381"/>
      <c r="I251" s="381"/>
      <c r="J251" s="382"/>
      <c r="K251" s="382"/>
      <c r="L251" s="382"/>
      <c r="M251" s="382"/>
      <c r="N251" s="382"/>
      <c r="O251" s="382"/>
      <c r="P251" s="382"/>
      <c r="Q251" s="357"/>
      <c r="R251" s="382"/>
      <c r="S251" s="357"/>
      <c r="T251" s="382"/>
      <c r="U251" s="382"/>
      <c r="V251" s="381"/>
      <c r="W251" s="382"/>
      <c r="X251" s="382"/>
      <c r="Y251" s="382"/>
      <c r="Z251" s="382"/>
      <c r="AA251" s="382"/>
      <c r="AB251" s="382"/>
      <c r="AC251" s="381"/>
      <c r="AD251" s="382"/>
      <c r="AE251" s="382"/>
      <c r="AF251" s="382"/>
      <c r="AG251" s="382"/>
      <c r="AH251" s="382"/>
      <c r="AI251" s="382"/>
      <c r="AJ251" s="382"/>
      <c r="AK251" s="382"/>
      <c r="AL251" s="334"/>
    </row>
    <row r="252" spans="1:38" ht="12">
      <c r="A252" s="337"/>
      <c r="B252" s="342"/>
      <c r="C252" s="299" t="s">
        <v>821</v>
      </c>
      <c r="F252" s="357"/>
      <c r="G252" s="381"/>
      <c r="H252" s="381"/>
      <c r="I252" s="381"/>
      <c r="J252" s="382"/>
      <c r="K252" s="382"/>
      <c r="L252" s="382"/>
      <c r="M252" s="382"/>
      <c r="N252" s="382"/>
      <c r="O252" s="382"/>
      <c r="P252" s="382"/>
      <c r="Q252" s="357"/>
      <c r="R252" s="382"/>
      <c r="S252" s="357"/>
      <c r="T252" s="382"/>
      <c r="U252" s="382"/>
      <c r="V252" s="381"/>
      <c r="W252" s="382"/>
      <c r="X252" s="382"/>
      <c r="Y252" s="382"/>
      <c r="Z252" s="382"/>
      <c r="AA252" s="382"/>
      <c r="AB252" s="382"/>
      <c r="AC252" s="381"/>
      <c r="AD252" s="382"/>
      <c r="AE252" s="382"/>
      <c r="AF252" s="382"/>
      <c r="AG252" s="382"/>
      <c r="AH252" s="382"/>
      <c r="AI252" s="382"/>
      <c r="AJ252" s="382"/>
      <c r="AK252" s="382"/>
      <c r="AL252" s="334"/>
    </row>
    <row r="253" spans="1:81" s="360" customFormat="1" ht="12">
      <c r="A253" s="412"/>
      <c r="B253" s="415"/>
      <c r="C253" s="415"/>
      <c r="D253" s="352"/>
      <c r="E253" s="415"/>
      <c r="F253" s="451"/>
      <c r="G253" s="452"/>
      <c r="H253" s="381"/>
      <c r="I253" s="381"/>
      <c r="J253" s="381"/>
      <c r="K253" s="381"/>
      <c r="L253" s="381"/>
      <c r="M253" s="381"/>
      <c r="N253" s="381"/>
      <c r="O253" s="381"/>
      <c r="P253" s="381"/>
      <c r="Q253" s="357"/>
      <c r="R253" s="382"/>
      <c r="S253" s="357"/>
      <c r="T253" s="382"/>
      <c r="U253" s="382"/>
      <c r="V253" s="381"/>
      <c r="W253" s="382"/>
      <c r="X253" s="381"/>
      <c r="Y253" s="381"/>
      <c r="Z253" s="381"/>
      <c r="AA253" s="381"/>
      <c r="AB253" s="381"/>
      <c r="AC253" s="381"/>
      <c r="AD253" s="381"/>
      <c r="AE253" s="381"/>
      <c r="AF253" s="381"/>
      <c r="AG253" s="381"/>
      <c r="AH253" s="381"/>
      <c r="AI253" s="381"/>
      <c r="AJ253" s="381"/>
      <c r="AK253" s="381"/>
      <c r="AL253" s="381"/>
      <c r="AM253" s="301"/>
      <c r="AN253" s="357"/>
      <c r="AO253" s="357"/>
      <c r="AP253" s="357"/>
      <c r="AQ253" s="357"/>
      <c r="AR253" s="357"/>
      <c r="AS253" s="357"/>
      <c r="AT253" s="357"/>
      <c r="AU253" s="357"/>
      <c r="AV253" s="357"/>
      <c r="AW253" s="357"/>
      <c r="AX253" s="357"/>
      <c r="AY253" s="357"/>
      <c r="AZ253" s="357"/>
      <c r="BA253" s="357"/>
      <c r="BB253" s="357"/>
      <c r="BC253" s="357"/>
      <c r="BD253" s="357"/>
      <c r="BE253" s="358"/>
      <c r="BF253" s="358"/>
      <c r="BG253" s="358"/>
      <c r="BH253" s="358"/>
      <c r="BI253" s="358"/>
      <c r="BJ253" s="358"/>
      <c r="BK253" s="358"/>
      <c r="BL253" s="358"/>
      <c r="BM253" s="358"/>
      <c r="BN253" s="358"/>
      <c r="BO253" s="358"/>
      <c r="BP253" s="358"/>
      <c r="BQ253" s="358"/>
      <c r="BR253" s="358"/>
      <c r="BS253" s="358"/>
      <c r="BT253" s="359"/>
      <c r="BU253" s="359"/>
      <c r="BV253" s="359"/>
      <c r="BW253" s="359"/>
      <c r="BX253" s="359"/>
      <c r="BY253" s="359"/>
      <c r="BZ253" s="359"/>
      <c r="CA253" s="359"/>
      <c r="CB253" s="359"/>
      <c r="CC253" s="359"/>
    </row>
    <row r="254" spans="1:81" s="360" customFormat="1" ht="12">
      <c r="A254" s="396"/>
      <c r="D254" s="300"/>
      <c r="F254" s="357"/>
      <c r="G254" s="381"/>
      <c r="H254" s="381"/>
      <c r="I254" s="381"/>
      <c r="J254" s="381"/>
      <c r="K254" s="381"/>
      <c r="L254" s="381"/>
      <c r="M254" s="381"/>
      <c r="N254" s="381"/>
      <c r="O254" s="381"/>
      <c r="P254" s="381"/>
      <c r="Q254" s="357"/>
      <c r="R254" s="382"/>
      <c r="S254" s="357"/>
      <c r="T254" s="382"/>
      <c r="U254" s="382"/>
      <c r="V254" s="381"/>
      <c r="W254" s="382"/>
      <c r="X254" s="381"/>
      <c r="Y254" s="381"/>
      <c r="Z254" s="381"/>
      <c r="AA254" s="381"/>
      <c r="AB254" s="381"/>
      <c r="AC254" s="381"/>
      <c r="AD254" s="381"/>
      <c r="AE254" s="381"/>
      <c r="AF254" s="381"/>
      <c r="AG254" s="381"/>
      <c r="AH254" s="381"/>
      <c r="AI254" s="381"/>
      <c r="AJ254" s="381"/>
      <c r="AK254" s="381"/>
      <c r="AL254" s="381"/>
      <c r="AM254" s="301"/>
      <c r="AN254" s="357"/>
      <c r="AO254" s="357"/>
      <c r="AP254" s="357"/>
      <c r="AQ254" s="357"/>
      <c r="AR254" s="357"/>
      <c r="AS254" s="357"/>
      <c r="AT254" s="357"/>
      <c r="AU254" s="357"/>
      <c r="AV254" s="357"/>
      <c r="AW254" s="357"/>
      <c r="AX254" s="357"/>
      <c r="AY254" s="357"/>
      <c r="AZ254" s="357"/>
      <c r="BA254" s="357"/>
      <c r="BB254" s="357"/>
      <c r="BC254" s="357"/>
      <c r="BD254" s="357"/>
      <c r="BE254" s="358"/>
      <c r="BF254" s="358"/>
      <c r="BG254" s="358"/>
      <c r="BH254" s="358"/>
      <c r="BI254" s="358"/>
      <c r="BJ254" s="358"/>
      <c r="BK254" s="358"/>
      <c r="BL254" s="358"/>
      <c r="BM254" s="358"/>
      <c r="BN254" s="358"/>
      <c r="BO254" s="358"/>
      <c r="BP254" s="358"/>
      <c r="BQ254" s="358"/>
      <c r="BR254" s="358"/>
      <c r="BS254" s="358"/>
      <c r="BT254" s="359"/>
      <c r="BU254" s="359"/>
      <c r="BV254" s="359"/>
      <c r="BW254" s="359"/>
      <c r="BX254" s="359"/>
      <c r="BY254" s="359"/>
      <c r="BZ254" s="359"/>
      <c r="CA254" s="359"/>
      <c r="CB254" s="359"/>
      <c r="CC254" s="359"/>
    </row>
    <row r="255" spans="1:81" s="360" customFormat="1" ht="12">
      <c r="A255" s="396" t="s">
        <v>822</v>
      </c>
      <c r="C255" s="350" t="s">
        <v>756</v>
      </c>
      <c r="D255" s="300"/>
      <c r="F255" s="357"/>
      <c r="G255" s="381"/>
      <c r="H255" s="381"/>
      <c r="I255" s="381"/>
      <c r="J255" s="381"/>
      <c r="K255" s="381"/>
      <c r="L255" s="381"/>
      <c r="M255" s="381"/>
      <c r="N255" s="381"/>
      <c r="O255" s="381"/>
      <c r="P255" s="381"/>
      <c r="Q255" s="357"/>
      <c r="R255" s="382"/>
      <c r="S255" s="357"/>
      <c r="T255" s="382"/>
      <c r="U255" s="382"/>
      <c r="V255" s="381"/>
      <c r="W255" s="382"/>
      <c r="X255" s="381"/>
      <c r="Y255" s="381"/>
      <c r="Z255" s="381"/>
      <c r="AA255" s="381"/>
      <c r="AB255" s="381"/>
      <c r="AC255" s="381"/>
      <c r="AD255" s="381"/>
      <c r="AE255" s="381"/>
      <c r="AF255" s="381"/>
      <c r="AG255" s="381"/>
      <c r="AH255" s="381"/>
      <c r="AI255" s="381"/>
      <c r="AJ255" s="381"/>
      <c r="AK255" s="381"/>
      <c r="AL255" s="381"/>
      <c r="AM255" s="301"/>
      <c r="AN255" s="357"/>
      <c r="AO255" s="357"/>
      <c r="AP255" s="357"/>
      <c r="AQ255" s="357"/>
      <c r="AR255" s="357"/>
      <c r="AS255" s="357"/>
      <c r="AT255" s="357"/>
      <c r="AU255" s="357"/>
      <c r="AV255" s="357"/>
      <c r="AW255" s="357"/>
      <c r="AX255" s="357"/>
      <c r="AY255" s="357"/>
      <c r="AZ255" s="357"/>
      <c r="BA255" s="357"/>
      <c r="BB255" s="357"/>
      <c r="BC255" s="357"/>
      <c r="BD255" s="357"/>
      <c r="BE255" s="358"/>
      <c r="BF255" s="358"/>
      <c r="BG255" s="358"/>
      <c r="BH255" s="358"/>
      <c r="BI255" s="358"/>
      <c r="BJ255" s="358"/>
      <c r="BK255" s="358"/>
      <c r="BL255" s="358"/>
      <c r="BM255" s="358"/>
      <c r="BN255" s="358"/>
      <c r="BO255" s="358"/>
      <c r="BP255" s="358"/>
      <c r="BQ255" s="358"/>
      <c r="BR255" s="358"/>
      <c r="BS255" s="358"/>
      <c r="BT255" s="359"/>
      <c r="BU255" s="359"/>
      <c r="BV255" s="359"/>
      <c r="BW255" s="359"/>
      <c r="BX255" s="359"/>
      <c r="BY255" s="359"/>
      <c r="BZ255" s="359"/>
      <c r="CA255" s="359"/>
      <c r="CB255" s="359"/>
      <c r="CC255" s="359"/>
    </row>
    <row r="256" spans="1:81" s="360" customFormat="1" ht="12">
      <c r="A256" s="396"/>
      <c r="C256" s="360" t="s">
        <v>623</v>
      </c>
      <c r="D256" s="300" t="s">
        <v>231</v>
      </c>
      <c r="F256" s="357">
        <v>116980025</v>
      </c>
      <c r="G256" s="381"/>
      <c r="H256" s="381"/>
      <c r="I256" s="381"/>
      <c r="J256" s="381"/>
      <c r="K256" s="381"/>
      <c r="L256" s="381"/>
      <c r="M256" s="381">
        <f aca="true" t="shared" si="0" ref="M256:M261">+F256</f>
        <v>116980025</v>
      </c>
      <c r="N256" s="381"/>
      <c r="O256" s="381"/>
      <c r="P256" s="381"/>
      <c r="Q256" s="357"/>
      <c r="R256" s="382"/>
      <c r="S256" s="357"/>
      <c r="T256" s="382"/>
      <c r="U256" s="382"/>
      <c r="V256" s="381"/>
      <c r="W256" s="382"/>
      <c r="X256" s="381"/>
      <c r="Y256" s="381"/>
      <c r="Z256" s="381"/>
      <c r="AA256" s="381"/>
      <c r="AB256" s="381"/>
      <c r="AC256" s="381"/>
      <c r="AD256" s="381"/>
      <c r="AE256" s="381"/>
      <c r="AF256" s="381"/>
      <c r="AG256" s="381"/>
      <c r="AH256" s="381"/>
      <c r="AI256" s="381"/>
      <c r="AJ256" s="381"/>
      <c r="AK256" s="381"/>
      <c r="AL256" s="381"/>
      <c r="AM256" s="301"/>
      <c r="AN256" s="357"/>
      <c r="AO256" s="357"/>
      <c r="AP256" s="357"/>
      <c r="AQ256" s="357"/>
      <c r="AR256" s="357"/>
      <c r="AS256" s="357"/>
      <c r="AT256" s="357"/>
      <c r="AU256" s="357"/>
      <c r="AV256" s="357"/>
      <c r="AW256" s="357"/>
      <c r="AX256" s="357"/>
      <c r="AY256" s="357"/>
      <c r="AZ256" s="357"/>
      <c r="BA256" s="357"/>
      <c r="BB256" s="357"/>
      <c r="BC256" s="357"/>
      <c r="BD256" s="357"/>
      <c r="BE256" s="358"/>
      <c r="BF256" s="358"/>
      <c r="BG256" s="358"/>
      <c r="BH256" s="358"/>
      <c r="BI256" s="358"/>
      <c r="BJ256" s="358"/>
      <c r="BK256" s="358"/>
      <c r="BL256" s="358"/>
      <c r="BM256" s="358"/>
      <c r="BN256" s="358"/>
      <c r="BO256" s="358"/>
      <c r="BP256" s="358"/>
      <c r="BQ256" s="358"/>
      <c r="BR256" s="358"/>
      <c r="BS256" s="358"/>
      <c r="BT256" s="359"/>
      <c r="BU256" s="359"/>
      <c r="BV256" s="359"/>
      <c r="BW256" s="359"/>
      <c r="BX256" s="359"/>
      <c r="BY256" s="359"/>
      <c r="BZ256" s="359"/>
      <c r="CA256" s="359"/>
      <c r="CB256" s="359"/>
      <c r="CC256" s="359"/>
    </row>
    <row r="257" spans="1:81" s="360" customFormat="1" ht="12">
      <c r="A257" s="396"/>
      <c r="D257" s="300" t="s">
        <v>823</v>
      </c>
      <c r="F257" s="357">
        <v>4246292</v>
      </c>
      <c r="G257" s="381"/>
      <c r="H257" s="381"/>
      <c r="I257" s="381"/>
      <c r="J257" s="381"/>
      <c r="K257" s="381"/>
      <c r="L257" s="381"/>
      <c r="M257" s="381">
        <f t="shared" si="0"/>
        <v>4246292</v>
      </c>
      <c r="N257" s="381"/>
      <c r="O257" s="381"/>
      <c r="P257" s="381"/>
      <c r="Q257" s="357"/>
      <c r="R257" s="382"/>
      <c r="S257" s="357"/>
      <c r="T257" s="382"/>
      <c r="U257" s="382"/>
      <c r="V257" s="381"/>
      <c r="W257" s="382"/>
      <c r="X257" s="381"/>
      <c r="Y257" s="381"/>
      <c r="Z257" s="381"/>
      <c r="AA257" s="381"/>
      <c r="AB257" s="381"/>
      <c r="AC257" s="381"/>
      <c r="AD257" s="381"/>
      <c r="AE257" s="381"/>
      <c r="AF257" s="381"/>
      <c r="AG257" s="381"/>
      <c r="AH257" s="381"/>
      <c r="AI257" s="381"/>
      <c r="AJ257" s="381"/>
      <c r="AK257" s="381"/>
      <c r="AL257" s="381"/>
      <c r="AM257" s="301"/>
      <c r="AN257" s="357"/>
      <c r="AO257" s="357"/>
      <c r="AP257" s="357"/>
      <c r="AQ257" s="357"/>
      <c r="AR257" s="357"/>
      <c r="AS257" s="357"/>
      <c r="AT257" s="357"/>
      <c r="AU257" s="357"/>
      <c r="AV257" s="357"/>
      <c r="AW257" s="357"/>
      <c r="AX257" s="357"/>
      <c r="AY257" s="357"/>
      <c r="AZ257" s="357"/>
      <c r="BA257" s="357"/>
      <c r="BB257" s="357"/>
      <c r="BC257" s="357"/>
      <c r="BD257" s="357"/>
      <c r="BE257" s="358"/>
      <c r="BF257" s="358"/>
      <c r="BG257" s="358"/>
      <c r="BH257" s="358"/>
      <c r="BI257" s="358"/>
      <c r="BJ257" s="358"/>
      <c r="BK257" s="358"/>
      <c r="BL257" s="358"/>
      <c r="BM257" s="358"/>
      <c r="BN257" s="358"/>
      <c r="BO257" s="358"/>
      <c r="BP257" s="358"/>
      <c r="BQ257" s="358"/>
      <c r="BR257" s="358"/>
      <c r="BS257" s="358"/>
      <c r="BT257" s="359"/>
      <c r="BU257" s="359"/>
      <c r="BV257" s="359"/>
      <c r="BW257" s="359"/>
      <c r="BX257" s="359"/>
      <c r="BY257" s="359"/>
      <c r="BZ257" s="359"/>
      <c r="CA257" s="359"/>
      <c r="CB257" s="359"/>
      <c r="CC257" s="359"/>
    </row>
    <row r="258" spans="1:81" s="360" customFormat="1" ht="12">
      <c r="A258" s="396"/>
      <c r="D258" s="300" t="s">
        <v>824</v>
      </c>
      <c r="F258" s="357">
        <v>5687073</v>
      </c>
      <c r="G258" s="381"/>
      <c r="H258" s="381"/>
      <c r="I258" s="381"/>
      <c r="J258" s="381"/>
      <c r="K258" s="381"/>
      <c r="L258" s="381"/>
      <c r="M258" s="381">
        <f t="shared" si="0"/>
        <v>5687073</v>
      </c>
      <c r="N258" s="381"/>
      <c r="O258" s="381"/>
      <c r="P258" s="381"/>
      <c r="Q258" s="357"/>
      <c r="R258" s="382"/>
      <c r="S258" s="357"/>
      <c r="T258" s="382"/>
      <c r="U258" s="382"/>
      <c r="V258" s="381"/>
      <c r="W258" s="382"/>
      <c r="X258" s="381"/>
      <c r="Y258" s="381"/>
      <c r="Z258" s="381"/>
      <c r="AA258" s="381"/>
      <c r="AB258" s="381"/>
      <c r="AC258" s="381"/>
      <c r="AD258" s="381"/>
      <c r="AE258" s="381"/>
      <c r="AF258" s="381"/>
      <c r="AG258" s="381"/>
      <c r="AH258" s="381"/>
      <c r="AI258" s="381"/>
      <c r="AJ258" s="381"/>
      <c r="AK258" s="381"/>
      <c r="AL258" s="381"/>
      <c r="AM258" s="301"/>
      <c r="AN258" s="357"/>
      <c r="AO258" s="357"/>
      <c r="AP258" s="357"/>
      <c r="AQ258" s="357"/>
      <c r="AR258" s="357"/>
      <c r="AS258" s="357"/>
      <c r="AT258" s="357"/>
      <c r="AU258" s="357"/>
      <c r="AV258" s="357"/>
      <c r="AW258" s="357"/>
      <c r="AX258" s="357"/>
      <c r="AY258" s="357"/>
      <c r="AZ258" s="357"/>
      <c r="BA258" s="357"/>
      <c r="BB258" s="357"/>
      <c r="BC258" s="357"/>
      <c r="BD258" s="357"/>
      <c r="BE258" s="358"/>
      <c r="BF258" s="358"/>
      <c r="BG258" s="358"/>
      <c r="BH258" s="358"/>
      <c r="BI258" s="358"/>
      <c r="BJ258" s="358"/>
      <c r="BK258" s="358"/>
      <c r="BL258" s="358"/>
      <c r="BM258" s="358"/>
      <c r="BN258" s="358"/>
      <c r="BO258" s="358"/>
      <c r="BP258" s="358"/>
      <c r="BQ258" s="358"/>
      <c r="BR258" s="358"/>
      <c r="BS258" s="358"/>
      <c r="BT258" s="359"/>
      <c r="BU258" s="359"/>
      <c r="BV258" s="359"/>
      <c r="BW258" s="359"/>
      <c r="BX258" s="359"/>
      <c r="BY258" s="359"/>
      <c r="BZ258" s="359"/>
      <c r="CA258" s="359"/>
      <c r="CB258" s="359"/>
      <c r="CC258" s="359"/>
    </row>
    <row r="259" spans="1:81" s="360" customFormat="1" ht="12">
      <c r="A259" s="396"/>
      <c r="D259" s="300" t="s">
        <v>825</v>
      </c>
      <c r="F259" s="357">
        <v>346254</v>
      </c>
      <c r="G259" s="381"/>
      <c r="H259" s="381"/>
      <c r="I259" s="381"/>
      <c r="J259" s="381"/>
      <c r="K259" s="381"/>
      <c r="L259" s="381"/>
      <c r="M259" s="381">
        <f t="shared" si="0"/>
        <v>346254</v>
      </c>
      <c r="N259" s="381"/>
      <c r="O259" s="381"/>
      <c r="P259" s="381"/>
      <c r="Q259" s="357"/>
      <c r="R259" s="382"/>
      <c r="S259" s="357"/>
      <c r="T259" s="382"/>
      <c r="U259" s="382"/>
      <c r="V259" s="381"/>
      <c r="W259" s="382"/>
      <c r="X259" s="381"/>
      <c r="Y259" s="381"/>
      <c r="Z259" s="381"/>
      <c r="AA259" s="381"/>
      <c r="AB259" s="381"/>
      <c r="AC259" s="381"/>
      <c r="AD259" s="381"/>
      <c r="AE259" s="381"/>
      <c r="AF259" s="381"/>
      <c r="AG259" s="381"/>
      <c r="AH259" s="381"/>
      <c r="AI259" s="381"/>
      <c r="AJ259" s="381"/>
      <c r="AK259" s="381"/>
      <c r="AL259" s="381"/>
      <c r="AM259" s="301"/>
      <c r="AN259" s="357"/>
      <c r="AO259" s="357"/>
      <c r="AP259" s="357"/>
      <c r="AQ259" s="357"/>
      <c r="AR259" s="357"/>
      <c r="AS259" s="357"/>
      <c r="AT259" s="357"/>
      <c r="AU259" s="357"/>
      <c r="AV259" s="357"/>
      <c r="AW259" s="357"/>
      <c r="AX259" s="357"/>
      <c r="AY259" s="357"/>
      <c r="AZ259" s="357"/>
      <c r="BA259" s="357"/>
      <c r="BB259" s="357"/>
      <c r="BC259" s="357"/>
      <c r="BD259" s="357"/>
      <c r="BE259" s="358"/>
      <c r="BF259" s="358"/>
      <c r="BG259" s="358"/>
      <c r="BH259" s="358"/>
      <c r="BI259" s="358"/>
      <c r="BJ259" s="358"/>
      <c r="BK259" s="358"/>
      <c r="BL259" s="358"/>
      <c r="BM259" s="358"/>
      <c r="BN259" s="358"/>
      <c r="BO259" s="358"/>
      <c r="BP259" s="358"/>
      <c r="BQ259" s="358"/>
      <c r="BR259" s="358"/>
      <c r="BS259" s="358"/>
      <c r="BT259" s="359"/>
      <c r="BU259" s="359"/>
      <c r="BV259" s="359"/>
      <c r="BW259" s="359"/>
      <c r="BX259" s="359"/>
      <c r="BY259" s="359"/>
      <c r="BZ259" s="359"/>
      <c r="CA259" s="359"/>
      <c r="CB259" s="359"/>
      <c r="CC259" s="359"/>
    </row>
    <row r="260" spans="1:81" s="360" customFormat="1" ht="12">
      <c r="A260" s="396"/>
      <c r="D260" s="300" t="s">
        <v>826</v>
      </c>
      <c r="F260" s="426">
        <v>1136000</v>
      </c>
      <c r="G260" s="381"/>
      <c r="H260" s="381"/>
      <c r="I260" s="381"/>
      <c r="J260" s="381"/>
      <c r="K260" s="381"/>
      <c r="L260" s="381"/>
      <c r="M260" s="427">
        <f t="shared" si="0"/>
        <v>1136000</v>
      </c>
      <c r="N260" s="381"/>
      <c r="O260" s="381"/>
      <c r="P260" s="381"/>
      <c r="Q260" s="357"/>
      <c r="R260" s="382"/>
      <c r="S260" s="357"/>
      <c r="T260" s="382"/>
      <c r="U260" s="382"/>
      <c r="V260" s="381"/>
      <c r="W260" s="382"/>
      <c r="X260" s="381"/>
      <c r="Y260" s="381"/>
      <c r="Z260" s="381"/>
      <c r="AA260" s="381"/>
      <c r="AB260" s="381"/>
      <c r="AC260" s="381"/>
      <c r="AD260" s="381"/>
      <c r="AE260" s="381"/>
      <c r="AF260" s="381"/>
      <c r="AG260" s="381"/>
      <c r="AH260" s="381"/>
      <c r="AI260" s="381"/>
      <c r="AJ260" s="381"/>
      <c r="AK260" s="381"/>
      <c r="AL260" s="381"/>
      <c r="AM260" s="301"/>
      <c r="AN260" s="357"/>
      <c r="AO260" s="357"/>
      <c r="AP260" s="357"/>
      <c r="AQ260" s="357"/>
      <c r="AR260" s="357"/>
      <c r="AS260" s="357"/>
      <c r="AT260" s="357"/>
      <c r="AU260" s="357"/>
      <c r="AV260" s="357"/>
      <c r="AW260" s="357"/>
      <c r="AX260" s="357"/>
      <c r="AY260" s="357"/>
      <c r="AZ260" s="357"/>
      <c r="BA260" s="357"/>
      <c r="BB260" s="357"/>
      <c r="BC260" s="357"/>
      <c r="BD260" s="357"/>
      <c r="BE260" s="358"/>
      <c r="BF260" s="358"/>
      <c r="BG260" s="358"/>
      <c r="BH260" s="358"/>
      <c r="BI260" s="358"/>
      <c r="BJ260" s="358"/>
      <c r="BK260" s="358"/>
      <c r="BL260" s="358"/>
      <c r="BM260" s="358"/>
      <c r="BN260" s="358"/>
      <c r="BO260" s="358"/>
      <c r="BP260" s="358"/>
      <c r="BQ260" s="358"/>
      <c r="BR260" s="358"/>
      <c r="BS260" s="358"/>
      <c r="BT260" s="359"/>
      <c r="BU260" s="359"/>
      <c r="BV260" s="359"/>
      <c r="BW260" s="359"/>
      <c r="BX260" s="359"/>
      <c r="BY260" s="359"/>
      <c r="BZ260" s="359"/>
      <c r="CA260" s="359"/>
      <c r="CB260" s="359"/>
      <c r="CC260" s="359"/>
    </row>
    <row r="261" spans="1:81" s="360" customFormat="1" ht="12">
      <c r="A261" s="396"/>
      <c r="D261" s="300" t="s">
        <v>744</v>
      </c>
      <c r="F261" s="357">
        <v>4102976</v>
      </c>
      <c r="G261" s="381"/>
      <c r="H261" s="381"/>
      <c r="I261" s="381"/>
      <c r="J261" s="381"/>
      <c r="K261" s="381"/>
      <c r="L261" s="381"/>
      <c r="M261" s="381">
        <f t="shared" si="0"/>
        <v>4102976</v>
      </c>
      <c r="N261" s="381"/>
      <c r="O261" s="381"/>
      <c r="P261" s="381"/>
      <c r="Q261" s="357"/>
      <c r="R261" s="382"/>
      <c r="S261" s="357"/>
      <c r="T261" s="382"/>
      <c r="U261" s="382"/>
      <c r="V261" s="381"/>
      <c r="W261" s="382"/>
      <c r="X261" s="381"/>
      <c r="Y261" s="381"/>
      <c r="Z261" s="381"/>
      <c r="AA261" s="381"/>
      <c r="AB261" s="381"/>
      <c r="AC261" s="381"/>
      <c r="AD261" s="381"/>
      <c r="AE261" s="381"/>
      <c r="AF261" s="381"/>
      <c r="AG261" s="381"/>
      <c r="AH261" s="381"/>
      <c r="AI261" s="381"/>
      <c r="AJ261" s="381"/>
      <c r="AK261" s="381"/>
      <c r="AL261" s="381"/>
      <c r="AM261" s="301"/>
      <c r="AN261" s="357"/>
      <c r="AO261" s="357"/>
      <c r="AP261" s="357"/>
      <c r="AQ261" s="357"/>
      <c r="AR261" s="357"/>
      <c r="AS261" s="357"/>
      <c r="AT261" s="357"/>
      <c r="AU261" s="357"/>
      <c r="AV261" s="357"/>
      <c r="AW261" s="357"/>
      <c r="AX261" s="357"/>
      <c r="AY261" s="357"/>
      <c r="AZ261" s="357"/>
      <c r="BA261" s="357"/>
      <c r="BB261" s="357"/>
      <c r="BC261" s="357"/>
      <c r="BD261" s="357"/>
      <c r="BE261" s="358"/>
      <c r="BF261" s="358"/>
      <c r="BG261" s="358"/>
      <c r="BH261" s="358"/>
      <c r="BI261" s="358"/>
      <c r="BJ261" s="358"/>
      <c r="BK261" s="358"/>
      <c r="BL261" s="358"/>
      <c r="BM261" s="358"/>
      <c r="BN261" s="358"/>
      <c r="BO261" s="358"/>
      <c r="BP261" s="358"/>
      <c r="BQ261" s="358"/>
      <c r="BR261" s="358"/>
      <c r="BS261" s="358"/>
      <c r="BT261" s="359"/>
      <c r="BU261" s="359"/>
      <c r="BV261" s="359"/>
      <c r="BW261" s="359"/>
      <c r="BX261" s="359"/>
      <c r="BY261" s="359"/>
      <c r="BZ261" s="359"/>
      <c r="CA261" s="359"/>
      <c r="CB261" s="359"/>
      <c r="CC261" s="359"/>
    </row>
    <row r="262" spans="1:81" s="360" customFormat="1" ht="12">
      <c r="A262" s="396"/>
      <c r="D262" s="300" t="s">
        <v>745</v>
      </c>
      <c r="F262" s="357">
        <v>3942075</v>
      </c>
      <c r="G262" s="381"/>
      <c r="H262" s="381"/>
      <c r="I262" s="381">
        <f>+F262</f>
        <v>3942075</v>
      </c>
      <c r="J262" s="381"/>
      <c r="K262" s="381"/>
      <c r="L262" s="381"/>
      <c r="M262" s="381"/>
      <c r="N262" s="381"/>
      <c r="O262" s="381"/>
      <c r="P262" s="381"/>
      <c r="Q262" s="357"/>
      <c r="R262" s="382"/>
      <c r="S262" s="357"/>
      <c r="T262" s="382"/>
      <c r="U262" s="382"/>
      <c r="V262" s="381"/>
      <c r="W262" s="382"/>
      <c r="X262" s="381"/>
      <c r="Y262" s="381"/>
      <c r="Z262" s="381"/>
      <c r="AA262" s="381"/>
      <c r="AB262" s="381"/>
      <c r="AC262" s="381"/>
      <c r="AD262" s="381"/>
      <c r="AE262" s="381"/>
      <c r="AF262" s="381"/>
      <c r="AG262" s="381"/>
      <c r="AH262" s="381"/>
      <c r="AI262" s="381"/>
      <c r="AJ262" s="381"/>
      <c r="AK262" s="381"/>
      <c r="AL262" s="381"/>
      <c r="AM262" s="301"/>
      <c r="AN262" s="357"/>
      <c r="AO262" s="357"/>
      <c r="AP262" s="357"/>
      <c r="AQ262" s="357"/>
      <c r="AR262" s="357"/>
      <c r="AS262" s="357"/>
      <c r="AT262" s="357"/>
      <c r="AU262" s="357"/>
      <c r="AV262" s="357"/>
      <c r="AW262" s="357"/>
      <c r="AX262" s="357"/>
      <c r="AY262" s="357"/>
      <c r="AZ262" s="357"/>
      <c r="BA262" s="357"/>
      <c r="BB262" s="357"/>
      <c r="BC262" s="357"/>
      <c r="BD262" s="357"/>
      <c r="BE262" s="358"/>
      <c r="BF262" s="358"/>
      <c r="BG262" s="358"/>
      <c r="BH262" s="358"/>
      <c r="BI262" s="358"/>
      <c r="BJ262" s="358"/>
      <c r="BK262" s="358"/>
      <c r="BL262" s="358"/>
      <c r="BM262" s="358"/>
      <c r="BN262" s="358"/>
      <c r="BO262" s="358"/>
      <c r="BP262" s="358"/>
      <c r="BQ262" s="358"/>
      <c r="BR262" s="358"/>
      <c r="BS262" s="358"/>
      <c r="BT262" s="359"/>
      <c r="BU262" s="359"/>
      <c r="BV262" s="359"/>
      <c r="BW262" s="359"/>
      <c r="BX262" s="359"/>
      <c r="BY262" s="359"/>
      <c r="BZ262" s="359"/>
      <c r="CA262" s="359"/>
      <c r="CB262" s="359"/>
      <c r="CC262" s="359"/>
    </row>
    <row r="263" spans="1:81" s="360" customFormat="1" ht="12">
      <c r="A263" s="396"/>
      <c r="C263" s="360" t="s">
        <v>624</v>
      </c>
      <c r="D263" s="300" t="s">
        <v>648</v>
      </c>
      <c r="F263" s="357"/>
      <c r="G263" s="381">
        <v>136347065</v>
      </c>
      <c r="H263" s="381"/>
      <c r="I263" s="381"/>
      <c r="J263" s="381"/>
      <c r="K263" s="381"/>
      <c r="L263" s="381"/>
      <c r="M263" s="381">
        <f>-G263</f>
        <v>-136347065</v>
      </c>
      <c r="N263" s="381"/>
      <c r="O263" s="381"/>
      <c r="P263" s="381"/>
      <c r="Q263" s="357"/>
      <c r="R263" s="382"/>
      <c r="S263" s="357"/>
      <c r="T263" s="382"/>
      <c r="U263" s="382"/>
      <c r="V263" s="381"/>
      <c r="W263" s="382"/>
      <c r="X263" s="381"/>
      <c r="Y263" s="381"/>
      <c r="Z263" s="381"/>
      <c r="AA263" s="381"/>
      <c r="AB263" s="381"/>
      <c r="AC263" s="381"/>
      <c r="AD263" s="381"/>
      <c r="AE263" s="381"/>
      <c r="AF263" s="381"/>
      <c r="AG263" s="381"/>
      <c r="AH263" s="381"/>
      <c r="AI263" s="381"/>
      <c r="AJ263" s="381"/>
      <c r="AK263" s="381"/>
      <c r="AL263" s="381"/>
      <c r="AM263" s="301"/>
      <c r="AN263" s="357"/>
      <c r="AO263" s="357"/>
      <c r="AP263" s="357"/>
      <c r="AQ263" s="357"/>
      <c r="AR263" s="357"/>
      <c r="AS263" s="357"/>
      <c r="AT263" s="357"/>
      <c r="AU263" s="357"/>
      <c r="AV263" s="357"/>
      <c r="AW263" s="357"/>
      <c r="AX263" s="357"/>
      <c r="AY263" s="357"/>
      <c r="AZ263" s="357"/>
      <c r="BA263" s="357"/>
      <c r="BB263" s="357"/>
      <c r="BC263" s="357"/>
      <c r="BD263" s="357"/>
      <c r="BE263" s="358"/>
      <c r="BF263" s="358"/>
      <c r="BG263" s="358"/>
      <c r="BH263" s="358"/>
      <c r="BI263" s="358"/>
      <c r="BJ263" s="358"/>
      <c r="BK263" s="358"/>
      <c r="BL263" s="358"/>
      <c r="BM263" s="358"/>
      <c r="BN263" s="358"/>
      <c r="BO263" s="358"/>
      <c r="BP263" s="358"/>
      <c r="BQ263" s="358"/>
      <c r="BR263" s="358"/>
      <c r="BS263" s="358"/>
      <c r="BT263" s="359"/>
      <c r="BU263" s="359"/>
      <c r="BV263" s="359"/>
      <c r="BW263" s="359"/>
      <c r="BX263" s="359"/>
      <c r="BY263" s="359"/>
      <c r="BZ263" s="359"/>
      <c r="CA263" s="359"/>
      <c r="CB263" s="359"/>
      <c r="CC263" s="359"/>
    </row>
    <row r="264" spans="1:81" s="360" customFormat="1" ht="12">
      <c r="A264" s="396"/>
      <c r="D264" s="300" t="s">
        <v>169</v>
      </c>
      <c r="F264" s="357"/>
      <c r="G264" s="381">
        <v>93629</v>
      </c>
      <c r="H264" s="381"/>
      <c r="I264" s="381"/>
      <c r="J264" s="381"/>
      <c r="K264" s="381"/>
      <c r="L264" s="381"/>
      <c r="M264" s="381">
        <f>-G264</f>
        <v>-93629</v>
      </c>
      <c r="N264" s="381"/>
      <c r="O264" s="381"/>
      <c r="P264" s="381"/>
      <c r="Q264" s="357"/>
      <c r="R264" s="382"/>
      <c r="S264" s="357"/>
      <c r="T264" s="382"/>
      <c r="U264" s="382"/>
      <c r="V264" s="381"/>
      <c r="W264" s="382"/>
      <c r="X264" s="381"/>
      <c r="Y264" s="381"/>
      <c r="Z264" s="381"/>
      <c r="AA264" s="381"/>
      <c r="AB264" s="381"/>
      <c r="AC264" s="381"/>
      <c r="AD264" s="381"/>
      <c r="AE264" s="381"/>
      <c r="AF264" s="381"/>
      <c r="AG264" s="381"/>
      <c r="AH264" s="381"/>
      <c r="AI264" s="381"/>
      <c r="AJ264" s="381"/>
      <c r="AK264" s="381"/>
      <c r="AL264" s="381"/>
      <c r="AM264" s="301"/>
      <c r="AN264" s="357"/>
      <c r="AO264" s="357"/>
      <c r="AP264" s="357"/>
      <c r="AQ264" s="357"/>
      <c r="AR264" s="357"/>
      <c r="AS264" s="357"/>
      <c r="AT264" s="357"/>
      <c r="AU264" s="357"/>
      <c r="AV264" s="357"/>
      <c r="AW264" s="357"/>
      <c r="AX264" s="357"/>
      <c r="AY264" s="357"/>
      <c r="AZ264" s="357"/>
      <c r="BA264" s="357"/>
      <c r="BB264" s="357"/>
      <c r="BC264" s="357"/>
      <c r="BD264" s="357"/>
      <c r="BE264" s="358"/>
      <c r="BF264" s="358"/>
      <c r="BG264" s="358"/>
      <c r="BH264" s="358"/>
      <c r="BI264" s="358"/>
      <c r="BJ264" s="358"/>
      <c r="BK264" s="358"/>
      <c r="BL264" s="358"/>
      <c r="BM264" s="358"/>
      <c r="BN264" s="358"/>
      <c r="BO264" s="358"/>
      <c r="BP264" s="358"/>
      <c r="BQ264" s="358"/>
      <c r="BR264" s="358"/>
      <c r="BS264" s="358"/>
      <c r="BT264" s="359"/>
      <c r="BU264" s="359"/>
      <c r="BV264" s="359"/>
      <c r="BW264" s="359"/>
      <c r="BX264" s="359"/>
      <c r="BY264" s="359"/>
      <c r="BZ264" s="359"/>
      <c r="CA264" s="359"/>
      <c r="CB264" s="359"/>
      <c r="CC264" s="359"/>
    </row>
    <row r="265" spans="1:81" s="360" customFormat="1" ht="12">
      <c r="A265" s="396"/>
      <c r="D265" s="300"/>
      <c r="F265" s="357"/>
      <c r="G265" s="381"/>
      <c r="H265" s="381"/>
      <c r="I265" s="381"/>
      <c r="J265" s="381"/>
      <c r="K265" s="381"/>
      <c r="L265" s="381"/>
      <c r="M265" s="381"/>
      <c r="N265" s="381"/>
      <c r="O265" s="381"/>
      <c r="P265" s="381"/>
      <c r="Q265" s="357"/>
      <c r="R265" s="382"/>
      <c r="S265" s="357"/>
      <c r="T265" s="382"/>
      <c r="U265" s="382"/>
      <c r="V265" s="381"/>
      <c r="W265" s="382"/>
      <c r="X265" s="381"/>
      <c r="Y265" s="381"/>
      <c r="Z265" s="381"/>
      <c r="AA265" s="381"/>
      <c r="AB265" s="381"/>
      <c r="AC265" s="381"/>
      <c r="AD265" s="381"/>
      <c r="AE265" s="381"/>
      <c r="AF265" s="381"/>
      <c r="AG265" s="381"/>
      <c r="AH265" s="381"/>
      <c r="AI265" s="381"/>
      <c r="AJ265" s="381"/>
      <c r="AK265" s="381"/>
      <c r="AL265" s="381"/>
      <c r="AM265" s="301"/>
      <c r="AN265" s="357"/>
      <c r="AO265" s="357"/>
      <c r="AP265" s="357"/>
      <c r="AQ265" s="357"/>
      <c r="AR265" s="357"/>
      <c r="AS265" s="357"/>
      <c r="AT265" s="357"/>
      <c r="AU265" s="357"/>
      <c r="AV265" s="357"/>
      <c r="AW265" s="357"/>
      <c r="AX265" s="357"/>
      <c r="AY265" s="357"/>
      <c r="AZ265" s="357"/>
      <c r="BA265" s="357"/>
      <c r="BB265" s="357"/>
      <c r="BC265" s="357"/>
      <c r="BD265" s="357"/>
      <c r="BE265" s="358"/>
      <c r="BF265" s="358"/>
      <c r="BG265" s="358"/>
      <c r="BH265" s="358"/>
      <c r="BI265" s="358"/>
      <c r="BJ265" s="358"/>
      <c r="BK265" s="358"/>
      <c r="BL265" s="358"/>
      <c r="BM265" s="358"/>
      <c r="BN265" s="358"/>
      <c r="BO265" s="358"/>
      <c r="BP265" s="358"/>
      <c r="BQ265" s="358"/>
      <c r="BR265" s="358"/>
      <c r="BS265" s="358"/>
      <c r="BT265" s="359"/>
      <c r="BU265" s="359"/>
      <c r="BV265" s="359"/>
      <c r="BW265" s="359"/>
      <c r="BX265" s="359"/>
      <c r="BY265" s="359"/>
      <c r="BZ265" s="359"/>
      <c r="CA265" s="359"/>
      <c r="CB265" s="359"/>
      <c r="CC265" s="359"/>
    </row>
    <row r="266" spans="1:81" s="360" customFormat="1" ht="12.75" thickBot="1">
      <c r="A266" s="396"/>
      <c r="D266" s="300"/>
      <c r="F266" s="404">
        <f>SUM(F256:F264)</f>
        <v>136440695</v>
      </c>
      <c r="G266" s="405">
        <f>SUM(G256:G264)</f>
        <v>136440694</v>
      </c>
      <c r="H266" s="381"/>
      <c r="I266" s="381"/>
      <c r="J266" s="381"/>
      <c r="K266" s="381"/>
      <c r="L266" s="381"/>
      <c r="M266" s="381"/>
      <c r="N266" s="381"/>
      <c r="O266" s="381"/>
      <c r="P266" s="381"/>
      <c r="Q266" s="357"/>
      <c r="R266" s="382"/>
      <c r="S266" s="357"/>
      <c r="T266" s="382"/>
      <c r="U266" s="382"/>
      <c r="V266" s="381"/>
      <c r="W266" s="382"/>
      <c r="X266" s="381"/>
      <c r="Y266" s="381"/>
      <c r="Z266" s="381"/>
      <c r="AA266" s="381"/>
      <c r="AB266" s="381"/>
      <c r="AC266" s="381"/>
      <c r="AD266" s="381"/>
      <c r="AE266" s="381"/>
      <c r="AF266" s="381"/>
      <c r="AG266" s="381"/>
      <c r="AH266" s="381"/>
      <c r="AI266" s="381"/>
      <c r="AJ266" s="381"/>
      <c r="AK266" s="381"/>
      <c r="AL266" s="381"/>
      <c r="AM266" s="301"/>
      <c r="AN266" s="357"/>
      <c r="AO266" s="357"/>
      <c r="AP266" s="357"/>
      <c r="AQ266" s="357"/>
      <c r="AR266" s="357"/>
      <c r="AS266" s="357"/>
      <c r="AT266" s="357"/>
      <c r="AU266" s="357"/>
      <c r="AV266" s="357"/>
      <c r="AW266" s="357"/>
      <c r="AX266" s="357"/>
      <c r="AY266" s="357"/>
      <c r="AZ266" s="357"/>
      <c r="BA266" s="357"/>
      <c r="BB266" s="357"/>
      <c r="BC266" s="357"/>
      <c r="BD266" s="357"/>
      <c r="BE266" s="358"/>
      <c r="BF266" s="358"/>
      <c r="BG266" s="358"/>
      <c r="BH266" s="358"/>
      <c r="BI266" s="358"/>
      <c r="BJ266" s="358"/>
      <c r="BK266" s="358"/>
      <c r="BL266" s="358"/>
      <c r="BM266" s="358"/>
      <c r="BN266" s="358"/>
      <c r="BO266" s="358"/>
      <c r="BP266" s="358"/>
      <c r="BQ266" s="358"/>
      <c r="BR266" s="358"/>
      <c r="BS266" s="358"/>
      <c r="BT266" s="359"/>
      <c r="BU266" s="359"/>
      <c r="BV266" s="359"/>
      <c r="BW266" s="359"/>
      <c r="BX266" s="359"/>
      <c r="BY266" s="359"/>
      <c r="BZ266" s="359"/>
      <c r="CA266" s="359"/>
      <c r="CB266" s="359"/>
      <c r="CC266" s="359"/>
    </row>
    <row r="267" spans="1:81" s="360" customFormat="1" ht="12.75" thickTop="1">
      <c r="A267" s="396"/>
      <c r="D267" s="300"/>
      <c r="F267" s="357"/>
      <c r="G267" s="381"/>
      <c r="H267" s="381"/>
      <c r="I267" s="381"/>
      <c r="J267" s="381"/>
      <c r="K267" s="381"/>
      <c r="L267" s="381"/>
      <c r="M267" s="381"/>
      <c r="N267" s="381"/>
      <c r="O267" s="381"/>
      <c r="P267" s="381"/>
      <c r="Q267" s="357"/>
      <c r="R267" s="382"/>
      <c r="S267" s="357"/>
      <c r="T267" s="382"/>
      <c r="U267" s="382"/>
      <c r="V267" s="381"/>
      <c r="W267" s="382"/>
      <c r="X267" s="381"/>
      <c r="Y267" s="381"/>
      <c r="Z267" s="381"/>
      <c r="AA267" s="381"/>
      <c r="AB267" s="381"/>
      <c r="AC267" s="381"/>
      <c r="AD267" s="381"/>
      <c r="AE267" s="381"/>
      <c r="AF267" s="381"/>
      <c r="AG267" s="381"/>
      <c r="AH267" s="381"/>
      <c r="AI267" s="381"/>
      <c r="AJ267" s="381"/>
      <c r="AK267" s="381"/>
      <c r="AL267" s="381"/>
      <c r="AM267" s="301"/>
      <c r="AN267" s="357"/>
      <c r="AO267" s="357"/>
      <c r="AP267" s="357"/>
      <c r="AQ267" s="357"/>
      <c r="AR267" s="357"/>
      <c r="AS267" s="357"/>
      <c r="AT267" s="357"/>
      <c r="AU267" s="357"/>
      <c r="AV267" s="357"/>
      <c r="AW267" s="357"/>
      <c r="AX267" s="357"/>
      <c r="AY267" s="357"/>
      <c r="AZ267" s="357"/>
      <c r="BA267" s="357"/>
      <c r="BB267" s="357"/>
      <c r="BC267" s="357"/>
      <c r="BD267" s="357"/>
      <c r="BE267" s="358"/>
      <c r="BF267" s="358"/>
      <c r="BG267" s="358"/>
      <c r="BH267" s="358"/>
      <c r="BI267" s="358"/>
      <c r="BJ267" s="358"/>
      <c r="BK267" s="358"/>
      <c r="BL267" s="358"/>
      <c r="BM267" s="358"/>
      <c r="BN267" s="358"/>
      <c r="BO267" s="358"/>
      <c r="BP267" s="358"/>
      <c r="BQ267" s="358"/>
      <c r="BR267" s="358"/>
      <c r="BS267" s="358"/>
      <c r="BT267" s="359"/>
      <c r="BU267" s="359"/>
      <c r="BV267" s="359"/>
      <c r="BW267" s="359"/>
      <c r="BX267" s="359"/>
      <c r="BY267" s="359"/>
      <c r="BZ267" s="359"/>
      <c r="CA267" s="359"/>
      <c r="CB267" s="359"/>
      <c r="CC267" s="359"/>
    </row>
    <row r="268" spans="1:81" s="360" customFormat="1" ht="12">
      <c r="A268" s="396"/>
      <c r="C268" s="350" t="s">
        <v>827</v>
      </c>
      <c r="D268" s="300"/>
      <c r="F268" s="357"/>
      <c r="G268" s="381"/>
      <c r="H268" s="381"/>
      <c r="I268" s="381"/>
      <c r="J268" s="381"/>
      <c r="K268" s="381"/>
      <c r="L268" s="381"/>
      <c r="M268" s="381"/>
      <c r="N268" s="381"/>
      <c r="O268" s="381"/>
      <c r="P268" s="381"/>
      <c r="Q268" s="357"/>
      <c r="R268" s="382"/>
      <c r="S268" s="357"/>
      <c r="T268" s="382"/>
      <c r="U268" s="382"/>
      <c r="V268" s="381"/>
      <c r="W268" s="382"/>
      <c r="X268" s="381"/>
      <c r="Y268" s="381"/>
      <c r="Z268" s="381"/>
      <c r="AA268" s="381"/>
      <c r="AB268" s="381"/>
      <c r="AC268" s="381"/>
      <c r="AD268" s="381"/>
      <c r="AE268" s="381"/>
      <c r="AF268" s="381"/>
      <c r="AG268" s="381"/>
      <c r="AH268" s="381"/>
      <c r="AI268" s="381"/>
      <c r="AJ268" s="381"/>
      <c r="AK268" s="381"/>
      <c r="AL268" s="381"/>
      <c r="AM268" s="301"/>
      <c r="AN268" s="357"/>
      <c r="AO268" s="357"/>
      <c r="AP268" s="357"/>
      <c r="AQ268" s="357"/>
      <c r="AR268" s="357"/>
      <c r="AS268" s="357"/>
      <c r="AT268" s="357"/>
      <c r="AU268" s="357"/>
      <c r="AV268" s="357"/>
      <c r="AW268" s="357"/>
      <c r="AX268" s="357"/>
      <c r="AY268" s="357"/>
      <c r="AZ268" s="357"/>
      <c r="BA268" s="357"/>
      <c r="BB268" s="357"/>
      <c r="BC268" s="357"/>
      <c r="BD268" s="357"/>
      <c r="BE268" s="358"/>
      <c r="BF268" s="358"/>
      <c r="BG268" s="358"/>
      <c r="BH268" s="358"/>
      <c r="BI268" s="358"/>
      <c r="BJ268" s="358"/>
      <c r="BK268" s="358"/>
      <c r="BL268" s="358"/>
      <c r="BM268" s="358"/>
      <c r="BN268" s="358"/>
      <c r="BO268" s="358"/>
      <c r="BP268" s="358"/>
      <c r="BQ268" s="358"/>
      <c r="BR268" s="358"/>
      <c r="BS268" s="358"/>
      <c r="BT268" s="359"/>
      <c r="BU268" s="359"/>
      <c r="BV268" s="359"/>
      <c r="BW268" s="359"/>
      <c r="BX268" s="359"/>
      <c r="BY268" s="359"/>
      <c r="BZ268" s="359"/>
      <c r="CA268" s="359"/>
      <c r="CB268" s="359"/>
      <c r="CC268" s="359"/>
    </row>
    <row r="269" spans="1:81" s="360" customFormat="1" ht="12">
      <c r="A269" s="396"/>
      <c r="C269" s="350" t="s">
        <v>828</v>
      </c>
      <c r="D269" s="300"/>
      <c r="F269" s="357"/>
      <c r="G269" s="381"/>
      <c r="H269" s="381"/>
      <c r="I269" s="381"/>
      <c r="J269" s="381"/>
      <c r="K269" s="381"/>
      <c r="L269" s="381"/>
      <c r="M269" s="381"/>
      <c r="N269" s="381"/>
      <c r="O269" s="381"/>
      <c r="P269" s="381"/>
      <c r="Q269" s="357"/>
      <c r="R269" s="382"/>
      <c r="S269" s="357"/>
      <c r="T269" s="382"/>
      <c r="U269" s="382"/>
      <c r="V269" s="381"/>
      <c r="W269" s="382"/>
      <c r="X269" s="381"/>
      <c r="Y269" s="381"/>
      <c r="Z269" s="381"/>
      <c r="AA269" s="381"/>
      <c r="AB269" s="381"/>
      <c r="AC269" s="381"/>
      <c r="AD269" s="381"/>
      <c r="AE269" s="381"/>
      <c r="AF269" s="381"/>
      <c r="AG269" s="381"/>
      <c r="AH269" s="381"/>
      <c r="AI269" s="381"/>
      <c r="AJ269" s="381"/>
      <c r="AK269" s="381"/>
      <c r="AL269" s="381"/>
      <c r="AM269" s="301"/>
      <c r="AN269" s="357"/>
      <c r="AO269" s="357"/>
      <c r="AP269" s="357"/>
      <c r="AQ269" s="357"/>
      <c r="AR269" s="357"/>
      <c r="AS269" s="357"/>
      <c r="AT269" s="357"/>
      <c r="AU269" s="357"/>
      <c r="AV269" s="357"/>
      <c r="AW269" s="357"/>
      <c r="AX269" s="357"/>
      <c r="AY269" s="357"/>
      <c r="AZ269" s="357"/>
      <c r="BA269" s="357"/>
      <c r="BB269" s="357"/>
      <c r="BC269" s="357"/>
      <c r="BD269" s="357"/>
      <c r="BE269" s="358"/>
      <c r="BF269" s="358"/>
      <c r="BG269" s="358"/>
      <c r="BH269" s="358"/>
      <c r="BI269" s="358"/>
      <c r="BJ269" s="358"/>
      <c r="BK269" s="358"/>
      <c r="BL269" s="358"/>
      <c r="BM269" s="358"/>
      <c r="BN269" s="358"/>
      <c r="BO269" s="358"/>
      <c r="BP269" s="358"/>
      <c r="BQ269" s="358"/>
      <c r="BR269" s="358"/>
      <c r="BS269" s="358"/>
      <c r="BT269" s="359"/>
      <c r="BU269" s="359"/>
      <c r="BV269" s="359"/>
      <c r="BW269" s="359"/>
      <c r="BX269" s="359"/>
      <c r="BY269" s="359"/>
      <c r="BZ269" s="359"/>
      <c r="CA269" s="359"/>
      <c r="CB269" s="359"/>
      <c r="CC269" s="359"/>
    </row>
    <row r="270" spans="1:81" s="360" customFormat="1" ht="12">
      <c r="A270" s="396"/>
      <c r="C270" s="350" t="s">
        <v>829</v>
      </c>
      <c r="D270" s="300"/>
      <c r="F270" s="357"/>
      <c r="G270" s="381"/>
      <c r="H270" s="381"/>
      <c r="I270" s="381"/>
      <c r="J270" s="381"/>
      <c r="K270" s="381"/>
      <c r="L270" s="381"/>
      <c r="M270" s="381"/>
      <c r="N270" s="381"/>
      <c r="O270" s="381"/>
      <c r="P270" s="381"/>
      <c r="Q270" s="357"/>
      <c r="R270" s="382"/>
      <c r="S270" s="357"/>
      <c r="T270" s="382"/>
      <c r="U270" s="382"/>
      <c r="V270" s="381"/>
      <c r="W270" s="382"/>
      <c r="X270" s="381"/>
      <c r="Y270" s="381"/>
      <c r="Z270" s="381"/>
      <c r="AA270" s="381"/>
      <c r="AB270" s="381"/>
      <c r="AC270" s="381"/>
      <c r="AD270" s="381"/>
      <c r="AE270" s="381"/>
      <c r="AF270" s="381"/>
      <c r="AG270" s="381"/>
      <c r="AH270" s="381"/>
      <c r="AI270" s="381"/>
      <c r="AJ270" s="381"/>
      <c r="AK270" s="381"/>
      <c r="AL270" s="381"/>
      <c r="AM270" s="301"/>
      <c r="AN270" s="357"/>
      <c r="AO270" s="357"/>
      <c r="AP270" s="357"/>
      <c r="AQ270" s="357"/>
      <c r="AR270" s="357"/>
      <c r="AS270" s="357"/>
      <c r="AT270" s="357"/>
      <c r="AU270" s="357"/>
      <c r="AV270" s="357"/>
      <c r="AW270" s="357"/>
      <c r="AX270" s="357"/>
      <c r="AY270" s="357"/>
      <c r="AZ270" s="357"/>
      <c r="BA270" s="357"/>
      <c r="BB270" s="357"/>
      <c r="BC270" s="357"/>
      <c r="BD270" s="357"/>
      <c r="BE270" s="358"/>
      <c r="BF270" s="358"/>
      <c r="BG270" s="358"/>
      <c r="BH270" s="358"/>
      <c r="BI270" s="358"/>
      <c r="BJ270" s="358"/>
      <c r="BK270" s="358"/>
      <c r="BL270" s="358"/>
      <c r="BM270" s="358"/>
      <c r="BN270" s="358"/>
      <c r="BO270" s="358"/>
      <c r="BP270" s="358"/>
      <c r="BQ270" s="358"/>
      <c r="BR270" s="358"/>
      <c r="BS270" s="358"/>
      <c r="BT270" s="359"/>
      <c r="BU270" s="359"/>
      <c r="BV270" s="359"/>
      <c r="BW270" s="359"/>
      <c r="BX270" s="359"/>
      <c r="BY270" s="359"/>
      <c r="BZ270" s="359"/>
      <c r="CA270" s="359"/>
      <c r="CB270" s="359"/>
      <c r="CC270" s="359"/>
    </row>
    <row r="271" spans="1:81" s="360" customFormat="1" ht="12">
      <c r="A271" s="412"/>
      <c r="B271" s="415"/>
      <c r="C271" s="415"/>
      <c r="D271" s="352"/>
      <c r="E271" s="415"/>
      <c r="F271" s="394"/>
      <c r="G271" s="395"/>
      <c r="H271" s="381"/>
      <c r="I271" s="381"/>
      <c r="J271" s="381"/>
      <c r="K271" s="381"/>
      <c r="L271" s="381"/>
      <c r="M271" s="381"/>
      <c r="N271" s="381"/>
      <c r="O271" s="381"/>
      <c r="P271" s="381"/>
      <c r="Q271" s="357"/>
      <c r="R271" s="382"/>
      <c r="S271" s="357"/>
      <c r="T271" s="382"/>
      <c r="U271" s="382"/>
      <c r="V271" s="381"/>
      <c r="W271" s="382"/>
      <c r="X271" s="381"/>
      <c r="Y271" s="381"/>
      <c r="Z271" s="381"/>
      <c r="AA271" s="381"/>
      <c r="AB271" s="381"/>
      <c r="AC271" s="381"/>
      <c r="AD271" s="381"/>
      <c r="AE271" s="381"/>
      <c r="AF271" s="381"/>
      <c r="AG271" s="381"/>
      <c r="AH271" s="381"/>
      <c r="AI271" s="381"/>
      <c r="AJ271" s="381"/>
      <c r="AK271" s="381"/>
      <c r="AL271" s="381"/>
      <c r="AM271" s="301"/>
      <c r="AN271" s="357"/>
      <c r="AO271" s="357"/>
      <c r="AP271" s="357"/>
      <c r="AQ271" s="357"/>
      <c r="AR271" s="357"/>
      <c r="AS271" s="357"/>
      <c r="AT271" s="357"/>
      <c r="AU271" s="357"/>
      <c r="AV271" s="357"/>
      <c r="AW271" s="357"/>
      <c r="AX271" s="357"/>
      <c r="AY271" s="357"/>
      <c r="AZ271" s="357"/>
      <c r="BA271" s="357"/>
      <c r="BB271" s="357"/>
      <c r="BC271" s="357"/>
      <c r="BD271" s="357"/>
      <c r="BE271" s="358"/>
      <c r="BF271" s="358"/>
      <c r="BG271" s="358"/>
      <c r="BH271" s="358"/>
      <c r="BI271" s="358"/>
      <c r="BJ271" s="358"/>
      <c r="BK271" s="358"/>
      <c r="BL271" s="358"/>
      <c r="BM271" s="358"/>
      <c r="BN271" s="358"/>
      <c r="BO271" s="358"/>
      <c r="BP271" s="358"/>
      <c r="BQ271" s="358"/>
      <c r="BR271" s="358"/>
      <c r="BS271" s="358"/>
      <c r="BT271" s="359"/>
      <c r="BU271" s="359"/>
      <c r="BV271" s="359"/>
      <c r="BW271" s="359"/>
      <c r="BX271" s="359"/>
      <c r="BY271" s="359"/>
      <c r="BZ271" s="359"/>
      <c r="CA271" s="359"/>
      <c r="CB271" s="359"/>
      <c r="CC271" s="359"/>
    </row>
    <row r="272" spans="1:81" s="360" customFormat="1" ht="12">
      <c r="A272" s="396"/>
      <c r="D272" s="300"/>
      <c r="F272" s="357"/>
      <c r="G272" s="381"/>
      <c r="H272" s="381"/>
      <c r="I272" s="381"/>
      <c r="J272" s="381"/>
      <c r="K272" s="381"/>
      <c r="L272" s="381"/>
      <c r="M272" s="381"/>
      <c r="N272" s="381"/>
      <c r="O272" s="381"/>
      <c r="P272" s="381"/>
      <c r="Q272" s="357"/>
      <c r="R272" s="382"/>
      <c r="S272" s="357"/>
      <c r="T272" s="382"/>
      <c r="U272" s="382"/>
      <c r="V272" s="381"/>
      <c r="W272" s="382"/>
      <c r="X272" s="381"/>
      <c r="Y272" s="381"/>
      <c r="Z272" s="381"/>
      <c r="AA272" s="381"/>
      <c r="AB272" s="381"/>
      <c r="AC272" s="381"/>
      <c r="AD272" s="381"/>
      <c r="AE272" s="381"/>
      <c r="AF272" s="381"/>
      <c r="AG272" s="381"/>
      <c r="AH272" s="381"/>
      <c r="AI272" s="381"/>
      <c r="AJ272" s="381"/>
      <c r="AK272" s="381"/>
      <c r="AL272" s="381"/>
      <c r="AM272" s="301"/>
      <c r="AN272" s="357"/>
      <c r="AO272" s="357"/>
      <c r="AP272" s="357"/>
      <c r="AQ272" s="357"/>
      <c r="AR272" s="357"/>
      <c r="AS272" s="357"/>
      <c r="AT272" s="357"/>
      <c r="AU272" s="357"/>
      <c r="AV272" s="357"/>
      <c r="AW272" s="357"/>
      <c r="AX272" s="357"/>
      <c r="AY272" s="357"/>
      <c r="AZ272" s="357"/>
      <c r="BA272" s="357"/>
      <c r="BB272" s="357"/>
      <c r="BC272" s="357"/>
      <c r="BD272" s="357"/>
      <c r="BE272" s="358"/>
      <c r="BF272" s="358"/>
      <c r="BG272" s="358"/>
      <c r="BH272" s="358"/>
      <c r="BI272" s="358"/>
      <c r="BJ272" s="358"/>
      <c r="BK272" s="358"/>
      <c r="BL272" s="358"/>
      <c r="BM272" s="358"/>
      <c r="BN272" s="358"/>
      <c r="BO272" s="358"/>
      <c r="BP272" s="358"/>
      <c r="BQ272" s="358"/>
      <c r="BR272" s="358"/>
      <c r="BS272" s="358"/>
      <c r="BT272" s="359"/>
      <c r="BU272" s="359"/>
      <c r="BV272" s="359"/>
      <c r="BW272" s="359"/>
      <c r="BX272" s="359"/>
      <c r="BY272" s="359"/>
      <c r="BZ272" s="359"/>
      <c r="CA272" s="359"/>
      <c r="CB272" s="359"/>
      <c r="CC272" s="359"/>
    </row>
    <row r="273" spans="1:81" s="360" customFormat="1" ht="12">
      <c r="A273" s="396" t="s">
        <v>830</v>
      </c>
      <c r="C273" s="360" t="s">
        <v>623</v>
      </c>
      <c r="D273" s="300" t="s">
        <v>831</v>
      </c>
      <c r="F273" s="453">
        <v>245991</v>
      </c>
      <c r="G273" s="381"/>
      <c r="H273" s="381"/>
      <c r="I273" s="381"/>
      <c r="J273" s="381"/>
      <c r="K273" s="381"/>
      <c r="L273" s="381"/>
      <c r="M273" s="381">
        <f>+F273</f>
        <v>245991</v>
      </c>
      <c r="N273" s="381"/>
      <c r="O273" s="381"/>
      <c r="P273" s="381"/>
      <c r="Q273" s="357"/>
      <c r="R273" s="382"/>
      <c r="S273" s="357"/>
      <c r="T273" s="382"/>
      <c r="U273" s="382"/>
      <c r="V273" s="381"/>
      <c r="W273" s="382"/>
      <c r="X273" s="381"/>
      <c r="Y273" s="381"/>
      <c r="Z273" s="381"/>
      <c r="AA273" s="381"/>
      <c r="AB273" s="381"/>
      <c r="AC273" s="381"/>
      <c r="AD273" s="381"/>
      <c r="AE273" s="381"/>
      <c r="AF273" s="381"/>
      <c r="AG273" s="381"/>
      <c r="AH273" s="381"/>
      <c r="AI273" s="381"/>
      <c r="AJ273" s="381"/>
      <c r="AK273" s="381"/>
      <c r="AL273" s="381"/>
      <c r="AM273" s="301"/>
      <c r="AN273" s="357"/>
      <c r="AO273" s="357"/>
      <c r="AP273" s="357"/>
      <c r="AQ273" s="357"/>
      <c r="AR273" s="357"/>
      <c r="AS273" s="357"/>
      <c r="AT273" s="357"/>
      <c r="AU273" s="357"/>
      <c r="AV273" s="357"/>
      <c r="AW273" s="357"/>
      <c r="AX273" s="357"/>
      <c r="AY273" s="357"/>
      <c r="AZ273" s="357"/>
      <c r="BA273" s="357"/>
      <c r="BB273" s="357"/>
      <c r="BC273" s="357"/>
      <c r="BD273" s="357"/>
      <c r="BE273" s="358"/>
      <c r="BF273" s="358"/>
      <c r="BG273" s="358"/>
      <c r="BH273" s="358"/>
      <c r="BI273" s="358"/>
      <c r="BJ273" s="358"/>
      <c r="BK273" s="358"/>
      <c r="BL273" s="358"/>
      <c r="BM273" s="358"/>
      <c r="BN273" s="358"/>
      <c r="BO273" s="358"/>
      <c r="BP273" s="358"/>
      <c r="BQ273" s="358"/>
      <c r="BR273" s="358"/>
      <c r="BS273" s="358"/>
      <c r="BT273" s="359"/>
      <c r="BU273" s="359"/>
      <c r="BV273" s="359"/>
      <c r="BW273" s="359"/>
      <c r="BX273" s="359"/>
      <c r="BY273" s="359"/>
      <c r="BZ273" s="359"/>
      <c r="CA273" s="359"/>
      <c r="CB273" s="359"/>
      <c r="CC273" s="359"/>
    </row>
    <row r="274" spans="1:81" s="360" customFormat="1" ht="12">
      <c r="A274" s="396"/>
      <c r="D274" s="300" t="s">
        <v>832</v>
      </c>
      <c r="F274" s="357"/>
      <c r="G274" s="381"/>
      <c r="H274" s="381"/>
      <c r="I274" s="381"/>
      <c r="J274" s="381"/>
      <c r="K274" s="381"/>
      <c r="L274" s="381"/>
      <c r="M274" s="381"/>
      <c r="N274" s="381"/>
      <c r="O274" s="381"/>
      <c r="P274" s="381"/>
      <c r="Q274" s="357"/>
      <c r="R274" s="382"/>
      <c r="S274" s="357"/>
      <c r="T274" s="382"/>
      <c r="U274" s="382"/>
      <c r="V274" s="381"/>
      <c r="W274" s="382"/>
      <c r="X274" s="381"/>
      <c r="Y274" s="381"/>
      <c r="Z274" s="381"/>
      <c r="AA274" s="381"/>
      <c r="AB274" s="381"/>
      <c r="AC274" s="381"/>
      <c r="AD274" s="381"/>
      <c r="AE274" s="381"/>
      <c r="AF274" s="381"/>
      <c r="AG274" s="381"/>
      <c r="AH274" s="381"/>
      <c r="AI274" s="381"/>
      <c r="AJ274" s="381"/>
      <c r="AK274" s="381"/>
      <c r="AL274" s="381"/>
      <c r="AM274" s="301"/>
      <c r="AN274" s="357"/>
      <c r="AO274" s="357"/>
      <c r="AP274" s="357"/>
      <c r="AQ274" s="357"/>
      <c r="AR274" s="357"/>
      <c r="AS274" s="357"/>
      <c r="AT274" s="357"/>
      <c r="AU274" s="357"/>
      <c r="AV274" s="357"/>
      <c r="AW274" s="357"/>
      <c r="AX274" s="357"/>
      <c r="AY274" s="357"/>
      <c r="AZ274" s="357"/>
      <c r="BA274" s="357"/>
      <c r="BB274" s="357"/>
      <c r="BC274" s="357"/>
      <c r="BD274" s="357"/>
      <c r="BE274" s="358"/>
      <c r="BF274" s="358"/>
      <c r="BG274" s="358"/>
      <c r="BH274" s="358"/>
      <c r="BI274" s="358"/>
      <c r="BJ274" s="358"/>
      <c r="BK274" s="358"/>
      <c r="BL274" s="358"/>
      <c r="BM274" s="358"/>
      <c r="BN274" s="358"/>
      <c r="BO274" s="358"/>
      <c r="BP274" s="358"/>
      <c r="BQ274" s="358"/>
      <c r="BR274" s="358"/>
      <c r="BS274" s="358"/>
      <c r="BT274" s="359"/>
      <c r="BU274" s="359"/>
      <c r="BV274" s="359"/>
      <c r="BW274" s="359"/>
      <c r="BX274" s="359"/>
      <c r="BY274" s="359"/>
      <c r="BZ274" s="359"/>
      <c r="CA274" s="359"/>
      <c r="CB274" s="359"/>
      <c r="CC274" s="359"/>
    </row>
    <row r="275" spans="1:81" s="360" customFormat="1" ht="12">
      <c r="A275" s="396"/>
      <c r="C275" s="360" t="s">
        <v>624</v>
      </c>
      <c r="D275" s="300" t="s">
        <v>833</v>
      </c>
      <c r="F275" s="357"/>
      <c r="G275" s="381">
        <f>+F273</f>
        <v>245991</v>
      </c>
      <c r="H275" s="381"/>
      <c r="I275" s="381"/>
      <c r="J275" s="381"/>
      <c r="K275" s="381"/>
      <c r="L275" s="381"/>
      <c r="M275" s="381"/>
      <c r="N275" s="381"/>
      <c r="O275" s="381"/>
      <c r="P275" s="381"/>
      <c r="Q275" s="357"/>
      <c r="R275" s="382"/>
      <c r="S275" s="357"/>
      <c r="T275" s="382"/>
      <c r="U275" s="382">
        <v>-245991</v>
      </c>
      <c r="V275" s="381"/>
      <c r="W275" s="382"/>
      <c r="X275" s="381"/>
      <c r="Y275" s="381"/>
      <c r="Z275" s="381"/>
      <c r="AA275" s="381"/>
      <c r="AB275" s="381"/>
      <c r="AC275" s="381"/>
      <c r="AD275" s="381"/>
      <c r="AE275" s="381"/>
      <c r="AF275" s="381"/>
      <c r="AG275" s="381"/>
      <c r="AH275" s="381"/>
      <c r="AI275" s="381"/>
      <c r="AJ275" s="381"/>
      <c r="AK275" s="381"/>
      <c r="AL275" s="381"/>
      <c r="AM275" s="301"/>
      <c r="AN275" s="357"/>
      <c r="AO275" s="357"/>
      <c r="AP275" s="357"/>
      <c r="AQ275" s="357"/>
      <c r="AR275" s="357"/>
      <c r="AS275" s="357"/>
      <c r="AT275" s="357"/>
      <c r="AU275" s="357"/>
      <c r="AV275" s="357"/>
      <c r="AW275" s="357"/>
      <c r="AX275" s="357"/>
      <c r="AY275" s="357"/>
      <c r="AZ275" s="357"/>
      <c r="BA275" s="357"/>
      <c r="BB275" s="357"/>
      <c r="BC275" s="357"/>
      <c r="BD275" s="357"/>
      <c r="BE275" s="358"/>
      <c r="BF275" s="358"/>
      <c r="BG275" s="358"/>
      <c r="BH275" s="358"/>
      <c r="BI275" s="358"/>
      <c r="BJ275" s="358"/>
      <c r="BK275" s="358"/>
      <c r="BL275" s="358"/>
      <c r="BM275" s="358"/>
      <c r="BN275" s="358"/>
      <c r="BO275" s="358"/>
      <c r="BP275" s="358"/>
      <c r="BQ275" s="358"/>
      <c r="BR275" s="358"/>
      <c r="BS275" s="358"/>
      <c r="BT275" s="359"/>
      <c r="BU275" s="359"/>
      <c r="BV275" s="359"/>
      <c r="BW275" s="359"/>
      <c r="BX275" s="359"/>
      <c r="BY275" s="359"/>
      <c r="BZ275" s="359"/>
      <c r="CA275" s="359"/>
      <c r="CB275" s="359"/>
      <c r="CC275" s="359"/>
    </row>
    <row r="276" spans="1:81" s="360" customFormat="1" ht="12">
      <c r="A276" s="396"/>
      <c r="D276" s="376" t="s">
        <v>834</v>
      </c>
      <c r="E276" s="376"/>
      <c r="F276" s="357"/>
      <c r="G276" s="381"/>
      <c r="H276" s="381"/>
      <c r="I276" s="381"/>
      <c r="J276" s="381"/>
      <c r="K276" s="381"/>
      <c r="L276" s="381"/>
      <c r="M276" s="381"/>
      <c r="N276" s="381"/>
      <c r="O276" s="381"/>
      <c r="P276" s="381"/>
      <c r="Q276" s="357"/>
      <c r="R276" s="382"/>
      <c r="S276" s="357"/>
      <c r="T276" s="382"/>
      <c r="U276" s="382"/>
      <c r="V276" s="381"/>
      <c r="W276" s="382"/>
      <c r="X276" s="381"/>
      <c r="Y276" s="381"/>
      <c r="Z276" s="381"/>
      <c r="AA276" s="381"/>
      <c r="AB276" s="381"/>
      <c r="AC276" s="381"/>
      <c r="AD276" s="381"/>
      <c r="AE276" s="381"/>
      <c r="AF276" s="381"/>
      <c r="AG276" s="381"/>
      <c r="AH276" s="381"/>
      <c r="AI276" s="381"/>
      <c r="AJ276" s="381"/>
      <c r="AK276" s="381"/>
      <c r="AL276" s="381"/>
      <c r="AM276" s="301"/>
      <c r="AN276" s="357"/>
      <c r="AO276" s="357"/>
      <c r="AP276" s="357"/>
      <c r="AQ276" s="357"/>
      <c r="AR276" s="357"/>
      <c r="AS276" s="357"/>
      <c r="AT276" s="357"/>
      <c r="AU276" s="357"/>
      <c r="AV276" s="357"/>
      <c r="AW276" s="357"/>
      <c r="AX276" s="357"/>
      <c r="AY276" s="357"/>
      <c r="AZ276" s="357"/>
      <c r="BA276" s="357"/>
      <c r="BB276" s="357"/>
      <c r="BC276" s="357"/>
      <c r="BD276" s="357"/>
      <c r="BE276" s="358"/>
      <c r="BF276" s="358"/>
      <c r="BG276" s="358"/>
      <c r="BH276" s="358"/>
      <c r="BI276" s="358"/>
      <c r="BJ276" s="358"/>
      <c r="BK276" s="358"/>
      <c r="BL276" s="358"/>
      <c r="BM276" s="358"/>
      <c r="BN276" s="358"/>
      <c r="BO276" s="358"/>
      <c r="BP276" s="358"/>
      <c r="BQ276" s="358"/>
      <c r="BR276" s="358"/>
      <c r="BS276" s="358"/>
      <c r="BT276" s="359"/>
      <c r="BU276" s="359"/>
      <c r="BV276" s="359"/>
      <c r="BW276" s="359"/>
      <c r="BX276" s="359"/>
      <c r="BY276" s="359"/>
      <c r="BZ276" s="359"/>
      <c r="CA276" s="359"/>
      <c r="CB276" s="359"/>
      <c r="CC276" s="359"/>
    </row>
    <row r="277" spans="1:81" s="360" customFormat="1" ht="12">
      <c r="A277" s="396"/>
      <c r="C277" s="360" t="s">
        <v>835</v>
      </c>
      <c r="D277" s="300"/>
      <c r="F277" s="357"/>
      <c r="G277" s="381"/>
      <c r="H277" s="381"/>
      <c r="I277" s="381"/>
      <c r="J277" s="381"/>
      <c r="K277" s="381"/>
      <c r="L277" s="381"/>
      <c r="M277" s="381"/>
      <c r="N277" s="381"/>
      <c r="O277" s="381"/>
      <c r="P277" s="381"/>
      <c r="Q277" s="357"/>
      <c r="R277" s="382"/>
      <c r="S277" s="357"/>
      <c r="T277" s="382"/>
      <c r="U277" s="382"/>
      <c r="V277" s="381"/>
      <c r="W277" s="382"/>
      <c r="X277" s="381"/>
      <c r="Y277" s="381"/>
      <c r="Z277" s="381"/>
      <c r="AA277" s="381"/>
      <c r="AB277" s="381"/>
      <c r="AC277" s="381"/>
      <c r="AD277" s="381"/>
      <c r="AE277" s="381"/>
      <c r="AF277" s="381"/>
      <c r="AG277" s="381"/>
      <c r="AH277" s="381"/>
      <c r="AI277" s="381"/>
      <c r="AJ277" s="381"/>
      <c r="AK277" s="381"/>
      <c r="AL277" s="381"/>
      <c r="AM277" s="301"/>
      <c r="AN277" s="357"/>
      <c r="AO277" s="357"/>
      <c r="AP277" s="357"/>
      <c r="AQ277" s="357"/>
      <c r="AR277" s="357"/>
      <c r="AS277" s="357"/>
      <c r="AT277" s="357"/>
      <c r="AU277" s="357"/>
      <c r="AV277" s="357"/>
      <c r="AW277" s="357"/>
      <c r="AX277" s="357"/>
      <c r="AY277" s="357"/>
      <c r="AZ277" s="357"/>
      <c r="BA277" s="357"/>
      <c r="BB277" s="357"/>
      <c r="BC277" s="357"/>
      <c r="BD277" s="357"/>
      <c r="BE277" s="358"/>
      <c r="BF277" s="358"/>
      <c r="BG277" s="358"/>
      <c r="BH277" s="358"/>
      <c r="BI277" s="358"/>
      <c r="BJ277" s="358"/>
      <c r="BK277" s="358"/>
      <c r="BL277" s="358"/>
      <c r="BM277" s="358"/>
      <c r="BN277" s="358"/>
      <c r="BO277" s="358"/>
      <c r="BP277" s="358"/>
      <c r="BQ277" s="358"/>
      <c r="BR277" s="358"/>
      <c r="BS277" s="358"/>
      <c r="BT277" s="359"/>
      <c r="BU277" s="359"/>
      <c r="BV277" s="359"/>
      <c r="BW277" s="359"/>
      <c r="BX277" s="359"/>
      <c r="BY277" s="359"/>
      <c r="BZ277" s="359"/>
      <c r="CA277" s="359"/>
      <c r="CB277" s="359"/>
      <c r="CC277" s="359"/>
    </row>
    <row r="278" spans="1:81" s="360" customFormat="1" ht="12">
      <c r="A278" s="412"/>
      <c r="B278" s="415"/>
      <c r="C278" s="454"/>
      <c r="D278" s="455"/>
      <c r="E278" s="415"/>
      <c r="F278" s="394"/>
      <c r="G278" s="395"/>
      <c r="H278" s="381"/>
      <c r="I278" s="381"/>
      <c r="J278" s="382"/>
      <c r="K278" s="382"/>
      <c r="L278" s="382"/>
      <c r="M278" s="382"/>
      <c r="N278" s="382"/>
      <c r="O278" s="382"/>
      <c r="P278" s="382"/>
      <c r="Q278" s="383"/>
      <c r="R278" s="382"/>
      <c r="S278" s="357"/>
      <c r="T278" s="382"/>
      <c r="U278" s="382"/>
      <c r="V278" s="381"/>
      <c r="W278" s="382"/>
      <c r="X278" s="382"/>
      <c r="Y278" s="382"/>
      <c r="Z278" s="382"/>
      <c r="AA278" s="382"/>
      <c r="AB278" s="382"/>
      <c r="AC278" s="381"/>
      <c r="AD278" s="382"/>
      <c r="AE278" s="382"/>
      <c r="AF278" s="382"/>
      <c r="AG278" s="382"/>
      <c r="AH278" s="382"/>
      <c r="AI278" s="382"/>
      <c r="AJ278" s="382"/>
      <c r="AK278" s="382"/>
      <c r="AL278" s="382"/>
      <c r="AM278" s="301"/>
      <c r="AN278" s="357"/>
      <c r="AO278" s="357"/>
      <c r="AP278" s="357"/>
      <c r="AQ278" s="357"/>
      <c r="AR278" s="357"/>
      <c r="AS278" s="357"/>
      <c r="AT278" s="357"/>
      <c r="AU278" s="357"/>
      <c r="AV278" s="357"/>
      <c r="AW278" s="357"/>
      <c r="AX278" s="357"/>
      <c r="AY278" s="357"/>
      <c r="AZ278" s="357"/>
      <c r="BA278" s="357"/>
      <c r="BB278" s="357"/>
      <c r="BC278" s="357"/>
      <c r="BD278" s="357"/>
      <c r="BE278" s="358"/>
      <c r="BF278" s="358"/>
      <c r="BG278" s="358"/>
      <c r="BH278" s="358"/>
      <c r="BI278" s="358"/>
      <c r="BJ278" s="358"/>
      <c r="BK278" s="358"/>
      <c r="BL278" s="358"/>
      <c r="BM278" s="358"/>
      <c r="BN278" s="358"/>
      <c r="BO278" s="358"/>
      <c r="BP278" s="358"/>
      <c r="BQ278" s="358"/>
      <c r="BR278" s="358"/>
      <c r="BS278" s="358"/>
      <c r="BT278" s="359"/>
      <c r="BU278" s="359"/>
      <c r="BV278" s="359"/>
      <c r="BW278" s="359"/>
      <c r="BX278" s="359"/>
      <c r="BY278" s="359"/>
      <c r="BZ278" s="359"/>
      <c r="CA278" s="359"/>
      <c r="CB278" s="359"/>
      <c r="CC278" s="359"/>
    </row>
    <row r="279" spans="1:81" s="360" customFormat="1" ht="12">
      <c r="A279" s="396"/>
      <c r="B279" s="360">
        <v>1</v>
      </c>
      <c r="C279" s="360" t="s">
        <v>836</v>
      </c>
      <c r="D279" s="380"/>
      <c r="F279" s="357">
        <f>157512*B279</f>
        <v>157512</v>
      </c>
      <c r="G279" s="381"/>
      <c r="H279" s="381"/>
      <c r="I279" s="381"/>
      <c r="J279" s="381"/>
      <c r="K279" s="381"/>
      <c r="L279" s="381"/>
      <c r="M279" s="381"/>
      <c r="N279" s="381"/>
      <c r="O279" s="381"/>
      <c r="P279" s="381"/>
      <c r="Q279" s="357"/>
      <c r="R279" s="382"/>
      <c r="S279" s="357"/>
      <c r="T279" s="382"/>
      <c r="U279" s="382">
        <f>+F279</f>
        <v>157512</v>
      </c>
      <c r="V279" s="381"/>
      <c r="W279" s="382"/>
      <c r="X279" s="381"/>
      <c r="Y279" s="381"/>
      <c r="Z279" s="381"/>
      <c r="AA279" s="381"/>
      <c r="AB279" s="381"/>
      <c r="AC279" s="381"/>
      <c r="AD279" s="381"/>
      <c r="AE279" s="381"/>
      <c r="AF279" s="381"/>
      <c r="AG279" s="381"/>
      <c r="AH279" s="381"/>
      <c r="AI279" s="381"/>
      <c r="AJ279" s="381"/>
      <c r="AK279" s="381"/>
      <c r="AL279" s="381"/>
      <c r="AM279" s="301"/>
      <c r="AN279" s="357"/>
      <c r="AO279" s="357"/>
      <c r="AP279" s="357"/>
      <c r="AQ279" s="357"/>
      <c r="AR279" s="357"/>
      <c r="AS279" s="357"/>
      <c r="AT279" s="357"/>
      <c r="AU279" s="357"/>
      <c r="AV279" s="357"/>
      <c r="AW279" s="357"/>
      <c r="AX279" s="357"/>
      <c r="AY279" s="357"/>
      <c r="AZ279" s="357"/>
      <c r="BA279" s="357"/>
      <c r="BB279" s="357"/>
      <c r="BC279" s="357"/>
      <c r="BD279" s="357"/>
      <c r="BE279" s="358"/>
      <c r="BF279" s="358"/>
      <c r="BG279" s="358"/>
      <c r="BH279" s="358"/>
      <c r="BI279" s="358"/>
      <c r="BJ279" s="358"/>
      <c r="BK279" s="358"/>
      <c r="BL279" s="358"/>
      <c r="BM279" s="358"/>
      <c r="BN279" s="358"/>
      <c r="BO279" s="358"/>
      <c r="BP279" s="358"/>
      <c r="BQ279" s="358"/>
      <c r="BR279" s="358"/>
      <c r="BS279" s="358"/>
      <c r="BT279" s="359"/>
      <c r="BU279" s="359"/>
      <c r="BV279" s="359"/>
      <c r="BW279" s="359"/>
      <c r="BX279" s="359"/>
      <c r="BY279" s="359"/>
      <c r="BZ279" s="359"/>
      <c r="CA279" s="359"/>
      <c r="CB279" s="359"/>
      <c r="CC279" s="359"/>
    </row>
    <row r="280" spans="1:81" s="360" customFormat="1" ht="12">
      <c r="A280" s="396"/>
      <c r="B280" s="360">
        <v>1</v>
      </c>
      <c r="C280" s="360" t="s">
        <v>837</v>
      </c>
      <c r="D280" s="380"/>
      <c r="F280" s="357"/>
      <c r="G280" s="381">
        <f>157512*B280</f>
        <v>157512</v>
      </c>
      <c r="H280" s="381"/>
      <c r="I280" s="381"/>
      <c r="J280" s="381"/>
      <c r="K280" s="381"/>
      <c r="L280" s="381"/>
      <c r="M280" s="381">
        <f>-G280</f>
        <v>-157512</v>
      </c>
      <c r="N280" s="381"/>
      <c r="O280" s="381"/>
      <c r="P280" s="381"/>
      <c r="Q280" s="357"/>
      <c r="R280" s="382"/>
      <c r="S280" s="357"/>
      <c r="T280" s="382"/>
      <c r="U280" s="382"/>
      <c r="V280" s="381"/>
      <c r="W280" s="382"/>
      <c r="X280" s="381"/>
      <c r="Y280" s="381"/>
      <c r="Z280" s="381"/>
      <c r="AA280" s="381"/>
      <c r="AB280" s="381"/>
      <c r="AC280" s="381"/>
      <c r="AD280" s="381"/>
      <c r="AE280" s="381"/>
      <c r="AF280" s="381"/>
      <c r="AG280" s="381"/>
      <c r="AH280" s="381"/>
      <c r="AI280" s="381"/>
      <c r="AJ280" s="381"/>
      <c r="AK280" s="381"/>
      <c r="AL280" s="381"/>
      <c r="AM280" s="301"/>
      <c r="AN280" s="357"/>
      <c r="AO280" s="357"/>
      <c r="AP280" s="357"/>
      <c r="AQ280" s="357"/>
      <c r="AR280" s="357"/>
      <c r="AS280" s="357"/>
      <c r="AT280" s="357"/>
      <c r="AU280" s="357"/>
      <c r="AV280" s="357"/>
      <c r="AW280" s="357"/>
      <c r="AX280" s="357"/>
      <c r="AY280" s="357"/>
      <c r="AZ280" s="357"/>
      <c r="BA280" s="357"/>
      <c r="BB280" s="357"/>
      <c r="BC280" s="357"/>
      <c r="BD280" s="357"/>
      <c r="BE280" s="358"/>
      <c r="BF280" s="358"/>
      <c r="BG280" s="358"/>
      <c r="BH280" s="358"/>
      <c r="BI280" s="358"/>
      <c r="BJ280" s="358"/>
      <c r="BK280" s="358"/>
      <c r="BL280" s="358"/>
      <c r="BM280" s="358"/>
      <c r="BN280" s="358"/>
      <c r="BO280" s="358"/>
      <c r="BP280" s="358"/>
      <c r="BQ280" s="358"/>
      <c r="BR280" s="358"/>
      <c r="BS280" s="358"/>
      <c r="BT280" s="359"/>
      <c r="BU280" s="359"/>
      <c r="BV280" s="359"/>
      <c r="BW280" s="359"/>
      <c r="BX280" s="359"/>
      <c r="BY280" s="359"/>
      <c r="BZ280" s="359"/>
      <c r="CA280" s="359"/>
      <c r="CB280" s="359"/>
      <c r="CC280" s="359"/>
    </row>
    <row r="281" spans="1:81" s="360" customFormat="1" ht="12">
      <c r="A281" s="396"/>
      <c r="C281" s="456" t="s">
        <v>838</v>
      </c>
      <c r="D281" s="380"/>
      <c r="F281" s="357"/>
      <c r="G281" s="381"/>
      <c r="H281" s="381"/>
      <c r="I281" s="381"/>
      <c r="J281" s="381"/>
      <c r="K281" s="381"/>
      <c r="L281" s="381"/>
      <c r="M281" s="381"/>
      <c r="N281" s="381"/>
      <c r="O281" s="381"/>
      <c r="P281" s="381"/>
      <c r="Q281" s="357"/>
      <c r="R281" s="382"/>
      <c r="S281" s="357"/>
      <c r="T281" s="382"/>
      <c r="U281" s="382"/>
      <c r="V281" s="381"/>
      <c r="W281" s="382"/>
      <c r="X281" s="381"/>
      <c r="Y281" s="381"/>
      <c r="Z281" s="381"/>
      <c r="AA281" s="381"/>
      <c r="AB281" s="381"/>
      <c r="AC281" s="381"/>
      <c r="AD281" s="381"/>
      <c r="AE281" s="381"/>
      <c r="AF281" s="381"/>
      <c r="AG281" s="381"/>
      <c r="AH281" s="381"/>
      <c r="AI281" s="381"/>
      <c r="AJ281" s="381"/>
      <c r="AK281" s="381"/>
      <c r="AL281" s="381"/>
      <c r="AM281" s="301"/>
      <c r="AN281" s="357"/>
      <c r="AO281" s="357"/>
      <c r="AP281" s="357"/>
      <c r="AQ281" s="357"/>
      <c r="AR281" s="357"/>
      <c r="AS281" s="357"/>
      <c r="AT281" s="357"/>
      <c r="AU281" s="357"/>
      <c r="AV281" s="357"/>
      <c r="AW281" s="357"/>
      <c r="AX281" s="357"/>
      <c r="AY281" s="357"/>
      <c r="AZ281" s="357"/>
      <c r="BA281" s="357"/>
      <c r="BB281" s="357"/>
      <c r="BC281" s="357"/>
      <c r="BD281" s="357"/>
      <c r="BE281" s="358"/>
      <c r="BF281" s="358"/>
      <c r="BG281" s="358"/>
      <c r="BH281" s="358"/>
      <c r="BI281" s="358"/>
      <c r="BJ281" s="358"/>
      <c r="BK281" s="358"/>
      <c r="BL281" s="358"/>
      <c r="BM281" s="358"/>
      <c r="BN281" s="358"/>
      <c r="BO281" s="358"/>
      <c r="BP281" s="358"/>
      <c r="BQ281" s="358"/>
      <c r="BR281" s="358"/>
      <c r="BS281" s="358"/>
      <c r="BT281" s="359"/>
      <c r="BU281" s="359"/>
      <c r="BV281" s="359"/>
      <c r="BW281" s="359"/>
      <c r="BX281" s="359"/>
      <c r="BY281" s="359"/>
      <c r="BZ281" s="359"/>
      <c r="CA281" s="359"/>
      <c r="CB281" s="359"/>
      <c r="CC281" s="359"/>
    </row>
    <row r="282" spans="1:81" s="360" customFormat="1" ht="12">
      <c r="A282" s="396"/>
      <c r="D282" s="380"/>
      <c r="F282" s="357"/>
      <c r="G282" s="381"/>
      <c r="H282" s="381"/>
      <c r="I282" s="381"/>
      <c r="J282" s="381"/>
      <c r="K282" s="381"/>
      <c r="L282" s="381"/>
      <c r="M282" s="381"/>
      <c r="N282" s="381"/>
      <c r="O282" s="381"/>
      <c r="P282" s="381"/>
      <c r="Q282" s="357"/>
      <c r="R282" s="382"/>
      <c r="S282" s="357"/>
      <c r="T282" s="382"/>
      <c r="U282" s="382"/>
      <c r="V282" s="381"/>
      <c r="W282" s="382"/>
      <c r="X282" s="381"/>
      <c r="Y282" s="381"/>
      <c r="Z282" s="381"/>
      <c r="AA282" s="381"/>
      <c r="AB282" s="381"/>
      <c r="AC282" s="381"/>
      <c r="AD282" s="381"/>
      <c r="AE282" s="381"/>
      <c r="AF282" s="381"/>
      <c r="AG282" s="381"/>
      <c r="AH282" s="381"/>
      <c r="AI282" s="381"/>
      <c r="AJ282" s="381"/>
      <c r="AK282" s="381"/>
      <c r="AL282" s="381"/>
      <c r="AM282" s="301"/>
      <c r="AN282" s="357"/>
      <c r="AO282" s="357"/>
      <c r="AP282" s="357"/>
      <c r="AQ282" s="357"/>
      <c r="AR282" s="357"/>
      <c r="AS282" s="357"/>
      <c r="AT282" s="357"/>
      <c r="AU282" s="357"/>
      <c r="AV282" s="357"/>
      <c r="AW282" s="357"/>
      <c r="AX282" s="357"/>
      <c r="AY282" s="357"/>
      <c r="AZ282" s="357"/>
      <c r="BA282" s="357"/>
      <c r="BB282" s="357"/>
      <c r="BC282" s="357"/>
      <c r="BD282" s="357"/>
      <c r="BE282" s="358"/>
      <c r="BF282" s="358"/>
      <c r="BG282" s="358"/>
      <c r="BH282" s="358"/>
      <c r="BI282" s="358"/>
      <c r="BJ282" s="358"/>
      <c r="BK282" s="358"/>
      <c r="BL282" s="358"/>
      <c r="BM282" s="358"/>
      <c r="BN282" s="358"/>
      <c r="BO282" s="358"/>
      <c r="BP282" s="358"/>
      <c r="BQ282" s="358"/>
      <c r="BR282" s="358"/>
      <c r="BS282" s="358"/>
      <c r="BT282" s="359"/>
      <c r="BU282" s="359"/>
      <c r="BV282" s="359"/>
      <c r="BW282" s="359"/>
      <c r="BX282" s="359"/>
      <c r="BY282" s="359"/>
      <c r="BZ282" s="359"/>
      <c r="CA282" s="359"/>
      <c r="CB282" s="359"/>
      <c r="CC282" s="359"/>
    </row>
    <row r="283" spans="1:81" s="360" customFormat="1" ht="14.25">
      <c r="A283" s="396"/>
      <c r="D283" s="3"/>
      <c r="F283" s="357"/>
      <c r="G283" s="381"/>
      <c r="H283" s="381"/>
      <c r="I283" s="381"/>
      <c r="J283" s="381"/>
      <c r="K283" s="381"/>
      <c r="L283" s="381"/>
      <c r="M283" s="381"/>
      <c r="N283" s="381"/>
      <c r="O283" s="381"/>
      <c r="P283" s="381"/>
      <c r="Q283" s="357"/>
      <c r="R283" s="381"/>
      <c r="S283" s="357"/>
      <c r="T283" s="381"/>
      <c r="U283" s="381"/>
      <c r="V283" s="381"/>
      <c r="W283" s="381"/>
      <c r="X283" s="381"/>
      <c r="Y283" s="381"/>
      <c r="Z283" s="381"/>
      <c r="AA283" s="381"/>
      <c r="AB283" s="381"/>
      <c r="AC283" s="381"/>
      <c r="AD283" s="381"/>
      <c r="AE283" s="381"/>
      <c r="AF283" s="381"/>
      <c r="AG283" s="381"/>
      <c r="AH283" s="381"/>
      <c r="AI283" s="381"/>
      <c r="AJ283" s="381"/>
      <c r="AK283" s="381"/>
      <c r="AL283" s="381"/>
      <c r="AM283" s="301"/>
      <c r="AN283" s="357"/>
      <c r="AO283" s="357"/>
      <c r="AP283" s="357"/>
      <c r="AQ283" s="357"/>
      <c r="AR283" s="357"/>
      <c r="AS283" s="357"/>
      <c r="AT283" s="357"/>
      <c r="AU283" s="357"/>
      <c r="AV283" s="357"/>
      <c r="AW283" s="357"/>
      <c r="AX283" s="357"/>
      <c r="AY283" s="357"/>
      <c r="AZ283" s="357"/>
      <c r="BA283" s="357"/>
      <c r="BB283" s="357"/>
      <c r="BC283" s="357"/>
      <c r="BD283" s="357"/>
      <c r="BE283" s="358"/>
      <c r="BF283" s="358"/>
      <c r="BG283" s="358"/>
      <c r="BH283" s="358"/>
      <c r="BI283" s="358"/>
      <c r="BJ283" s="358"/>
      <c r="BK283" s="358"/>
      <c r="BL283" s="358"/>
      <c r="BM283" s="358"/>
      <c r="BN283" s="358"/>
      <c r="BO283" s="358"/>
      <c r="BP283" s="358"/>
      <c r="BQ283" s="358"/>
      <c r="BR283" s="358"/>
      <c r="BS283" s="358"/>
      <c r="BT283" s="359"/>
      <c r="BU283" s="359"/>
      <c r="BV283" s="359"/>
      <c r="BW283" s="359"/>
      <c r="BX283" s="359"/>
      <c r="BY283" s="359"/>
      <c r="BZ283" s="359"/>
      <c r="CA283" s="359"/>
      <c r="CB283" s="359"/>
      <c r="CC283" s="359"/>
    </row>
    <row r="284" spans="1:81" s="360" customFormat="1" ht="14.25">
      <c r="A284" s="396" t="s">
        <v>839</v>
      </c>
      <c r="B284" s="356" t="s">
        <v>840</v>
      </c>
      <c r="C284" s="456"/>
      <c r="D284" s="3"/>
      <c r="F284" s="357"/>
      <c r="G284" s="381"/>
      <c r="H284" s="381"/>
      <c r="I284" s="381"/>
      <c r="J284" s="381"/>
      <c r="K284" s="381"/>
      <c r="L284" s="381"/>
      <c r="M284" s="381"/>
      <c r="N284" s="381"/>
      <c r="O284" s="381"/>
      <c r="P284" s="381"/>
      <c r="Q284" s="357"/>
      <c r="R284" s="381"/>
      <c r="S284" s="357"/>
      <c r="T284" s="381"/>
      <c r="U284" s="381"/>
      <c r="V284" s="381"/>
      <c r="W284" s="381"/>
      <c r="X284" s="381"/>
      <c r="Y284" s="381"/>
      <c r="Z284" s="381"/>
      <c r="AA284" s="381"/>
      <c r="AB284" s="381"/>
      <c r="AC284" s="381"/>
      <c r="AD284" s="381"/>
      <c r="AE284" s="381"/>
      <c r="AF284" s="381"/>
      <c r="AG284" s="381"/>
      <c r="AH284" s="381"/>
      <c r="AI284" s="381"/>
      <c r="AJ284" s="381"/>
      <c r="AK284" s="381"/>
      <c r="AL284" s="381"/>
      <c r="AM284" s="301"/>
      <c r="AN284" s="357"/>
      <c r="AO284" s="357"/>
      <c r="AP284" s="357"/>
      <c r="AQ284" s="357"/>
      <c r="AR284" s="357"/>
      <c r="AS284" s="357"/>
      <c r="AT284" s="357"/>
      <c r="AU284" s="357"/>
      <c r="AV284" s="357"/>
      <c r="AW284" s="357"/>
      <c r="AX284" s="357"/>
      <c r="AY284" s="357"/>
      <c r="AZ284" s="357"/>
      <c r="BA284" s="357"/>
      <c r="BB284" s="357"/>
      <c r="BC284" s="357"/>
      <c r="BD284" s="357"/>
      <c r="BE284" s="358"/>
      <c r="BF284" s="358"/>
      <c r="BG284" s="358"/>
      <c r="BH284" s="358"/>
      <c r="BI284" s="358"/>
      <c r="BJ284" s="358"/>
      <c r="BK284" s="358"/>
      <c r="BL284" s="358"/>
      <c r="BM284" s="358"/>
      <c r="BN284" s="358"/>
      <c r="BO284" s="358"/>
      <c r="BP284" s="358"/>
      <c r="BQ284" s="358"/>
      <c r="BR284" s="358"/>
      <c r="BS284" s="358"/>
      <c r="BT284" s="359"/>
      <c r="BU284" s="359"/>
      <c r="BV284" s="359"/>
      <c r="BW284" s="359"/>
      <c r="BX284" s="359"/>
      <c r="BY284" s="359"/>
      <c r="BZ284" s="359"/>
      <c r="CA284" s="359"/>
      <c r="CB284" s="359"/>
      <c r="CC284" s="359"/>
    </row>
    <row r="285" spans="1:81" s="360" customFormat="1" ht="14.25">
      <c r="A285" s="396"/>
      <c r="B285" s="360">
        <v>1</v>
      </c>
      <c r="C285" s="360" t="s">
        <v>841</v>
      </c>
      <c r="D285" s="3"/>
      <c r="F285" s="457">
        <f>16014*B285</f>
        <v>16014</v>
      </c>
      <c r="G285" s="398"/>
      <c r="H285" s="381"/>
      <c r="I285" s="381"/>
      <c r="J285" s="381"/>
      <c r="K285" s="381"/>
      <c r="L285" s="381"/>
      <c r="M285" s="381"/>
      <c r="N285" s="381"/>
      <c r="O285" s="381"/>
      <c r="P285" s="381"/>
      <c r="Q285" s="357"/>
      <c r="R285" s="381"/>
      <c r="S285" s="357"/>
      <c r="T285" s="381"/>
      <c r="U285" s="381"/>
      <c r="V285" s="381">
        <f>+F285</f>
        <v>16014</v>
      </c>
      <c r="W285" s="381"/>
      <c r="X285" s="381"/>
      <c r="Y285" s="381"/>
      <c r="Z285" s="381"/>
      <c r="AA285" s="381"/>
      <c r="AB285" s="381"/>
      <c r="AC285" s="381"/>
      <c r="AD285" s="381"/>
      <c r="AE285" s="381"/>
      <c r="AF285" s="381"/>
      <c r="AG285" s="381"/>
      <c r="AH285" s="381"/>
      <c r="AI285" s="381"/>
      <c r="AJ285" s="381"/>
      <c r="AK285" s="381"/>
      <c r="AL285" s="381"/>
      <c r="AM285" s="301"/>
      <c r="AN285" s="357"/>
      <c r="AO285" s="357"/>
      <c r="AP285" s="357"/>
      <c r="AQ285" s="357"/>
      <c r="AR285" s="357"/>
      <c r="AS285" s="357"/>
      <c r="AT285" s="357"/>
      <c r="AU285" s="357"/>
      <c r="AV285" s="357"/>
      <c r="AW285" s="357"/>
      <c r="AX285" s="357"/>
      <c r="AY285" s="357"/>
      <c r="AZ285" s="357"/>
      <c r="BA285" s="357"/>
      <c r="BB285" s="357"/>
      <c r="BC285" s="357"/>
      <c r="BD285" s="357"/>
      <c r="BE285" s="358"/>
      <c r="BF285" s="358"/>
      <c r="BG285" s="358"/>
      <c r="BH285" s="358"/>
      <c r="BI285" s="358"/>
      <c r="BJ285" s="358"/>
      <c r="BK285" s="358"/>
      <c r="BL285" s="358"/>
      <c r="BM285" s="358"/>
      <c r="BN285" s="358"/>
      <c r="BO285" s="358"/>
      <c r="BP285" s="358"/>
      <c r="BQ285" s="358"/>
      <c r="BR285" s="358"/>
      <c r="BS285" s="358"/>
      <c r="BT285" s="359"/>
      <c r="BU285" s="359"/>
      <c r="BV285" s="359"/>
      <c r="BW285" s="359"/>
      <c r="BX285" s="359"/>
      <c r="BY285" s="359"/>
      <c r="BZ285" s="359"/>
      <c r="CA285" s="359"/>
      <c r="CB285" s="359"/>
      <c r="CC285" s="359"/>
    </row>
    <row r="286" spans="1:81" s="360" customFormat="1" ht="14.25">
      <c r="A286" s="396"/>
      <c r="B286" s="360">
        <v>1</v>
      </c>
      <c r="C286" s="360" t="s">
        <v>842</v>
      </c>
      <c r="D286" s="3"/>
      <c r="F286" s="398"/>
      <c r="G286" s="357">
        <f>16014*B286</f>
        <v>16014</v>
      </c>
      <c r="H286" s="381"/>
      <c r="I286" s="381"/>
      <c r="J286" s="381"/>
      <c r="K286" s="381"/>
      <c r="L286" s="381"/>
      <c r="M286" s="381">
        <f>-G286</f>
        <v>-16014</v>
      </c>
      <c r="N286" s="381"/>
      <c r="O286" s="381"/>
      <c r="P286" s="381"/>
      <c r="Q286" s="357"/>
      <c r="R286" s="381"/>
      <c r="S286" s="357"/>
      <c r="T286" s="381"/>
      <c r="U286" s="381"/>
      <c r="V286" s="381"/>
      <c r="W286" s="381"/>
      <c r="X286" s="381"/>
      <c r="Y286" s="381"/>
      <c r="Z286" s="381"/>
      <c r="AA286" s="381"/>
      <c r="AB286" s="381"/>
      <c r="AC286" s="381"/>
      <c r="AD286" s="381"/>
      <c r="AE286" s="381"/>
      <c r="AF286" s="381"/>
      <c r="AG286" s="381"/>
      <c r="AH286" s="381"/>
      <c r="AI286" s="381"/>
      <c r="AJ286" s="381"/>
      <c r="AK286" s="381"/>
      <c r="AL286" s="381"/>
      <c r="AM286" s="301"/>
      <c r="AN286" s="357"/>
      <c r="AO286" s="357"/>
      <c r="AP286" s="357"/>
      <c r="AQ286" s="357"/>
      <c r="AR286" s="357"/>
      <c r="AS286" s="357"/>
      <c r="AT286" s="357"/>
      <c r="AU286" s="357"/>
      <c r="AV286" s="357"/>
      <c r="AW286" s="357"/>
      <c r="AX286" s="357"/>
      <c r="AY286" s="357"/>
      <c r="AZ286" s="357"/>
      <c r="BA286" s="357"/>
      <c r="BB286" s="357"/>
      <c r="BC286" s="357"/>
      <c r="BD286" s="357"/>
      <c r="BE286" s="358"/>
      <c r="BF286" s="358"/>
      <c r="BG286" s="358"/>
      <c r="BH286" s="358"/>
      <c r="BI286" s="358"/>
      <c r="BJ286" s="358"/>
      <c r="BK286" s="358"/>
      <c r="BL286" s="358"/>
      <c r="BM286" s="358"/>
      <c r="BN286" s="358"/>
      <c r="BO286" s="358"/>
      <c r="BP286" s="358"/>
      <c r="BQ286" s="358"/>
      <c r="BR286" s="358"/>
      <c r="BS286" s="358"/>
      <c r="BT286" s="359"/>
      <c r="BU286" s="359"/>
      <c r="BV286" s="359"/>
      <c r="BW286" s="359"/>
      <c r="BX286" s="359"/>
      <c r="BY286" s="359"/>
      <c r="BZ286" s="359"/>
      <c r="CA286" s="359"/>
      <c r="CB286" s="359"/>
      <c r="CC286" s="359"/>
    </row>
    <row r="287" spans="1:81" s="360" customFormat="1" ht="14.25">
      <c r="A287" s="396"/>
      <c r="C287" s="456" t="s">
        <v>843</v>
      </c>
      <c r="D287" s="3"/>
      <c r="F287" s="357"/>
      <c r="G287" s="381"/>
      <c r="H287" s="381"/>
      <c r="I287" s="381"/>
      <c r="J287" s="381"/>
      <c r="K287" s="381"/>
      <c r="L287" s="381"/>
      <c r="M287" s="381"/>
      <c r="N287" s="381"/>
      <c r="O287" s="381"/>
      <c r="P287" s="381"/>
      <c r="Q287" s="357"/>
      <c r="R287" s="381"/>
      <c r="S287" s="357"/>
      <c r="T287" s="381"/>
      <c r="U287" s="381"/>
      <c r="V287" s="381"/>
      <c r="W287" s="381"/>
      <c r="X287" s="381"/>
      <c r="Y287" s="381"/>
      <c r="Z287" s="381"/>
      <c r="AA287" s="381"/>
      <c r="AB287" s="381"/>
      <c r="AC287" s="381"/>
      <c r="AD287" s="381"/>
      <c r="AE287" s="381"/>
      <c r="AF287" s="381"/>
      <c r="AG287" s="381"/>
      <c r="AH287" s="381"/>
      <c r="AI287" s="381"/>
      <c r="AJ287" s="381"/>
      <c r="AK287" s="381"/>
      <c r="AL287" s="381"/>
      <c r="AM287" s="301"/>
      <c r="AN287" s="357"/>
      <c r="AO287" s="357"/>
      <c r="AP287" s="357"/>
      <c r="AQ287" s="357"/>
      <c r="AR287" s="357"/>
      <c r="AS287" s="357"/>
      <c r="AT287" s="357"/>
      <c r="AU287" s="357"/>
      <c r="AV287" s="357"/>
      <c r="AW287" s="357"/>
      <c r="AX287" s="357"/>
      <c r="AY287" s="357"/>
      <c r="AZ287" s="357"/>
      <c r="BA287" s="357"/>
      <c r="BB287" s="357"/>
      <c r="BC287" s="357"/>
      <c r="BD287" s="357"/>
      <c r="BE287" s="358"/>
      <c r="BF287" s="358"/>
      <c r="BG287" s="358"/>
      <c r="BH287" s="358"/>
      <c r="BI287" s="358"/>
      <c r="BJ287" s="358"/>
      <c r="BK287" s="358"/>
      <c r="BL287" s="358"/>
      <c r="BM287" s="358"/>
      <c r="BN287" s="358"/>
      <c r="BO287" s="358"/>
      <c r="BP287" s="358"/>
      <c r="BQ287" s="358"/>
      <c r="BR287" s="358"/>
      <c r="BS287" s="358"/>
      <c r="BT287" s="359"/>
      <c r="BU287" s="359"/>
      <c r="BV287" s="359"/>
      <c r="BW287" s="359"/>
      <c r="BX287" s="359"/>
      <c r="BY287" s="359"/>
      <c r="BZ287" s="359"/>
      <c r="CA287" s="359"/>
      <c r="CB287" s="359"/>
      <c r="CC287" s="359"/>
    </row>
    <row r="288" spans="1:81" s="360" customFormat="1" ht="14.25">
      <c r="A288" s="396"/>
      <c r="C288" s="456"/>
      <c r="D288" s="3"/>
      <c r="F288" s="357"/>
      <c r="G288" s="381"/>
      <c r="H288" s="381"/>
      <c r="I288" s="381"/>
      <c r="J288" s="381"/>
      <c r="K288" s="381"/>
      <c r="L288" s="381"/>
      <c r="M288" s="381"/>
      <c r="N288" s="381"/>
      <c r="O288" s="381"/>
      <c r="P288" s="381"/>
      <c r="Q288" s="357"/>
      <c r="R288" s="381"/>
      <c r="S288" s="357"/>
      <c r="T288" s="381"/>
      <c r="U288" s="381"/>
      <c r="V288" s="381"/>
      <c r="W288" s="381"/>
      <c r="X288" s="381"/>
      <c r="Y288" s="381"/>
      <c r="Z288" s="381"/>
      <c r="AA288" s="381"/>
      <c r="AB288" s="381"/>
      <c r="AC288" s="381"/>
      <c r="AD288" s="381"/>
      <c r="AE288" s="381"/>
      <c r="AF288" s="381"/>
      <c r="AG288" s="381"/>
      <c r="AH288" s="381"/>
      <c r="AI288" s="381"/>
      <c r="AJ288" s="381"/>
      <c r="AK288" s="381"/>
      <c r="AL288" s="381"/>
      <c r="AM288" s="301"/>
      <c r="AN288" s="357"/>
      <c r="AO288" s="357"/>
      <c r="AP288" s="357"/>
      <c r="AQ288" s="357"/>
      <c r="AR288" s="357"/>
      <c r="AS288" s="357"/>
      <c r="AT288" s="357"/>
      <c r="AU288" s="357"/>
      <c r="AV288" s="357"/>
      <c r="AW288" s="357"/>
      <c r="AX288" s="357"/>
      <c r="AY288" s="357"/>
      <c r="AZ288" s="357"/>
      <c r="BA288" s="357"/>
      <c r="BB288" s="357"/>
      <c r="BC288" s="357"/>
      <c r="BD288" s="357"/>
      <c r="BE288" s="358"/>
      <c r="BF288" s="358"/>
      <c r="BG288" s="358"/>
      <c r="BH288" s="358"/>
      <c r="BI288" s="358"/>
      <c r="BJ288" s="358"/>
      <c r="BK288" s="358"/>
      <c r="BL288" s="358"/>
      <c r="BM288" s="358"/>
      <c r="BN288" s="358"/>
      <c r="BO288" s="358"/>
      <c r="BP288" s="358"/>
      <c r="BQ288" s="358"/>
      <c r="BR288" s="358"/>
      <c r="BS288" s="358"/>
      <c r="BT288" s="359"/>
      <c r="BU288" s="359"/>
      <c r="BV288" s="359"/>
      <c r="BW288" s="359"/>
      <c r="BX288" s="359"/>
      <c r="BY288" s="359"/>
      <c r="BZ288" s="359"/>
      <c r="CA288" s="359"/>
      <c r="CB288" s="359"/>
      <c r="CC288" s="359"/>
    </row>
    <row r="289" spans="1:81" s="360" customFormat="1" ht="14.25">
      <c r="A289" s="396"/>
      <c r="B289" s="360">
        <v>1</v>
      </c>
      <c r="C289" s="360" t="s">
        <v>844</v>
      </c>
      <c r="D289" s="3"/>
      <c r="F289" s="357">
        <f>580000*B289</f>
        <v>580000</v>
      </c>
      <c r="G289" s="381"/>
      <c r="H289" s="381"/>
      <c r="I289" s="381"/>
      <c r="J289" s="381"/>
      <c r="K289" s="381"/>
      <c r="L289" s="381"/>
      <c r="M289" s="381"/>
      <c r="N289" s="381"/>
      <c r="O289" s="381"/>
      <c r="P289" s="381"/>
      <c r="Q289" s="357"/>
      <c r="R289" s="381"/>
      <c r="S289" s="357"/>
      <c r="T289" s="381"/>
      <c r="U289" s="381"/>
      <c r="V289" s="381"/>
      <c r="W289" s="381"/>
      <c r="X289" s="381"/>
      <c r="Y289" s="381">
        <f>+F289</f>
        <v>580000</v>
      </c>
      <c r="Z289" s="381"/>
      <c r="AA289" s="381"/>
      <c r="AB289" s="381"/>
      <c r="AC289" s="381"/>
      <c r="AD289" s="381"/>
      <c r="AE289" s="381"/>
      <c r="AF289" s="381"/>
      <c r="AG289" s="381"/>
      <c r="AH289" s="381"/>
      <c r="AI289" s="381"/>
      <c r="AJ289" s="381"/>
      <c r="AK289" s="381"/>
      <c r="AL289" s="381"/>
      <c r="AM289" s="301"/>
      <c r="AN289" s="357"/>
      <c r="AO289" s="357"/>
      <c r="AP289" s="357"/>
      <c r="AQ289" s="357"/>
      <c r="AR289" s="357"/>
      <c r="AS289" s="357"/>
      <c r="AT289" s="357"/>
      <c r="AU289" s="357"/>
      <c r="AV289" s="357"/>
      <c r="AW289" s="357"/>
      <c r="AX289" s="357"/>
      <c r="AY289" s="357"/>
      <c r="AZ289" s="357"/>
      <c r="BA289" s="357"/>
      <c r="BB289" s="357"/>
      <c r="BC289" s="357"/>
      <c r="BD289" s="357"/>
      <c r="BE289" s="358"/>
      <c r="BF289" s="358"/>
      <c r="BG289" s="358"/>
      <c r="BH289" s="358"/>
      <c r="BI289" s="358"/>
      <c r="BJ289" s="358"/>
      <c r="BK289" s="358"/>
      <c r="BL289" s="358"/>
      <c r="BM289" s="358"/>
      <c r="BN289" s="358"/>
      <c r="BO289" s="358"/>
      <c r="BP289" s="358"/>
      <c r="BQ289" s="358"/>
      <c r="BR289" s="358"/>
      <c r="BS289" s="358"/>
      <c r="BT289" s="359"/>
      <c r="BU289" s="359"/>
      <c r="BV289" s="359"/>
      <c r="BW289" s="359"/>
      <c r="BX289" s="359"/>
      <c r="BY289" s="359"/>
      <c r="BZ289" s="359"/>
      <c r="CA289" s="359"/>
      <c r="CB289" s="359"/>
      <c r="CC289" s="359"/>
    </row>
    <row r="290" spans="1:81" s="360" customFormat="1" ht="14.25">
      <c r="A290" s="396"/>
      <c r="B290" s="360">
        <v>1</v>
      </c>
      <c r="C290" s="360" t="s">
        <v>845</v>
      </c>
      <c r="D290" s="3"/>
      <c r="F290" s="357"/>
      <c r="G290" s="457">
        <f>580000*B290</f>
        <v>580000</v>
      </c>
      <c r="H290" s="381"/>
      <c r="I290" s="381"/>
      <c r="J290" s="381"/>
      <c r="K290" s="381"/>
      <c r="L290" s="381"/>
      <c r="M290" s="381">
        <f>-G290</f>
        <v>-580000</v>
      </c>
      <c r="N290" s="381"/>
      <c r="O290" s="381"/>
      <c r="P290" s="381"/>
      <c r="Q290" s="357"/>
      <c r="R290" s="381"/>
      <c r="S290" s="357"/>
      <c r="T290" s="381"/>
      <c r="U290" s="381"/>
      <c r="V290" s="381"/>
      <c r="W290" s="381"/>
      <c r="X290" s="381"/>
      <c r="Y290" s="381"/>
      <c r="Z290" s="381"/>
      <c r="AA290" s="381"/>
      <c r="AB290" s="381"/>
      <c r="AC290" s="381"/>
      <c r="AD290" s="381"/>
      <c r="AE290" s="381"/>
      <c r="AF290" s="381"/>
      <c r="AG290" s="381"/>
      <c r="AH290" s="381"/>
      <c r="AI290" s="381"/>
      <c r="AJ290" s="381"/>
      <c r="AK290" s="381"/>
      <c r="AL290" s="381"/>
      <c r="AM290" s="301"/>
      <c r="AN290" s="357"/>
      <c r="AO290" s="357"/>
      <c r="AP290" s="357"/>
      <c r="AQ290" s="357"/>
      <c r="AR290" s="357"/>
      <c r="AS290" s="357"/>
      <c r="AT290" s="357"/>
      <c r="AU290" s="357"/>
      <c r="AV290" s="357"/>
      <c r="AW290" s="357"/>
      <c r="AX290" s="357"/>
      <c r="AY290" s="357"/>
      <c r="AZ290" s="357"/>
      <c r="BA290" s="357"/>
      <c r="BB290" s="357"/>
      <c r="BC290" s="357"/>
      <c r="BD290" s="357"/>
      <c r="BE290" s="358"/>
      <c r="BF290" s="358"/>
      <c r="BG290" s="358"/>
      <c r="BH290" s="358"/>
      <c r="BI290" s="358"/>
      <c r="BJ290" s="358"/>
      <c r="BK290" s="358"/>
      <c r="BL290" s="358"/>
      <c r="BM290" s="358"/>
      <c r="BN290" s="358"/>
      <c r="BO290" s="358"/>
      <c r="BP290" s="358"/>
      <c r="BQ290" s="358"/>
      <c r="BR290" s="358"/>
      <c r="BS290" s="358"/>
      <c r="BT290" s="359"/>
      <c r="BU290" s="359"/>
      <c r="BV290" s="359"/>
      <c r="BW290" s="359"/>
      <c r="BX290" s="359"/>
      <c r="BY290" s="359"/>
      <c r="BZ290" s="359"/>
      <c r="CA290" s="359"/>
      <c r="CB290" s="359"/>
      <c r="CC290" s="359"/>
    </row>
    <row r="291" spans="1:81" s="360" customFormat="1" ht="14.25">
      <c r="A291" s="396"/>
      <c r="C291" s="456" t="s">
        <v>846</v>
      </c>
      <c r="D291" s="3"/>
      <c r="F291" s="357"/>
      <c r="G291" s="381"/>
      <c r="H291" s="381"/>
      <c r="I291" s="381"/>
      <c r="J291" s="381"/>
      <c r="K291" s="381"/>
      <c r="L291" s="381"/>
      <c r="M291" s="381"/>
      <c r="N291" s="381"/>
      <c r="O291" s="381"/>
      <c r="P291" s="381"/>
      <c r="Q291" s="357"/>
      <c r="R291" s="381"/>
      <c r="S291" s="357"/>
      <c r="T291" s="381"/>
      <c r="U291" s="381"/>
      <c r="V291" s="381"/>
      <c r="W291" s="381"/>
      <c r="X291" s="381"/>
      <c r="Y291" s="381"/>
      <c r="Z291" s="381"/>
      <c r="AA291" s="381"/>
      <c r="AB291" s="381"/>
      <c r="AC291" s="381"/>
      <c r="AD291" s="381"/>
      <c r="AE291" s="381"/>
      <c r="AF291" s="381"/>
      <c r="AG291" s="381"/>
      <c r="AH291" s="381"/>
      <c r="AI291" s="381"/>
      <c r="AJ291" s="381"/>
      <c r="AK291" s="381"/>
      <c r="AL291" s="381"/>
      <c r="AM291" s="301"/>
      <c r="AN291" s="357"/>
      <c r="AO291" s="357"/>
      <c r="AP291" s="357"/>
      <c r="AQ291" s="357"/>
      <c r="AR291" s="357"/>
      <c r="AS291" s="357"/>
      <c r="AT291" s="357"/>
      <c r="AU291" s="357"/>
      <c r="AV291" s="357"/>
      <c r="AW291" s="357"/>
      <c r="AX291" s="357"/>
      <c r="AY291" s="357"/>
      <c r="AZ291" s="357"/>
      <c r="BA291" s="357"/>
      <c r="BB291" s="357"/>
      <c r="BC291" s="357"/>
      <c r="BD291" s="357"/>
      <c r="BE291" s="358"/>
      <c r="BF291" s="358"/>
      <c r="BG291" s="358"/>
      <c r="BH291" s="358"/>
      <c r="BI291" s="358"/>
      <c r="BJ291" s="358"/>
      <c r="BK291" s="358"/>
      <c r="BL291" s="358"/>
      <c r="BM291" s="358"/>
      <c r="BN291" s="358"/>
      <c r="BO291" s="358"/>
      <c r="BP291" s="358"/>
      <c r="BQ291" s="358"/>
      <c r="BR291" s="358"/>
      <c r="BS291" s="358"/>
      <c r="BT291" s="359"/>
      <c r="BU291" s="359"/>
      <c r="BV291" s="359"/>
      <c r="BW291" s="359"/>
      <c r="BX291" s="359"/>
      <c r="BY291" s="359"/>
      <c r="BZ291" s="359"/>
      <c r="CA291" s="359"/>
      <c r="CB291" s="359"/>
      <c r="CC291" s="359"/>
    </row>
    <row r="292" spans="1:81" s="360" customFormat="1" ht="14.25">
      <c r="A292" s="396"/>
      <c r="C292" s="456"/>
      <c r="D292" s="3"/>
      <c r="F292" s="357"/>
      <c r="G292" s="381"/>
      <c r="H292" s="381"/>
      <c r="I292" s="381"/>
      <c r="J292" s="381"/>
      <c r="K292" s="381"/>
      <c r="L292" s="381"/>
      <c r="M292" s="381"/>
      <c r="N292" s="381"/>
      <c r="O292" s="381"/>
      <c r="P292" s="381"/>
      <c r="Q292" s="357"/>
      <c r="R292" s="381"/>
      <c r="S292" s="357"/>
      <c r="T292" s="381"/>
      <c r="U292" s="381"/>
      <c r="V292" s="381"/>
      <c r="W292" s="381"/>
      <c r="X292" s="381"/>
      <c r="Y292" s="381"/>
      <c r="Z292" s="381"/>
      <c r="AA292" s="381"/>
      <c r="AB292" s="381"/>
      <c r="AC292" s="381"/>
      <c r="AD292" s="381"/>
      <c r="AE292" s="381"/>
      <c r="AF292" s="381"/>
      <c r="AG292" s="381"/>
      <c r="AH292" s="381"/>
      <c r="AI292" s="381"/>
      <c r="AJ292" s="381"/>
      <c r="AK292" s="381"/>
      <c r="AL292" s="381"/>
      <c r="AM292" s="301"/>
      <c r="AN292" s="357"/>
      <c r="AO292" s="357"/>
      <c r="AP292" s="357"/>
      <c r="AQ292" s="357"/>
      <c r="AR292" s="357"/>
      <c r="AS292" s="357"/>
      <c r="AT292" s="357"/>
      <c r="AU292" s="357"/>
      <c r="AV292" s="357"/>
      <c r="AW292" s="357"/>
      <c r="AX292" s="357"/>
      <c r="AY292" s="357"/>
      <c r="AZ292" s="357"/>
      <c r="BA292" s="357"/>
      <c r="BB292" s="357"/>
      <c r="BC292" s="357"/>
      <c r="BD292" s="357"/>
      <c r="BE292" s="358"/>
      <c r="BF292" s="358"/>
      <c r="BG292" s="358"/>
      <c r="BH292" s="358"/>
      <c r="BI292" s="358"/>
      <c r="BJ292" s="358"/>
      <c r="BK292" s="358"/>
      <c r="BL292" s="358"/>
      <c r="BM292" s="358"/>
      <c r="BN292" s="358"/>
      <c r="BO292" s="358"/>
      <c r="BP292" s="358"/>
      <c r="BQ292" s="358"/>
      <c r="BR292" s="358"/>
      <c r="BS292" s="358"/>
      <c r="BT292" s="359"/>
      <c r="BU292" s="359"/>
      <c r="BV292" s="359"/>
      <c r="BW292" s="359"/>
      <c r="BX292" s="359"/>
      <c r="BY292" s="359"/>
      <c r="BZ292" s="359"/>
      <c r="CA292" s="359"/>
      <c r="CB292" s="359"/>
      <c r="CC292" s="359"/>
    </row>
    <row r="293" spans="1:81" s="360" customFormat="1" ht="14.25">
      <c r="A293" s="396"/>
      <c r="B293" s="360">
        <v>1</v>
      </c>
      <c r="C293" s="360" t="s">
        <v>847</v>
      </c>
      <c r="D293" s="3"/>
      <c r="F293" s="357">
        <f>580000*B293</f>
        <v>580000</v>
      </c>
      <c r="G293" s="381"/>
      <c r="H293" s="381"/>
      <c r="I293" s="381"/>
      <c r="J293" s="381"/>
      <c r="K293" s="381"/>
      <c r="L293" s="381"/>
      <c r="M293" s="381">
        <f>+F293</f>
        <v>580000</v>
      </c>
      <c r="N293" s="381"/>
      <c r="O293" s="381"/>
      <c r="P293" s="381"/>
      <c r="Q293" s="357"/>
      <c r="R293" s="381"/>
      <c r="S293" s="357"/>
      <c r="T293" s="381"/>
      <c r="U293" s="381"/>
      <c r="V293" s="381"/>
      <c r="W293" s="381"/>
      <c r="X293" s="381"/>
      <c r="Y293" s="381"/>
      <c r="Z293" s="381"/>
      <c r="AA293" s="381"/>
      <c r="AB293" s="381"/>
      <c r="AC293" s="381"/>
      <c r="AD293" s="381"/>
      <c r="AE293" s="381"/>
      <c r="AF293" s="381"/>
      <c r="AG293" s="381"/>
      <c r="AH293" s="381"/>
      <c r="AI293" s="381"/>
      <c r="AJ293" s="381"/>
      <c r="AK293" s="381"/>
      <c r="AL293" s="381"/>
      <c r="AM293" s="301"/>
      <c r="AN293" s="357"/>
      <c r="AO293" s="357"/>
      <c r="AP293" s="357"/>
      <c r="AQ293" s="357"/>
      <c r="AR293" s="357"/>
      <c r="AS293" s="357"/>
      <c r="AT293" s="357"/>
      <c r="AU293" s="357"/>
      <c r="AV293" s="357"/>
      <c r="AW293" s="357"/>
      <c r="AX293" s="357"/>
      <c r="AY293" s="357"/>
      <c r="AZ293" s="357"/>
      <c r="BA293" s="357"/>
      <c r="BB293" s="357"/>
      <c r="BC293" s="357"/>
      <c r="BD293" s="357"/>
      <c r="BE293" s="358"/>
      <c r="BF293" s="358"/>
      <c r="BG293" s="358"/>
      <c r="BH293" s="358"/>
      <c r="BI293" s="358"/>
      <c r="BJ293" s="358"/>
      <c r="BK293" s="358"/>
      <c r="BL293" s="358"/>
      <c r="BM293" s="358"/>
      <c r="BN293" s="358"/>
      <c r="BO293" s="358"/>
      <c r="BP293" s="358"/>
      <c r="BQ293" s="358"/>
      <c r="BR293" s="358"/>
      <c r="BS293" s="358"/>
      <c r="BT293" s="359"/>
      <c r="BU293" s="359"/>
      <c r="BV293" s="359"/>
      <c r="BW293" s="359"/>
      <c r="BX293" s="359"/>
      <c r="BY293" s="359"/>
      <c r="BZ293" s="359"/>
      <c r="CA293" s="359"/>
      <c r="CB293" s="359"/>
      <c r="CC293" s="359"/>
    </row>
    <row r="294" spans="1:81" s="360" customFormat="1" ht="14.25">
      <c r="A294" s="396"/>
      <c r="B294" s="360">
        <v>1</v>
      </c>
      <c r="C294" s="360" t="s">
        <v>848</v>
      </c>
      <c r="D294" s="3"/>
      <c r="F294" s="357"/>
      <c r="G294" s="457">
        <f>580000*B294</f>
        <v>580000</v>
      </c>
      <c r="H294" s="381"/>
      <c r="I294" s="381"/>
      <c r="J294" s="381"/>
      <c r="K294" s="381"/>
      <c r="L294" s="381"/>
      <c r="M294" s="381"/>
      <c r="N294" s="381"/>
      <c r="O294" s="381"/>
      <c r="P294" s="381"/>
      <c r="Q294" s="357"/>
      <c r="R294" s="381"/>
      <c r="S294" s="357"/>
      <c r="T294" s="381"/>
      <c r="U294" s="381"/>
      <c r="V294" s="381"/>
      <c r="W294" s="381"/>
      <c r="X294" s="381"/>
      <c r="Y294" s="381">
        <f>-G294</f>
        <v>-580000</v>
      </c>
      <c r="Z294" s="381"/>
      <c r="AA294" s="381"/>
      <c r="AB294" s="381"/>
      <c r="AC294" s="381"/>
      <c r="AD294" s="381"/>
      <c r="AE294" s="381"/>
      <c r="AF294" s="381"/>
      <c r="AG294" s="381"/>
      <c r="AH294" s="381"/>
      <c r="AI294" s="381"/>
      <c r="AJ294" s="381"/>
      <c r="AK294" s="381"/>
      <c r="AL294" s="381"/>
      <c r="AM294" s="301"/>
      <c r="AN294" s="357"/>
      <c r="AO294" s="357"/>
      <c r="AP294" s="357"/>
      <c r="AQ294" s="357"/>
      <c r="AR294" s="357"/>
      <c r="AS294" s="357"/>
      <c r="AT294" s="357"/>
      <c r="AU294" s="357"/>
      <c r="AV294" s="357"/>
      <c r="AW294" s="357"/>
      <c r="AX294" s="357"/>
      <c r="AY294" s="357"/>
      <c r="AZ294" s="357"/>
      <c r="BA294" s="357"/>
      <c r="BB294" s="357"/>
      <c r="BC294" s="357"/>
      <c r="BD294" s="357"/>
      <c r="BE294" s="358"/>
      <c r="BF294" s="358"/>
      <c r="BG294" s="358"/>
      <c r="BH294" s="358"/>
      <c r="BI294" s="358"/>
      <c r="BJ294" s="358"/>
      <c r="BK294" s="358"/>
      <c r="BL294" s="358"/>
      <c r="BM294" s="358"/>
      <c r="BN294" s="358"/>
      <c r="BO294" s="358"/>
      <c r="BP294" s="358"/>
      <c r="BQ294" s="358"/>
      <c r="BR294" s="358"/>
      <c r="BS294" s="358"/>
      <c r="BT294" s="359"/>
      <c r="BU294" s="359"/>
      <c r="BV294" s="359"/>
      <c r="BW294" s="359"/>
      <c r="BX294" s="359"/>
      <c r="BY294" s="359"/>
      <c r="BZ294" s="359"/>
      <c r="CA294" s="359"/>
      <c r="CB294" s="359"/>
      <c r="CC294" s="359"/>
    </row>
    <row r="295" spans="1:81" s="360" customFormat="1" ht="14.25">
      <c r="A295" s="396"/>
      <c r="C295" s="456" t="s">
        <v>849</v>
      </c>
      <c r="D295" s="3"/>
      <c r="F295" s="357"/>
      <c r="G295" s="381"/>
      <c r="H295" s="381"/>
      <c r="I295" s="381"/>
      <c r="J295" s="381"/>
      <c r="K295" s="381"/>
      <c r="L295" s="381"/>
      <c r="M295" s="381"/>
      <c r="N295" s="381"/>
      <c r="O295" s="381"/>
      <c r="P295" s="381"/>
      <c r="Q295" s="357"/>
      <c r="R295" s="381"/>
      <c r="S295" s="357"/>
      <c r="T295" s="381"/>
      <c r="U295" s="381"/>
      <c r="V295" s="381"/>
      <c r="W295" s="381"/>
      <c r="X295" s="381"/>
      <c r="Y295" s="381"/>
      <c r="Z295" s="381"/>
      <c r="AA295" s="381"/>
      <c r="AB295" s="381"/>
      <c r="AC295" s="381"/>
      <c r="AD295" s="381"/>
      <c r="AE295" s="381"/>
      <c r="AF295" s="381"/>
      <c r="AG295" s="381"/>
      <c r="AH295" s="381"/>
      <c r="AI295" s="381"/>
      <c r="AJ295" s="381"/>
      <c r="AK295" s="381"/>
      <c r="AL295" s="381"/>
      <c r="AM295" s="301"/>
      <c r="AN295" s="357"/>
      <c r="AO295" s="357"/>
      <c r="AP295" s="357"/>
      <c r="AQ295" s="357"/>
      <c r="AR295" s="357"/>
      <c r="AS295" s="357"/>
      <c r="AT295" s="357"/>
      <c r="AU295" s="357"/>
      <c r="AV295" s="357"/>
      <c r="AW295" s="357"/>
      <c r="AX295" s="357"/>
      <c r="AY295" s="357"/>
      <c r="AZ295" s="357"/>
      <c r="BA295" s="357"/>
      <c r="BB295" s="357"/>
      <c r="BC295" s="357"/>
      <c r="BD295" s="357"/>
      <c r="BE295" s="358"/>
      <c r="BF295" s="358"/>
      <c r="BG295" s="358"/>
      <c r="BH295" s="358"/>
      <c r="BI295" s="358"/>
      <c r="BJ295" s="358"/>
      <c r="BK295" s="358"/>
      <c r="BL295" s="358"/>
      <c r="BM295" s="358"/>
      <c r="BN295" s="358"/>
      <c r="BO295" s="358"/>
      <c r="BP295" s="358"/>
      <c r="BQ295" s="358"/>
      <c r="BR295" s="358"/>
      <c r="BS295" s="358"/>
      <c r="BT295" s="359"/>
      <c r="BU295" s="359"/>
      <c r="BV295" s="359"/>
      <c r="BW295" s="359"/>
      <c r="BX295" s="359"/>
      <c r="BY295" s="359"/>
      <c r="BZ295" s="359"/>
      <c r="CA295" s="359"/>
      <c r="CB295" s="359"/>
      <c r="CC295" s="359"/>
    </row>
    <row r="296" spans="1:81" s="360" customFormat="1" ht="14.25">
      <c r="A296" s="396"/>
      <c r="C296" s="456"/>
      <c r="D296" s="3"/>
      <c r="F296" s="357"/>
      <c r="G296" s="357"/>
      <c r="H296" s="381"/>
      <c r="I296" s="381"/>
      <c r="J296" s="381"/>
      <c r="K296" s="381"/>
      <c r="L296" s="381"/>
      <c r="M296" s="381"/>
      <c r="N296" s="381"/>
      <c r="O296" s="381"/>
      <c r="P296" s="381"/>
      <c r="Q296" s="357"/>
      <c r="R296" s="381"/>
      <c r="S296" s="357"/>
      <c r="T296" s="381"/>
      <c r="U296" s="381"/>
      <c r="V296" s="381"/>
      <c r="W296" s="381"/>
      <c r="X296" s="381"/>
      <c r="Y296" s="381"/>
      <c r="Z296" s="381"/>
      <c r="AA296" s="381"/>
      <c r="AB296" s="381"/>
      <c r="AC296" s="381"/>
      <c r="AD296" s="381"/>
      <c r="AE296" s="381"/>
      <c r="AF296" s="381"/>
      <c r="AG296" s="381"/>
      <c r="AH296" s="381"/>
      <c r="AI296" s="381"/>
      <c r="AJ296" s="381"/>
      <c r="AK296" s="381"/>
      <c r="AL296" s="381"/>
      <c r="AM296" s="301"/>
      <c r="AN296" s="357"/>
      <c r="AO296" s="357"/>
      <c r="AP296" s="357"/>
      <c r="AQ296" s="357"/>
      <c r="AR296" s="357"/>
      <c r="AS296" s="357"/>
      <c r="AT296" s="357"/>
      <c r="AU296" s="357"/>
      <c r="AV296" s="357"/>
      <c r="AW296" s="357"/>
      <c r="AX296" s="357"/>
      <c r="AY296" s="357"/>
      <c r="AZ296" s="357"/>
      <c r="BA296" s="357"/>
      <c r="BB296" s="357"/>
      <c r="BC296" s="357"/>
      <c r="BD296" s="357"/>
      <c r="BE296" s="358"/>
      <c r="BF296" s="358"/>
      <c r="BG296" s="358"/>
      <c r="BH296" s="358"/>
      <c r="BI296" s="358"/>
      <c r="BJ296" s="358"/>
      <c r="BK296" s="358"/>
      <c r="BL296" s="358"/>
      <c r="BM296" s="358"/>
      <c r="BN296" s="358"/>
      <c r="BO296" s="358"/>
      <c r="BP296" s="358"/>
      <c r="BQ296" s="358"/>
      <c r="BR296" s="358"/>
      <c r="BS296" s="358"/>
      <c r="BT296" s="359"/>
      <c r="BU296" s="359"/>
      <c r="BV296" s="359"/>
      <c r="BW296" s="359"/>
      <c r="BX296" s="359"/>
      <c r="BY296" s="359"/>
      <c r="BZ296" s="359"/>
      <c r="CA296" s="359"/>
      <c r="CB296" s="359"/>
      <c r="CC296" s="359"/>
    </row>
    <row r="297" spans="1:81" s="360" customFormat="1" ht="12.75" customHeight="1" thickBot="1">
      <c r="A297" s="458"/>
      <c r="B297" s="459"/>
      <c r="C297" s="460"/>
      <c r="D297" s="461"/>
      <c r="E297" s="461"/>
      <c r="F297" s="462"/>
      <c r="G297" s="463"/>
      <c r="H297" s="463"/>
      <c r="I297" s="463"/>
      <c r="J297" s="434"/>
      <c r="K297" s="434"/>
      <c r="L297" s="434"/>
      <c r="M297" s="434"/>
      <c r="N297" s="434"/>
      <c r="O297" s="434"/>
      <c r="P297" s="434"/>
      <c r="Q297" s="464"/>
      <c r="R297" s="434"/>
      <c r="S297" s="462"/>
      <c r="T297" s="434"/>
      <c r="U297" s="434"/>
      <c r="V297" s="463"/>
      <c r="W297" s="434"/>
      <c r="X297" s="434"/>
      <c r="Y297" s="434"/>
      <c r="Z297" s="434"/>
      <c r="AA297" s="434"/>
      <c r="AB297" s="434"/>
      <c r="AC297" s="462"/>
      <c r="AD297" s="434"/>
      <c r="AE297" s="434"/>
      <c r="AF297" s="434"/>
      <c r="AG297" s="434"/>
      <c r="AH297" s="434"/>
      <c r="AI297" s="434"/>
      <c r="AJ297" s="434"/>
      <c r="AK297" s="434"/>
      <c r="AL297" s="434"/>
      <c r="AM297" s="301"/>
      <c r="AN297" s="357"/>
      <c r="AO297" s="357"/>
      <c r="AP297" s="357"/>
      <c r="AQ297" s="357"/>
      <c r="AR297" s="357"/>
      <c r="AS297" s="357"/>
      <c r="AT297" s="357"/>
      <c r="AU297" s="357"/>
      <c r="AV297" s="357"/>
      <c r="AW297" s="357"/>
      <c r="AX297" s="357"/>
      <c r="AY297" s="357"/>
      <c r="AZ297" s="357"/>
      <c r="BA297" s="357"/>
      <c r="BB297" s="357"/>
      <c r="BC297" s="357"/>
      <c r="BD297" s="357"/>
      <c r="BE297" s="358"/>
      <c r="BF297" s="358"/>
      <c r="BG297" s="358"/>
      <c r="BH297" s="358"/>
      <c r="BI297" s="358"/>
      <c r="BJ297" s="358"/>
      <c r="BK297" s="358"/>
      <c r="BL297" s="358"/>
      <c r="BM297" s="358"/>
      <c r="BN297" s="358"/>
      <c r="BO297" s="358"/>
      <c r="BP297" s="358"/>
      <c r="BQ297" s="358"/>
      <c r="BR297" s="358"/>
      <c r="BS297" s="358"/>
      <c r="BT297" s="359"/>
      <c r="BU297" s="359"/>
      <c r="BV297" s="359"/>
      <c r="BW297" s="359"/>
      <c r="BX297" s="359"/>
      <c r="BY297" s="359"/>
      <c r="BZ297" s="359"/>
      <c r="CA297" s="359"/>
      <c r="CB297" s="359"/>
      <c r="CC297" s="359"/>
    </row>
    <row r="298" spans="1:38" ht="12">
      <c r="A298" s="465"/>
      <c r="B298" s="304"/>
      <c r="C298" s="466"/>
      <c r="D298" s="304"/>
      <c r="E298" s="304"/>
      <c r="F298" s="467"/>
      <c r="G298" s="468"/>
      <c r="H298" s="381"/>
      <c r="I298" s="381"/>
      <c r="J298" s="382"/>
      <c r="K298" s="382"/>
      <c r="L298" s="382"/>
      <c r="M298" s="382"/>
      <c r="N298" s="382"/>
      <c r="O298" s="382"/>
      <c r="P298" s="382"/>
      <c r="Q298" s="383"/>
      <c r="R298" s="382"/>
      <c r="S298" s="357"/>
      <c r="T298" s="382"/>
      <c r="U298" s="382"/>
      <c r="V298" s="381"/>
      <c r="W298" s="382"/>
      <c r="X298" s="382"/>
      <c r="Y298" s="382"/>
      <c r="Z298" s="382"/>
      <c r="AA298" s="382"/>
      <c r="AB298" s="382"/>
      <c r="AC298" s="381"/>
      <c r="AD298" s="382"/>
      <c r="AE298" s="382"/>
      <c r="AF298" s="382"/>
      <c r="AG298" s="382"/>
      <c r="AH298" s="382"/>
      <c r="AI298" s="382"/>
      <c r="AJ298" s="382"/>
      <c r="AK298" s="382"/>
      <c r="AL298" s="334"/>
    </row>
    <row r="299" spans="1:38" ht="12">
      <c r="A299" s="374" t="s">
        <v>850</v>
      </c>
      <c r="C299" s="469" t="s">
        <v>851</v>
      </c>
      <c r="D299" s="376"/>
      <c r="F299" s="357"/>
      <c r="G299" s="381"/>
      <c r="H299" s="381"/>
      <c r="I299" s="381"/>
      <c r="J299" s="382"/>
      <c r="K299" s="382"/>
      <c r="L299" s="382"/>
      <c r="M299" s="382"/>
      <c r="N299" s="382"/>
      <c r="O299" s="382"/>
      <c r="P299" s="382"/>
      <c r="Q299" s="383"/>
      <c r="R299" s="382"/>
      <c r="S299" s="357"/>
      <c r="T299" s="382"/>
      <c r="U299" s="382"/>
      <c r="V299" s="381"/>
      <c r="W299" s="382"/>
      <c r="X299" s="382"/>
      <c r="Y299" s="382"/>
      <c r="Z299" s="382"/>
      <c r="AA299" s="382"/>
      <c r="AB299" s="382"/>
      <c r="AC299" s="381"/>
      <c r="AD299" s="382"/>
      <c r="AE299" s="382"/>
      <c r="AF299" s="382"/>
      <c r="AG299" s="382"/>
      <c r="AH299" s="382"/>
      <c r="AI299" s="382"/>
      <c r="AJ299" s="382"/>
      <c r="AK299" s="382"/>
      <c r="AL299" s="334"/>
    </row>
    <row r="300" spans="1:38" ht="12">
      <c r="A300" s="337"/>
      <c r="C300" s="448"/>
      <c r="F300" s="357"/>
      <c r="G300" s="381"/>
      <c r="H300" s="381"/>
      <c r="I300" s="381"/>
      <c r="J300" s="382"/>
      <c r="K300" s="382"/>
      <c r="L300" s="382"/>
      <c r="M300" s="382"/>
      <c r="N300" s="382"/>
      <c r="O300" s="382"/>
      <c r="P300" s="382"/>
      <c r="Q300" s="383"/>
      <c r="R300" s="382"/>
      <c r="S300" s="357"/>
      <c r="T300" s="382"/>
      <c r="U300" s="382"/>
      <c r="V300" s="381"/>
      <c r="W300" s="382"/>
      <c r="X300" s="382"/>
      <c r="Y300" s="382"/>
      <c r="Z300" s="382"/>
      <c r="AA300" s="382"/>
      <c r="AB300" s="382"/>
      <c r="AC300" s="381"/>
      <c r="AD300" s="382"/>
      <c r="AE300" s="382"/>
      <c r="AF300" s="382"/>
      <c r="AG300" s="382"/>
      <c r="AH300" s="382"/>
      <c r="AI300" s="382"/>
      <c r="AJ300" s="382"/>
      <c r="AK300" s="382"/>
      <c r="AL300" s="334"/>
    </row>
    <row r="301" spans="1:38" ht="12">
      <c r="A301" s="337" t="s">
        <v>852</v>
      </c>
      <c r="C301" s="300" t="s">
        <v>623</v>
      </c>
      <c r="D301" s="300" t="s">
        <v>853</v>
      </c>
      <c r="F301" s="357">
        <f>+'[2]Group '!K553</f>
        <v>18523153</v>
      </c>
      <c r="G301" s="381"/>
      <c r="H301" s="381"/>
      <c r="I301" s="381"/>
      <c r="J301" s="382"/>
      <c r="K301" s="382"/>
      <c r="L301" s="382"/>
      <c r="M301" s="382"/>
      <c r="N301" s="382"/>
      <c r="O301" s="382"/>
      <c r="P301" s="382"/>
      <c r="Q301" s="383"/>
      <c r="R301" s="382"/>
      <c r="S301" s="357"/>
      <c r="T301" s="382"/>
      <c r="U301" s="382"/>
      <c r="V301" s="381"/>
      <c r="W301" s="382">
        <f>F301</f>
        <v>18523153</v>
      </c>
      <c r="X301" s="382"/>
      <c r="Y301" s="382"/>
      <c r="Z301" s="382"/>
      <c r="AA301" s="382"/>
      <c r="AB301" s="382"/>
      <c r="AC301" s="381"/>
      <c r="AD301" s="382"/>
      <c r="AE301" s="382"/>
      <c r="AF301" s="382"/>
      <c r="AG301" s="382"/>
      <c r="AH301" s="382"/>
      <c r="AI301" s="382"/>
      <c r="AJ301" s="382"/>
      <c r="AK301" s="382"/>
      <c r="AL301" s="334"/>
    </row>
    <row r="302" spans="1:38" ht="12">
      <c r="A302" s="337"/>
      <c r="C302" s="300" t="s">
        <v>623</v>
      </c>
      <c r="D302" s="300" t="s">
        <v>854</v>
      </c>
      <c r="F302" s="357">
        <f>+'[2]Group '!K552</f>
        <v>55445504</v>
      </c>
      <c r="G302" s="381"/>
      <c r="H302" s="381"/>
      <c r="I302" s="381"/>
      <c r="J302" s="382"/>
      <c r="K302" s="382"/>
      <c r="L302" s="382"/>
      <c r="M302" s="382"/>
      <c r="N302" s="382"/>
      <c r="O302" s="382"/>
      <c r="P302" s="382"/>
      <c r="Q302" s="383"/>
      <c r="R302" s="382"/>
      <c r="S302" s="357"/>
      <c r="T302" s="382"/>
      <c r="U302" s="382"/>
      <c r="V302" s="381"/>
      <c r="W302" s="382">
        <f>F302</f>
        <v>55445504</v>
      </c>
      <c r="X302" s="382"/>
      <c r="Y302" s="382"/>
      <c r="Z302" s="382"/>
      <c r="AA302" s="382"/>
      <c r="AB302" s="382"/>
      <c r="AC302" s="381"/>
      <c r="AD302" s="382"/>
      <c r="AE302" s="382"/>
      <c r="AF302" s="382"/>
      <c r="AG302" s="382"/>
      <c r="AH302" s="382"/>
      <c r="AI302" s="382"/>
      <c r="AJ302" s="382"/>
      <c r="AK302" s="382"/>
      <c r="AL302" s="334"/>
    </row>
    <row r="303" spans="1:38" ht="12">
      <c r="A303" s="337"/>
      <c r="C303" s="360" t="s">
        <v>713</v>
      </c>
      <c r="D303" s="300" t="s">
        <v>855</v>
      </c>
      <c r="F303" s="357">
        <f>+'[2]Group '!K551</f>
        <v>7680455</v>
      </c>
      <c r="G303" s="381"/>
      <c r="H303" s="381"/>
      <c r="I303" s="381"/>
      <c r="J303" s="382"/>
      <c r="K303" s="382"/>
      <c r="L303" s="382"/>
      <c r="M303" s="382"/>
      <c r="N303" s="382"/>
      <c r="O303" s="382"/>
      <c r="P303" s="382"/>
      <c r="Q303" s="383"/>
      <c r="R303" s="382"/>
      <c r="S303" s="357"/>
      <c r="T303" s="382"/>
      <c r="U303" s="382"/>
      <c r="V303" s="381"/>
      <c r="W303" s="382">
        <f>F303</f>
        <v>7680455</v>
      </c>
      <c r="X303" s="382"/>
      <c r="Y303" s="382"/>
      <c r="Z303" s="382"/>
      <c r="AA303" s="382"/>
      <c r="AB303" s="382"/>
      <c r="AC303" s="381"/>
      <c r="AD303" s="382"/>
      <c r="AE303" s="382"/>
      <c r="AF303" s="382"/>
      <c r="AG303" s="382"/>
      <c r="AH303" s="382"/>
      <c r="AI303" s="382"/>
      <c r="AJ303" s="382"/>
      <c r="AK303" s="382"/>
      <c r="AL303" s="334"/>
    </row>
    <row r="304" spans="1:38" ht="12">
      <c r="A304" s="337"/>
      <c r="C304" s="360" t="s">
        <v>713</v>
      </c>
      <c r="D304" s="360" t="s">
        <v>856</v>
      </c>
      <c r="F304" s="357">
        <f>+'[2]Group '!K550</f>
        <v>1580564</v>
      </c>
      <c r="G304" s="381"/>
      <c r="H304" s="381"/>
      <c r="I304" s="381"/>
      <c r="J304" s="382"/>
      <c r="K304" s="382"/>
      <c r="L304" s="382"/>
      <c r="M304" s="382"/>
      <c r="N304" s="382"/>
      <c r="O304" s="382"/>
      <c r="P304" s="382"/>
      <c r="Q304" s="383"/>
      <c r="R304" s="382"/>
      <c r="S304" s="357"/>
      <c r="T304" s="382"/>
      <c r="U304" s="382"/>
      <c r="V304" s="381"/>
      <c r="W304" s="382">
        <f>F304</f>
        <v>1580564</v>
      </c>
      <c r="X304" s="382"/>
      <c r="Y304" s="382"/>
      <c r="Z304" s="382"/>
      <c r="AA304" s="382"/>
      <c r="AB304" s="382"/>
      <c r="AC304" s="381"/>
      <c r="AD304" s="382"/>
      <c r="AE304" s="382"/>
      <c r="AF304" s="382"/>
      <c r="AG304" s="382"/>
      <c r="AH304" s="382"/>
      <c r="AI304" s="382"/>
      <c r="AJ304" s="382"/>
      <c r="AK304" s="382"/>
      <c r="AL304" s="334"/>
    </row>
    <row r="305" spans="1:38" ht="12">
      <c r="A305" s="337"/>
      <c r="C305" s="360" t="s">
        <v>623</v>
      </c>
      <c r="D305" s="360" t="s">
        <v>857</v>
      </c>
      <c r="F305" s="357">
        <f>+'[2]Group '!J555</f>
        <v>8481674</v>
      </c>
      <c r="G305" s="381"/>
      <c r="H305" s="381"/>
      <c r="I305" s="381"/>
      <c r="J305" s="382"/>
      <c r="K305" s="382"/>
      <c r="L305" s="382"/>
      <c r="M305" s="382"/>
      <c r="N305" s="382"/>
      <c r="O305" s="382"/>
      <c r="P305" s="382"/>
      <c r="Q305" s="383"/>
      <c r="R305" s="382"/>
      <c r="S305" s="357"/>
      <c r="T305" s="382"/>
      <c r="U305" s="382"/>
      <c r="V305" s="381"/>
      <c r="W305" s="382">
        <f>F305</f>
        <v>8481674</v>
      </c>
      <c r="X305" s="382"/>
      <c r="Y305" s="382"/>
      <c r="Z305" s="382"/>
      <c r="AA305" s="382"/>
      <c r="AB305" s="382"/>
      <c r="AC305" s="381"/>
      <c r="AD305" s="382"/>
      <c r="AE305" s="382"/>
      <c r="AF305" s="382"/>
      <c r="AG305" s="382"/>
      <c r="AH305" s="382"/>
      <c r="AI305" s="382"/>
      <c r="AJ305" s="382"/>
      <c r="AK305" s="382"/>
      <c r="AL305" s="334"/>
    </row>
    <row r="306" spans="1:81" s="360" customFormat="1" ht="12">
      <c r="A306" s="396"/>
      <c r="C306" s="360" t="s">
        <v>623</v>
      </c>
      <c r="D306" s="360" t="s">
        <v>858</v>
      </c>
      <c r="F306" s="357">
        <v>0</v>
      </c>
      <c r="G306" s="381"/>
      <c r="H306" s="381"/>
      <c r="I306" s="381"/>
      <c r="J306" s="382"/>
      <c r="K306" s="382"/>
      <c r="L306" s="382"/>
      <c r="M306" s="382"/>
      <c r="N306" s="382"/>
      <c r="O306" s="382"/>
      <c r="P306" s="382"/>
      <c r="Q306" s="383"/>
      <c r="R306" s="382"/>
      <c r="S306" s="357"/>
      <c r="T306" s="382"/>
      <c r="U306" s="382"/>
      <c r="V306" s="381"/>
      <c r="W306" s="382"/>
      <c r="X306" s="382"/>
      <c r="Y306" s="382"/>
      <c r="Z306" s="382"/>
      <c r="AA306" s="382"/>
      <c r="AB306" s="382">
        <f>F306</f>
        <v>0</v>
      </c>
      <c r="AC306" s="381"/>
      <c r="AD306" s="382"/>
      <c r="AE306" s="382"/>
      <c r="AF306" s="382"/>
      <c r="AG306" s="382"/>
      <c r="AH306" s="382"/>
      <c r="AI306" s="382"/>
      <c r="AJ306" s="382"/>
      <c r="AK306" s="382"/>
      <c r="AL306" s="382"/>
      <c r="AM306" s="301"/>
      <c r="AN306" s="357"/>
      <c r="AO306" s="357"/>
      <c r="AP306" s="357"/>
      <c r="AQ306" s="357"/>
      <c r="AR306" s="357"/>
      <c r="AS306" s="357"/>
      <c r="AT306" s="357"/>
      <c r="AU306" s="357"/>
      <c r="AV306" s="357"/>
      <c r="AW306" s="357"/>
      <c r="AX306" s="357"/>
      <c r="AY306" s="357"/>
      <c r="AZ306" s="357"/>
      <c r="BA306" s="357"/>
      <c r="BB306" s="357"/>
      <c r="BC306" s="357"/>
      <c r="BD306" s="357"/>
      <c r="BE306" s="358"/>
      <c r="BF306" s="358"/>
      <c r="BG306" s="358"/>
      <c r="BH306" s="358"/>
      <c r="BI306" s="358"/>
      <c r="BJ306" s="358"/>
      <c r="BK306" s="358"/>
      <c r="BL306" s="358"/>
      <c r="BM306" s="358"/>
      <c r="BN306" s="358"/>
      <c r="BO306" s="358"/>
      <c r="BP306" s="358"/>
      <c r="BQ306" s="358"/>
      <c r="BR306" s="358"/>
      <c r="BS306" s="358"/>
      <c r="BT306" s="359"/>
      <c r="BU306" s="359"/>
      <c r="BV306" s="359"/>
      <c r="BW306" s="359"/>
      <c r="BX306" s="359"/>
      <c r="BY306" s="359"/>
      <c r="BZ306" s="359"/>
      <c r="CA306" s="359"/>
      <c r="CB306" s="359"/>
      <c r="CC306" s="359"/>
    </row>
    <row r="307" spans="1:38" ht="12">
      <c r="A307" s="337"/>
      <c r="F307" s="357"/>
      <c r="G307" s="381"/>
      <c r="H307" s="381"/>
      <c r="I307" s="381"/>
      <c r="J307" s="382"/>
      <c r="K307" s="382"/>
      <c r="L307" s="382"/>
      <c r="M307" s="382"/>
      <c r="N307" s="382"/>
      <c r="O307" s="382"/>
      <c r="P307" s="382"/>
      <c r="Q307" s="383"/>
      <c r="R307" s="382"/>
      <c r="S307" s="357"/>
      <c r="T307" s="382"/>
      <c r="U307" s="382"/>
      <c r="V307" s="381"/>
      <c r="W307" s="382"/>
      <c r="X307" s="382"/>
      <c r="Y307" s="382"/>
      <c r="Z307" s="382"/>
      <c r="AA307" s="382"/>
      <c r="AB307" s="382"/>
      <c r="AC307" s="381"/>
      <c r="AD307" s="382"/>
      <c r="AE307" s="382"/>
      <c r="AF307" s="382"/>
      <c r="AG307" s="382"/>
      <c r="AH307" s="382"/>
      <c r="AI307" s="382"/>
      <c r="AJ307" s="382"/>
      <c r="AK307" s="382"/>
      <c r="AL307" s="334"/>
    </row>
    <row r="308" spans="1:38" ht="12">
      <c r="A308" s="337"/>
      <c r="C308" s="360" t="s">
        <v>624</v>
      </c>
      <c r="D308" s="360" t="s">
        <v>859</v>
      </c>
      <c r="F308" s="357"/>
      <c r="G308" s="381">
        <f>+'[2]Group '!K481</f>
        <v>16014</v>
      </c>
      <c r="H308" s="381"/>
      <c r="I308" s="381"/>
      <c r="J308" s="382"/>
      <c r="K308" s="382"/>
      <c r="L308" s="382"/>
      <c r="M308" s="382"/>
      <c r="N308" s="382"/>
      <c r="O308" s="382"/>
      <c r="P308" s="382"/>
      <c r="Q308" s="383"/>
      <c r="R308" s="382"/>
      <c r="S308" s="357"/>
      <c r="T308" s="382"/>
      <c r="U308" s="382"/>
      <c r="V308" s="381"/>
      <c r="W308" s="382"/>
      <c r="X308" s="382">
        <f aca="true" t="shared" si="1" ref="X308:X314">-G308</f>
        <v>-16014</v>
      </c>
      <c r="Y308" s="382"/>
      <c r="Z308" s="382"/>
      <c r="AA308" s="382"/>
      <c r="AB308" s="382"/>
      <c r="AC308" s="381"/>
      <c r="AD308" s="382"/>
      <c r="AE308" s="382"/>
      <c r="AF308" s="382"/>
      <c r="AG308" s="382"/>
      <c r="AH308" s="382"/>
      <c r="AI308" s="382"/>
      <c r="AJ308" s="382"/>
      <c r="AK308" s="382"/>
      <c r="AL308" s="334"/>
    </row>
    <row r="309" spans="1:38" ht="12">
      <c r="A309" s="337"/>
      <c r="C309" s="300" t="s">
        <v>624</v>
      </c>
      <c r="D309" s="300" t="s">
        <v>860</v>
      </c>
      <c r="F309" s="357"/>
      <c r="G309" s="381">
        <f>+'[2]Group '!K479</f>
        <v>6976335</v>
      </c>
      <c r="H309" s="381"/>
      <c r="I309" s="381"/>
      <c r="J309" s="382"/>
      <c r="K309" s="382"/>
      <c r="L309" s="382"/>
      <c r="M309" s="382"/>
      <c r="N309" s="382"/>
      <c r="O309" s="382"/>
      <c r="P309" s="382"/>
      <c r="Q309" s="383"/>
      <c r="R309" s="382"/>
      <c r="S309" s="357"/>
      <c r="T309" s="382"/>
      <c r="U309" s="382"/>
      <c r="V309" s="381"/>
      <c r="W309" s="382"/>
      <c r="X309" s="382">
        <f t="shared" si="1"/>
        <v>-6976335</v>
      </c>
      <c r="Y309" s="382"/>
      <c r="Z309" s="382"/>
      <c r="AA309" s="382"/>
      <c r="AB309" s="382"/>
      <c r="AC309" s="381"/>
      <c r="AD309" s="382"/>
      <c r="AE309" s="382"/>
      <c r="AF309" s="382"/>
      <c r="AG309" s="382"/>
      <c r="AH309" s="382"/>
      <c r="AI309" s="382"/>
      <c r="AJ309" s="382"/>
      <c r="AK309" s="382"/>
      <c r="AL309" s="334"/>
    </row>
    <row r="310" spans="1:38" ht="12">
      <c r="A310" s="337"/>
      <c r="C310" s="360" t="s">
        <v>624</v>
      </c>
      <c r="D310" s="360" t="s">
        <v>861</v>
      </c>
      <c r="F310" s="357"/>
      <c r="G310" s="381">
        <f>+'[2]Group '!K480</f>
        <v>55445504</v>
      </c>
      <c r="H310" s="381"/>
      <c r="I310" s="381"/>
      <c r="J310" s="382"/>
      <c r="K310" s="382"/>
      <c r="L310" s="382"/>
      <c r="M310" s="382"/>
      <c r="N310" s="382"/>
      <c r="O310" s="382"/>
      <c r="P310" s="382"/>
      <c r="Q310" s="383"/>
      <c r="R310" s="382"/>
      <c r="S310" s="357"/>
      <c r="T310" s="382"/>
      <c r="U310" s="382"/>
      <c r="V310" s="381"/>
      <c r="W310" s="382"/>
      <c r="X310" s="382">
        <f t="shared" si="1"/>
        <v>-55445504</v>
      </c>
      <c r="Y310" s="382"/>
      <c r="Z310" s="382"/>
      <c r="AA310" s="382"/>
      <c r="AB310" s="382"/>
      <c r="AC310" s="381"/>
      <c r="AD310" s="382"/>
      <c r="AE310" s="382"/>
      <c r="AF310" s="382"/>
      <c r="AG310" s="382"/>
      <c r="AH310" s="382"/>
      <c r="AI310" s="382"/>
      <c r="AJ310" s="382"/>
      <c r="AK310" s="382"/>
      <c r="AL310" s="334"/>
    </row>
    <row r="311" spans="1:38" ht="12">
      <c r="A311" s="337"/>
      <c r="C311" s="300" t="s">
        <v>624</v>
      </c>
      <c r="D311" s="300" t="s">
        <v>862</v>
      </c>
      <c r="F311" s="357"/>
      <c r="G311" s="381">
        <f>+'[2]Group '!K478</f>
        <v>12382957</v>
      </c>
      <c r="H311" s="381"/>
      <c r="I311" s="381"/>
      <c r="J311" s="382"/>
      <c r="K311" s="382"/>
      <c r="L311" s="382"/>
      <c r="M311" s="382"/>
      <c r="N311" s="382"/>
      <c r="O311" s="382"/>
      <c r="P311" s="382"/>
      <c r="Q311" s="383"/>
      <c r="R311" s="382"/>
      <c r="S311" s="357"/>
      <c r="T311" s="382"/>
      <c r="U311" s="382"/>
      <c r="V311" s="381"/>
      <c r="W311" s="382"/>
      <c r="X311" s="382">
        <f t="shared" si="1"/>
        <v>-12382957</v>
      </c>
      <c r="Y311" s="382"/>
      <c r="Z311" s="382"/>
      <c r="AA311" s="382"/>
      <c r="AB311" s="382"/>
      <c r="AC311" s="381"/>
      <c r="AD311" s="382"/>
      <c r="AE311" s="382"/>
      <c r="AF311" s="382"/>
      <c r="AG311" s="382"/>
      <c r="AH311" s="382"/>
      <c r="AI311" s="382"/>
      <c r="AJ311" s="382"/>
      <c r="AK311" s="382"/>
      <c r="AL311" s="334"/>
    </row>
    <row r="312" spans="1:38" ht="12">
      <c r="A312" s="337"/>
      <c r="C312" s="360" t="s">
        <v>624</v>
      </c>
      <c r="D312" s="449" t="s">
        <v>863</v>
      </c>
      <c r="E312" s="360"/>
      <c r="F312" s="357"/>
      <c r="G312" s="381">
        <f>+'[2]Group '!K482</f>
        <v>9319049</v>
      </c>
      <c r="H312" s="381"/>
      <c r="I312" s="381"/>
      <c r="J312" s="382"/>
      <c r="K312" s="382"/>
      <c r="L312" s="382"/>
      <c r="M312" s="382"/>
      <c r="N312" s="382"/>
      <c r="O312" s="382"/>
      <c r="P312" s="382"/>
      <c r="Q312" s="383"/>
      <c r="R312" s="382"/>
      <c r="S312" s="357"/>
      <c r="T312" s="382"/>
      <c r="U312" s="382"/>
      <c r="V312" s="381"/>
      <c r="W312" s="382"/>
      <c r="X312" s="382">
        <f t="shared" si="1"/>
        <v>-9319049</v>
      </c>
      <c r="Y312" s="382"/>
      <c r="Z312" s="382"/>
      <c r="AA312" s="382"/>
      <c r="AB312" s="382"/>
      <c r="AC312" s="381"/>
      <c r="AD312" s="382"/>
      <c r="AE312" s="382"/>
      <c r="AF312" s="382"/>
      <c r="AG312" s="382"/>
      <c r="AH312" s="382"/>
      <c r="AI312" s="382"/>
      <c r="AJ312" s="382"/>
      <c r="AK312" s="382"/>
      <c r="AL312" s="334"/>
    </row>
    <row r="313" spans="1:38" ht="12">
      <c r="A313" s="337"/>
      <c r="C313" s="360" t="s">
        <v>624</v>
      </c>
      <c r="D313" s="449" t="s">
        <v>864</v>
      </c>
      <c r="E313" s="360"/>
      <c r="F313" s="357"/>
      <c r="G313" s="381">
        <f>+'[2]Group '!L483</f>
        <v>1284315</v>
      </c>
      <c r="H313" s="381"/>
      <c r="I313" s="381"/>
      <c r="J313" s="382"/>
      <c r="K313" s="382"/>
      <c r="L313" s="382"/>
      <c r="M313" s="382"/>
      <c r="N313" s="382"/>
      <c r="O313" s="382"/>
      <c r="P313" s="382"/>
      <c r="Q313" s="383"/>
      <c r="R313" s="382"/>
      <c r="S313" s="357"/>
      <c r="T313" s="382"/>
      <c r="U313" s="382"/>
      <c r="V313" s="381"/>
      <c r="W313" s="382"/>
      <c r="X313" s="382">
        <f t="shared" si="1"/>
        <v>-1284315</v>
      </c>
      <c r="Y313" s="382"/>
      <c r="Z313" s="382"/>
      <c r="AA313" s="382"/>
      <c r="AB313" s="382"/>
      <c r="AC313" s="381"/>
      <c r="AD313" s="382"/>
      <c r="AE313" s="382"/>
      <c r="AF313" s="382"/>
      <c r="AG313" s="382"/>
      <c r="AH313" s="382"/>
      <c r="AI313" s="382"/>
      <c r="AJ313" s="382"/>
      <c r="AK313" s="382"/>
      <c r="AL313" s="334"/>
    </row>
    <row r="314" spans="1:38" ht="12">
      <c r="A314" s="337"/>
      <c r="C314" s="360" t="s">
        <v>624</v>
      </c>
      <c r="D314" s="449" t="s">
        <v>865</v>
      </c>
      <c r="E314" s="360"/>
      <c r="F314" s="357"/>
      <c r="G314" s="381">
        <f>+'[2]Group '!K477</f>
        <v>6287176</v>
      </c>
      <c r="H314" s="381"/>
      <c r="I314" s="381"/>
      <c r="J314" s="382"/>
      <c r="K314" s="382"/>
      <c r="L314" s="382"/>
      <c r="M314" s="382"/>
      <c r="N314" s="382"/>
      <c r="O314" s="382"/>
      <c r="P314" s="382"/>
      <c r="Q314" s="383"/>
      <c r="R314" s="382"/>
      <c r="S314" s="357"/>
      <c r="T314" s="382"/>
      <c r="U314" s="382"/>
      <c r="V314" s="381"/>
      <c r="W314" s="382"/>
      <c r="X314" s="382">
        <f t="shared" si="1"/>
        <v>-6287176</v>
      </c>
      <c r="Y314" s="382"/>
      <c r="Z314" s="382"/>
      <c r="AA314" s="382"/>
      <c r="AB314" s="382"/>
      <c r="AC314" s="381"/>
      <c r="AD314" s="382"/>
      <c r="AE314" s="382"/>
      <c r="AF314" s="382"/>
      <c r="AG314" s="382"/>
      <c r="AH314" s="382"/>
      <c r="AI314" s="382"/>
      <c r="AJ314" s="382"/>
      <c r="AK314" s="382"/>
      <c r="AL314" s="334"/>
    </row>
    <row r="315" spans="1:38" ht="12.75" thickBot="1">
      <c r="A315" s="337"/>
      <c r="F315" s="404">
        <f>SUM(F301:F314)</f>
        <v>91711350</v>
      </c>
      <c r="G315" s="405">
        <f>SUM(G306:G314)</f>
        <v>91711350</v>
      </c>
      <c r="H315" s="381"/>
      <c r="I315" s="381"/>
      <c r="J315" s="382"/>
      <c r="K315" s="382"/>
      <c r="L315" s="382"/>
      <c r="M315" s="382"/>
      <c r="N315" s="382"/>
      <c r="O315" s="382"/>
      <c r="P315" s="382"/>
      <c r="Q315" s="383"/>
      <c r="R315" s="382"/>
      <c r="S315" s="357"/>
      <c r="T315" s="382"/>
      <c r="U315" s="382"/>
      <c r="V315" s="381"/>
      <c r="W315" s="382"/>
      <c r="X315" s="382"/>
      <c r="Y315" s="382"/>
      <c r="Z315" s="382"/>
      <c r="AA315" s="382"/>
      <c r="AB315" s="382"/>
      <c r="AC315" s="381"/>
      <c r="AD315" s="382"/>
      <c r="AE315" s="382"/>
      <c r="AF315" s="382"/>
      <c r="AG315" s="382"/>
      <c r="AH315" s="382"/>
      <c r="AI315" s="382"/>
      <c r="AJ315" s="382"/>
      <c r="AK315" s="382"/>
      <c r="AL315" s="334"/>
    </row>
    <row r="316" spans="1:38" ht="12.75" thickTop="1">
      <c r="A316" s="337"/>
      <c r="F316" s="357"/>
      <c r="G316" s="470">
        <f>F315-G315</f>
        <v>0</v>
      </c>
      <c r="H316" s="381"/>
      <c r="I316" s="381"/>
      <c r="J316" s="382"/>
      <c r="K316" s="382"/>
      <c r="L316" s="382"/>
      <c r="M316" s="382"/>
      <c r="N316" s="382"/>
      <c r="O316" s="382"/>
      <c r="P316" s="382"/>
      <c r="Q316" s="383"/>
      <c r="R316" s="382"/>
      <c r="S316" s="357"/>
      <c r="T316" s="382"/>
      <c r="U316" s="382"/>
      <c r="V316" s="381"/>
      <c r="W316" s="382"/>
      <c r="X316" s="382"/>
      <c r="Y316" s="382"/>
      <c r="Z316" s="382"/>
      <c r="AA316" s="382"/>
      <c r="AB316" s="382"/>
      <c r="AC316" s="381"/>
      <c r="AD316" s="382"/>
      <c r="AE316" s="382"/>
      <c r="AF316" s="382"/>
      <c r="AG316" s="382"/>
      <c r="AH316" s="382"/>
      <c r="AI316" s="382"/>
      <c r="AJ316" s="382"/>
      <c r="AK316" s="382"/>
      <c r="AL316" s="334"/>
    </row>
    <row r="317" spans="1:38" ht="12">
      <c r="A317" s="337"/>
      <c r="B317" s="342"/>
      <c r="C317" s="299" t="s">
        <v>866</v>
      </c>
      <c r="F317" s="357"/>
      <c r="G317" s="381"/>
      <c r="H317" s="381"/>
      <c r="I317" s="381"/>
      <c r="J317" s="382"/>
      <c r="K317" s="382"/>
      <c r="L317" s="382"/>
      <c r="M317" s="382"/>
      <c r="N317" s="382"/>
      <c r="O317" s="382"/>
      <c r="P317" s="382"/>
      <c r="Q317" s="383"/>
      <c r="R317" s="382"/>
      <c r="S317" s="357"/>
      <c r="T317" s="382"/>
      <c r="U317" s="382"/>
      <c r="V317" s="381"/>
      <c r="W317" s="382"/>
      <c r="X317" s="382"/>
      <c r="Y317" s="382"/>
      <c r="Z317" s="382"/>
      <c r="AA317" s="382"/>
      <c r="AB317" s="382"/>
      <c r="AC317" s="381"/>
      <c r="AD317" s="382"/>
      <c r="AE317" s="382"/>
      <c r="AF317" s="382"/>
      <c r="AG317" s="382"/>
      <c r="AH317" s="382"/>
      <c r="AI317" s="382"/>
      <c r="AJ317" s="382"/>
      <c r="AK317" s="382"/>
      <c r="AL317" s="334"/>
    </row>
    <row r="318" spans="1:38" ht="12">
      <c r="A318" s="344"/>
      <c r="B318" s="351"/>
      <c r="C318" s="352"/>
      <c r="D318" s="352"/>
      <c r="E318" s="352"/>
      <c r="F318" s="394"/>
      <c r="G318" s="395"/>
      <c r="H318" s="395"/>
      <c r="I318" s="395"/>
      <c r="J318" s="432"/>
      <c r="K318" s="432"/>
      <c r="L318" s="432"/>
      <c r="M318" s="432"/>
      <c r="N318" s="432"/>
      <c r="O318" s="432"/>
      <c r="P318" s="432"/>
      <c r="Q318" s="433"/>
      <c r="R318" s="432"/>
      <c r="S318" s="394"/>
      <c r="T318" s="432"/>
      <c r="U318" s="432"/>
      <c r="V318" s="395"/>
      <c r="W318" s="432"/>
      <c r="X318" s="432"/>
      <c r="Y318" s="432"/>
      <c r="Z318" s="432"/>
      <c r="AA318" s="432"/>
      <c r="AB318" s="432"/>
      <c r="AC318" s="395"/>
      <c r="AD318" s="432"/>
      <c r="AE318" s="432"/>
      <c r="AF318" s="432"/>
      <c r="AG318" s="432"/>
      <c r="AH318" s="432"/>
      <c r="AI318" s="432"/>
      <c r="AJ318" s="432"/>
      <c r="AK318" s="432"/>
      <c r="AL318" s="435"/>
    </row>
    <row r="319" spans="1:38" ht="13.5" customHeight="1">
      <c r="A319" s="337"/>
      <c r="B319" s="342"/>
      <c r="F319" s="357"/>
      <c r="G319" s="381"/>
      <c r="H319" s="381"/>
      <c r="I319" s="381"/>
      <c r="J319" s="382"/>
      <c r="K319" s="382"/>
      <c r="L319" s="382"/>
      <c r="M319" s="382"/>
      <c r="N319" s="382"/>
      <c r="O319" s="382"/>
      <c r="P319" s="382"/>
      <c r="Q319" s="383"/>
      <c r="R319" s="382"/>
      <c r="S319" s="357"/>
      <c r="T319" s="382"/>
      <c r="U319" s="382"/>
      <c r="V319" s="381"/>
      <c r="W319" s="382"/>
      <c r="X319" s="382"/>
      <c r="Y319" s="382"/>
      <c r="Z319" s="382"/>
      <c r="AA319" s="382"/>
      <c r="AB319" s="382"/>
      <c r="AC319" s="381"/>
      <c r="AD319" s="382"/>
      <c r="AE319" s="382"/>
      <c r="AF319" s="382"/>
      <c r="AG319" s="382"/>
      <c r="AH319" s="382"/>
      <c r="AI319" s="382"/>
      <c r="AJ319" s="382"/>
      <c r="AK319" s="382"/>
      <c r="AL319" s="334"/>
    </row>
    <row r="320" spans="1:38" ht="12">
      <c r="A320" s="337"/>
      <c r="C320" s="338" t="s">
        <v>867</v>
      </c>
      <c r="F320" s="357"/>
      <c r="G320" s="381"/>
      <c r="H320" s="381"/>
      <c r="I320" s="381"/>
      <c r="J320" s="382"/>
      <c r="K320" s="382"/>
      <c r="L320" s="382"/>
      <c r="M320" s="382"/>
      <c r="N320" s="382"/>
      <c r="O320" s="382"/>
      <c r="P320" s="382"/>
      <c r="Q320" s="383"/>
      <c r="R320" s="382"/>
      <c r="S320" s="357"/>
      <c r="T320" s="382"/>
      <c r="U320" s="382"/>
      <c r="V320" s="381"/>
      <c r="W320" s="382"/>
      <c r="X320" s="382"/>
      <c r="Y320" s="382"/>
      <c r="Z320" s="382"/>
      <c r="AA320" s="382"/>
      <c r="AB320" s="382"/>
      <c r="AC320" s="381"/>
      <c r="AD320" s="382"/>
      <c r="AE320" s="382"/>
      <c r="AF320" s="382"/>
      <c r="AG320" s="382"/>
      <c r="AH320" s="382"/>
      <c r="AI320" s="382"/>
      <c r="AJ320" s="382"/>
      <c r="AK320" s="382"/>
      <c r="AL320" s="334"/>
    </row>
    <row r="321" spans="1:38" ht="12">
      <c r="A321" s="374" t="s">
        <v>868</v>
      </c>
      <c r="B321" s="300">
        <v>1</v>
      </c>
      <c r="C321" s="300" t="s">
        <v>869</v>
      </c>
      <c r="D321" s="300" t="s">
        <v>870</v>
      </c>
      <c r="F321" s="357">
        <f>F332*B321</f>
        <v>51889379</v>
      </c>
      <c r="G321" s="381"/>
      <c r="H321" s="381"/>
      <c r="I321" s="381"/>
      <c r="J321" s="382"/>
      <c r="K321" s="382"/>
      <c r="L321" s="382"/>
      <c r="M321" s="382"/>
      <c r="N321" s="382"/>
      <c r="O321" s="382"/>
      <c r="P321" s="382"/>
      <c r="Q321" s="383">
        <f>F321</f>
        <v>51889379</v>
      </c>
      <c r="R321" s="382"/>
      <c r="S321" s="357"/>
      <c r="T321" s="382"/>
      <c r="U321" s="382"/>
      <c r="V321" s="381"/>
      <c r="W321" s="382"/>
      <c r="X321" s="382"/>
      <c r="Y321" s="382"/>
      <c r="Z321" s="382"/>
      <c r="AA321" s="382"/>
      <c r="AB321" s="382"/>
      <c r="AC321" s="381"/>
      <c r="AD321" s="382"/>
      <c r="AE321" s="382"/>
      <c r="AF321" s="382"/>
      <c r="AG321" s="382"/>
      <c r="AH321" s="382"/>
      <c r="AI321" s="382"/>
      <c r="AJ321" s="382"/>
      <c r="AK321" s="382"/>
      <c r="AL321" s="334"/>
    </row>
    <row r="322" spans="1:38" ht="12">
      <c r="A322" s="337"/>
      <c r="B322" s="300">
        <v>1</v>
      </c>
      <c r="C322" s="300" t="s">
        <v>871</v>
      </c>
      <c r="D322" s="300" t="s">
        <v>872</v>
      </c>
      <c r="F322" s="357"/>
      <c r="G322" s="381">
        <f>F321*B322</f>
        <v>51889379</v>
      </c>
      <c r="H322" s="381"/>
      <c r="I322" s="381"/>
      <c r="J322" s="382"/>
      <c r="K322" s="382"/>
      <c r="L322" s="382"/>
      <c r="M322" s="382"/>
      <c r="N322" s="382"/>
      <c r="O322" s="382"/>
      <c r="P322" s="382"/>
      <c r="Q322" s="383"/>
      <c r="R322" s="382"/>
      <c r="S322" s="357"/>
      <c r="T322" s="382"/>
      <c r="U322" s="382"/>
      <c r="V322" s="381"/>
      <c r="W322" s="382"/>
      <c r="X322" s="382"/>
      <c r="Y322" s="382">
        <f>-G322</f>
        <v>-51889379</v>
      </c>
      <c r="Z322" s="382"/>
      <c r="AA322" s="382"/>
      <c r="AB322" s="382"/>
      <c r="AC322" s="381"/>
      <c r="AD322" s="382"/>
      <c r="AE322" s="382"/>
      <c r="AF322" s="382"/>
      <c r="AG322" s="382"/>
      <c r="AH322" s="382"/>
      <c r="AI322" s="382"/>
      <c r="AJ322" s="382"/>
      <c r="AK322" s="382"/>
      <c r="AL322" s="334"/>
    </row>
    <row r="323" spans="1:38" ht="12">
      <c r="A323" s="337"/>
      <c r="F323" s="357"/>
      <c r="G323" s="381"/>
      <c r="H323" s="381"/>
      <c r="I323" s="381"/>
      <c r="J323" s="382"/>
      <c r="K323" s="382"/>
      <c r="L323" s="382"/>
      <c r="M323" s="382"/>
      <c r="N323" s="382"/>
      <c r="O323" s="382"/>
      <c r="P323" s="382"/>
      <c r="Q323" s="383"/>
      <c r="R323" s="382"/>
      <c r="S323" s="357"/>
      <c r="T323" s="382"/>
      <c r="U323" s="382"/>
      <c r="V323" s="381"/>
      <c r="W323" s="382"/>
      <c r="X323" s="382"/>
      <c r="Y323" s="382"/>
      <c r="Z323" s="382"/>
      <c r="AA323" s="382"/>
      <c r="AB323" s="382"/>
      <c r="AC323" s="381"/>
      <c r="AD323" s="382"/>
      <c r="AE323" s="382"/>
      <c r="AF323" s="382"/>
      <c r="AG323" s="382"/>
      <c r="AH323" s="382"/>
      <c r="AI323" s="382"/>
      <c r="AJ323" s="382"/>
      <c r="AK323" s="382"/>
      <c r="AL323" s="334"/>
    </row>
    <row r="324" spans="1:38" ht="12">
      <c r="A324" s="337"/>
      <c r="F324" s="357"/>
      <c r="G324" s="381"/>
      <c r="H324" s="381"/>
      <c r="I324" s="381"/>
      <c r="J324" s="382"/>
      <c r="K324" s="382"/>
      <c r="L324" s="382"/>
      <c r="M324" s="382"/>
      <c r="N324" s="382"/>
      <c r="O324" s="382"/>
      <c r="P324" s="382"/>
      <c r="Q324" s="383"/>
      <c r="R324" s="382"/>
      <c r="S324" s="357"/>
      <c r="T324" s="382"/>
      <c r="U324" s="382"/>
      <c r="V324" s="381"/>
      <c r="W324" s="382"/>
      <c r="X324" s="382"/>
      <c r="Y324" s="382"/>
      <c r="Z324" s="382"/>
      <c r="AA324" s="382"/>
      <c r="AB324" s="382"/>
      <c r="AC324" s="381"/>
      <c r="AD324" s="382"/>
      <c r="AE324" s="382"/>
      <c r="AF324" s="382"/>
      <c r="AG324" s="382"/>
      <c r="AH324" s="382"/>
      <c r="AI324" s="382"/>
      <c r="AJ324" s="382"/>
      <c r="AK324" s="382"/>
      <c r="AL324" s="334"/>
    </row>
    <row r="325" spans="1:38" ht="12">
      <c r="A325" s="337"/>
      <c r="B325" s="338"/>
      <c r="C325" s="299" t="s">
        <v>873</v>
      </c>
      <c r="F325" s="357"/>
      <c r="G325" s="381"/>
      <c r="H325" s="381"/>
      <c r="I325" s="381"/>
      <c r="J325" s="382"/>
      <c r="K325" s="382"/>
      <c r="L325" s="382"/>
      <c r="M325" s="382"/>
      <c r="N325" s="382"/>
      <c r="O325" s="382"/>
      <c r="P325" s="382"/>
      <c r="Q325" s="383"/>
      <c r="R325" s="382"/>
      <c r="S325" s="357"/>
      <c r="T325" s="382"/>
      <c r="U325" s="382"/>
      <c r="V325" s="381"/>
      <c r="W325" s="382"/>
      <c r="X325" s="382"/>
      <c r="Y325" s="382"/>
      <c r="Z325" s="382"/>
      <c r="AA325" s="382"/>
      <c r="AB325" s="382"/>
      <c r="AC325" s="381"/>
      <c r="AD325" s="382"/>
      <c r="AE325" s="382"/>
      <c r="AF325" s="382"/>
      <c r="AG325" s="382"/>
      <c r="AH325" s="382"/>
      <c r="AI325" s="382"/>
      <c r="AJ325" s="382"/>
      <c r="AK325" s="382"/>
      <c r="AL325" s="334"/>
    </row>
    <row r="326" spans="1:38" ht="12">
      <c r="A326" s="337"/>
      <c r="F326" s="471" t="s">
        <v>520</v>
      </c>
      <c r="G326" s="381"/>
      <c r="H326" s="381"/>
      <c r="I326" s="381"/>
      <c r="J326" s="382"/>
      <c r="K326" s="382"/>
      <c r="L326" s="382"/>
      <c r="M326" s="382"/>
      <c r="N326" s="382"/>
      <c r="O326" s="382"/>
      <c r="P326" s="382"/>
      <c r="Q326" s="383"/>
      <c r="R326" s="382"/>
      <c r="S326" s="357"/>
      <c r="T326" s="382"/>
      <c r="U326" s="382"/>
      <c r="V326" s="381"/>
      <c r="W326" s="382"/>
      <c r="X326" s="382"/>
      <c r="Y326" s="382"/>
      <c r="Z326" s="382"/>
      <c r="AA326" s="382"/>
      <c r="AB326" s="382"/>
      <c r="AC326" s="381"/>
      <c r="AD326" s="382"/>
      <c r="AE326" s="382"/>
      <c r="AF326" s="382"/>
      <c r="AG326" s="382"/>
      <c r="AH326" s="382"/>
      <c r="AI326" s="382"/>
      <c r="AJ326" s="382"/>
      <c r="AK326" s="382"/>
      <c r="AL326" s="334"/>
    </row>
    <row r="327" spans="1:38" ht="12">
      <c r="A327" s="337"/>
      <c r="F327" s="471"/>
      <c r="G327" s="381"/>
      <c r="H327" s="381"/>
      <c r="I327" s="381"/>
      <c r="J327" s="382"/>
      <c r="K327" s="382"/>
      <c r="L327" s="382"/>
      <c r="M327" s="382"/>
      <c r="N327" s="382"/>
      <c r="O327" s="382"/>
      <c r="P327" s="382"/>
      <c r="Q327" s="383"/>
      <c r="R327" s="382"/>
      <c r="S327" s="357"/>
      <c r="T327" s="382"/>
      <c r="U327" s="382"/>
      <c r="V327" s="381"/>
      <c r="W327" s="382"/>
      <c r="X327" s="382"/>
      <c r="Y327" s="382"/>
      <c r="Z327" s="382"/>
      <c r="AA327" s="382"/>
      <c r="AB327" s="382"/>
      <c r="AC327" s="381"/>
      <c r="AD327" s="382"/>
      <c r="AE327" s="382"/>
      <c r="AF327" s="382"/>
      <c r="AG327" s="382"/>
      <c r="AH327" s="382"/>
      <c r="AI327" s="382"/>
      <c r="AJ327" s="382"/>
      <c r="AK327" s="382"/>
      <c r="AL327" s="334"/>
    </row>
    <row r="328" spans="1:38" ht="12">
      <c r="A328" s="337"/>
      <c r="C328" s="300" t="s">
        <v>874</v>
      </c>
      <c r="F328" s="357">
        <f>1138925845</f>
        <v>1138925845</v>
      </c>
      <c r="G328" s="381"/>
      <c r="H328" s="381"/>
      <c r="I328" s="381"/>
      <c r="J328" s="382"/>
      <c r="K328" s="382"/>
      <c r="L328" s="382"/>
      <c r="M328" s="382"/>
      <c r="N328" s="382"/>
      <c r="O328" s="382"/>
      <c r="P328" s="382"/>
      <c r="Q328" s="383"/>
      <c r="R328" s="382"/>
      <c r="S328" s="357"/>
      <c r="T328" s="382"/>
      <c r="U328" s="382"/>
      <c r="V328" s="381"/>
      <c r="W328" s="382"/>
      <c r="X328" s="382"/>
      <c r="Y328" s="382"/>
      <c r="Z328" s="382"/>
      <c r="AA328" s="382"/>
      <c r="AB328" s="382"/>
      <c r="AC328" s="381"/>
      <c r="AD328" s="382"/>
      <c r="AE328" s="382"/>
      <c r="AF328" s="382"/>
      <c r="AG328" s="382"/>
      <c r="AH328" s="382"/>
      <c r="AI328" s="382"/>
      <c r="AJ328" s="382"/>
      <c r="AK328" s="382"/>
      <c r="AL328" s="334"/>
    </row>
    <row r="329" spans="1:38" ht="12">
      <c r="A329" s="337"/>
      <c r="C329" s="300" t="s">
        <v>875</v>
      </c>
      <c r="F329" s="394">
        <f>16599525</f>
        <v>16599525</v>
      </c>
      <c r="G329" s="381"/>
      <c r="H329" s="381"/>
      <c r="I329" s="381"/>
      <c r="J329" s="382"/>
      <c r="K329" s="382"/>
      <c r="L329" s="382"/>
      <c r="M329" s="382"/>
      <c r="N329" s="382"/>
      <c r="O329" s="382"/>
      <c r="P329" s="382"/>
      <c r="Q329" s="383"/>
      <c r="R329" s="382"/>
      <c r="S329" s="357"/>
      <c r="T329" s="382"/>
      <c r="U329" s="382"/>
      <c r="V329" s="381"/>
      <c r="W329" s="382"/>
      <c r="X329" s="382"/>
      <c r="Y329" s="382"/>
      <c r="Z329" s="382"/>
      <c r="AA329" s="382"/>
      <c r="AB329" s="382"/>
      <c r="AC329" s="381"/>
      <c r="AD329" s="382"/>
      <c r="AE329" s="382"/>
      <c r="AF329" s="382"/>
      <c r="AG329" s="382"/>
      <c r="AH329" s="382"/>
      <c r="AI329" s="382"/>
      <c r="AJ329" s="382"/>
      <c r="AK329" s="382"/>
      <c r="AL329" s="334"/>
    </row>
    <row r="330" spans="1:38" ht="12">
      <c r="A330" s="337"/>
      <c r="F330" s="357">
        <f>SUM(F328:F329)</f>
        <v>1155525370</v>
      </c>
      <c r="G330" s="381"/>
      <c r="H330" s="381"/>
      <c r="I330" s="381"/>
      <c r="J330" s="382"/>
      <c r="K330" s="382"/>
      <c r="L330" s="382"/>
      <c r="M330" s="382"/>
      <c r="N330" s="382"/>
      <c r="O330" s="382"/>
      <c r="P330" s="382"/>
      <c r="Q330" s="383"/>
      <c r="R330" s="382"/>
      <c r="S330" s="357"/>
      <c r="T330" s="382"/>
      <c r="U330" s="382"/>
      <c r="V330" s="381"/>
      <c r="W330" s="382"/>
      <c r="X330" s="382"/>
      <c r="Y330" s="382"/>
      <c r="Z330" s="382"/>
      <c r="AA330" s="382"/>
      <c r="AB330" s="382"/>
      <c r="AC330" s="381"/>
      <c r="AD330" s="382"/>
      <c r="AE330" s="382"/>
      <c r="AF330" s="382"/>
      <c r="AG330" s="382"/>
      <c r="AH330" s="382"/>
      <c r="AI330" s="382"/>
      <c r="AJ330" s="382"/>
      <c r="AK330" s="382"/>
      <c r="AL330" s="334"/>
    </row>
    <row r="331" spans="1:38" ht="12">
      <c r="A331" s="337"/>
      <c r="C331" s="300" t="s">
        <v>876</v>
      </c>
      <c r="F331" s="357">
        <v>-1103635991.46</v>
      </c>
      <c r="G331" s="381"/>
      <c r="H331" s="381"/>
      <c r="I331" s="381"/>
      <c r="J331" s="382"/>
      <c r="K331" s="382"/>
      <c r="L331" s="382"/>
      <c r="M331" s="382"/>
      <c r="N331" s="382"/>
      <c r="O331" s="382"/>
      <c r="P331" s="382"/>
      <c r="Q331" s="383"/>
      <c r="R331" s="382"/>
      <c r="S331" s="357"/>
      <c r="T331" s="382"/>
      <c r="U331" s="382"/>
      <c r="V331" s="381"/>
      <c r="W331" s="382"/>
      <c r="X331" s="382"/>
      <c r="Y331" s="382"/>
      <c r="Z331" s="382"/>
      <c r="AA331" s="382"/>
      <c r="AB331" s="382"/>
      <c r="AC331" s="381"/>
      <c r="AD331" s="382"/>
      <c r="AE331" s="382"/>
      <c r="AF331" s="382"/>
      <c r="AG331" s="382"/>
      <c r="AH331" s="382"/>
      <c r="AI331" s="382"/>
      <c r="AJ331" s="382"/>
      <c r="AK331" s="382"/>
      <c r="AL331" s="334"/>
    </row>
    <row r="332" spans="1:38" ht="12.75" thickBot="1">
      <c r="A332" s="396"/>
      <c r="F332" s="404">
        <f>ROUND(SUM(F330:F331),0)</f>
        <v>51889379</v>
      </c>
      <c r="G332" s="381"/>
      <c r="H332" s="381"/>
      <c r="I332" s="381"/>
      <c r="J332" s="382"/>
      <c r="K332" s="382"/>
      <c r="L332" s="382"/>
      <c r="M332" s="382"/>
      <c r="N332" s="382"/>
      <c r="O332" s="382"/>
      <c r="P332" s="382"/>
      <c r="Q332" s="383"/>
      <c r="R332" s="382"/>
      <c r="S332" s="357"/>
      <c r="T332" s="382"/>
      <c r="U332" s="382"/>
      <c r="V332" s="381"/>
      <c r="W332" s="382"/>
      <c r="X332" s="382"/>
      <c r="Y332" s="382"/>
      <c r="Z332" s="382"/>
      <c r="AA332" s="382"/>
      <c r="AB332" s="382"/>
      <c r="AC332" s="381"/>
      <c r="AD332" s="382"/>
      <c r="AE332" s="382"/>
      <c r="AF332" s="382"/>
      <c r="AG332" s="382"/>
      <c r="AH332" s="382"/>
      <c r="AI332" s="382"/>
      <c r="AJ332" s="382"/>
      <c r="AK332" s="382"/>
      <c r="AL332" s="334"/>
    </row>
    <row r="333" spans="1:38" ht="12.75" thickTop="1">
      <c r="A333" s="337"/>
      <c r="F333" s="357"/>
      <c r="G333" s="381"/>
      <c r="H333" s="381"/>
      <c r="I333" s="381"/>
      <c r="J333" s="382"/>
      <c r="K333" s="382"/>
      <c r="L333" s="382"/>
      <c r="M333" s="382"/>
      <c r="N333" s="382"/>
      <c r="O333" s="382"/>
      <c r="P333" s="382"/>
      <c r="Q333" s="383"/>
      <c r="R333" s="382"/>
      <c r="S333" s="357"/>
      <c r="T333" s="382"/>
      <c r="U333" s="382"/>
      <c r="V333" s="381"/>
      <c r="W333" s="382"/>
      <c r="X333" s="382"/>
      <c r="Y333" s="382"/>
      <c r="Z333" s="382"/>
      <c r="AA333" s="382"/>
      <c r="AB333" s="382"/>
      <c r="AC333" s="381"/>
      <c r="AD333" s="382"/>
      <c r="AE333" s="382"/>
      <c r="AF333" s="382"/>
      <c r="AG333" s="382"/>
      <c r="AH333" s="382"/>
      <c r="AI333" s="382"/>
      <c r="AJ333" s="382"/>
      <c r="AK333" s="382"/>
      <c r="AL333" s="334"/>
    </row>
    <row r="334" spans="1:38" ht="12">
      <c r="A334" s="337"/>
      <c r="F334" s="357"/>
      <c r="G334" s="381"/>
      <c r="H334" s="381"/>
      <c r="I334" s="381"/>
      <c r="J334" s="382"/>
      <c r="K334" s="382"/>
      <c r="L334" s="382"/>
      <c r="M334" s="382"/>
      <c r="N334" s="382"/>
      <c r="O334" s="382"/>
      <c r="P334" s="382"/>
      <c r="Q334" s="383"/>
      <c r="R334" s="382"/>
      <c r="S334" s="357"/>
      <c r="T334" s="382"/>
      <c r="U334" s="382"/>
      <c r="V334" s="381"/>
      <c r="W334" s="382"/>
      <c r="X334" s="382"/>
      <c r="Y334" s="382"/>
      <c r="Z334" s="382"/>
      <c r="AA334" s="382"/>
      <c r="AB334" s="382"/>
      <c r="AC334" s="381"/>
      <c r="AD334" s="382"/>
      <c r="AE334" s="382"/>
      <c r="AF334" s="382"/>
      <c r="AG334" s="382"/>
      <c r="AH334" s="382"/>
      <c r="AI334" s="382"/>
      <c r="AJ334" s="382"/>
      <c r="AK334" s="382"/>
      <c r="AL334" s="334"/>
    </row>
    <row r="335" spans="1:38" ht="12">
      <c r="A335" s="337"/>
      <c r="C335" s="299" t="s">
        <v>877</v>
      </c>
      <c r="F335" s="357"/>
      <c r="G335" s="381"/>
      <c r="H335" s="381"/>
      <c r="I335" s="381"/>
      <c r="J335" s="382"/>
      <c r="K335" s="382"/>
      <c r="L335" s="382"/>
      <c r="M335" s="382"/>
      <c r="N335" s="382"/>
      <c r="O335" s="382"/>
      <c r="P335" s="382"/>
      <c r="Q335" s="383"/>
      <c r="R335" s="382"/>
      <c r="S335" s="357"/>
      <c r="T335" s="382"/>
      <c r="U335" s="382"/>
      <c r="V335" s="381"/>
      <c r="W335" s="382"/>
      <c r="X335" s="382"/>
      <c r="Y335" s="382"/>
      <c r="Z335" s="382"/>
      <c r="AA335" s="382"/>
      <c r="AB335" s="382"/>
      <c r="AC335" s="381"/>
      <c r="AD335" s="382"/>
      <c r="AE335" s="382"/>
      <c r="AF335" s="382"/>
      <c r="AG335" s="382"/>
      <c r="AH335" s="382"/>
      <c r="AI335" s="382"/>
      <c r="AJ335" s="382"/>
      <c r="AK335" s="382"/>
      <c r="AL335" s="334"/>
    </row>
    <row r="336" spans="1:38" ht="12">
      <c r="A336" s="337"/>
      <c r="C336" s="299"/>
      <c r="F336" s="357"/>
      <c r="G336" s="381"/>
      <c r="H336" s="381"/>
      <c r="I336" s="381"/>
      <c r="J336" s="382"/>
      <c r="K336" s="382"/>
      <c r="L336" s="382"/>
      <c r="M336" s="382"/>
      <c r="N336" s="382"/>
      <c r="O336" s="382"/>
      <c r="P336" s="382"/>
      <c r="Q336" s="383"/>
      <c r="R336" s="382"/>
      <c r="S336" s="357"/>
      <c r="T336" s="382"/>
      <c r="U336" s="382"/>
      <c r="V336" s="381"/>
      <c r="W336" s="382"/>
      <c r="X336" s="382"/>
      <c r="Y336" s="382"/>
      <c r="Z336" s="382"/>
      <c r="AA336" s="382"/>
      <c r="AB336" s="382"/>
      <c r="AC336" s="381"/>
      <c r="AD336" s="382"/>
      <c r="AE336" s="382"/>
      <c r="AF336" s="382"/>
      <c r="AG336" s="382"/>
      <c r="AH336" s="382"/>
      <c r="AI336" s="382"/>
      <c r="AJ336" s="382"/>
      <c r="AK336" s="382"/>
      <c r="AL336" s="334"/>
    </row>
    <row r="337" spans="1:38" ht="12">
      <c r="A337" s="337"/>
      <c r="F337" s="357"/>
      <c r="G337" s="381"/>
      <c r="H337" s="381"/>
      <c r="I337" s="381"/>
      <c r="J337" s="382"/>
      <c r="K337" s="382"/>
      <c r="L337" s="382"/>
      <c r="M337" s="382"/>
      <c r="N337" s="382"/>
      <c r="O337" s="382"/>
      <c r="P337" s="382"/>
      <c r="Q337" s="383"/>
      <c r="R337" s="382"/>
      <c r="S337" s="357"/>
      <c r="T337" s="382"/>
      <c r="U337" s="382"/>
      <c r="V337" s="381"/>
      <c r="W337" s="382"/>
      <c r="X337" s="382"/>
      <c r="Y337" s="382"/>
      <c r="Z337" s="382"/>
      <c r="AA337" s="382"/>
      <c r="AB337" s="382"/>
      <c r="AC337" s="381"/>
      <c r="AD337" s="382"/>
      <c r="AE337" s="382"/>
      <c r="AF337" s="382"/>
      <c r="AG337" s="382"/>
      <c r="AH337" s="382"/>
      <c r="AI337" s="382"/>
      <c r="AJ337" s="382"/>
      <c r="AK337" s="382"/>
      <c r="AL337" s="334"/>
    </row>
    <row r="338" spans="1:38" ht="12">
      <c r="A338" s="337"/>
      <c r="C338" s="299" t="s">
        <v>878</v>
      </c>
      <c r="F338" s="357"/>
      <c r="G338" s="381"/>
      <c r="H338" s="381"/>
      <c r="I338" s="381"/>
      <c r="J338" s="382"/>
      <c r="K338" s="382"/>
      <c r="L338" s="382"/>
      <c r="M338" s="382"/>
      <c r="N338" s="382"/>
      <c r="O338" s="382"/>
      <c r="P338" s="382"/>
      <c r="Q338" s="383"/>
      <c r="R338" s="382"/>
      <c r="S338" s="357"/>
      <c r="T338" s="382"/>
      <c r="U338" s="382"/>
      <c r="V338" s="381"/>
      <c r="W338" s="382"/>
      <c r="X338" s="382"/>
      <c r="Y338" s="382"/>
      <c r="Z338" s="382"/>
      <c r="AA338" s="382"/>
      <c r="AB338" s="382"/>
      <c r="AC338" s="381"/>
      <c r="AD338" s="382"/>
      <c r="AE338" s="382"/>
      <c r="AF338" s="382"/>
      <c r="AG338" s="382"/>
      <c r="AH338" s="382"/>
      <c r="AI338" s="382"/>
      <c r="AJ338" s="382"/>
      <c r="AK338" s="382"/>
      <c r="AL338" s="334"/>
    </row>
    <row r="339" spans="1:38" ht="12">
      <c r="A339" s="337"/>
      <c r="C339" s="299"/>
      <c r="F339" s="357"/>
      <c r="G339" s="381"/>
      <c r="H339" s="381"/>
      <c r="I339" s="381"/>
      <c r="J339" s="382"/>
      <c r="K339" s="382"/>
      <c r="L339" s="382"/>
      <c r="M339" s="382"/>
      <c r="N339" s="382"/>
      <c r="O339" s="382"/>
      <c r="P339" s="382"/>
      <c r="Q339" s="383"/>
      <c r="R339" s="382"/>
      <c r="S339" s="357"/>
      <c r="T339" s="382"/>
      <c r="U339" s="382"/>
      <c r="V339" s="381"/>
      <c r="W339" s="382"/>
      <c r="X339" s="382"/>
      <c r="Y339" s="382"/>
      <c r="Z339" s="382"/>
      <c r="AA339" s="382"/>
      <c r="AB339" s="382"/>
      <c r="AC339" s="381"/>
      <c r="AD339" s="382"/>
      <c r="AE339" s="382"/>
      <c r="AF339" s="382"/>
      <c r="AG339" s="382"/>
      <c r="AH339" s="382"/>
      <c r="AI339" s="382"/>
      <c r="AJ339" s="382"/>
      <c r="AK339" s="382"/>
      <c r="AL339" s="334"/>
    </row>
    <row r="340" spans="1:38" ht="12">
      <c r="A340" s="337"/>
      <c r="C340" s="300" t="s">
        <v>869</v>
      </c>
      <c r="D340" s="300" t="s">
        <v>879</v>
      </c>
      <c r="F340" s="357">
        <f>F345</f>
        <v>51889379</v>
      </c>
      <c r="G340" s="381"/>
      <c r="H340" s="381"/>
      <c r="I340" s="381"/>
      <c r="J340" s="382"/>
      <c r="K340" s="382"/>
      <c r="L340" s="382"/>
      <c r="M340" s="382"/>
      <c r="N340" s="382"/>
      <c r="O340" s="382"/>
      <c r="P340" s="382"/>
      <c r="Q340" s="383"/>
      <c r="R340" s="382"/>
      <c r="S340" s="357"/>
      <c r="T340" s="382"/>
      <c r="U340" s="382"/>
      <c r="V340" s="381"/>
      <c r="W340" s="382"/>
      <c r="X340" s="382"/>
      <c r="Y340" s="382"/>
      <c r="Z340" s="382"/>
      <c r="AA340" s="382">
        <f>F340</f>
        <v>51889379</v>
      </c>
      <c r="AB340" s="382"/>
      <c r="AC340" s="381"/>
      <c r="AD340" s="382"/>
      <c r="AE340" s="382"/>
      <c r="AF340" s="382"/>
      <c r="AG340" s="382"/>
      <c r="AH340" s="382"/>
      <c r="AI340" s="382"/>
      <c r="AJ340" s="382"/>
      <c r="AK340" s="382"/>
      <c r="AL340" s="334"/>
    </row>
    <row r="341" spans="1:38" ht="12">
      <c r="A341" s="337"/>
      <c r="C341" s="300" t="s">
        <v>871</v>
      </c>
      <c r="D341" s="300" t="s">
        <v>870</v>
      </c>
      <c r="F341" s="357"/>
      <c r="G341" s="381">
        <f>F340</f>
        <v>51889379</v>
      </c>
      <c r="H341" s="381"/>
      <c r="I341" s="381"/>
      <c r="J341" s="382"/>
      <c r="K341" s="382"/>
      <c r="L341" s="382"/>
      <c r="M341" s="382"/>
      <c r="N341" s="382"/>
      <c r="O341" s="382"/>
      <c r="P341" s="382"/>
      <c r="Q341" s="383">
        <f>-G341</f>
        <v>-51889379</v>
      </c>
      <c r="R341" s="382"/>
      <c r="S341" s="357"/>
      <c r="T341" s="382"/>
      <c r="U341" s="382"/>
      <c r="V341" s="381"/>
      <c r="W341" s="382"/>
      <c r="X341" s="382"/>
      <c r="Y341" s="382"/>
      <c r="Z341" s="382"/>
      <c r="AA341" s="382"/>
      <c r="AB341" s="382"/>
      <c r="AC341" s="381"/>
      <c r="AD341" s="382"/>
      <c r="AE341" s="382"/>
      <c r="AF341" s="382"/>
      <c r="AG341" s="382"/>
      <c r="AH341" s="382"/>
      <c r="AI341" s="382"/>
      <c r="AJ341" s="382"/>
      <c r="AK341" s="382"/>
      <c r="AL341" s="334"/>
    </row>
    <row r="342" spans="1:38" ht="12">
      <c r="A342" s="337"/>
      <c r="C342" s="299"/>
      <c r="F342" s="357"/>
      <c r="G342" s="381"/>
      <c r="H342" s="381"/>
      <c r="I342" s="381"/>
      <c r="J342" s="382"/>
      <c r="K342" s="382"/>
      <c r="L342" s="382"/>
      <c r="M342" s="382"/>
      <c r="N342" s="382"/>
      <c r="O342" s="382"/>
      <c r="P342" s="382"/>
      <c r="Q342" s="383"/>
      <c r="R342" s="382"/>
      <c r="S342" s="357"/>
      <c r="T342" s="382"/>
      <c r="U342" s="382"/>
      <c r="V342" s="381"/>
      <c r="W342" s="382"/>
      <c r="X342" s="382"/>
      <c r="Y342" s="382"/>
      <c r="Z342" s="382"/>
      <c r="AA342" s="382"/>
      <c r="AB342" s="382"/>
      <c r="AC342" s="381"/>
      <c r="AD342" s="382"/>
      <c r="AE342" s="382"/>
      <c r="AF342" s="382"/>
      <c r="AG342" s="382"/>
      <c r="AH342" s="382"/>
      <c r="AI342" s="382"/>
      <c r="AJ342" s="382"/>
      <c r="AK342" s="382"/>
      <c r="AL342" s="334"/>
    </row>
    <row r="343" spans="1:38" ht="12">
      <c r="A343" s="337"/>
      <c r="C343" s="299" t="s">
        <v>880</v>
      </c>
      <c r="F343" s="357"/>
      <c r="G343" s="381"/>
      <c r="H343" s="381"/>
      <c r="I343" s="381"/>
      <c r="J343" s="382"/>
      <c r="K343" s="382"/>
      <c r="L343" s="382"/>
      <c r="M343" s="382"/>
      <c r="N343" s="382"/>
      <c r="O343" s="382"/>
      <c r="P343" s="382"/>
      <c r="Q343" s="383"/>
      <c r="R343" s="382"/>
      <c r="S343" s="357"/>
      <c r="T343" s="382"/>
      <c r="U343" s="382"/>
      <c r="V343" s="381"/>
      <c r="W343" s="382"/>
      <c r="X343" s="382"/>
      <c r="Y343" s="382"/>
      <c r="Z343" s="382"/>
      <c r="AA343" s="382"/>
      <c r="AB343" s="382"/>
      <c r="AC343" s="381"/>
      <c r="AD343" s="382"/>
      <c r="AE343" s="382"/>
      <c r="AF343" s="382"/>
      <c r="AG343" s="382"/>
      <c r="AH343" s="382"/>
      <c r="AI343" s="382"/>
      <c r="AJ343" s="382"/>
      <c r="AK343" s="382"/>
      <c r="AL343" s="334"/>
    </row>
    <row r="344" spans="1:38" ht="12">
      <c r="A344" s="337"/>
      <c r="C344" s="299"/>
      <c r="F344" s="357"/>
      <c r="G344" s="381"/>
      <c r="H344" s="381"/>
      <c r="I344" s="381"/>
      <c r="J344" s="382"/>
      <c r="K344" s="382"/>
      <c r="L344" s="382"/>
      <c r="M344" s="382"/>
      <c r="N344" s="382"/>
      <c r="O344" s="382"/>
      <c r="P344" s="382"/>
      <c r="Q344" s="383"/>
      <c r="R344" s="382"/>
      <c r="S344" s="357"/>
      <c r="T344" s="382"/>
      <c r="U344" s="382"/>
      <c r="V344" s="381"/>
      <c r="W344" s="382"/>
      <c r="X344" s="382"/>
      <c r="Y344" s="382"/>
      <c r="Z344" s="382"/>
      <c r="AA344" s="382"/>
      <c r="AB344" s="382"/>
      <c r="AC344" s="381"/>
      <c r="AD344" s="382"/>
      <c r="AE344" s="382"/>
      <c r="AF344" s="382"/>
      <c r="AG344" s="382"/>
      <c r="AH344" s="382"/>
      <c r="AI344" s="382"/>
      <c r="AJ344" s="382"/>
      <c r="AK344" s="382"/>
      <c r="AL344" s="334"/>
    </row>
    <row r="345" spans="1:38" ht="12">
      <c r="A345" s="337"/>
      <c r="C345" s="299"/>
      <c r="D345" s="300" t="s">
        <v>881</v>
      </c>
      <c r="F345" s="357">
        <f>51763740+125639</f>
        <v>51889379</v>
      </c>
      <c r="G345" s="381"/>
      <c r="H345" s="381"/>
      <c r="I345" s="381"/>
      <c r="J345" s="382"/>
      <c r="K345" s="382"/>
      <c r="L345" s="382"/>
      <c r="M345" s="382"/>
      <c r="N345" s="382"/>
      <c r="O345" s="382"/>
      <c r="P345" s="382"/>
      <c r="Q345" s="383"/>
      <c r="R345" s="382"/>
      <c r="S345" s="357"/>
      <c r="T345" s="382"/>
      <c r="U345" s="382"/>
      <c r="V345" s="381"/>
      <c r="W345" s="382"/>
      <c r="X345" s="382"/>
      <c r="Y345" s="382"/>
      <c r="Z345" s="382"/>
      <c r="AA345" s="382"/>
      <c r="AB345" s="382"/>
      <c r="AC345" s="381"/>
      <c r="AD345" s="382"/>
      <c r="AE345" s="382"/>
      <c r="AF345" s="382"/>
      <c r="AG345" s="382"/>
      <c r="AH345" s="382"/>
      <c r="AI345" s="382"/>
      <c r="AJ345" s="382"/>
      <c r="AK345" s="382"/>
      <c r="AL345" s="334"/>
    </row>
    <row r="346" spans="1:38" ht="12">
      <c r="A346" s="337"/>
      <c r="C346" s="299"/>
      <c r="D346" s="300" t="s">
        <v>882</v>
      </c>
      <c r="F346" s="357">
        <v>8785217</v>
      </c>
      <c r="G346" s="381"/>
      <c r="H346" s="381"/>
      <c r="I346" s="381"/>
      <c r="J346" s="382"/>
      <c r="K346" s="382"/>
      <c r="L346" s="382"/>
      <c r="M346" s="382"/>
      <c r="N346" s="382"/>
      <c r="O346" s="382"/>
      <c r="P346" s="382"/>
      <c r="Q346" s="383"/>
      <c r="R346" s="382"/>
      <c r="S346" s="357"/>
      <c r="T346" s="382"/>
      <c r="U346" s="382"/>
      <c r="V346" s="381"/>
      <c r="W346" s="382"/>
      <c r="X346" s="382"/>
      <c r="Y346" s="382"/>
      <c r="Z346" s="382"/>
      <c r="AA346" s="382"/>
      <c r="AB346" s="382"/>
      <c r="AC346" s="381"/>
      <c r="AD346" s="382"/>
      <c r="AE346" s="382"/>
      <c r="AF346" s="382"/>
      <c r="AG346" s="382"/>
      <c r="AH346" s="382"/>
      <c r="AI346" s="382"/>
      <c r="AJ346" s="382"/>
      <c r="AK346" s="382"/>
      <c r="AL346" s="334"/>
    </row>
    <row r="347" spans="1:38" ht="12">
      <c r="A347" s="337"/>
      <c r="C347" s="299"/>
      <c r="F347" s="472">
        <f>F345+F346</f>
        <v>60674596</v>
      </c>
      <c r="G347" s="381"/>
      <c r="H347" s="381"/>
      <c r="I347" s="381"/>
      <c r="J347" s="382"/>
      <c r="K347" s="382"/>
      <c r="L347" s="382"/>
      <c r="M347" s="382"/>
      <c r="N347" s="382"/>
      <c r="O347" s="382"/>
      <c r="P347" s="382"/>
      <c r="Q347" s="383"/>
      <c r="R347" s="382"/>
      <c r="S347" s="357"/>
      <c r="T347" s="382"/>
      <c r="U347" s="382"/>
      <c r="V347" s="381"/>
      <c r="W347" s="382"/>
      <c r="X347" s="382"/>
      <c r="Y347" s="382"/>
      <c r="Z347" s="382"/>
      <c r="AA347" s="382"/>
      <c r="AB347" s="382"/>
      <c r="AC347" s="381"/>
      <c r="AD347" s="382"/>
      <c r="AE347" s="382"/>
      <c r="AF347" s="382"/>
      <c r="AG347" s="382"/>
      <c r="AH347" s="382"/>
      <c r="AI347" s="382"/>
      <c r="AJ347" s="382"/>
      <c r="AK347" s="382"/>
      <c r="AL347" s="334"/>
    </row>
    <row r="348" spans="1:38" ht="12">
      <c r="A348" s="337"/>
      <c r="C348" s="299"/>
      <c r="F348" s="357"/>
      <c r="G348" s="381"/>
      <c r="H348" s="381"/>
      <c r="I348" s="381"/>
      <c r="J348" s="382"/>
      <c r="K348" s="382"/>
      <c r="L348" s="382"/>
      <c r="M348" s="382"/>
      <c r="N348" s="382"/>
      <c r="O348" s="382"/>
      <c r="P348" s="382"/>
      <c r="Q348" s="383"/>
      <c r="R348" s="382"/>
      <c r="S348" s="357"/>
      <c r="T348" s="382"/>
      <c r="U348" s="382"/>
      <c r="V348" s="381"/>
      <c r="W348" s="382"/>
      <c r="X348" s="382"/>
      <c r="Y348" s="382"/>
      <c r="Z348" s="382"/>
      <c r="AA348" s="382"/>
      <c r="AB348" s="382"/>
      <c r="AC348" s="381"/>
      <c r="AD348" s="382"/>
      <c r="AE348" s="382"/>
      <c r="AF348" s="382"/>
      <c r="AG348" s="382"/>
      <c r="AH348" s="382"/>
      <c r="AI348" s="382"/>
      <c r="AJ348" s="382"/>
      <c r="AK348" s="382"/>
      <c r="AL348" s="334"/>
    </row>
    <row r="349" spans="1:38" ht="12">
      <c r="A349" s="344"/>
      <c r="B349" s="352"/>
      <c r="C349" s="352"/>
      <c r="D349" s="352"/>
      <c r="E349" s="352"/>
      <c r="F349" s="394"/>
      <c r="G349" s="395"/>
      <c r="H349" s="381"/>
      <c r="I349" s="381"/>
      <c r="J349" s="382"/>
      <c r="K349" s="382"/>
      <c r="L349" s="382"/>
      <c r="M349" s="382"/>
      <c r="N349" s="382"/>
      <c r="O349" s="382"/>
      <c r="P349" s="382"/>
      <c r="Q349" s="383"/>
      <c r="R349" s="382"/>
      <c r="S349" s="357"/>
      <c r="T349" s="382"/>
      <c r="U349" s="382"/>
      <c r="V349" s="381"/>
      <c r="W349" s="382"/>
      <c r="X349" s="382"/>
      <c r="Y349" s="382"/>
      <c r="Z349" s="382"/>
      <c r="AA349" s="382"/>
      <c r="AB349" s="382"/>
      <c r="AC349" s="381"/>
      <c r="AD349" s="382"/>
      <c r="AE349" s="382"/>
      <c r="AF349" s="382"/>
      <c r="AG349" s="382"/>
      <c r="AH349" s="382"/>
      <c r="AI349" s="382"/>
      <c r="AJ349" s="382"/>
      <c r="AK349" s="382"/>
      <c r="AL349" s="334"/>
    </row>
    <row r="350" spans="1:38" ht="12">
      <c r="A350" s="337"/>
      <c r="B350" s="342"/>
      <c r="F350" s="357"/>
      <c r="G350" s="381"/>
      <c r="H350" s="381"/>
      <c r="I350" s="381"/>
      <c r="J350" s="382"/>
      <c r="K350" s="382"/>
      <c r="L350" s="382"/>
      <c r="M350" s="382"/>
      <c r="N350" s="382"/>
      <c r="O350" s="382"/>
      <c r="P350" s="382"/>
      <c r="Q350" s="383"/>
      <c r="R350" s="382"/>
      <c r="S350" s="357"/>
      <c r="T350" s="382"/>
      <c r="U350" s="382"/>
      <c r="V350" s="381"/>
      <c r="W350" s="382"/>
      <c r="X350" s="382"/>
      <c r="Y350" s="382"/>
      <c r="Z350" s="382"/>
      <c r="AA350" s="382"/>
      <c r="AB350" s="382"/>
      <c r="AC350" s="381"/>
      <c r="AD350" s="382"/>
      <c r="AE350" s="382"/>
      <c r="AF350" s="382"/>
      <c r="AG350" s="382"/>
      <c r="AH350" s="382"/>
      <c r="AI350" s="382"/>
      <c r="AJ350" s="382"/>
      <c r="AK350" s="382"/>
      <c r="AL350" s="334"/>
    </row>
    <row r="351" spans="1:81" s="380" customFormat="1" ht="12">
      <c r="A351" s="374" t="s">
        <v>883</v>
      </c>
      <c r="B351" s="342"/>
      <c r="C351" s="300" t="s">
        <v>623</v>
      </c>
      <c r="D351" s="300" t="s">
        <v>884</v>
      </c>
      <c r="E351" s="297"/>
      <c r="F351" s="357">
        <f>F362+F367</f>
        <v>3086665</v>
      </c>
      <c r="G351" s="381"/>
      <c r="H351" s="381"/>
      <c r="I351" s="381"/>
      <c r="J351" s="382"/>
      <c r="K351" s="382"/>
      <c r="L351" s="382"/>
      <c r="M351" s="382"/>
      <c r="N351" s="382"/>
      <c r="O351" s="382"/>
      <c r="P351" s="382"/>
      <c r="Q351" s="383"/>
      <c r="R351" s="382"/>
      <c r="S351" s="357"/>
      <c r="T351" s="382"/>
      <c r="U351" s="382"/>
      <c r="V351" s="381"/>
      <c r="W351" s="382"/>
      <c r="X351" s="382"/>
      <c r="Y351" s="382"/>
      <c r="Z351" s="382"/>
      <c r="AA351" s="382"/>
      <c r="AB351" s="382"/>
      <c r="AC351" s="381"/>
      <c r="AD351" s="382"/>
      <c r="AE351" s="382"/>
      <c r="AF351" s="382"/>
      <c r="AG351" s="382"/>
      <c r="AH351" s="382"/>
      <c r="AI351" s="382"/>
      <c r="AJ351" s="382"/>
      <c r="AK351" s="382">
        <f>F351</f>
        <v>3086665</v>
      </c>
      <c r="AL351" s="334">
        <f>G351</f>
        <v>0</v>
      </c>
      <c r="AM351" s="301"/>
      <c r="AN351" s="377"/>
      <c r="AO351" s="377"/>
      <c r="AP351" s="377"/>
      <c r="AQ351" s="377"/>
      <c r="AR351" s="377"/>
      <c r="AS351" s="377"/>
      <c r="AT351" s="377"/>
      <c r="AU351" s="377"/>
      <c r="AV351" s="377"/>
      <c r="AW351" s="377"/>
      <c r="AX351" s="377"/>
      <c r="AY351" s="377"/>
      <c r="AZ351" s="377"/>
      <c r="BA351" s="377"/>
      <c r="BB351" s="377"/>
      <c r="BC351" s="377"/>
      <c r="BD351" s="377"/>
      <c r="BE351" s="378"/>
      <c r="BF351" s="378"/>
      <c r="BG351" s="378"/>
      <c r="BH351" s="378"/>
      <c r="BI351" s="378"/>
      <c r="BJ351" s="378"/>
      <c r="BK351" s="378"/>
      <c r="BL351" s="378"/>
      <c r="BM351" s="378"/>
      <c r="BN351" s="378"/>
      <c r="BO351" s="378"/>
      <c r="BP351" s="378"/>
      <c r="BQ351" s="378"/>
      <c r="BR351" s="378"/>
      <c r="BS351" s="378"/>
      <c r="BT351" s="379"/>
      <c r="BU351" s="379"/>
      <c r="BV351" s="379"/>
      <c r="BW351" s="379"/>
      <c r="BX351" s="379"/>
      <c r="BY351" s="379"/>
      <c r="BZ351" s="379"/>
      <c r="CA351" s="379"/>
      <c r="CB351" s="379"/>
      <c r="CC351" s="379"/>
    </row>
    <row r="352" spans="1:81" s="380" customFormat="1" ht="12">
      <c r="A352" s="337"/>
      <c r="B352" s="342"/>
      <c r="C352" s="300" t="s">
        <v>624</v>
      </c>
      <c r="D352" s="300" t="s">
        <v>885</v>
      </c>
      <c r="E352" s="297"/>
      <c r="F352" s="357"/>
      <c r="G352" s="381">
        <f>F351</f>
        <v>3086665</v>
      </c>
      <c r="H352" s="381"/>
      <c r="I352" s="381"/>
      <c r="J352" s="382">
        <f>-G352</f>
        <v>-3086665</v>
      </c>
      <c r="K352" s="382"/>
      <c r="L352" s="382"/>
      <c r="M352" s="382"/>
      <c r="N352" s="382"/>
      <c r="O352" s="382"/>
      <c r="P352" s="382"/>
      <c r="Q352" s="383"/>
      <c r="R352" s="382"/>
      <c r="S352" s="357"/>
      <c r="T352" s="382"/>
      <c r="U352" s="382"/>
      <c r="V352" s="381"/>
      <c r="W352" s="382"/>
      <c r="X352" s="382"/>
      <c r="Y352" s="382"/>
      <c r="Z352" s="382"/>
      <c r="AA352" s="382"/>
      <c r="AB352" s="382"/>
      <c r="AC352" s="381"/>
      <c r="AD352" s="382"/>
      <c r="AE352" s="382"/>
      <c r="AF352" s="382"/>
      <c r="AG352" s="382"/>
      <c r="AH352" s="382"/>
      <c r="AI352" s="382"/>
      <c r="AJ352" s="382"/>
      <c r="AK352" s="382"/>
      <c r="AL352" s="334"/>
      <c r="AM352" s="301"/>
      <c r="AN352" s="377"/>
      <c r="AO352" s="377"/>
      <c r="AP352" s="377"/>
      <c r="AQ352" s="377"/>
      <c r="AR352" s="377"/>
      <c r="AS352" s="377"/>
      <c r="AT352" s="377"/>
      <c r="AU352" s="377"/>
      <c r="AV352" s="377"/>
      <c r="AW352" s="377"/>
      <c r="AX352" s="377"/>
      <c r="AY352" s="377"/>
      <c r="AZ352" s="377"/>
      <c r="BA352" s="377"/>
      <c r="BB352" s="377"/>
      <c r="BC352" s="377"/>
      <c r="BD352" s="377"/>
      <c r="BE352" s="378"/>
      <c r="BF352" s="378"/>
      <c r="BG352" s="378"/>
      <c r="BH352" s="378"/>
      <c r="BI352" s="378"/>
      <c r="BJ352" s="378"/>
      <c r="BK352" s="378"/>
      <c r="BL352" s="378"/>
      <c r="BM352" s="378"/>
      <c r="BN352" s="378"/>
      <c r="BO352" s="378"/>
      <c r="BP352" s="378"/>
      <c r="BQ352" s="378"/>
      <c r="BR352" s="378"/>
      <c r="BS352" s="378"/>
      <c r="BT352" s="379"/>
      <c r="BU352" s="379"/>
      <c r="BV352" s="379"/>
      <c r="BW352" s="379"/>
      <c r="BX352" s="379"/>
      <c r="BY352" s="379"/>
      <c r="BZ352" s="379"/>
      <c r="CA352" s="379"/>
      <c r="CB352" s="379"/>
      <c r="CC352" s="379"/>
    </row>
    <row r="353" spans="1:81" s="380" customFormat="1" ht="12">
      <c r="A353" s="337"/>
      <c r="B353" s="342"/>
      <c r="C353" s="300"/>
      <c r="D353" s="300"/>
      <c r="E353" s="297"/>
      <c r="F353" s="357"/>
      <c r="G353" s="381"/>
      <c r="H353" s="381"/>
      <c r="I353" s="381"/>
      <c r="J353" s="382"/>
      <c r="K353" s="382"/>
      <c r="L353" s="382"/>
      <c r="M353" s="382"/>
      <c r="N353" s="382"/>
      <c r="O353" s="382"/>
      <c r="P353" s="382"/>
      <c r="Q353" s="383"/>
      <c r="R353" s="382"/>
      <c r="S353" s="357"/>
      <c r="T353" s="382"/>
      <c r="U353" s="382"/>
      <c r="V353" s="381"/>
      <c r="W353" s="382"/>
      <c r="X353" s="382"/>
      <c r="Y353" s="382"/>
      <c r="Z353" s="382"/>
      <c r="AA353" s="382"/>
      <c r="AB353" s="382"/>
      <c r="AC353" s="381"/>
      <c r="AD353" s="382"/>
      <c r="AE353" s="382"/>
      <c r="AF353" s="382"/>
      <c r="AG353" s="382"/>
      <c r="AH353" s="382"/>
      <c r="AI353" s="382"/>
      <c r="AJ353" s="382"/>
      <c r="AK353" s="382"/>
      <c r="AL353" s="334"/>
      <c r="AM353" s="301"/>
      <c r="AN353" s="377"/>
      <c r="AO353" s="377"/>
      <c r="AP353" s="377"/>
      <c r="AQ353" s="377"/>
      <c r="AR353" s="377"/>
      <c r="AS353" s="377"/>
      <c r="AT353" s="377"/>
      <c r="AU353" s="377"/>
      <c r="AV353" s="377"/>
      <c r="AW353" s="377"/>
      <c r="AX353" s="377"/>
      <c r="AY353" s="377"/>
      <c r="AZ353" s="377"/>
      <c r="BA353" s="377"/>
      <c r="BB353" s="377"/>
      <c r="BC353" s="377"/>
      <c r="BD353" s="377"/>
      <c r="BE353" s="378"/>
      <c r="BF353" s="378"/>
      <c r="BG353" s="378"/>
      <c r="BH353" s="378"/>
      <c r="BI353" s="378"/>
      <c r="BJ353" s="378"/>
      <c r="BK353" s="378"/>
      <c r="BL353" s="378"/>
      <c r="BM353" s="378"/>
      <c r="BN353" s="378"/>
      <c r="BO353" s="378"/>
      <c r="BP353" s="378"/>
      <c r="BQ353" s="378"/>
      <c r="BR353" s="378"/>
      <c r="BS353" s="378"/>
      <c r="BT353" s="379"/>
      <c r="BU353" s="379"/>
      <c r="BV353" s="379"/>
      <c r="BW353" s="379"/>
      <c r="BX353" s="379"/>
      <c r="BY353" s="379"/>
      <c r="BZ353" s="379"/>
      <c r="CA353" s="379"/>
      <c r="CB353" s="379"/>
      <c r="CC353" s="379"/>
    </row>
    <row r="354" spans="1:81" s="380" customFormat="1" ht="12">
      <c r="A354" s="337"/>
      <c r="B354" s="342"/>
      <c r="C354" s="300" t="s">
        <v>886</v>
      </c>
      <c r="D354" s="300"/>
      <c r="E354" s="297"/>
      <c r="F354" s="357"/>
      <c r="G354" s="381"/>
      <c r="H354" s="381"/>
      <c r="I354" s="381"/>
      <c r="J354" s="382"/>
      <c r="K354" s="382"/>
      <c r="L354" s="382"/>
      <c r="M354" s="382"/>
      <c r="N354" s="382"/>
      <c r="O354" s="382"/>
      <c r="P354" s="382"/>
      <c r="Q354" s="383"/>
      <c r="R354" s="382"/>
      <c r="S354" s="357"/>
      <c r="T354" s="382"/>
      <c r="U354" s="382"/>
      <c r="V354" s="381"/>
      <c r="W354" s="382"/>
      <c r="X354" s="382"/>
      <c r="Y354" s="382"/>
      <c r="Z354" s="382"/>
      <c r="AA354" s="382"/>
      <c r="AB354" s="382"/>
      <c r="AC354" s="381"/>
      <c r="AD354" s="382"/>
      <c r="AE354" s="382"/>
      <c r="AF354" s="382"/>
      <c r="AG354" s="382"/>
      <c r="AH354" s="382"/>
      <c r="AI354" s="382"/>
      <c r="AJ354" s="382"/>
      <c r="AK354" s="382"/>
      <c r="AL354" s="334"/>
      <c r="AM354" s="301"/>
      <c r="AN354" s="377"/>
      <c r="AO354" s="377"/>
      <c r="AP354" s="377"/>
      <c r="AQ354" s="377"/>
      <c r="AR354" s="377"/>
      <c r="AS354" s="377"/>
      <c r="AT354" s="377"/>
      <c r="AU354" s="377"/>
      <c r="AV354" s="377"/>
      <c r="AW354" s="377"/>
      <c r="AX354" s="377"/>
      <c r="AY354" s="377"/>
      <c r="AZ354" s="377"/>
      <c r="BA354" s="377"/>
      <c r="BB354" s="377"/>
      <c r="BC354" s="377"/>
      <c r="BD354" s="377"/>
      <c r="BE354" s="378"/>
      <c r="BF354" s="378"/>
      <c r="BG354" s="378"/>
      <c r="BH354" s="378"/>
      <c r="BI354" s="378"/>
      <c r="BJ354" s="378"/>
      <c r="BK354" s="378"/>
      <c r="BL354" s="378"/>
      <c r="BM354" s="378"/>
      <c r="BN354" s="378"/>
      <c r="BO354" s="378"/>
      <c r="BP354" s="378"/>
      <c r="BQ354" s="378"/>
      <c r="BR354" s="378"/>
      <c r="BS354" s="378"/>
      <c r="BT354" s="379"/>
      <c r="BU354" s="379"/>
      <c r="BV354" s="379"/>
      <c r="BW354" s="379"/>
      <c r="BX354" s="379"/>
      <c r="BY354" s="379"/>
      <c r="BZ354" s="379"/>
      <c r="CA354" s="379"/>
      <c r="CB354" s="379"/>
      <c r="CC354" s="379"/>
    </row>
    <row r="355" spans="1:81" s="380" customFormat="1" ht="12">
      <c r="A355" s="337"/>
      <c r="B355" s="342"/>
      <c r="C355" s="300"/>
      <c r="D355" s="300"/>
      <c r="E355" s="297"/>
      <c r="F355" s="357"/>
      <c r="G355" s="381"/>
      <c r="H355" s="381"/>
      <c r="I355" s="381"/>
      <c r="J355" s="382"/>
      <c r="K355" s="382"/>
      <c r="L355" s="382"/>
      <c r="M355" s="382"/>
      <c r="N355" s="382"/>
      <c r="O355" s="382"/>
      <c r="P355" s="382"/>
      <c r="Q355" s="383"/>
      <c r="R355" s="382"/>
      <c r="S355" s="357"/>
      <c r="T355" s="382"/>
      <c r="U355" s="382"/>
      <c r="V355" s="381"/>
      <c r="W355" s="382"/>
      <c r="X355" s="382"/>
      <c r="Y355" s="382"/>
      <c r="Z355" s="382"/>
      <c r="AA355" s="382"/>
      <c r="AB355" s="382"/>
      <c r="AC355" s="381"/>
      <c r="AD355" s="382"/>
      <c r="AE355" s="382"/>
      <c r="AF355" s="382"/>
      <c r="AG355" s="382"/>
      <c r="AH355" s="382"/>
      <c r="AI355" s="382"/>
      <c r="AJ355" s="382"/>
      <c r="AK355" s="382"/>
      <c r="AL355" s="334"/>
      <c r="AM355" s="301"/>
      <c r="AN355" s="377"/>
      <c r="AO355" s="377"/>
      <c r="AP355" s="377"/>
      <c r="AQ355" s="377"/>
      <c r="AR355" s="377"/>
      <c r="AS355" s="377"/>
      <c r="AT355" s="377"/>
      <c r="AU355" s="377"/>
      <c r="AV355" s="377"/>
      <c r="AW355" s="377"/>
      <c r="AX355" s="377"/>
      <c r="AY355" s="377"/>
      <c r="AZ355" s="377"/>
      <c r="BA355" s="377"/>
      <c r="BB355" s="377"/>
      <c r="BC355" s="377"/>
      <c r="BD355" s="377"/>
      <c r="BE355" s="378"/>
      <c r="BF355" s="378"/>
      <c r="BG355" s="378"/>
      <c r="BH355" s="378"/>
      <c r="BI355" s="378"/>
      <c r="BJ355" s="378"/>
      <c r="BK355" s="378"/>
      <c r="BL355" s="378"/>
      <c r="BM355" s="378"/>
      <c r="BN355" s="378"/>
      <c r="BO355" s="378"/>
      <c r="BP355" s="378"/>
      <c r="BQ355" s="378"/>
      <c r="BR355" s="378"/>
      <c r="BS355" s="378"/>
      <c r="BT355" s="379"/>
      <c r="BU355" s="379"/>
      <c r="BV355" s="379"/>
      <c r="BW355" s="379"/>
      <c r="BX355" s="379"/>
      <c r="BY355" s="379"/>
      <c r="BZ355" s="379"/>
      <c r="CA355" s="379"/>
      <c r="CB355" s="379"/>
      <c r="CC355" s="379"/>
    </row>
    <row r="356" spans="1:81" s="380" customFormat="1" ht="12">
      <c r="A356" s="337"/>
      <c r="B356" s="342"/>
      <c r="C356" s="300">
        <v>2001</v>
      </c>
      <c r="D356" s="386" t="s">
        <v>887</v>
      </c>
      <c r="E356" s="297"/>
      <c r="F356" s="357">
        <v>4647254</v>
      </c>
      <c r="G356" s="381"/>
      <c r="H356" s="381"/>
      <c r="I356" s="381"/>
      <c r="J356" s="382"/>
      <c r="K356" s="382"/>
      <c r="L356" s="382"/>
      <c r="M356" s="382"/>
      <c r="N356" s="382"/>
      <c r="O356" s="382"/>
      <c r="P356" s="382"/>
      <c r="Q356" s="383"/>
      <c r="R356" s="382"/>
      <c r="S356" s="357"/>
      <c r="T356" s="382"/>
      <c r="U356" s="382"/>
      <c r="V356" s="381"/>
      <c r="W356" s="382"/>
      <c r="X356" s="382"/>
      <c r="Y356" s="382"/>
      <c r="Z356" s="382"/>
      <c r="AA356" s="382"/>
      <c r="AB356" s="382"/>
      <c r="AC356" s="381"/>
      <c r="AD356" s="382"/>
      <c r="AE356" s="382"/>
      <c r="AF356" s="382"/>
      <c r="AG356" s="382"/>
      <c r="AH356" s="382"/>
      <c r="AI356" s="382"/>
      <c r="AJ356" s="382"/>
      <c r="AK356" s="382"/>
      <c r="AL356" s="334"/>
      <c r="AM356" s="301"/>
      <c r="AN356" s="377"/>
      <c r="AO356" s="377"/>
      <c r="AP356" s="377"/>
      <c r="AQ356" s="377"/>
      <c r="AR356" s="377"/>
      <c r="AS356" s="377"/>
      <c r="AT356" s="377"/>
      <c r="AU356" s="377"/>
      <c r="AV356" s="377"/>
      <c r="AW356" s="377"/>
      <c r="AX356" s="377"/>
      <c r="AY356" s="377"/>
      <c r="AZ356" s="377"/>
      <c r="BA356" s="377"/>
      <c r="BB356" s="377"/>
      <c r="BC356" s="377"/>
      <c r="BD356" s="377"/>
      <c r="BE356" s="378"/>
      <c r="BF356" s="378"/>
      <c r="BG356" s="378"/>
      <c r="BH356" s="378"/>
      <c r="BI356" s="378"/>
      <c r="BJ356" s="378"/>
      <c r="BK356" s="378"/>
      <c r="BL356" s="378"/>
      <c r="BM356" s="378"/>
      <c r="BN356" s="378"/>
      <c r="BO356" s="378"/>
      <c r="BP356" s="378"/>
      <c r="BQ356" s="378"/>
      <c r="BR356" s="378"/>
      <c r="BS356" s="378"/>
      <c r="BT356" s="379"/>
      <c r="BU356" s="379"/>
      <c r="BV356" s="379"/>
      <c r="BW356" s="379"/>
      <c r="BX356" s="379"/>
      <c r="BY356" s="379"/>
      <c r="BZ356" s="379"/>
      <c r="CA356" s="379"/>
      <c r="CB356" s="379"/>
      <c r="CC356" s="379"/>
    </row>
    <row r="357" spans="1:81" s="380" customFormat="1" ht="12">
      <c r="A357" s="337"/>
      <c r="B357" s="342"/>
      <c r="C357" s="300">
        <v>2001</v>
      </c>
      <c r="D357" s="386" t="s">
        <v>888</v>
      </c>
      <c r="E357" s="297"/>
      <c r="F357" s="357">
        <f>7435606-4647254</f>
        <v>2788352</v>
      </c>
      <c r="G357" s="381"/>
      <c r="H357" s="381"/>
      <c r="I357" s="381"/>
      <c r="J357" s="382"/>
      <c r="K357" s="382"/>
      <c r="L357" s="382"/>
      <c r="M357" s="382"/>
      <c r="N357" s="382"/>
      <c r="O357" s="382"/>
      <c r="P357" s="382"/>
      <c r="Q357" s="383"/>
      <c r="R357" s="382"/>
      <c r="S357" s="357"/>
      <c r="T357" s="382"/>
      <c r="U357" s="382"/>
      <c r="V357" s="381"/>
      <c r="W357" s="382"/>
      <c r="X357" s="382"/>
      <c r="Y357" s="382"/>
      <c r="Z357" s="382"/>
      <c r="AA357" s="382"/>
      <c r="AB357" s="382"/>
      <c r="AC357" s="381"/>
      <c r="AD357" s="382"/>
      <c r="AE357" s="382"/>
      <c r="AF357" s="382"/>
      <c r="AG357" s="382"/>
      <c r="AH357" s="382"/>
      <c r="AI357" s="382"/>
      <c r="AJ357" s="382"/>
      <c r="AK357" s="382"/>
      <c r="AL357" s="334"/>
      <c r="AM357" s="301"/>
      <c r="AN357" s="377"/>
      <c r="AO357" s="377"/>
      <c r="AP357" s="377"/>
      <c r="AQ357" s="377"/>
      <c r="AR357" s="377"/>
      <c r="AS357" s="377"/>
      <c r="AT357" s="377"/>
      <c r="AU357" s="377"/>
      <c r="AV357" s="377"/>
      <c r="AW357" s="377"/>
      <c r="AX357" s="377"/>
      <c r="AY357" s="377"/>
      <c r="AZ357" s="377"/>
      <c r="BA357" s="377"/>
      <c r="BB357" s="377"/>
      <c r="BC357" s="377"/>
      <c r="BD357" s="377"/>
      <c r="BE357" s="378"/>
      <c r="BF357" s="378"/>
      <c r="BG357" s="378"/>
      <c r="BH357" s="378"/>
      <c r="BI357" s="378"/>
      <c r="BJ357" s="378"/>
      <c r="BK357" s="378"/>
      <c r="BL357" s="378"/>
      <c r="BM357" s="378"/>
      <c r="BN357" s="378"/>
      <c r="BO357" s="378"/>
      <c r="BP357" s="378"/>
      <c r="BQ357" s="378"/>
      <c r="BR357" s="378"/>
      <c r="BS357" s="378"/>
      <c r="BT357" s="379"/>
      <c r="BU357" s="379"/>
      <c r="BV357" s="379"/>
      <c r="BW357" s="379"/>
      <c r="BX357" s="379"/>
      <c r="BY357" s="379"/>
      <c r="BZ357" s="379"/>
      <c r="CA357" s="379"/>
      <c r="CB357" s="379"/>
      <c r="CC357" s="379"/>
    </row>
    <row r="358" spans="1:81" s="380" customFormat="1" ht="12">
      <c r="A358" s="337"/>
      <c r="B358" s="342"/>
      <c r="C358" s="300">
        <v>2002</v>
      </c>
      <c r="D358" s="387" t="s">
        <v>889</v>
      </c>
      <c r="E358" s="297"/>
      <c r="F358" s="357">
        <f>ROUND(198282817.63/20,0)-1</f>
        <v>9914140</v>
      </c>
      <c r="G358" s="381"/>
      <c r="H358" s="381"/>
      <c r="I358" s="381"/>
      <c r="J358" s="382"/>
      <c r="K358" s="382"/>
      <c r="L358" s="382"/>
      <c r="M358" s="382"/>
      <c r="N358" s="382"/>
      <c r="O358" s="382"/>
      <c r="P358" s="382"/>
      <c r="Q358" s="383"/>
      <c r="R358" s="382"/>
      <c r="S358" s="357"/>
      <c r="T358" s="382"/>
      <c r="U358" s="382"/>
      <c r="V358" s="381"/>
      <c r="W358" s="382"/>
      <c r="X358" s="382"/>
      <c r="Y358" s="382"/>
      <c r="Z358" s="382"/>
      <c r="AA358" s="382"/>
      <c r="AB358" s="382"/>
      <c r="AC358" s="381"/>
      <c r="AD358" s="382"/>
      <c r="AE358" s="382"/>
      <c r="AF358" s="382"/>
      <c r="AG358" s="382"/>
      <c r="AH358" s="382"/>
      <c r="AI358" s="382"/>
      <c r="AJ358" s="382"/>
      <c r="AK358" s="382"/>
      <c r="AL358" s="334"/>
      <c r="AM358" s="301"/>
      <c r="AN358" s="377"/>
      <c r="AO358" s="377"/>
      <c r="AP358" s="377"/>
      <c r="AQ358" s="377"/>
      <c r="AR358" s="377"/>
      <c r="AS358" s="377"/>
      <c r="AT358" s="377"/>
      <c r="AU358" s="377"/>
      <c r="AV358" s="377"/>
      <c r="AW358" s="377"/>
      <c r="AX358" s="377"/>
      <c r="AY358" s="377"/>
      <c r="AZ358" s="377"/>
      <c r="BA358" s="377"/>
      <c r="BB358" s="377"/>
      <c r="BC358" s="377"/>
      <c r="BD358" s="377"/>
      <c r="BE358" s="378"/>
      <c r="BF358" s="378"/>
      <c r="BG358" s="378"/>
      <c r="BH358" s="378"/>
      <c r="BI358" s="378"/>
      <c r="BJ358" s="378"/>
      <c r="BK358" s="378"/>
      <c r="BL358" s="378"/>
      <c r="BM358" s="378"/>
      <c r="BN358" s="378"/>
      <c r="BO358" s="378"/>
      <c r="BP358" s="378"/>
      <c r="BQ358" s="378"/>
      <c r="BR358" s="378"/>
      <c r="BS358" s="378"/>
      <c r="BT358" s="379"/>
      <c r="BU358" s="379"/>
      <c r="BV358" s="379"/>
      <c r="BW358" s="379"/>
      <c r="BX358" s="379"/>
      <c r="BY358" s="379"/>
      <c r="BZ358" s="379"/>
      <c r="CA358" s="379"/>
      <c r="CB358" s="379"/>
      <c r="CC358" s="379"/>
    </row>
    <row r="359" spans="1:81" s="380" customFormat="1" ht="12">
      <c r="A359" s="337"/>
      <c r="B359" s="342"/>
      <c r="C359" s="360">
        <v>2003</v>
      </c>
      <c r="D359" s="387" t="s">
        <v>703</v>
      </c>
      <c r="E359" s="297"/>
      <c r="F359" s="357">
        <f>ROUND(198282817.63/20,0)-1</f>
        <v>9914140</v>
      </c>
      <c r="G359" s="381"/>
      <c r="H359" s="381"/>
      <c r="I359" s="381"/>
      <c r="J359" s="382"/>
      <c r="K359" s="382"/>
      <c r="L359" s="382"/>
      <c r="M359" s="382"/>
      <c r="N359" s="382"/>
      <c r="O359" s="382"/>
      <c r="P359" s="382"/>
      <c r="Q359" s="383"/>
      <c r="R359" s="382"/>
      <c r="S359" s="357"/>
      <c r="T359" s="382"/>
      <c r="U359" s="382"/>
      <c r="V359" s="381"/>
      <c r="W359" s="382"/>
      <c r="X359" s="382"/>
      <c r="Y359" s="382"/>
      <c r="Z359" s="382"/>
      <c r="AA359" s="382"/>
      <c r="AB359" s="382"/>
      <c r="AC359" s="381"/>
      <c r="AD359" s="382"/>
      <c r="AE359" s="382"/>
      <c r="AF359" s="382"/>
      <c r="AG359" s="382"/>
      <c r="AH359" s="382"/>
      <c r="AI359" s="382"/>
      <c r="AJ359" s="382"/>
      <c r="AK359" s="382"/>
      <c r="AL359" s="334"/>
      <c r="AM359" s="301"/>
      <c r="AN359" s="377"/>
      <c r="AO359" s="377"/>
      <c r="AP359" s="377"/>
      <c r="AQ359" s="377"/>
      <c r="AR359" s="377"/>
      <c r="AS359" s="377"/>
      <c r="AT359" s="377"/>
      <c r="AU359" s="377"/>
      <c r="AV359" s="377"/>
      <c r="AW359" s="377"/>
      <c r="AX359" s="377"/>
      <c r="AY359" s="377"/>
      <c r="AZ359" s="377"/>
      <c r="BA359" s="377"/>
      <c r="BB359" s="377"/>
      <c r="BC359" s="377"/>
      <c r="BD359" s="377"/>
      <c r="BE359" s="378"/>
      <c r="BF359" s="378"/>
      <c r="BG359" s="378"/>
      <c r="BH359" s="378"/>
      <c r="BI359" s="378"/>
      <c r="BJ359" s="378"/>
      <c r="BK359" s="378"/>
      <c r="BL359" s="378"/>
      <c r="BM359" s="378"/>
      <c r="BN359" s="378"/>
      <c r="BO359" s="378"/>
      <c r="BP359" s="378"/>
      <c r="BQ359" s="378"/>
      <c r="BR359" s="378"/>
      <c r="BS359" s="378"/>
      <c r="BT359" s="379"/>
      <c r="BU359" s="379"/>
      <c r="BV359" s="379"/>
      <c r="BW359" s="379"/>
      <c r="BX359" s="379"/>
      <c r="BY359" s="379"/>
      <c r="BZ359" s="379"/>
      <c r="CA359" s="379"/>
      <c r="CB359" s="379"/>
      <c r="CC359" s="379"/>
    </row>
    <row r="360" spans="1:81" s="380" customFormat="1" ht="12">
      <c r="A360" s="337"/>
      <c r="B360" s="342"/>
      <c r="C360" s="360">
        <v>2004</v>
      </c>
      <c r="D360" s="387" t="s">
        <v>704</v>
      </c>
      <c r="E360" s="297"/>
      <c r="F360" s="394">
        <f>ROUND(198282817.63/20,0)</f>
        <v>9914141</v>
      </c>
      <c r="G360" s="381"/>
      <c r="H360" s="381"/>
      <c r="I360" s="381"/>
      <c r="J360" s="382"/>
      <c r="K360" s="382"/>
      <c r="L360" s="382"/>
      <c r="M360" s="382"/>
      <c r="N360" s="382"/>
      <c r="O360" s="382"/>
      <c r="P360" s="382"/>
      <c r="Q360" s="383"/>
      <c r="R360" s="382"/>
      <c r="S360" s="357"/>
      <c r="T360" s="382"/>
      <c r="U360" s="382"/>
      <c r="V360" s="381"/>
      <c r="W360" s="382"/>
      <c r="X360" s="382"/>
      <c r="Y360" s="382"/>
      <c r="Z360" s="382"/>
      <c r="AA360" s="382"/>
      <c r="AB360" s="382"/>
      <c r="AC360" s="381"/>
      <c r="AD360" s="382"/>
      <c r="AE360" s="382"/>
      <c r="AF360" s="382"/>
      <c r="AG360" s="382"/>
      <c r="AH360" s="382"/>
      <c r="AI360" s="382"/>
      <c r="AJ360" s="382"/>
      <c r="AK360" s="382"/>
      <c r="AL360" s="334"/>
      <c r="AM360" s="301"/>
      <c r="AN360" s="377"/>
      <c r="AO360" s="377"/>
      <c r="AP360" s="377"/>
      <c r="AQ360" s="377"/>
      <c r="AR360" s="377"/>
      <c r="AS360" s="377"/>
      <c r="AT360" s="377"/>
      <c r="AU360" s="377"/>
      <c r="AV360" s="377"/>
      <c r="AW360" s="377"/>
      <c r="AX360" s="377"/>
      <c r="AY360" s="377"/>
      <c r="AZ360" s="377"/>
      <c r="BA360" s="377"/>
      <c r="BB360" s="377"/>
      <c r="BC360" s="377"/>
      <c r="BD360" s="377"/>
      <c r="BE360" s="378"/>
      <c r="BF360" s="378"/>
      <c r="BG360" s="378"/>
      <c r="BH360" s="378"/>
      <c r="BI360" s="378"/>
      <c r="BJ360" s="378"/>
      <c r="BK360" s="378"/>
      <c r="BL360" s="378"/>
      <c r="BM360" s="378"/>
      <c r="BN360" s="378"/>
      <c r="BO360" s="378"/>
      <c r="BP360" s="378"/>
      <c r="BQ360" s="378"/>
      <c r="BR360" s="378"/>
      <c r="BS360" s="378"/>
      <c r="BT360" s="379"/>
      <c r="BU360" s="379"/>
      <c r="BV360" s="379"/>
      <c r="BW360" s="379"/>
      <c r="BX360" s="379"/>
      <c r="BY360" s="379"/>
      <c r="BZ360" s="379"/>
      <c r="CA360" s="379"/>
      <c r="CB360" s="379"/>
      <c r="CC360" s="379"/>
    </row>
    <row r="361" spans="1:81" s="380" customFormat="1" ht="12">
      <c r="A361" s="337"/>
      <c r="B361" s="342"/>
      <c r="C361" s="300"/>
      <c r="D361" s="387"/>
      <c r="E361" s="297"/>
      <c r="F361" s="357">
        <f>SUM(F356:F360)</f>
        <v>37178027</v>
      </c>
      <c r="G361" s="381"/>
      <c r="H361" s="381"/>
      <c r="I361" s="381"/>
      <c r="J361" s="382"/>
      <c r="K361" s="382"/>
      <c r="L361" s="382"/>
      <c r="M361" s="382"/>
      <c r="N361" s="382"/>
      <c r="O361" s="382"/>
      <c r="P361" s="382"/>
      <c r="Q361" s="383"/>
      <c r="R361" s="382"/>
      <c r="S361" s="357"/>
      <c r="T361" s="382"/>
      <c r="U361" s="382"/>
      <c r="V361" s="381"/>
      <c r="W361" s="382"/>
      <c r="X361" s="382"/>
      <c r="Y361" s="382"/>
      <c r="Z361" s="382"/>
      <c r="AA361" s="382"/>
      <c r="AB361" s="382"/>
      <c r="AC361" s="381"/>
      <c r="AD361" s="382"/>
      <c r="AE361" s="382"/>
      <c r="AF361" s="382"/>
      <c r="AG361" s="382"/>
      <c r="AH361" s="382"/>
      <c r="AI361" s="382"/>
      <c r="AJ361" s="382"/>
      <c r="AK361" s="382"/>
      <c r="AL361" s="334"/>
      <c r="AM361" s="301"/>
      <c r="AN361" s="377"/>
      <c r="AO361" s="377"/>
      <c r="AP361" s="377"/>
      <c r="AQ361" s="377"/>
      <c r="AR361" s="377"/>
      <c r="AS361" s="377"/>
      <c r="AT361" s="377"/>
      <c r="AU361" s="377"/>
      <c r="AV361" s="377"/>
      <c r="AW361" s="377"/>
      <c r="AX361" s="377"/>
      <c r="AY361" s="377"/>
      <c r="AZ361" s="377"/>
      <c r="BA361" s="377"/>
      <c r="BB361" s="377"/>
      <c r="BC361" s="377"/>
      <c r="BD361" s="377"/>
      <c r="BE361" s="378"/>
      <c r="BF361" s="378"/>
      <c r="BG361" s="378"/>
      <c r="BH361" s="378"/>
      <c r="BI361" s="378"/>
      <c r="BJ361" s="378"/>
      <c r="BK361" s="378"/>
      <c r="BL361" s="378"/>
      <c r="BM361" s="378"/>
      <c r="BN361" s="378"/>
      <c r="BO361" s="378"/>
      <c r="BP361" s="378"/>
      <c r="BQ361" s="378"/>
      <c r="BR361" s="378"/>
      <c r="BS361" s="378"/>
      <c r="BT361" s="379"/>
      <c r="BU361" s="379"/>
      <c r="BV361" s="379"/>
      <c r="BW361" s="379"/>
      <c r="BX361" s="379"/>
      <c r="BY361" s="379"/>
      <c r="BZ361" s="379"/>
      <c r="CA361" s="379"/>
      <c r="CB361" s="379"/>
      <c r="CC361" s="379"/>
    </row>
    <row r="362" spans="1:81" s="380" customFormat="1" ht="12">
      <c r="A362" s="337"/>
      <c r="B362" s="342"/>
      <c r="C362" s="360">
        <v>2005</v>
      </c>
      <c r="D362" s="387" t="s">
        <v>890</v>
      </c>
      <c r="E362" s="297"/>
      <c r="F362" s="473">
        <f>ROUND((198282817.63/20*3/12),0)</f>
        <v>2478535</v>
      </c>
      <c r="G362" s="381"/>
      <c r="H362" s="381"/>
      <c r="I362" s="381"/>
      <c r="J362" s="382"/>
      <c r="K362" s="382"/>
      <c r="L362" s="382"/>
      <c r="M362" s="382"/>
      <c r="N362" s="382"/>
      <c r="O362" s="382"/>
      <c r="P362" s="382"/>
      <c r="Q362" s="383"/>
      <c r="R362" s="382"/>
      <c r="S362" s="357"/>
      <c r="T362" s="382"/>
      <c r="U362" s="382"/>
      <c r="V362" s="381"/>
      <c r="W362" s="382"/>
      <c r="X362" s="382"/>
      <c r="Y362" s="382"/>
      <c r="Z362" s="382"/>
      <c r="AA362" s="382"/>
      <c r="AB362" s="382"/>
      <c r="AC362" s="381"/>
      <c r="AD362" s="382"/>
      <c r="AE362" s="382"/>
      <c r="AF362" s="382"/>
      <c r="AG362" s="382"/>
      <c r="AH362" s="382"/>
      <c r="AI362" s="382"/>
      <c r="AJ362" s="382"/>
      <c r="AK362" s="382"/>
      <c r="AL362" s="334"/>
      <c r="AM362" s="301"/>
      <c r="AN362" s="377"/>
      <c r="AO362" s="377"/>
      <c r="AP362" s="377"/>
      <c r="AQ362" s="377"/>
      <c r="AR362" s="377"/>
      <c r="AS362" s="377"/>
      <c r="AT362" s="377"/>
      <c r="AU362" s="377"/>
      <c r="AV362" s="377"/>
      <c r="AW362" s="377"/>
      <c r="AX362" s="377"/>
      <c r="AY362" s="377"/>
      <c r="AZ362" s="377"/>
      <c r="BA362" s="377"/>
      <c r="BB362" s="377"/>
      <c r="BC362" s="377"/>
      <c r="BD362" s="377"/>
      <c r="BE362" s="378"/>
      <c r="BF362" s="378"/>
      <c r="BG362" s="378"/>
      <c r="BH362" s="378"/>
      <c r="BI362" s="378"/>
      <c r="BJ362" s="378"/>
      <c r="BK362" s="378"/>
      <c r="BL362" s="378"/>
      <c r="BM362" s="378"/>
      <c r="BN362" s="378"/>
      <c r="BO362" s="378"/>
      <c r="BP362" s="378"/>
      <c r="BQ362" s="378"/>
      <c r="BR362" s="378"/>
      <c r="BS362" s="378"/>
      <c r="BT362" s="379"/>
      <c r="BU362" s="379"/>
      <c r="BV362" s="379"/>
      <c r="BW362" s="379"/>
      <c r="BX362" s="379"/>
      <c r="BY362" s="379"/>
      <c r="BZ362" s="379"/>
      <c r="CA362" s="379"/>
      <c r="CB362" s="379"/>
      <c r="CC362" s="379"/>
    </row>
    <row r="363" spans="1:81" s="380" customFormat="1" ht="12">
      <c r="A363" s="337"/>
      <c r="B363" s="342"/>
      <c r="C363" s="299" t="s">
        <v>891</v>
      </c>
      <c r="D363" s="474"/>
      <c r="E363" s="474"/>
      <c r="F363" s="388">
        <f>SUM(F361:F362)</f>
        <v>39656562</v>
      </c>
      <c r="G363" s="381"/>
      <c r="H363" s="381"/>
      <c r="I363" s="381"/>
      <c r="J363" s="382"/>
      <c r="K363" s="382"/>
      <c r="L363" s="382"/>
      <c r="M363" s="382"/>
      <c r="N363" s="382"/>
      <c r="O363" s="382"/>
      <c r="P363" s="382"/>
      <c r="Q363" s="383"/>
      <c r="R363" s="382"/>
      <c r="S363" s="357"/>
      <c r="T363" s="382"/>
      <c r="U363" s="382"/>
      <c r="V363" s="381"/>
      <c r="W363" s="382"/>
      <c r="X363" s="382"/>
      <c r="Y363" s="382"/>
      <c r="Z363" s="382"/>
      <c r="AA363" s="382"/>
      <c r="AB363" s="382"/>
      <c r="AC363" s="381"/>
      <c r="AD363" s="382"/>
      <c r="AE363" s="382"/>
      <c r="AF363" s="382"/>
      <c r="AG363" s="382"/>
      <c r="AH363" s="382"/>
      <c r="AI363" s="382"/>
      <c r="AJ363" s="382"/>
      <c r="AK363" s="382"/>
      <c r="AL363" s="334"/>
      <c r="AM363" s="301"/>
      <c r="AN363" s="377"/>
      <c r="AO363" s="377"/>
      <c r="AP363" s="377"/>
      <c r="AQ363" s="377"/>
      <c r="AR363" s="377"/>
      <c r="AS363" s="377"/>
      <c r="AT363" s="377"/>
      <c r="AU363" s="377"/>
      <c r="AV363" s="377"/>
      <c r="AW363" s="377"/>
      <c r="AX363" s="377"/>
      <c r="AY363" s="377"/>
      <c r="AZ363" s="377"/>
      <c r="BA363" s="377"/>
      <c r="BB363" s="377"/>
      <c r="BC363" s="377"/>
      <c r="BD363" s="377"/>
      <c r="BE363" s="378"/>
      <c r="BF363" s="378"/>
      <c r="BG363" s="378"/>
      <c r="BH363" s="378"/>
      <c r="BI363" s="378"/>
      <c r="BJ363" s="378"/>
      <c r="BK363" s="378"/>
      <c r="BL363" s="378"/>
      <c r="BM363" s="378"/>
      <c r="BN363" s="378"/>
      <c r="BO363" s="378"/>
      <c r="BP363" s="378"/>
      <c r="BQ363" s="378"/>
      <c r="BR363" s="378"/>
      <c r="BS363" s="378"/>
      <c r="BT363" s="379"/>
      <c r="BU363" s="379"/>
      <c r="BV363" s="379"/>
      <c r="BW363" s="379"/>
      <c r="BX363" s="379"/>
      <c r="BY363" s="379"/>
      <c r="BZ363" s="379"/>
      <c r="CA363" s="379"/>
      <c r="CB363" s="379"/>
      <c r="CC363" s="379"/>
    </row>
    <row r="364" spans="1:81" s="380" customFormat="1" ht="12">
      <c r="A364" s="337"/>
      <c r="B364" s="342"/>
      <c r="C364" s="299"/>
      <c r="D364" s="474"/>
      <c r="E364" s="474"/>
      <c r="F364" s="418"/>
      <c r="G364" s="381"/>
      <c r="H364" s="381"/>
      <c r="I364" s="381"/>
      <c r="J364" s="382"/>
      <c r="K364" s="382"/>
      <c r="L364" s="382"/>
      <c r="M364" s="382"/>
      <c r="N364" s="382"/>
      <c r="O364" s="382"/>
      <c r="P364" s="382"/>
      <c r="Q364" s="383"/>
      <c r="R364" s="382"/>
      <c r="S364" s="357"/>
      <c r="T364" s="382"/>
      <c r="U364" s="382"/>
      <c r="V364" s="381"/>
      <c r="W364" s="382"/>
      <c r="X364" s="382"/>
      <c r="Y364" s="382"/>
      <c r="Z364" s="382"/>
      <c r="AA364" s="382"/>
      <c r="AB364" s="382"/>
      <c r="AC364" s="381"/>
      <c r="AD364" s="382"/>
      <c r="AE364" s="382"/>
      <c r="AF364" s="382"/>
      <c r="AG364" s="382"/>
      <c r="AH364" s="382"/>
      <c r="AI364" s="382"/>
      <c r="AJ364" s="382"/>
      <c r="AK364" s="382"/>
      <c r="AL364" s="334"/>
      <c r="AM364" s="301"/>
      <c r="AN364" s="377"/>
      <c r="AO364" s="377"/>
      <c r="AP364" s="377"/>
      <c r="AQ364" s="377"/>
      <c r="AR364" s="377"/>
      <c r="AS364" s="377"/>
      <c r="AT364" s="377"/>
      <c r="AU364" s="377"/>
      <c r="AV364" s="377"/>
      <c r="AW364" s="377"/>
      <c r="AX364" s="377"/>
      <c r="AY364" s="377"/>
      <c r="AZ364" s="377"/>
      <c r="BA364" s="377"/>
      <c r="BB364" s="377"/>
      <c r="BC364" s="377"/>
      <c r="BD364" s="377"/>
      <c r="BE364" s="378"/>
      <c r="BF364" s="378"/>
      <c r="BG364" s="378"/>
      <c r="BH364" s="378"/>
      <c r="BI364" s="378"/>
      <c r="BJ364" s="378"/>
      <c r="BK364" s="378"/>
      <c r="BL364" s="378"/>
      <c r="BM364" s="378"/>
      <c r="BN364" s="378"/>
      <c r="BO364" s="378"/>
      <c r="BP364" s="378"/>
      <c r="BQ364" s="378"/>
      <c r="BR364" s="378"/>
      <c r="BS364" s="378"/>
      <c r="BT364" s="379"/>
      <c r="BU364" s="379"/>
      <c r="BV364" s="379"/>
      <c r="BW364" s="379"/>
      <c r="BX364" s="379"/>
      <c r="BY364" s="379"/>
      <c r="BZ364" s="379"/>
      <c r="CA364" s="379"/>
      <c r="CB364" s="379"/>
      <c r="CC364" s="379"/>
    </row>
    <row r="365" spans="1:81" s="380" customFormat="1" ht="12">
      <c r="A365" s="337"/>
      <c r="B365" s="342"/>
      <c r="C365" s="300" t="s">
        <v>892</v>
      </c>
      <c r="D365" s="474"/>
      <c r="E365" s="474"/>
      <c r="F365" s="418"/>
      <c r="G365" s="381"/>
      <c r="H365" s="381"/>
      <c r="I365" s="381"/>
      <c r="J365" s="382"/>
      <c r="K365" s="382"/>
      <c r="L365" s="382"/>
      <c r="M365" s="382"/>
      <c r="N365" s="382"/>
      <c r="O365" s="382"/>
      <c r="P365" s="382"/>
      <c r="Q365" s="383"/>
      <c r="R365" s="382"/>
      <c r="S365" s="357"/>
      <c r="T365" s="382"/>
      <c r="U365" s="382"/>
      <c r="V365" s="381"/>
      <c r="W365" s="382"/>
      <c r="X365" s="382"/>
      <c r="Y365" s="382"/>
      <c r="Z365" s="382"/>
      <c r="AA365" s="382"/>
      <c r="AB365" s="382"/>
      <c r="AC365" s="381"/>
      <c r="AD365" s="382"/>
      <c r="AE365" s="382"/>
      <c r="AF365" s="382"/>
      <c r="AG365" s="382"/>
      <c r="AH365" s="382"/>
      <c r="AI365" s="382"/>
      <c r="AJ365" s="382"/>
      <c r="AK365" s="382"/>
      <c r="AL365" s="334"/>
      <c r="AM365" s="301"/>
      <c r="AN365" s="377"/>
      <c r="AO365" s="377"/>
      <c r="AP365" s="377"/>
      <c r="AQ365" s="377"/>
      <c r="AR365" s="377"/>
      <c r="AS365" s="377"/>
      <c r="AT365" s="377"/>
      <c r="AU365" s="377"/>
      <c r="AV365" s="377"/>
      <c r="AW365" s="377"/>
      <c r="AX365" s="377"/>
      <c r="AY365" s="377"/>
      <c r="AZ365" s="377"/>
      <c r="BA365" s="377"/>
      <c r="BB365" s="377"/>
      <c r="BC365" s="377"/>
      <c r="BD365" s="377"/>
      <c r="BE365" s="378"/>
      <c r="BF365" s="378"/>
      <c r="BG365" s="378"/>
      <c r="BH365" s="378"/>
      <c r="BI365" s="378"/>
      <c r="BJ365" s="378"/>
      <c r="BK365" s="378"/>
      <c r="BL365" s="378"/>
      <c r="BM365" s="378"/>
      <c r="BN365" s="378"/>
      <c r="BO365" s="378"/>
      <c r="BP365" s="378"/>
      <c r="BQ365" s="378"/>
      <c r="BR365" s="378"/>
      <c r="BS365" s="378"/>
      <c r="BT365" s="379"/>
      <c r="BU365" s="379"/>
      <c r="BV365" s="379"/>
      <c r="BW365" s="379"/>
      <c r="BX365" s="379"/>
      <c r="BY365" s="379"/>
      <c r="BZ365" s="379"/>
      <c r="CA365" s="379"/>
      <c r="CB365" s="379"/>
      <c r="CC365" s="379"/>
    </row>
    <row r="366" spans="1:81" s="380" customFormat="1" ht="12">
      <c r="A366" s="337"/>
      <c r="B366" s="342"/>
      <c r="C366" s="300">
        <v>2004</v>
      </c>
      <c r="D366" s="387" t="s">
        <v>893</v>
      </c>
      <c r="E366" s="474"/>
      <c r="F366" s="394">
        <v>405420</v>
      </c>
      <c r="G366" s="381"/>
      <c r="H366" s="381"/>
      <c r="I366" s="381"/>
      <c r="J366" s="382"/>
      <c r="K366" s="382"/>
      <c r="L366" s="382"/>
      <c r="M366" s="382"/>
      <c r="N366" s="382"/>
      <c r="O366" s="382"/>
      <c r="P366" s="382"/>
      <c r="Q366" s="383"/>
      <c r="R366" s="382"/>
      <c r="S366" s="357"/>
      <c r="T366" s="382"/>
      <c r="U366" s="382"/>
      <c r="V366" s="381"/>
      <c r="W366" s="382"/>
      <c r="X366" s="382"/>
      <c r="Y366" s="382"/>
      <c r="Z366" s="382"/>
      <c r="AA366" s="382"/>
      <c r="AB366" s="382"/>
      <c r="AC366" s="381"/>
      <c r="AD366" s="382"/>
      <c r="AE366" s="382"/>
      <c r="AF366" s="382"/>
      <c r="AG366" s="382"/>
      <c r="AH366" s="382"/>
      <c r="AI366" s="382"/>
      <c r="AJ366" s="382"/>
      <c r="AK366" s="382"/>
      <c r="AL366" s="334"/>
      <c r="AM366" s="301"/>
      <c r="AN366" s="377"/>
      <c r="AO366" s="377"/>
      <c r="AP366" s="377"/>
      <c r="AQ366" s="377"/>
      <c r="AR366" s="377"/>
      <c r="AS366" s="377"/>
      <c r="AT366" s="377"/>
      <c r="AU366" s="377"/>
      <c r="AV366" s="377"/>
      <c r="AW366" s="377"/>
      <c r="AX366" s="377"/>
      <c r="AY366" s="377"/>
      <c r="AZ366" s="377"/>
      <c r="BA366" s="377"/>
      <c r="BB366" s="377"/>
      <c r="BC366" s="377"/>
      <c r="BD366" s="377"/>
      <c r="BE366" s="378"/>
      <c r="BF366" s="378"/>
      <c r="BG366" s="378"/>
      <c r="BH366" s="378"/>
      <c r="BI366" s="378"/>
      <c r="BJ366" s="378"/>
      <c r="BK366" s="378"/>
      <c r="BL366" s="378"/>
      <c r="BM366" s="378"/>
      <c r="BN366" s="378"/>
      <c r="BO366" s="378"/>
      <c r="BP366" s="378"/>
      <c r="BQ366" s="378"/>
      <c r="BR366" s="378"/>
      <c r="BS366" s="378"/>
      <c r="BT366" s="379"/>
      <c r="BU366" s="379"/>
      <c r="BV366" s="379"/>
      <c r="BW366" s="379"/>
      <c r="BX366" s="379"/>
      <c r="BY366" s="379"/>
      <c r="BZ366" s="379"/>
      <c r="CA366" s="379"/>
      <c r="CB366" s="379"/>
      <c r="CC366" s="379"/>
    </row>
    <row r="367" spans="1:81" s="380" customFormat="1" ht="12">
      <c r="A367" s="337"/>
      <c r="B367" s="342"/>
      <c r="C367" s="300">
        <v>2005</v>
      </c>
      <c r="D367" s="387" t="s">
        <v>894</v>
      </c>
      <c r="E367" s="474"/>
      <c r="F367" s="473">
        <f>ROUND((48650435/20*3/12),0)</f>
        <v>608130</v>
      </c>
      <c r="G367" s="381"/>
      <c r="H367" s="381"/>
      <c r="I367" s="381"/>
      <c r="J367" s="382"/>
      <c r="K367" s="382"/>
      <c r="L367" s="382"/>
      <c r="M367" s="382"/>
      <c r="N367" s="382"/>
      <c r="O367" s="382"/>
      <c r="P367" s="382"/>
      <c r="Q367" s="383"/>
      <c r="R367" s="382"/>
      <c r="S367" s="357"/>
      <c r="T367" s="382"/>
      <c r="U367" s="382"/>
      <c r="V367" s="381"/>
      <c r="W367" s="382"/>
      <c r="X367" s="382"/>
      <c r="Y367" s="382"/>
      <c r="Z367" s="382"/>
      <c r="AA367" s="382"/>
      <c r="AB367" s="382"/>
      <c r="AC367" s="381"/>
      <c r="AD367" s="382"/>
      <c r="AE367" s="382"/>
      <c r="AF367" s="382"/>
      <c r="AG367" s="382"/>
      <c r="AH367" s="382"/>
      <c r="AI367" s="382"/>
      <c r="AJ367" s="382"/>
      <c r="AK367" s="382"/>
      <c r="AL367" s="334"/>
      <c r="AM367" s="301"/>
      <c r="AN367" s="377"/>
      <c r="AO367" s="377"/>
      <c r="AP367" s="377"/>
      <c r="AQ367" s="377"/>
      <c r="AR367" s="377"/>
      <c r="AS367" s="377"/>
      <c r="AT367" s="377"/>
      <c r="AU367" s="377"/>
      <c r="AV367" s="377"/>
      <c r="AW367" s="377"/>
      <c r="AX367" s="377"/>
      <c r="AY367" s="377"/>
      <c r="AZ367" s="377"/>
      <c r="BA367" s="377"/>
      <c r="BB367" s="377"/>
      <c r="BC367" s="377"/>
      <c r="BD367" s="377"/>
      <c r="BE367" s="378"/>
      <c r="BF367" s="378"/>
      <c r="BG367" s="378"/>
      <c r="BH367" s="378"/>
      <c r="BI367" s="378"/>
      <c r="BJ367" s="378"/>
      <c r="BK367" s="378"/>
      <c r="BL367" s="378"/>
      <c r="BM367" s="378"/>
      <c r="BN367" s="378"/>
      <c r="BO367" s="378"/>
      <c r="BP367" s="378"/>
      <c r="BQ367" s="378"/>
      <c r="BR367" s="378"/>
      <c r="BS367" s="378"/>
      <c r="BT367" s="379"/>
      <c r="BU367" s="379"/>
      <c r="BV367" s="379"/>
      <c r="BW367" s="379"/>
      <c r="BX367" s="379"/>
      <c r="BY367" s="379"/>
      <c r="BZ367" s="379"/>
      <c r="CA367" s="379"/>
      <c r="CB367" s="379"/>
      <c r="CC367" s="379"/>
    </row>
    <row r="368" spans="1:81" s="380" customFormat="1" ht="12">
      <c r="A368" s="337"/>
      <c r="B368" s="342"/>
      <c r="C368" s="299" t="str">
        <f>+C363</f>
        <v>YTD  amortisation as at 31.1.05</v>
      </c>
      <c r="D368" s="474"/>
      <c r="E368" s="474"/>
      <c r="F368" s="388">
        <f>+F367+F366</f>
        <v>1013550</v>
      </c>
      <c r="G368" s="381"/>
      <c r="H368" s="381"/>
      <c r="I368" s="381"/>
      <c r="J368" s="382"/>
      <c r="K368" s="382"/>
      <c r="L368" s="382"/>
      <c r="M368" s="382"/>
      <c r="N368" s="382"/>
      <c r="O368" s="382"/>
      <c r="P368" s="382"/>
      <c r="Q368" s="383"/>
      <c r="R368" s="382"/>
      <c r="S368" s="357"/>
      <c r="T368" s="382"/>
      <c r="U368" s="382"/>
      <c r="V368" s="381"/>
      <c r="W368" s="382"/>
      <c r="X368" s="382"/>
      <c r="Y368" s="382"/>
      <c r="Z368" s="382"/>
      <c r="AA368" s="382"/>
      <c r="AB368" s="382"/>
      <c r="AC368" s="381"/>
      <c r="AD368" s="382"/>
      <c r="AE368" s="382"/>
      <c r="AF368" s="382"/>
      <c r="AG368" s="382"/>
      <c r="AH368" s="382"/>
      <c r="AI368" s="382"/>
      <c r="AJ368" s="382"/>
      <c r="AK368" s="382"/>
      <c r="AL368" s="334"/>
      <c r="AM368" s="301"/>
      <c r="AN368" s="377"/>
      <c r="AO368" s="377"/>
      <c r="AP368" s="377"/>
      <c r="AQ368" s="377"/>
      <c r="AR368" s="377"/>
      <c r="AS368" s="377"/>
      <c r="AT368" s="377"/>
      <c r="AU368" s="377"/>
      <c r="AV368" s="377"/>
      <c r="AW368" s="377"/>
      <c r="AX368" s="377"/>
      <c r="AY368" s="377"/>
      <c r="AZ368" s="377"/>
      <c r="BA368" s="377"/>
      <c r="BB368" s="377"/>
      <c r="BC368" s="377"/>
      <c r="BD368" s="377"/>
      <c r="BE368" s="378"/>
      <c r="BF368" s="378"/>
      <c r="BG368" s="378"/>
      <c r="BH368" s="378"/>
      <c r="BI368" s="378"/>
      <c r="BJ368" s="378"/>
      <c r="BK368" s="378"/>
      <c r="BL368" s="378"/>
      <c r="BM368" s="378"/>
      <c r="BN368" s="378"/>
      <c r="BO368" s="378"/>
      <c r="BP368" s="378"/>
      <c r="BQ368" s="378"/>
      <c r="BR368" s="378"/>
      <c r="BS368" s="378"/>
      <c r="BT368" s="379"/>
      <c r="BU368" s="379"/>
      <c r="BV368" s="379"/>
      <c r="BW368" s="379"/>
      <c r="BX368" s="379"/>
      <c r="BY368" s="379"/>
      <c r="BZ368" s="379"/>
      <c r="CA368" s="379"/>
      <c r="CB368" s="379"/>
      <c r="CC368" s="379"/>
    </row>
    <row r="369" spans="1:81" s="380" customFormat="1" ht="12">
      <c r="A369" s="337"/>
      <c r="B369" s="342"/>
      <c r="C369" s="299"/>
      <c r="D369" s="474"/>
      <c r="E369" s="474"/>
      <c r="F369" s="418"/>
      <c r="G369" s="381"/>
      <c r="H369" s="381"/>
      <c r="I369" s="381"/>
      <c r="J369" s="382"/>
      <c r="K369" s="382"/>
      <c r="L369" s="382"/>
      <c r="M369" s="382"/>
      <c r="N369" s="382"/>
      <c r="O369" s="382"/>
      <c r="P369" s="382"/>
      <c r="Q369" s="383"/>
      <c r="R369" s="382"/>
      <c r="S369" s="357"/>
      <c r="T369" s="382"/>
      <c r="U369" s="382"/>
      <c r="V369" s="381"/>
      <c r="W369" s="382"/>
      <c r="X369" s="382"/>
      <c r="Y369" s="382"/>
      <c r="Z369" s="382"/>
      <c r="AA369" s="382"/>
      <c r="AB369" s="382"/>
      <c r="AC369" s="381"/>
      <c r="AD369" s="382"/>
      <c r="AE369" s="382"/>
      <c r="AF369" s="382"/>
      <c r="AG369" s="382"/>
      <c r="AH369" s="382"/>
      <c r="AI369" s="382"/>
      <c r="AJ369" s="382"/>
      <c r="AK369" s="382"/>
      <c r="AL369" s="334"/>
      <c r="AM369" s="301"/>
      <c r="AN369" s="377"/>
      <c r="AO369" s="377"/>
      <c r="AP369" s="377"/>
      <c r="AQ369" s="377"/>
      <c r="AR369" s="377"/>
      <c r="AS369" s="377"/>
      <c r="AT369" s="377"/>
      <c r="AU369" s="377"/>
      <c r="AV369" s="377"/>
      <c r="AW369" s="377"/>
      <c r="AX369" s="377"/>
      <c r="AY369" s="377"/>
      <c r="AZ369" s="377"/>
      <c r="BA369" s="377"/>
      <c r="BB369" s="377"/>
      <c r="BC369" s="377"/>
      <c r="BD369" s="377"/>
      <c r="BE369" s="378"/>
      <c r="BF369" s="378"/>
      <c r="BG369" s="378"/>
      <c r="BH369" s="378"/>
      <c r="BI369" s="378"/>
      <c r="BJ369" s="378"/>
      <c r="BK369" s="378"/>
      <c r="BL369" s="378"/>
      <c r="BM369" s="378"/>
      <c r="BN369" s="378"/>
      <c r="BO369" s="378"/>
      <c r="BP369" s="378"/>
      <c r="BQ369" s="378"/>
      <c r="BR369" s="378"/>
      <c r="BS369" s="378"/>
      <c r="BT369" s="379"/>
      <c r="BU369" s="379"/>
      <c r="BV369" s="379"/>
      <c r="BW369" s="379"/>
      <c r="BX369" s="379"/>
      <c r="BY369" s="379"/>
      <c r="BZ369" s="379"/>
      <c r="CA369" s="379"/>
      <c r="CB369" s="379"/>
      <c r="CC369" s="379"/>
    </row>
    <row r="370" spans="1:38" ht="12">
      <c r="A370" s="344"/>
      <c r="B370" s="351"/>
      <c r="C370" s="352"/>
      <c r="D370" s="352"/>
      <c r="E370" s="352"/>
      <c r="F370" s="394"/>
      <c r="G370" s="395"/>
      <c r="H370" s="381"/>
      <c r="I370" s="381"/>
      <c r="J370" s="382"/>
      <c r="K370" s="382"/>
      <c r="L370" s="382"/>
      <c r="M370" s="382"/>
      <c r="N370" s="382"/>
      <c r="O370" s="382"/>
      <c r="P370" s="382"/>
      <c r="Q370" s="383"/>
      <c r="R370" s="382"/>
      <c r="S370" s="357"/>
      <c r="T370" s="382"/>
      <c r="U370" s="382"/>
      <c r="V370" s="381"/>
      <c r="W370" s="382"/>
      <c r="X370" s="382"/>
      <c r="Y370" s="382"/>
      <c r="Z370" s="382"/>
      <c r="AA370" s="382"/>
      <c r="AB370" s="382"/>
      <c r="AC370" s="381"/>
      <c r="AD370" s="382"/>
      <c r="AE370" s="382"/>
      <c r="AF370" s="382"/>
      <c r="AG370" s="382"/>
      <c r="AH370" s="382"/>
      <c r="AI370" s="382"/>
      <c r="AJ370" s="382"/>
      <c r="AK370" s="382"/>
      <c r="AL370" s="334"/>
    </row>
    <row r="371" spans="1:81" s="360" customFormat="1" ht="12">
      <c r="A371" s="396"/>
      <c r="C371" s="410"/>
      <c r="F371" s="357"/>
      <c r="G371" s="381"/>
      <c r="H371" s="381"/>
      <c r="I371" s="381"/>
      <c r="J371" s="382"/>
      <c r="K371" s="382"/>
      <c r="L371" s="382"/>
      <c r="M371" s="382"/>
      <c r="N371" s="382"/>
      <c r="O371" s="382"/>
      <c r="P371" s="382"/>
      <c r="Q371" s="383"/>
      <c r="R371" s="382"/>
      <c r="S371" s="357"/>
      <c r="T371" s="382"/>
      <c r="U371" s="382"/>
      <c r="V371" s="381"/>
      <c r="W371" s="382"/>
      <c r="X371" s="382"/>
      <c r="Y371" s="382"/>
      <c r="Z371" s="382"/>
      <c r="AA371" s="382"/>
      <c r="AB371" s="382"/>
      <c r="AC371" s="357"/>
      <c r="AD371" s="382"/>
      <c r="AE371" s="382"/>
      <c r="AF371" s="382"/>
      <c r="AG371" s="382"/>
      <c r="AH371" s="382"/>
      <c r="AI371" s="382"/>
      <c r="AJ371" s="382"/>
      <c r="AK371" s="382"/>
      <c r="AL371" s="382"/>
      <c r="AM371" s="301"/>
      <c r="AN371" s="357"/>
      <c r="AO371" s="357"/>
      <c r="AP371" s="357"/>
      <c r="AQ371" s="357"/>
      <c r="AR371" s="357"/>
      <c r="AS371" s="357"/>
      <c r="AT371" s="357"/>
      <c r="AU371" s="357"/>
      <c r="AV371" s="357"/>
      <c r="AW371" s="357"/>
      <c r="AX371" s="357"/>
      <c r="AY371" s="357"/>
      <c r="AZ371" s="357"/>
      <c r="BA371" s="357"/>
      <c r="BB371" s="357"/>
      <c r="BC371" s="357"/>
      <c r="BD371" s="357"/>
      <c r="BE371" s="358"/>
      <c r="BF371" s="358"/>
      <c r="BG371" s="358"/>
      <c r="BH371" s="358"/>
      <c r="BI371" s="358"/>
      <c r="BJ371" s="358"/>
      <c r="BK371" s="358"/>
      <c r="BL371" s="358"/>
      <c r="BM371" s="358"/>
      <c r="BN371" s="358"/>
      <c r="BO371" s="358"/>
      <c r="BP371" s="358"/>
      <c r="BQ371" s="358"/>
      <c r="BR371" s="358"/>
      <c r="BS371" s="358"/>
      <c r="BT371" s="359"/>
      <c r="BU371" s="359"/>
      <c r="BV371" s="359"/>
      <c r="BW371" s="359"/>
      <c r="BX371" s="359"/>
      <c r="BY371" s="359"/>
      <c r="BZ371" s="359"/>
      <c r="CA371" s="359"/>
      <c r="CB371" s="359"/>
      <c r="CC371" s="359"/>
    </row>
    <row r="372" spans="1:81" s="360" customFormat="1" ht="12">
      <c r="A372" s="396" t="s">
        <v>895</v>
      </c>
      <c r="C372" s="360" t="s">
        <v>623</v>
      </c>
      <c r="D372" s="360" t="s">
        <v>896</v>
      </c>
      <c r="F372" s="357">
        <f>+'[2]Group '!D116</f>
        <v>90000</v>
      </c>
      <c r="G372" s="381"/>
      <c r="H372" s="381"/>
      <c r="I372" s="381"/>
      <c r="J372" s="382"/>
      <c r="K372" s="382"/>
      <c r="L372" s="382"/>
      <c r="M372" s="382"/>
      <c r="N372" s="382"/>
      <c r="O372" s="382"/>
      <c r="P372" s="382"/>
      <c r="Q372" s="383"/>
      <c r="R372" s="382"/>
      <c r="S372" s="357"/>
      <c r="T372" s="382"/>
      <c r="U372" s="382"/>
      <c r="V372" s="381"/>
      <c r="W372" s="382"/>
      <c r="X372" s="382"/>
      <c r="Y372" s="382"/>
      <c r="Z372" s="382"/>
      <c r="AA372" s="382"/>
      <c r="AB372" s="382"/>
      <c r="AC372" s="357"/>
      <c r="AD372" s="382">
        <f>+F372</f>
        <v>90000</v>
      </c>
      <c r="AE372" s="382"/>
      <c r="AF372" s="382"/>
      <c r="AG372" s="382"/>
      <c r="AH372" s="382"/>
      <c r="AI372" s="382"/>
      <c r="AJ372" s="382"/>
      <c r="AK372" s="382"/>
      <c r="AL372" s="382"/>
      <c r="AM372" s="301"/>
      <c r="AN372" s="357"/>
      <c r="AO372" s="357"/>
      <c r="AP372" s="357"/>
      <c r="AQ372" s="357"/>
      <c r="AR372" s="357"/>
      <c r="AS372" s="357"/>
      <c r="AT372" s="357"/>
      <c r="AU372" s="357"/>
      <c r="AV372" s="357"/>
      <c r="AW372" s="357"/>
      <c r="AX372" s="357"/>
      <c r="AY372" s="357"/>
      <c r="AZ372" s="357"/>
      <c r="BA372" s="357"/>
      <c r="BB372" s="357"/>
      <c r="BC372" s="357"/>
      <c r="BD372" s="357"/>
      <c r="BE372" s="358"/>
      <c r="BF372" s="358"/>
      <c r="BG372" s="358"/>
      <c r="BH372" s="358"/>
      <c r="BI372" s="358"/>
      <c r="BJ372" s="358"/>
      <c r="BK372" s="358"/>
      <c r="BL372" s="358"/>
      <c r="BM372" s="358"/>
      <c r="BN372" s="358"/>
      <c r="BO372" s="358"/>
      <c r="BP372" s="358"/>
      <c r="BQ372" s="358"/>
      <c r="BR372" s="358"/>
      <c r="BS372" s="358"/>
      <c r="BT372" s="359"/>
      <c r="BU372" s="359"/>
      <c r="BV372" s="359"/>
      <c r="BW372" s="359"/>
      <c r="BX372" s="359"/>
      <c r="BY372" s="359"/>
      <c r="BZ372" s="359"/>
      <c r="CA372" s="359"/>
      <c r="CB372" s="359"/>
      <c r="CC372" s="359"/>
    </row>
    <row r="373" spans="1:81" s="360" customFormat="1" ht="12">
      <c r="A373" s="396"/>
      <c r="C373" s="360" t="s">
        <v>623</v>
      </c>
      <c r="D373" s="360" t="s">
        <v>897</v>
      </c>
      <c r="F373" s="357">
        <f>+'[2]Group '!G139</f>
        <v>87300</v>
      </c>
      <c r="G373" s="381"/>
      <c r="H373" s="381"/>
      <c r="I373" s="381"/>
      <c r="J373" s="382"/>
      <c r="K373" s="382"/>
      <c r="L373" s="382"/>
      <c r="M373" s="382"/>
      <c r="N373" s="382"/>
      <c r="O373" s="382"/>
      <c r="P373" s="382"/>
      <c r="Q373" s="383"/>
      <c r="R373" s="382"/>
      <c r="S373" s="357"/>
      <c r="T373" s="382"/>
      <c r="U373" s="382"/>
      <c r="V373" s="381"/>
      <c r="W373" s="382"/>
      <c r="X373" s="382"/>
      <c r="Y373" s="382"/>
      <c r="Z373" s="382"/>
      <c r="AA373" s="382"/>
      <c r="AB373" s="382"/>
      <c r="AC373" s="357"/>
      <c r="AD373" s="382"/>
      <c r="AE373" s="382"/>
      <c r="AF373" s="382"/>
      <c r="AG373" s="382"/>
      <c r="AH373" s="382"/>
      <c r="AI373" s="382"/>
      <c r="AJ373" s="382"/>
      <c r="AK373" s="382">
        <f>+F373</f>
        <v>87300</v>
      </c>
      <c r="AL373" s="382">
        <f>G373</f>
        <v>0</v>
      </c>
      <c r="AM373" s="301"/>
      <c r="AN373" s="357"/>
      <c r="AO373" s="357"/>
      <c r="AP373" s="357"/>
      <c r="AQ373" s="357"/>
      <c r="AR373" s="357"/>
      <c r="AS373" s="357"/>
      <c r="AT373" s="357"/>
      <c r="AU373" s="357"/>
      <c r="AV373" s="357"/>
      <c r="AW373" s="357"/>
      <c r="AX373" s="357"/>
      <c r="AY373" s="357"/>
      <c r="AZ373" s="357"/>
      <c r="BA373" s="357"/>
      <c r="BB373" s="357"/>
      <c r="BC373" s="357"/>
      <c r="BD373" s="357"/>
      <c r="BE373" s="358"/>
      <c r="BF373" s="358"/>
      <c r="BG373" s="358"/>
      <c r="BH373" s="358"/>
      <c r="BI373" s="358"/>
      <c r="BJ373" s="358"/>
      <c r="BK373" s="358"/>
      <c r="BL373" s="358"/>
      <c r="BM373" s="358"/>
      <c r="BN373" s="358"/>
      <c r="BO373" s="358"/>
      <c r="BP373" s="358"/>
      <c r="BQ373" s="358"/>
      <c r="BR373" s="358"/>
      <c r="BS373" s="358"/>
      <c r="BT373" s="359"/>
      <c r="BU373" s="359"/>
      <c r="BV373" s="359"/>
      <c r="BW373" s="359"/>
      <c r="BX373" s="359"/>
      <c r="BY373" s="359"/>
      <c r="BZ373" s="359"/>
      <c r="CA373" s="359"/>
      <c r="CB373" s="359"/>
      <c r="CC373" s="359"/>
    </row>
    <row r="374" spans="1:81" s="360" customFormat="1" ht="12">
      <c r="A374" s="396"/>
      <c r="C374" s="360" t="s">
        <v>898</v>
      </c>
      <c r="D374" s="360" t="s">
        <v>899</v>
      </c>
      <c r="F374" s="357"/>
      <c r="G374" s="381">
        <f>+'[2]Group '!G194</f>
        <v>90000</v>
      </c>
      <c r="H374" s="381"/>
      <c r="I374" s="381"/>
      <c r="J374" s="382"/>
      <c r="K374" s="382"/>
      <c r="L374" s="382"/>
      <c r="M374" s="382"/>
      <c r="N374" s="382"/>
      <c r="O374" s="382"/>
      <c r="P374" s="382"/>
      <c r="Q374" s="383"/>
      <c r="R374" s="382"/>
      <c r="S374" s="357"/>
      <c r="T374" s="382"/>
      <c r="U374" s="382"/>
      <c r="V374" s="381"/>
      <c r="W374" s="382"/>
      <c r="X374" s="382"/>
      <c r="Y374" s="382"/>
      <c r="Z374" s="382"/>
      <c r="AA374" s="382"/>
      <c r="AB374" s="382"/>
      <c r="AC374" s="357"/>
      <c r="AD374" s="382"/>
      <c r="AE374" s="382"/>
      <c r="AF374" s="382"/>
      <c r="AG374" s="382"/>
      <c r="AH374" s="382"/>
      <c r="AI374" s="382"/>
      <c r="AJ374" s="382"/>
      <c r="AK374" s="382">
        <f>-G374</f>
        <v>-90000</v>
      </c>
      <c r="AL374" s="382"/>
      <c r="AM374" s="301"/>
      <c r="AN374" s="357"/>
      <c r="AO374" s="357"/>
      <c r="AP374" s="357"/>
      <c r="AQ374" s="357"/>
      <c r="AR374" s="357"/>
      <c r="AS374" s="357"/>
      <c r="AT374" s="357"/>
      <c r="AU374" s="357"/>
      <c r="AV374" s="357"/>
      <c r="AW374" s="357"/>
      <c r="AX374" s="357"/>
      <c r="AY374" s="357"/>
      <c r="AZ374" s="357"/>
      <c r="BA374" s="357"/>
      <c r="BB374" s="357"/>
      <c r="BC374" s="357"/>
      <c r="BD374" s="357"/>
      <c r="BE374" s="358"/>
      <c r="BF374" s="358"/>
      <c r="BG374" s="358"/>
      <c r="BH374" s="358"/>
      <c r="BI374" s="358"/>
      <c r="BJ374" s="358"/>
      <c r="BK374" s="358"/>
      <c r="BL374" s="358"/>
      <c r="BM374" s="358"/>
      <c r="BN374" s="358"/>
      <c r="BO374" s="358"/>
      <c r="BP374" s="358"/>
      <c r="BQ374" s="358"/>
      <c r="BR374" s="358"/>
      <c r="BS374" s="358"/>
      <c r="BT374" s="359"/>
      <c r="BU374" s="359"/>
      <c r="BV374" s="359"/>
      <c r="BW374" s="359"/>
      <c r="BX374" s="359"/>
      <c r="BY374" s="359"/>
      <c r="BZ374" s="359"/>
      <c r="CA374" s="359"/>
      <c r="CB374" s="359"/>
      <c r="CC374" s="359"/>
    </row>
    <row r="375" spans="1:81" s="360" customFormat="1" ht="12">
      <c r="A375" s="396"/>
      <c r="C375" s="360" t="s">
        <v>898</v>
      </c>
      <c r="D375" s="360" t="s">
        <v>900</v>
      </c>
      <c r="F375" s="357"/>
      <c r="G375" s="381">
        <f>+'[2]Group '!D183</f>
        <v>53400</v>
      </c>
      <c r="H375" s="381"/>
      <c r="I375" s="381"/>
      <c r="J375" s="382"/>
      <c r="K375" s="382"/>
      <c r="L375" s="382"/>
      <c r="M375" s="382"/>
      <c r="N375" s="382"/>
      <c r="O375" s="382"/>
      <c r="P375" s="382"/>
      <c r="Q375" s="383"/>
      <c r="R375" s="382"/>
      <c r="S375" s="357"/>
      <c r="T375" s="382"/>
      <c r="U375" s="382"/>
      <c r="V375" s="381"/>
      <c r="W375" s="382"/>
      <c r="X375" s="382"/>
      <c r="Y375" s="382"/>
      <c r="Z375" s="382"/>
      <c r="AA375" s="382"/>
      <c r="AB375" s="382"/>
      <c r="AC375" s="357"/>
      <c r="AD375" s="382"/>
      <c r="AE375" s="382"/>
      <c r="AF375" s="382"/>
      <c r="AG375" s="382"/>
      <c r="AH375" s="382"/>
      <c r="AI375" s="382"/>
      <c r="AJ375" s="382"/>
      <c r="AK375" s="382">
        <f>-G375</f>
        <v>-53400</v>
      </c>
      <c r="AL375" s="382">
        <f>-H375</f>
        <v>0</v>
      </c>
      <c r="AM375" s="301"/>
      <c r="AN375" s="357"/>
      <c r="AO375" s="357"/>
      <c r="AP375" s="357"/>
      <c r="AQ375" s="357"/>
      <c r="AR375" s="357"/>
      <c r="AS375" s="357"/>
      <c r="AT375" s="357"/>
      <c r="AU375" s="357"/>
      <c r="AV375" s="357"/>
      <c r="AW375" s="357"/>
      <c r="AX375" s="357"/>
      <c r="AY375" s="357"/>
      <c r="AZ375" s="357"/>
      <c r="BA375" s="357"/>
      <c r="BB375" s="357"/>
      <c r="BC375" s="357"/>
      <c r="BD375" s="357"/>
      <c r="BE375" s="358"/>
      <c r="BF375" s="358"/>
      <c r="BG375" s="358"/>
      <c r="BH375" s="358"/>
      <c r="BI375" s="358"/>
      <c r="BJ375" s="358"/>
      <c r="BK375" s="358"/>
      <c r="BL375" s="358"/>
      <c r="BM375" s="358"/>
      <c r="BN375" s="358"/>
      <c r="BO375" s="358"/>
      <c r="BP375" s="358"/>
      <c r="BQ375" s="358"/>
      <c r="BR375" s="358"/>
      <c r="BS375" s="358"/>
      <c r="BT375" s="359"/>
      <c r="BU375" s="359"/>
      <c r="BV375" s="359"/>
      <c r="BW375" s="359"/>
      <c r="BX375" s="359"/>
      <c r="BY375" s="359"/>
      <c r="BZ375" s="359"/>
      <c r="CA375" s="359"/>
      <c r="CB375" s="359"/>
      <c r="CC375" s="359"/>
    </row>
    <row r="376" spans="1:81" s="360" customFormat="1" ht="12">
      <c r="A376" s="396"/>
      <c r="C376" s="360" t="s">
        <v>898</v>
      </c>
      <c r="D376" s="360" t="s">
        <v>901</v>
      </c>
      <c r="F376" s="357"/>
      <c r="G376" s="381">
        <f>+'[2]Group '!J183</f>
        <v>33900</v>
      </c>
      <c r="H376" s="381"/>
      <c r="I376" s="381"/>
      <c r="J376" s="382"/>
      <c r="K376" s="382"/>
      <c r="L376" s="382"/>
      <c r="M376" s="382"/>
      <c r="N376" s="382"/>
      <c r="O376" s="382"/>
      <c r="P376" s="382"/>
      <c r="Q376" s="383"/>
      <c r="R376" s="382"/>
      <c r="S376" s="357"/>
      <c r="T376" s="382"/>
      <c r="U376" s="382"/>
      <c r="V376" s="381"/>
      <c r="W376" s="382"/>
      <c r="X376" s="382"/>
      <c r="Y376" s="382"/>
      <c r="Z376" s="382"/>
      <c r="AA376" s="382"/>
      <c r="AB376" s="382"/>
      <c r="AC376" s="357"/>
      <c r="AD376" s="382"/>
      <c r="AE376" s="382"/>
      <c r="AF376" s="382"/>
      <c r="AG376" s="382"/>
      <c r="AH376" s="382"/>
      <c r="AI376" s="382"/>
      <c r="AJ376" s="382"/>
      <c r="AK376" s="382">
        <f>-G376</f>
        <v>-33900</v>
      </c>
      <c r="AL376" s="382"/>
      <c r="AM376" s="301"/>
      <c r="AN376" s="357"/>
      <c r="AO376" s="357"/>
      <c r="AP376" s="357"/>
      <c r="AQ376" s="357"/>
      <c r="AR376" s="357"/>
      <c r="AS376" s="357"/>
      <c r="AT376" s="357"/>
      <c r="AU376" s="357"/>
      <c r="AV376" s="357"/>
      <c r="AW376" s="357"/>
      <c r="AX376" s="357"/>
      <c r="AY376" s="357"/>
      <c r="AZ376" s="357"/>
      <c r="BA376" s="357"/>
      <c r="BB376" s="357"/>
      <c r="BC376" s="357"/>
      <c r="BD376" s="357"/>
      <c r="BE376" s="358"/>
      <c r="BF376" s="358"/>
      <c r="BG376" s="358"/>
      <c r="BH376" s="358"/>
      <c r="BI376" s="358"/>
      <c r="BJ376" s="358"/>
      <c r="BK376" s="358"/>
      <c r="BL376" s="358"/>
      <c r="BM376" s="358"/>
      <c r="BN376" s="358"/>
      <c r="BO376" s="358"/>
      <c r="BP376" s="358"/>
      <c r="BQ376" s="358"/>
      <c r="BR376" s="358"/>
      <c r="BS376" s="358"/>
      <c r="BT376" s="359"/>
      <c r="BU376" s="359"/>
      <c r="BV376" s="359"/>
      <c r="BW376" s="359"/>
      <c r="BX376" s="359"/>
      <c r="BY376" s="359"/>
      <c r="BZ376" s="359"/>
      <c r="CA376" s="359"/>
      <c r="CB376" s="359"/>
      <c r="CC376" s="359"/>
    </row>
    <row r="377" spans="1:81" s="360" customFormat="1" ht="12.75" thickBot="1">
      <c r="A377" s="396"/>
      <c r="C377" s="410"/>
      <c r="F377" s="404">
        <f>SUM(F372:F375)</f>
        <v>177300</v>
      </c>
      <c r="G377" s="405">
        <f>SUM(G372:G376)</f>
        <v>177300</v>
      </c>
      <c r="H377" s="381"/>
      <c r="I377" s="381"/>
      <c r="J377" s="382"/>
      <c r="K377" s="382"/>
      <c r="L377" s="382"/>
      <c r="M377" s="382"/>
      <c r="N377" s="382"/>
      <c r="O377" s="382"/>
      <c r="P377" s="382"/>
      <c r="Q377" s="383"/>
      <c r="R377" s="382"/>
      <c r="S377" s="357"/>
      <c r="T377" s="382"/>
      <c r="U377" s="382"/>
      <c r="V377" s="381"/>
      <c r="W377" s="382"/>
      <c r="X377" s="382"/>
      <c r="Y377" s="382"/>
      <c r="Z377" s="382"/>
      <c r="AA377" s="382"/>
      <c r="AB377" s="382"/>
      <c r="AC377" s="357"/>
      <c r="AD377" s="382"/>
      <c r="AE377" s="382"/>
      <c r="AF377" s="382"/>
      <c r="AG377" s="382"/>
      <c r="AH377" s="382"/>
      <c r="AI377" s="382"/>
      <c r="AJ377" s="382"/>
      <c r="AK377" s="382"/>
      <c r="AL377" s="382"/>
      <c r="AM377" s="301"/>
      <c r="AN377" s="357"/>
      <c r="AO377" s="357"/>
      <c r="AP377" s="357"/>
      <c r="AQ377" s="357"/>
      <c r="AR377" s="357"/>
      <c r="AS377" s="357"/>
      <c r="AT377" s="357"/>
      <c r="AU377" s="357"/>
      <c r="AV377" s="357"/>
      <c r="AW377" s="357"/>
      <c r="AX377" s="357"/>
      <c r="AY377" s="357"/>
      <c r="AZ377" s="357"/>
      <c r="BA377" s="357"/>
      <c r="BB377" s="357"/>
      <c r="BC377" s="357"/>
      <c r="BD377" s="357"/>
      <c r="BE377" s="358"/>
      <c r="BF377" s="358"/>
      <c r="BG377" s="358"/>
      <c r="BH377" s="358"/>
      <c r="BI377" s="358"/>
      <c r="BJ377" s="358"/>
      <c r="BK377" s="358"/>
      <c r="BL377" s="358"/>
      <c r="BM377" s="358"/>
      <c r="BN377" s="358"/>
      <c r="BO377" s="358"/>
      <c r="BP377" s="358"/>
      <c r="BQ377" s="358"/>
      <c r="BR377" s="358"/>
      <c r="BS377" s="358"/>
      <c r="BT377" s="359"/>
      <c r="BU377" s="359"/>
      <c r="BV377" s="359"/>
      <c r="BW377" s="359"/>
      <c r="BX377" s="359"/>
      <c r="BY377" s="359"/>
      <c r="BZ377" s="359"/>
      <c r="CA377" s="359"/>
      <c r="CB377" s="359"/>
      <c r="CC377" s="359"/>
    </row>
    <row r="378" spans="1:81" s="360" customFormat="1" ht="12.75" thickTop="1">
      <c r="A378" s="396"/>
      <c r="C378" s="410" t="s">
        <v>902</v>
      </c>
      <c r="F378" s="357"/>
      <c r="G378" s="381"/>
      <c r="H378" s="381"/>
      <c r="I378" s="381"/>
      <c r="J378" s="382"/>
      <c r="K378" s="382"/>
      <c r="L378" s="382"/>
      <c r="M378" s="382"/>
      <c r="N378" s="382"/>
      <c r="O378" s="382"/>
      <c r="P378" s="382"/>
      <c r="Q378" s="383"/>
      <c r="R378" s="382"/>
      <c r="S378" s="357"/>
      <c r="T378" s="382"/>
      <c r="U378" s="382"/>
      <c r="V378" s="381"/>
      <c r="W378" s="382"/>
      <c r="X378" s="382"/>
      <c r="Y378" s="382"/>
      <c r="Z378" s="382"/>
      <c r="AA378" s="382"/>
      <c r="AB378" s="382"/>
      <c r="AC378" s="381"/>
      <c r="AD378" s="382"/>
      <c r="AE378" s="382"/>
      <c r="AF378" s="382"/>
      <c r="AG378" s="382"/>
      <c r="AH378" s="382"/>
      <c r="AI378" s="382"/>
      <c r="AJ378" s="382"/>
      <c r="AK378" s="382"/>
      <c r="AL378" s="382"/>
      <c r="AM378" s="301"/>
      <c r="AN378" s="357"/>
      <c r="AO378" s="357"/>
      <c r="AP378" s="357"/>
      <c r="AQ378" s="357"/>
      <c r="AR378" s="357"/>
      <c r="AS378" s="357"/>
      <c r="AT378" s="357"/>
      <c r="AU378" s="357"/>
      <c r="AV378" s="357"/>
      <c r="AW378" s="357"/>
      <c r="AX378" s="357"/>
      <c r="AY378" s="357"/>
      <c r="AZ378" s="357"/>
      <c r="BA378" s="357"/>
      <c r="BB378" s="357"/>
      <c r="BC378" s="357"/>
      <c r="BD378" s="357"/>
      <c r="BE378" s="358"/>
      <c r="BF378" s="358"/>
      <c r="BG378" s="358"/>
      <c r="BH378" s="358"/>
      <c r="BI378" s="358"/>
      <c r="BJ378" s="358"/>
      <c r="BK378" s="358"/>
      <c r="BL378" s="358"/>
      <c r="BM378" s="358"/>
      <c r="BN378" s="358"/>
      <c r="BO378" s="358"/>
      <c r="BP378" s="358"/>
      <c r="BQ378" s="358"/>
      <c r="BR378" s="358"/>
      <c r="BS378" s="358"/>
      <c r="BT378" s="359"/>
      <c r="BU378" s="359"/>
      <c r="BV378" s="359"/>
      <c r="BW378" s="359"/>
      <c r="BX378" s="359"/>
      <c r="BY378" s="359"/>
      <c r="BZ378" s="359"/>
      <c r="CA378" s="359"/>
      <c r="CB378" s="359"/>
      <c r="CC378" s="359"/>
    </row>
    <row r="379" spans="1:81" s="360" customFormat="1" ht="12">
      <c r="A379" s="412"/>
      <c r="B379" s="415"/>
      <c r="C379" s="475"/>
      <c r="D379" s="415"/>
      <c r="E379" s="415"/>
      <c r="F379" s="394"/>
      <c r="G379" s="395"/>
      <c r="H379" s="381"/>
      <c r="I379" s="381"/>
      <c r="J379" s="382"/>
      <c r="K379" s="382"/>
      <c r="L379" s="382"/>
      <c r="M379" s="382"/>
      <c r="N379" s="382"/>
      <c r="O379" s="382"/>
      <c r="P379" s="382"/>
      <c r="Q379" s="383"/>
      <c r="R379" s="382"/>
      <c r="S379" s="357"/>
      <c r="T379" s="382"/>
      <c r="U379" s="382"/>
      <c r="V379" s="381"/>
      <c r="W379" s="382"/>
      <c r="X379" s="382"/>
      <c r="Y379" s="382"/>
      <c r="Z379" s="382"/>
      <c r="AA379" s="382"/>
      <c r="AB379" s="382"/>
      <c r="AC379" s="381"/>
      <c r="AD379" s="382"/>
      <c r="AE379" s="382"/>
      <c r="AF379" s="382"/>
      <c r="AG379" s="382"/>
      <c r="AH379" s="382"/>
      <c r="AI379" s="382"/>
      <c r="AJ379" s="382"/>
      <c r="AK379" s="382"/>
      <c r="AL379" s="382"/>
      <c r="AM379" s="301"/>
      <c r="AN379" s="357"/>
      <c r="AO379" s="357"/>
      <c r="AP379" s="357"/>
      <c r="AQ379" s="357"/>
      <c r="AR379" s="357"/>
      <c r="AS379" s="357"/>
      <c r="AT379" s="357"/>
      <c r="AU379" s="357"/>
      <c r="AV379" s="357"/>
      <c r="AW379" s="357"/>
      <c r="AX379" s="357"/>
      <c r="AY379" s="357"/>
      <c r="AZ379" s="357"/>
      <c r="BA379" s="357"/>
      <c r="BB379" s="357"/>
      <c r="BC379" s="357"/>
      <c r="BD379" s="357"/>
      <c r="BE379" s="358"/>
      <c r="BF379" s="358"/>
      <c r="BG379" s="358"/>
      <c r="BH379" s="358"/>
      <c r="BI379" s="358"/>
      <c r="BJ379" s="358"/>
      <c r="BK379" s="358"/>
      <c r="BL379" s="358"/>
      <c r="BM379" s="358"/>
      <c r="BN379" s="358"/>
      <c r="BO379" s="358"/>
      <c r="BP379" s="358"/>
      <c r="BQ379" s="358"/>
      <c r="BR379" s="358"/>
      <c r="BS379" s="358"/>
      <c r="BT379" s="359"/>
      <c r="BU379" s="359"/>
      <c r="BV379" s="359"/>
      <c r="BW379" s="359"/>
      <c r="BX379" s="359"/>
      <c r="BY379" s="359"/>
      <c r="BZ379" s="359"/>
      <c r="CA379" s="359"/>
      <c r="CB379" s="359"/>
      <c r="CC379" s="359"/>
    </row>
    <row r="380" spans="1:81" s="360" customFormat="1" ht="12">
      <c r="A380" s="396"/>
      <c r="C380" s="410"/>
      <c r="F380" s="357"/>
      <c r="G380" s="381"/>
      <c r="H380" s="381"/>
      <c r="I380" s="381"/>
      <c r="J380" s="382"/>
      <c r="K380" s="382"/>
      <c r="L380" s="382"/>
      <c r="M380" s="382"/>
      <c r="N380" s="382"/>
      <c r="O380" s="382"/>
      <c r="P380" s="382"/>
      <c r="Q380" s="383"/>
      <c r="R380" s="382"/>
      <c r="S380" s="357"/>
      <c r="T380" s="382"/>
      <c r="U380" s="382"/>
      <c r="V380" s="381"/>
      <c r="W380" s="382"/>
      <c r="X380" s="382"/>
      <c r="Y380" s="382"/>
      <c r="Z380" s="382"/>
      <c r="AA380" s="382"/>
      <c r="AB380" s="382"/>
      <c r="AC380" s="381"/>
      <c r="AD380" s="382"/>
      <c r="AE380" s="382"/>
      <c r="AF380" s="382"/>
      <c r="AG380" s="382"/>
      <c r="AH380" s="382"/>
      <c r="AI380" s="382"/>
      <c r="AJ380" s="382"/>
      <c r="AK380" s="382"/>
      <c r="AL380" s="382"/>
      <c r="AM380" s="301"/>
      <c r="AN380" s="357"/>
      <c r="AO380" s="357"/>
      <c r="AP380" s="357"/>
      <c r="AQ380" s="357"/>
      <c r="AR380" s="357"/>
      <c r="AS380" s="357"/>
      <c r="AT380" s="357"/>
      <c r="AU380" s="357"/>
      <c r="AV380" s="357"/>
      <c r="AW380" s="357"/>
      <c r="AX380" s="357"/>
      <c r="AY380" s="357"/>
      <c r="AZ380" s="357"/>
      <c r="BA380" s="357"/>
      <c r="BB380" s="357"/>
      <c r="BC380" s="357"/>
      <c r="BD380" s="357"/>
      <c r="BE380" s="358"/>
      <c r="BF380" s="358"/>
      <c r="BG380" s="358"/>
      <c r="BH380" s="358"/>
      <c r="BI380" s="358"/>
      <c r="BJ380" s="358"/>
      <c r="BK380" s="358"/>
      <c r="BL380" s="358"/>
      <c r="BM380" s="358"/>
      <c r="BN380" s="358"/>
      <c r="BO380" s="358"/>
      <c r="BP380" s="358"/>
      <c r="BQ380" s="358"/>
      <c r="BR380" s="358"/>
      <c r="BS380" s="358"/>
      <c r="BT380" s="359"/>
      <c r="BU380" s="359"/>
      <c r="BV380" s="359"/>
      <c r="BW380" s="359"/>
      <c r="BX380" s="359"/>
      <c r="BY380" s="359"/>
      <c r="BZ380" s="359"/>
      <c r="CA380" s="359"/>
      <c r="CB380" s="359"/>
      <c r="CC380" s="359"/>
    </row>
    <row r="381" spans="1:81" s="360" customFormat="1" ht="12">
      <c r="A381" s="396" t="s">
        <v>903</v>
      </c>
      <c r="C381" s="360" t="s">
        <v>623</v>
      </c>
      <c r="D381" s="297" t="s">
        <v>904</v>
      </c>
      <c r="F381" s="357">
        <f>+'[2]Group '!K59</f>
        <v>2720942</v>
      </c>
      <c r="G381" s="381"/>
      <c r="H381" s="381"/>
      <c r="I381" s="381"/>
      <c r="J381" s="381"/>
      <c r="K381" s="381"/>
      <c r="L381" s="381"/>
      <c r="M381" s="381"/>
      <c r="N381" s="381"/>
      <c r="O381" s="381"/>
      <c r="P381" s="381"/>
      <c r="Q381" s="357"/>
      <c r="R381" s="382"/>
      <c r="S381" s="357"/>
      <c r="T381" s="382"/>
      <c r="U381" s="382"/>
      <c r="V381" s="381"/>
      <c r="W381" s="382"/>
      <c r="X381" s="381"/>
      <c r="Y381" s="381"/>
      <c r="Z381" s="381">
        <f>F381</f>
        <v>2720942</v>
      </c>
      <c r="AA381" s="381"/>
      <c r="AB381" s="381"/>
      <c r="AC381" s="381"/>
      <c r="AD381" s="381"/>
      <c r="AE381" s="381"/>
      <c r="AF381" s="381"/>
      <c r="AG381" s="381"/>
      <c r="AH381" s="381"/>
      <c r="AI381" s="381"/>
      <c r="AJ381" s="381"/>
      <c r="AK381" s="381"/>
      <c r="AL381" s="381"/>
      <c r="AM381" s="301"/>
      <c r="AN381" s="357"/>
      <c r="AO381" s="357"/>
      <c r="AP381" s="357"/>
      <c r="AQ381" s="357"/>
      <c r="AR381" s="357"/>
      <c r="AS381" s="357"/>
      <c r="AT381" s="357"/>
      <c r="AU381" s="357"/>
      <c r="AV381" s="357"/>
      <c r="AW381" s="357"/>
      <c r="AX381" s="357"/>
      <c r="AY381" s="357"/>
      <c r="AZ381" s="357"/>
      <c r="BA381" s="357"/>
      <c r="BB381" s="357"/>
      <c r="BC381" s="357"/>
      <c r="BD381" s="357"/>
      <c r="BE381" s="358"/>
      <c r="BF381" s="358"/>
      <c r="BG381" s="358"/>
      <c r="BH381" s="358"/>
      <c r="BI381" s="358"/>
      <c r="BJ381" s="358"/>
      <c r="BK381" s="358"/>
      <c r="BL381" s="358"/>
      <c r="BM381" s="358"/>
      <c r="BN381" s="358"/>
      <c r="BO381" s="358"/>
      <c r="BP381" s="358"/>
      <c r="BQ381" s="358"/>
      <c r="BR381" s="358"/>
      <c r="BS381" s="358"/>
      <c r="BT381" s="359"/>
      <c r="BU381" s="359"/>
      <c r="BV381" s="359"/>
      <c r="BW381" s="359"/>
      <c r="BX381" s="359"/>
      <c r="BY381" s="359"/>
      <c r="BZ381" s="359"/>
      <c r="CA381" s="359"/>
      <c r="CB381" s="359"/>
      <c r="CC381" s="359"/>
    </row>
    <row r="382" spans="1:81" s="360" customFormat="1" ht="12">
      <c r="A382" s="396"/>
      <c r="C382" s="297" t="s">
        <v>624</v>
      </c>
      <c r="D382" s="297" t="s">
        <v>905</v>
      </c>
      <c r="F382" s="357"/>
      <c r="G382" s="381">
        <f>F381</f>
        <v>2720942</v>
      </c>
      <c r="H382" s="381"/>
      <c r="I382" s="381"/>
      <c r="J382" s="381"/>
      <c r="K382" s="381"/>
      <c r="L382" s="381"/>
      <c r="M382" s="381"/>
      <c r="N382" s="381"/>
      <c r="O382" s="381"/>
      <c r="P382" s="381"/>
      <c r="Q382" s="357"/>
      <c r="R382" s="382"/>
      <c r="S382" s="357"/>
      <c r="T382" s="382"/>
      <c r="U382" s="382"/>
      <c r="V382" s="381"/>
      <c r="W382" s="382"/>
      <c r="X382" s="381"/>
      <c r="Y382" s="381"/>
      <c r="Z382" s="381">
        <f>-G382</f>
        <v>-2720942</v>
      </c>
      <c r="AA382" s="381"/>
      <c r="AB382" s="381"/>
      <c r="AC382" s="381"/>
      <c r="AD382" s="381"/>
      <c r="AE382" s="381"/>
      <c r="AF382" s="381"/>
      <c r="AG382" s="381"/>
      <c r="AH382" s="381"/>
      <c r="AI382" s="381"/>
      <c r="AJ382" s="381"/>
      <c r="AK382" s="381"/>
      <c r="AL382" s="381"/>
      <c r="AM382" s="301"/>
      <c r="AN382" s="357"/>
      <c r="AO382" s="357"/>
      <c r="AP382" s="357"/>
      <c r="AQ382" s="357"/>
      <c r="AR382" s="357"/>
      <c r="AS382" s="357"/>
      <c r="AT382" s="357"/>
      <c r="AU382" s="357"/>
      <c r="AV382" s="357"/>
      <c r="AW382" s="357"/>
      <c r="AX382" s="357"/>
      <c r="AY382" s="357"/>
      <c r="AZ382" s="357"/>
      <c r="BA382" s="357"/>
      <c r="BB382" s="357"/>
      <c r="BC382" s="357"/>
      <c r="BD382" s="357"/>
      <c r="BE382" s="358"/>
      <c r="BF382" s="358"/>
      <c r="BG382" s="358"/>
      <c r="BH382" s="358"/>
      <c r="BI382" s="358"/>
      <c r="BJ382" s="358"/>
      <c r="BK382" s="358"/>
      <c r="BL382" s="358"/>
      <c r="BM382" s="358"/>
      <c r="BN382" s="358"/>
      <c r="BO382" s="358"/>
      <c r="BP382" s="358"/>
      <c r="BQ382" s="358"/>
      <c r="BR382" s="358"/>
      <c r="BS382" s="358"/>
      <c r="BT382" s="359"/>
      <c r="BU382" s="359"/>
      <c r="BV382" s="359"/>
      <c r="BW382" s="359"/>
      <c r="BX382" s="359"/>
      <c r="BY382" s="359"/>
      <c r="BZ382" s="359"/>
      <c r="CA382" s="359"/>
      <c r="CB382" s="359"/>
      <c r="CC382" s="359"/>
    </row>
    <row r="383" spans="1:81" s="360" customFormat="1" ht="12">
      <c r="A383" s="396"/>
      <c r="D383" s="297" t="s">
        <v>906</v>
      </c>
      <c r="F383" s="357"/>
      <c r="G383" s="381"/>
      <c r="H383" s="381"/>
      <c r="I383" s="381"/>
      <c r="J383" s="381"/>
      <c r="K383" s="381"/>
      <c r="L383" s="381"/>
      <c r="M383" s="381"/>
      <c r="N383" s="381"/>
      <c r="O383" s="381"/>
      <c r="P383" s="381"/>
      <c r="Q383" s="357"/>
      <c r="R383" s="382"/>
      <c r="S383" s="357"/>
      <c r="T383" s="382"/>
      <c r="U383" s="382"/>
      <c r="V383" s="381"/>
      <c r="W383" s="382"/>
      <c r="X383" s="381"/>
      <c r="Y383" s="381"/>
      <c r="Z383" s="381"/>
      <c r="AA383" s="381"/>
      <c r="AB383" s="381"/>
      <c r="AC383" s="381"/>
      <c r="AD383" s="381"/>
      <c r="AE383" s="381"/>
      <c r="AF383" s="381"/>
      <c r="AG383" s="381"/>
      <c r="AH383" s="381"/>
      <c r="AI383" s="381"/>
      <c r="AJ383" s="381"/>
      <c r="AK383" s="381"/>
      <c r="AL383" s="381"/>
      <c r="AM383" s="301"/>
      <c r="AN383" s="357"/>
      <c r="AO383" s="357"/>
      <c r="AP383" s="357"/>
      <c r="AQ383" s="357"/>
      <c r="AR383" s="357"/>
      <c r="AS383" s="357"/>
      <c r="AT383" s="357"/>
      <c r="AU383" s="357"/>
      <c r="AV383" s="357"/>
      <c r="AW383" s="357"/>
      <c r="AX383" s="357"/>
      <c r="AY383" s="357"/>
      <c r="AZ383" s="357"/>
      <c r="BA383" s="357"/>
      <c r="BB383" s="357"/>
      <c r="BC383" s="357"/>
      <c r="BD383" s="357"/>
      <c r="BE383" s="358"/>
      <c r="BF383" s="358"/>
      <c r="BG383" s="358"/>
      <c r="BH383" s="358"/>
      <c r="BI383" s="358"/>
      <c r="BJ383" s="358"/>
      <c r="BK383" s="358"/>
      <c r="BL383" s="358"/>
      <c r="BM383" s="358"/>
      <c r="BN383" s="358"/>
      <c r="BO383" s="358"/>
      <c r="BP383" s="358"/>
      <c r="BQ383" s="358"/>
      <c r="BR383" s="358"/>
      <c r="BS383" s="358"/>
      <c r="BT383" s="359"/>
      <c r="BU383" s="359"/>
      <c r="BV383" s="359"/>
      <c r="BW383" s="359"/>
      <c r="BX383" s="359"/>
      <c r="BY383" s="359"/>
      <c r="BZ383" s="359"/>
      <c r="CA383" s="359"/>
      <c r="CB383" s="359"/>
      <c r="CC383" s="359"/>
    </row>
    <row r="384" spans="1:81" s="360" customFormat="1" ht="12">
      <c r="A384" s="396"/>
      <c r="D384" s="297"/>
      <c r="F384" s="357"/>
      <c r="G384" s="381"/>
      <c r="H384" s="381"/>
      <c r="I384" s="381"/>
      <c r="J384" s="381"/>
      <c r="K384" s="381"/>
      <c r="L384" s="381"/>
      <c r="M384" s="381"/>
      <c r="N384" s="381"/>
      <c r="O384" s="381"/>
      <c r="P384" s="381"/>
      <c r="Q384" s="357"/>
      <c r="R384" s="382"/>
      <c r="S384" s="357"/>
      <c r="T384" s="382"/>
      <c r="U384" s="382"/>
      <c r="V384" s="381"/>
      <c r="W384" s="382"/>
      <c r="X384" s="381"/>
      <c r="Y384" s="381"/>
      <c r="Z384" s="381"/>
      <c r="AA384" s="381"/>
      <c r="AB384" s="381"/>
      <c r="AC384" s="381"/>
      <c r="AD384" s="381"/>
      <c r="AE384" s="381"/>
      <c r="AF384" s="381"/>
      <c r="AG384" s="381"/>
      <c r="AH384" s="381"/>
      <c r="AI384" s="381"/>
      <c r="AJ384" s="381"/>
      <c r="AK384" s="381"/>
      <c r="AL384" s="381"/>
      <c r="AM384" s="301"/>
      <c r="AN384" s="357"/>
      <c r="AO384" s="357"/>
      <c r="AP384" s="357"/>
      <c r="AQ384" s="357"/>
      <c r="AR384" s="357"/>
      <c r="AS384" s="357"/>
      <c r="AT384" s="357"/>
      <c r="AU384" s="357"/>
      <c r="AV384" s="357"/>
      <c r="AW384" s="357"/>
      <c r="AX384" s="357"/>
      <c r="AY384" s="357"/>
      <c r="AZ384" s="357"/>
      <c r="BA384" s="357"/>
      <c r="BB384" s="357"/>
      <c r="BC384" s="357"/>
      <c r="BD384" s="357"/>
      <c r="BE384" s="358"/>
      <c r="BF384" s="358"/>
      <c r="BG384" s="358"/>
      <c r="BH384" s="358"/>
      <c r="BI384" s="358"/>
      <c r="BJ384" s="358"/>
      <c r="BK384" s="358"/>
      <c r="BL384" s="358"/>
      <c r="BM384" s="358"/>
      <c r="BN384" s="358"/>
      <c r="BO384" s="358"/>
      <c r="BP384" s="358"/>
      <c r="BQ384" s="358"/>
      <c r="BR384" s="358"/>
      <c r="BS384" s="358"/>
      <c r="BT384" s="359"/>
      <c r="BU384" s="359"/>
      <c r="BV384" s="359"/>
      <c r="BW384" s="359"/>
      <c r="BX384" s="359"/>
      <c r="BY384" s="359"/>
      <c r="BZ384" s="359"/>
      <c r="CA384" s="359"/>
      <c r="CB384" s="359"/>
      <c r="CC384" s="359"/>
    </row>
    <row r="385" spans="1:81" s="360" customFormat="1" ht="12">
      <c r="A385" s="412"/>
      <c r="B385" s="415"/>
      <c r="C385" s="415"/>
      <c r="D385" s="393"/>
      <c r="E385" s="415"/>
      <c r="F385" s="394"/>
      <c r="G385" s="395"/>
      <c r="H385" s="381"/>
      <c r="I385" s="381"/>
      <c r="J385" s="381"/>
      <c r="K385" s="381"/>
      <c r="L385" s="381"/>
      <c r="M385" s="381"/>
      <c r="N385" s="381"/>
      <c r="O385" s="381"/>
      <c r="P385" s="381"/>
      <c r="Q385" s="357"/>
      <c r="R385" s="382"/>
      <c r="S385" s="357"/>
      <c r="T385" s="382"/>
      <c r="U385" s="382"/>
      <c r="V385" s="381"/>
      <c r="W385" s="382"/>
      <c r="X385" s="381"/>
      <c r="Y385" s="381"/>
      <c r="Z385" s="381"/>
      <c r="AA385" s="381"/>
      <c r="AB385" s="381"/>
      <c r="AC385" s="381"/>
      <c r="AD385" s="381"/>
      <c r="AE385" s="381"/>
      <c r="AF385" s="381"/>
      <c r="AG385" s="381"/>
      <c r="AH385" s="381"/>
      <c r="AI385" s="381"/>
      <c r="AJ385" s="381"/>
      <c r="AK385" s="381"/>
      <c r="AL385" s="381"/>
      <c r="AM385" s="301"/>
      <c r="AN385" s="357"/>
      <c r="AO385" s="357"/>
      <c r="AP385" s="357"/>
      <c r="AQ385" s="357"/>
      <c r="AR385" s="357"/>
      <c r="AS385" s="357"/>
      <c r="AT385" s="357"/>
      <c r="AU385" s="357"/>
      <c r="AV385" s="357"/>
      <c r="AW385" s="357"/>
      <c r="AX385" s="357"/>
      <c r="AY385" s="357"/>
      <c r="AZ385" s="357"/>
      <c r="BA385" s="357"/>
      <c r="BB385" s="357"/>
      <c r="BC385" s="357"/>
      <c r="BD385" s="357"/>
      <c r="BE385" s="358"/>
      <c r="BF385" s="358"/>
      <c r="BG385" s="358"/>
      <c r="BH385" s="358"/>
      <c r="BI385" s="358"/>
      <c r="BJ385" s="358"/>
      <c r="BK385" s="358"/>
      <c r="BL385" s="358"/>
      <c r="BM385" s="358"/>
      <c r="BN385" s="358"/>
      <c r="BO385" s="358"/>
      <c r="BP385" s="358"/>
      <c r="BQ385" s="358"/>
      <c r="BR385" s="358"/>
      <c r="BS385" s="358"/>
      <c r="BT385" s="359"/>
      <c r="BU385" s="359"/>
      <c r="BV385" s="359"/>
      <c r="BW385" s="359"/>
      <c r="BX385" s="359"/>
      <c r="BY385" s="359"/>
      <c r="BZ385" s="359"/>
      <c r="CA385" s="359"/>
      <c r="CB385" s="359"/>
      <c r="CC385" s="359"/>
    </row>
    <row r="386" spans="1:81" s="360" customFormat="1" ht="12">
      <c r="A386" s="396"/>
      <c r="D386" s="300"/>
      <c r="F386" s="357"/>
      <c r="G386" s="381"/>
      <c r="H386" s="381"/>
      <c r="I386" s="381"/>
      <c r="J386" s="381"/>
      <c r="K386" s="381"/>
      <c r="L386" s="381"/>
      <c r="M386" s="381"/>
      <c r="N386" s="381"/>
      <c r="O386" s="381"/>
      <c r="P386" s="381"/>
      <c r="Q386" s="357"/>
      <c r="R386" s="382"/>
      <c r="S386" s="357"/>
      <c r="T386" s="382"/>
      <c r="U386" s="382"/>
      <c r="V386" s="381"/>
      <c r="W386" s="382"/>
      <c r="X386" s="381"/>
      <c r="Y386" s="381"/>
      <c r="Z386" s="381"/>
      <c r="AA386" s="381"/>
      <c r="AB386" s="381"/>
      <c r="AC386" s="381"/>
      <c r="AD386" s="381"/>
      <c r="AE386" s="381"/>
      <c r="AF386" s="381"/>
      <c r="AG386" s="381"/>
      <c r="AH386" s="381"/>
      <c r="AI386" s="381"/>
      <c r="AJ386" s="381"/>
      <c r="AK386" s="381"/>
      <c r="AL386" s="381"/>
      <c r="AM386" s="301"/>
      <c r="AN386" s="357"/>
      <c r="AO386" s="357"/>
      <c r="AP386" s="357"/>
      <c r="AQ386" s="357"/>
      <c r="AR386" s="357"/>
      <c r="AS386" s="357"/>
      <c r="AT386" s="357"/>
      <c r="AU386" s="357"/>
      <c r="AV386" s="357"/>
      <c r="AW386" s="357"/>
      <c r="AX386" s="357"/>
      <c r="AY386" s="357"/>
      <c r="AZ386" s="357"/>
      <c r="BA386" s="357"/>
      <c r="BB386" s="357"/>
      <c r="BC386" s="357"/>
      <c r="BD386" s="357"/>
      <c r="BE386" s="358"/>
      <c r="BF386" s="358"/>
      <c r="BG386" s="358"/>
      <c r="BH386" s="358"/>
      <c r="BI386" s="358"/>
      <c r="BJ386" s="358"/>
      <c r="BK386" s="358"/>
      <c r="BL386" s="358"/>
      <c r="BM386" s="358"/>
      <c r="BN386" s="358"/>
      <c r="BO386" s="358"/>
      <c r="BP386" s="358"/>
      <c r="BQ386" s="358"/>
      <c r="BR386" s="358"/>
      <c r="BS386" s="358"/>
      <c r="BT386" s="359"/>
      <c r="BU386" s="359"/>
      <c r="BV386" s="359"/>
      <c r="BW386" s="359"/>
      <c r="BX386" s="359"/>
      <c r="BY386" s="359"/>
      <c r="BZ386" s="359"/>
      <c r="CA386" s="359"/>
      <c r="CB386" s="359"/>
      <c r="CC386" s="359"/>
    </row>
    <row r="387" spans="1:81" s="360" customFormat="1" ht="12">
      <c r="A387" s="396" t="s">
        <v>907</v>
      </c>
      <c r="C387" s="360" t="s">
        <v>623</v>
      </c>
      <c r="D387" s="300" t="s">
        <v>908</v>
      </c>
      <c r="F387" s="453">
        <f>ROUND((+'[2]Group '!J31*0.3),0)</f>
        <v>-78240</v>
      </c>
      <c r="G387" s="381"/>
      <c r="H387" s="381"/>
      <c r="I387" s="381"/>
      <c r="J387" s="381"/>
      <c r="K387" s="381"/>
      <c r="L387" s="381"/>
      <c r="M387" s="381"/>
      <c r="N387" s="381"/>
      <c r="O387" s="381"/>
      <c r="P387" s="381"/>
      <c r="Q387" s="357"/>
      <c r="R387" s="382"/>
      <c r="S387" s="357"/>
      <c r="T387" s="382"/>
      <c r="U387" s="382"/>
      <c r="V387" s="381"/>
      <c r="W387" s="382"/>
      <c r="X387" s="381"/>
      <c r="Y387" s="381"/>
      <c r="Z387" s="381"/>
      <c r="AA387" s="381"/>
      <c r="AB387" s="381"/>
      <c r="AC387" s="381"/>
      <c r="AD387" s="381"/>
      <c r="AE387" s="381"/>
      <c r="AF387" s="381"/>
      <c r="AG387" s="381"/>
      <c r="AH387" s="381"/>
      <c r="AI387" s="381"/>
      <c r="AJ387" s="381">
        <f>+F387</f>
        <v>-78240</v>
      </c>
      <c r="AK387" s="381"/>
      <c r="AL387" s="381"/>
      <c r="AM387" s="301"/>
      <c r="AN387" s="357"/>
      <c r="AO387" s="357"/>
      <c r="AP387" s="357"/>
      <c r="AQ387" s="357"/>
      <c r="AR387" s="357"/>
      <c r="AS387" s="357"/>
      <c r="AT387" s="357"/>
      <c r="AU387" s="357"/>
      <c r="AV387" s="357"/>
      <c r="AW387" s="357"/>
      <c r="AX387" s="357"/>
      <c r="AY387" s="357"/>
      <c r="AZ387" s="357"/>
      <c r="BA387" s="357"/>
      <c r="BB387" s="357"/>
      <c r="BC387" s="357"/>
      <c r="BD387" s="357"/>
      <c r="BE387" s="358"/>
      <c r="BF387" s="358"/>
      <c r="BG387" s="358"/>
      <c r="BH387" s="358"/>
      <c r="BI387" s="358"/>
      <c r="BJ387" s="358"/>
      <c r="BK387" s="358"/>
      <c r="BL387" s="358"/>
      <c r="BM387" s="358"/>
      <c r="BN387" s="358"/>
      <c r="BO387" s="358"/>
      <c r="BP387" s="358"/>
      <c r="BQ387" s="358"/>
      <c r="BR387" s="358"/>
      <c r="BS387" s="358"/>
      <c r="BT387" s="359"/>
      <c r="BU387" s="359"/>
      <c r="BV387" s="359"/>
      <c r="BW387" s="359"/>
      <c r="BX387" s="359"/>
      <c r="BY387" s="359"/>
      <c r="BZ387" s="359"/>
      <c r="CA387" s="359"/>
      <c r="CB387" s="359"/>
      <c r="CC387" s="359"/>
    </row>
    <row r="388" spans="1:81" s="360" customFormat="1" ht="12">
      <c r="A388" s="396"/>
      <c r="D388" s="300" t="s">
        <v>832</v>
      </c>
      <c r="F388" s="357"/>
      <c r="G388" s="381"/>
      <c r="H388" s="381"/>
      <c r="I388" s="381"/>
      <c r="J388" s="381"/>
      <c r="K388" s="381"/>
      <c r="L388" s="381"/>
      <c r="M388" s="381"/>
      <c r="N388" s="381"/>
      <c r="O388" s="381"/>
      <c r="P388" s="381"/>
      <c r="Q388" s="357"/>
      <c r="R388" s="382"/>
      <c r="S388" s="357"/>
      <c r="T388" s="382"/>
      <c r="U388" s="382"/>
      <c r="V388" s="381"/>
      <c r="W388" s="382"/>
      <c r="X388" s="381"/>
      <c r="Y388" s="381"/>
      <c r="Z388" s="381"/>
      <c r="AA388" s="381"/>
      <c r="AB388" s="381"/>
      <c r="AC388" s="381"/>
      <c r="AD388" s="381"/>
      <c r="AE388" s="381"/>
      <c r="AF388" s="381"/>
      <c r="AG388" s="381"/>
      <c r="AH388" s="381"/>
      <c r="AI388" s="381"/>
      <c r="AJ388" s="381"/>
      <c r="AK388" s="381"/>
      <c r="AL388" s="381"/>
      <c r="AM388" s="301"/>
      <c r="AN388" s="357"/>
      <c r="AO388" s="357"/>
      <c r="AP388" s="357"/>
      <c r="AQ388" s="357"/>
      <c r="AR388" s="357"/>
      <c r="AS388" s="357"/>
      <c r="AT388" s="357"/>
      <c r="AU388" s="357"/>
      <c r="AV388" s="357"/>
      <c r="AW388" s="357"/>
      <c r="AX388" s="357"/>
      <c r="AY388" s="357"/>
      <c r="AZ388" s="357"/>
      <c r="BA388" s="357"/>
      <c r="BB388" s="357"/>
      <c r="BC388" s="357"/>
      <c r="BD388" s="357"/>
      <c r="BE388" s="358"/>
      <c r="BF388" s="358"/>
      <c r="BG388" s="358"/>
      <c r="BH388" s="358"/>
      <c r="BI388" s="358"/>
      <c r="BJ388" s="358"/>
      <c r="BK388" s="358"/>
      <c r="BL388" s="358"/>
      <c r="BM388" s="358"/>
      <c r="BN388" s="358"/>
      <c r="BO388" s="358"/>
      <c r="BP388" s="358"/>
      <c r="BQ388" s="358"/>
      <c r="BR388" s="358"/>
      <c r="BS388" s="358"/>
      <c r="BT388" s="359"/>
      <c r="BU388" s="359"/>
      <c r="BV388" s="359"/>
      <c r="BW388" s="359"/>
      <c r="BX388" s="359"/>
      <c r="BY388" s="359"/>
      <c r="BZ388" s="359"/>
      <c r="CA388" s="359"/>
      <c r="CB388" s="359"/>
      <c r="CC388" s="359"/>
    </row>
    <row r="389" spans="1:81" s="360" customFormat="1" ht="12">
      <c r="A389" s="396"/>
      <c r="C389" s="360" t="s">
        <v>624</v>
      </c>
      <c r="D389" s="300" t="s">
        <v>833</v>
      </c>
      <c r="F389" s="357"/>
      <c r="G389" s="381">
        <f>+F387</f>
        <v>-78240</v>
      </c>
      <c r="H389" s="381"/>
      <c r="I389" s="381"/>
      <c r="J389" s="381"/>
      <c r="K389" s="381"/>
      <c r="L389" s="381"/>
      <c r="M389" s="381"/>
      <c r="N389" s="381"/>
      <c r="O389" s="381"/>
      <c r="P389" s="381"/>
      <c r="Q389" s="357"/>
      <c r="R389" s="382"/>
      <c r="S389" s="357"/>
      <c r="T389" s="382"/>
      <c r="U389" s="382">
        <f>-G389</f>
        <v>78240</v>
      </c>
      <c r="V389" s="381"/>
      <c r="W389" s="382"/>
      <c r="X389" s="381"/>
      <c r="Y389" s="381"/>
      <c r="Z389" s="381"/>
      <c r="AA389" s="381"/>
      <c r="AB389" s="381"/>
      <c r="AC389" s="381"/>
      <c r="AD389" s="381"/>
      <c r="AE389" s="381"/>
      <c r="AF389" s="381"/>
      <c r="AG389" s="381"/>
      <c r="AH389" s="381"/>
      <c r="AI389" s="381"/>
      <c r="AJ389" s="381"/>
      <c r="AK389" s="381"/>
      <c r="AL389" s="381"/>
      <c r="AM389" s="301"/>
      <c r="AN389" s="357"/>
      <c r="AO389" s="357"/>
      <c r="AP389" s="357"/>
      <c r="AQ389" s="357"/>
      <c r="AR389" s="357"/>
      <c r="AS389" s="357"/>
      <c r="AT389" s="357"/>
      <c r="AU389" s="357"/>
      <c r="AV389" s="357"/>
      <c r="AW389" s="357"/>
      <c r="AX389" s="357"/>
      <c r="AY389" s="357"/>
      <c r="AZ389" s="357"/>
      <c r="BA389" s="357"/>
      <c r="BB389" s="357"/>
      <c r="BC389" s="357"/>
      <c r="BD389" s="357"/>
      <c r="BE389" s="358"/>
      <c r="BF389" s="358"/>
      <c r="BG389" s="358"/>
      <c r="BH389" s="358"/>
      <c r="BI389" s="358"/>
      <c r="BJ389" s="358"/>
      <c r="BK389" s="358"/>
      <c r="BL389" s="358"/>
      <c r="BM389" s="358"/>
      <c r="BN389" s="358"/>
      <c r="BO389" s="358"/>
      <c r="BP389" s="358"/>
      <c r="BQ389" s="358"/>
      <c r="BR389" s="358"/>
      <c r="BS389" s="358"/>
      <c r="BT389" s="359"/>
      <c r="BU389" s="359"/>
      <c r="BV389" s="359"/>
      <c r="BW389" s="359"/>
      <c r="BX389" s="359"/>
      <c r="BY389" s="359"/>
      <c r="BZ389" s="359"/>
      <c r="CA389" s="359"/>
      <c r="CB389" s="359"/>
      <c r="CC389" s="359"/>
    </row>
    <row r="390" spans="1:81" s="360" customFormat="1" ht="12">
      <c r="A390" s="396"/>
      <c r="F390" s="357"/>
      <c r="G390" s="381"/>
      <c r="H390" s="381"/>
      <c r="I390" s="381"/>
      <c r="J390" s="381"/>
      <c r="K390" s="381"/>
      <c r="L390" s="381"/>
      <c r="M390" s="381"/>
      <c r="N390" s="381"/>
      <c r="O390" s="381"/>
      <c r="P390" s="381"/>
      <c r="Q390" s="357"/>
      <c r="R390" s="382"/>
      <c r="S390" s="357"/>
      <c r="T390" s="382"/>
      <c r="U390" s="382"/>
      <c r="V390" s="381"/>
      <c r="W390" s="382"/>
      <c r="X390" s="381"/>
      <c r="Y390" s="381"/>
      <c r="Z390" s="381"/>
      <c r="AA390" s="381"/>
      <c r="AB390" s="381"/>
      <c r="AC390" s="381"/>
      <c r="AD390" s="381"/>
      <c r="AE390" s="381"/>
      <c r="AF390" s="381"/>
      <c r="AG390" s="381"/>
      <c r="AH390" s="381"/>
      <c r="AI390" s="381"/>
      <c r="AJ390" s="381"/>
      <c r="AK390" s="381"/>
      <c r="AL390" s="381"/>
      <c r="AM390" s="301"/>
      <c r="AN390" s="357"/>
      <c r="AO390" s="357"/>
      <c r="AP390" s="357"/>
      <c r="AQ390" s="357"/>
      <c r="AR390" s="357"/>
      <c r="AS390" s="357"/>
      <c r="AT390" s="357"/>
      <c r="AU390" s="357"/>
      <c r="AV390" s="357"/>
      <c r="AW390" s="357"/>
      <c r="AX390" s="357"/>
      <c r="AY390" s="357"/>
      <c r="AZ390" s="357"/>
      <c r="BA390" s="357"/>
      <c r="BB390" s="357"/>
      <c r="BC390" s="357"/>
      <c r="BD390" s="357"/>
      <c r="BE390" s="358"/>
      <c r="BF390" s="358"/>
      <c r="BG390" s="358"/>
      <c r="BH390" s="358"/>
      <c r="BI390" s="358"/>
      <c r="BJ390" s="358"/>
      <c r="BK390" s="358"/>
      <c r="BL390" s="358"/>
      <c r="BM390" s="358"/>
      <c r="BN390" s="358"/>
      <c r="BO390" s="358"/>
      <c r="BP390" s="358"/>
      <c r="BQ390" s="358"/>
      <c r="BR390" s="358"/>
      <c r="BS390" s="358"/>
      <c r="BT390" s="359"/>
      <c r="BU390" s="359"/>
      <c r="BV390" s="359"/>
      <c r="BW390" s="359"/>
      <c r="BX390" s="359"/>
      <c r="BY390" s="359"/>
      <c r="BZ390" s="359"/>
      <c r="CA390" s="359"/>
      <c r="CB390" s="359"/>
      <c r="CC390" s="359"/>
    </row>
    <row r="391" spans="1:81" s="360" customFormat="1" ht="12">
      <c r="A391" s="396"/>
      <c r="C391" s="360" t="s">
        <v>909</v>
      </c>
      <c r="D391" s="300"/>
      <c r="F391" s="357"/>
      <c r="G391" s="381"/>
      <c r="H391" s="381"/>
      <c r="I391" s="381"/>
      <c r="J391" s="381"/>
      <c r="K391" s="381"/>
      <c r="L391" s="381"/>
      <c r="M391" s="381"/>
      <c r="N391" s="381"/>
      <c r="O391" s="381"/>
      <c r="P391" s="381"/>
      <c r="Q391" s="357"/>
      <c r="R391" s="382"/>
      <c r="S391" s="357"/>
      <c r="T391" s="382"/>
      <c r="U391" s="382"/>
      <c r="V391" s="381"/>
      <c r="W391" s="382"/>
      <c r="X391" s="381"/>
      <c r="Y391" s="381"/>
      <c r="Z391" s="381"/>
      <c r="AA391" s="381"/>
      <c r="AB391" s="381"/>
      <c r="AC391" s="381"/>
      <c r="AD391" s="381"/>
      <c r="AE391" s="381"/>
      <c r="AF391" s="381"/>
      <c r="AG391" s="381"/>
      <c r="AH391" s="381"/>
      <c r="AI391" s="381"/>
      <c r="AJ391" s="381"/>
      <c r="AK391" s="381"/>
      <c r="AL391" s="381"/>
      <c r="AM391" s="301"/>
      <c r="AN391" s="357"/>
      <c r="AO391" s="357"/>
      <c r="AP391" s="357"/>
      <c r="AQ391" s="357"/>
      <c r="AR391" s="357"/>
      <c r="AS391" s="357"/>
      <c r="AT391" s="357"/>
      <c r="AU391" s="357"/>
      <c r="AV391" s="357"/>
      <c r="AW391" s="357"/>
      <c r="AX391" s="357"/>
      <c r="AY391" s="357"/>
      <c r="AZ391" s="357"/>
      <c r="BA391" s="357"/>
      <c r="BB391" s="357"/>
      <c r="BC391" s="357"/>
      <c r="BD391" s="357"/>
      <c r="BE391" s="358"/>
      <c r="BF391" s="358"/>
      <c r="BG391" s="358"/>
      <c r="BH391" s="358"/>
      <c r="BI391" s="358"/>
      <c r="BJ391" s="358"/>
      <c r="BK391" s="358"/>
      <c r="BL391" s="358"/>
      <c r="BM391" s="358"/>
      <c r="BN391" s="358"/>
      <c r="BO391" s="358"/>
      <c r="BP391" s="358"/>
      <c r="BQ391" s="358"/>
      <c r="BR391" s="358"/>
      <c r="BS391" s="358"/>
      <c r="BT391" s="359"/>
      <c r="BU391" s="359"/>
      <c r="BV391" s="359"/>
      <c r="BW391" s="359"/>
      <c r="BX391" s="359"/>
      <c r="BY391" s="359"/>
      <c r="BZ391" s="359"/>
      <c r="CA391" s="359"/>
      <c r="CB391" s="359"/>
      <c r="CC391" s="359"/>
    </row>
    <row r="392" spans="1:81" s="360" customFormat="1" ht="12">
      <c r="A392" s="396"/>
      <c r="C392" s="350"/>
      <c r="D392" s="299"/>
      <c r="F392" s="357"/>
      <c r="G392" s="381"/>
      <c r="H392" s="381"/>
      <c r="I392" s="381"/>
      <c r="J392" s="381"/>
      <c r="K392" s="381"/>
      <c r="L392" s="381"/>
      <c r="M392" s="381"/>
      <c r="N392" s="381"/>
      <c r="O392" s="381"/>
      <c r="P392" s="381"/>
      <c r="Q392" s="357"/>
      <c r="R392" s="382"/>
      <c r="S392" s="357"/>
      <c r="T392" s="382"/>
      <c r="U392" s="382"/>
      <c r="V392" s="381"/>
      <c r="W392" s="382"/>
      <c r="X392" s="381"/>
      <c r="Y392" s="381"/>
      <c r="Z392" s="381"/>
      <c r="AA392" s="381"/>
      <c r="AB392" s="381"/>
      <c r="AC392" s="381"/>
      <c r="AD392" s="381"/>
      <c r="AE392" s="381"/>
      <c r="AF392" s="381"/>
      <c r="AG392" s="381"/>
      <c r="AH392" s="381"/>
      <c r="AI392" s="381"/>
      <c r="AJ392" s="381"/>
      <c r="AK392" s="381"/>
      <c r="AL392" s="381"/>
      <c r="AM392" s="301"/>
      <c r="AN392" s="357"/>
      <c r="AO392" s="357"/>
      <c r="AP392" s="357"/>
      <c r="AQ392" s="357"/>
      <c r="AR392" s="357"/>
      <c r="AS392" s="357"/>
      <c r="AT392" s="357"/>
      <c r="AU392" s="357"/>
      <c r="AV392" s="357"/>
      <c r="AW392" s="357"/>
      <c r="AX392" s="357"/>
      <c r="AY392" s="357"/>
      <c r="AZ392" s="357"/>
      <c r="BA392" s="357"/>
      <c r="BB392" s="357"/>
      <c r="BC392" s="357"/>
      <c r="BD392" s="357"/>
      <c r="BE392" s="358"/>
      <c r="BF392" s="358"/>
      <c r="BG392" s="358"/>
      <c r="BH392" s="358"/>
      <c r="BI392" s="358"/>
      <c r="BJ392" s="358"/>
      <c r="BK392" s="358"/>
      <c r="BL392" s="358"/>
      <c r="BM392" s="358"/>
      <c r="BN392" s="358"/>
      <c r="BO392" s="358"/>
      <c r="BP392" s="358"/>
      <c r="BQ392" s="358"/>
      <c r="BR392" s="358"/>
      <c r="BS392" s="358"/>
      <c r="BT392" s="359"/>
      <c r="BU392" s="359"/>
      <c r="BV392" s="359"/>
      <c r="BW392" s="359"/>
      <c r="BX392" s="359"/>
      <c r="BY392" s="359"/>
      <c r="BZ392" s="359"/>
      <c r="CA392" s="359"/>
      <c r="CB392" s="359"/>
      <c r="CC392" s="359"/>
    </row>
    <row r="393" spans="1:81" s="360" customFormat="1" ht="12">
      <c r="A393" s="396"/>
      <c r="C393" s="416" t="s">
        <v>910</v>
      </c>
      <c r="D393" s="300"/>
      <c r="F393" s="357"/>
      <c r="G393" s="381"/>
      <c r="H393" s="381"/>
      <c r="I393" s="381"/>
      <c r="J393" s="381"/>
      <c r="K393" s="381"/>
      <c r="L393" s="381"/>
      <c r="M393" s="381"/>
      <c r="N393" s="381"/>
      <c r="O393" s="381"/>
      <c r="P393" s="381"/>
      <c r="Q393" s="357"/>
      <c r="R393" s="382"/>
      <c r="S393" s="357"/>
      <c r="T393" s="382"/>
      <c r="U393" s="382"/>
      <c r="V393" s="381"/>
      <c r="W393" s="382"/>
      <c r="X393" s="381"/>
      <c r="Y393" s="381"/>
      <c r="Z393" s="381"/>
      <c r="AA393" s="381"/>
      <c r="AB393" s="381"/>
      <c r="AC393" s="381"/>
      <c r="AD393" s="381"/>
      <c r="AE393" s="381"/>
      <c r="AF393" s="381"/>
      <c r="AG393" s="381"/>
      <c r="AH393" s="381"/>
      <c r="AI393" s="381"/>
      <c r="AJ393" s="381"/>
      <c r="AK393" s="381"/>
      <c r="AL393" s="381"/>
      <c r="AM393" s="301"/>
      <c r="AN393" s="357"/>
      <c r="AO393" s="357"/>
      <c r="AP393" s="357"/>
      <c r="AQ393" s="357"/>
      <c r="AR393" s="357"/>
      <c r="AS393" s="357"/>
      <c r="AT393" s="357"/>
      <c r="AU393" s="357"/>
      <c r="AV393" s="357"/>
      <c r="AW393" s="357"/>
      <c r="AX393" s="357"/>
      <c r="AY393" s="357"/>
      <c r="AZ393" s="357"/>
      <c r="BA393" s="357"/>
      <c r="BB393" s="357"/>
      <c r="BC393" s="357"/>
      <c r="BD393" s="357"/>
      <c r="BE393" s="358"/>
      <c r="BF393" s="358"/>
      <c r="BG393" s="358"/>
      <c r="BH393" s="358"/>
      <c r="BI393" s="358"/>
      <c r="BJ393" s="358"/>
      <c r="BK393" s="358"/>
      <c r="BL393" s="358"/>
      <c r="BM393" s="358"/>
      <c r="BN393" s="358"/>
      <c r="BO393" s="358"/>
      <c r="BP393" s="358"/>
      <c r="BQ393" s="358"/>
      <c r="BR393" s="358"/>
      <c r="BS393" s="358"/>
      <c r="BT393" s="359"/>
      <c r="BU393" s="359"/>
      <c r="BV393" s="359"/>
      <c r="BW393" s="359"/>
      <c r="BX393" s="359"/>
      <c r="BY393" s="359"/>
      <c r="BZ393" s="359"/>
      <c r="CA393" s="359"/>
      <c r="CB393" s="359"/>
      <c r="CC393" s="359"/>
    </row>
    <row r="394" spans="1:81" s="360" customFormat="1" ht="12">
      <c r="A394" s="396"/>
      <c r="C394" s="350" t="s">
        <v>623</v>
      </c>
      <c r="D394" s="299" t="s">
        <v>908</v>
      </c>
      <c r="F394" s="418">
        <f>IF(F387&lt;0,-F387,0)</f>
        <v>78240</v>
      </c>
      <c r="G394" s="381"/>
      <c r="H394" s="381"/>
      <c r="I394" s="381"/>
      <c r="J394" s="381"/>
      <c r="K394" s="381"/>
      <c r="L394" s="381"/>
      <c r="M394" s="381"/>
      <c r="N394" s="381"/>
      <c r="O394" s="381"/>
      <c r="P394" s="381"/>
      <c r="Q394" s="357"/>
      <c r="R394" s="382"/>
      <c r="S394" s="357"/>
      <c r="T394" s="382"/>
      <c r="U394" s="382"/>
      <c r="V394" s="381"/>
      <c r="W394" s="382"/>
      <c r="X394" s="381"/>
      <c r="Y394" s="381"/>
      <c r="Z394" s="381"/>
      <c r="AA394" s="381"/>
      <c r="AB394" s="381"/>
      <c r="AC394" s="381"/>
      <c r="AD394" s="381"/>
      <c r="AE394" s="381"/>
      <c r="AF394" s="381"/>
      <c r="AG394" s="381"/>
      <c r="AH394" s="381"/>
      <c r="AI394" s="381"/>
      <c r="AJ394" s="381">
        <f>+F394</f>
        <v>78240</v>
      </c>
      <c r="AK394" s="381"/>
      <c r="AL394" s="381"/>
      <c r="AM394" s="301"/>
      <c r="AN394" s="357"/>
      <c r="AO394" s="357"/>
      <c r="AP394" s="357"/>
      <c r="AQ394" s="357"/>
      <c r="AR394" s="357"/>
      <c r="AS394" s="357"/>
      <c r="AT394" s="357"/>
      <c r="AU394" s="357"/>
      <c r="AV394" s="357"/>
      <c r="AW394" s="357"/>
      <c r="AX394" s="357"/>
      <c r="AY394" s="357"/>
      <c r="AZ394" s="357"/>
      <c r="BA394" s="357"/>
      <c r="BB394" s="357"/>
      <c r="BC394" s="357"/>
      <c r="BD394" s="357"/>
      <c r="BE394" s="358"/>
      <c r="BF394" s="358"/>
      <c r="BG394" s="358"/>
      <c r="BH394" s="358"/>
      <c r="BI394" s="358"/>
      <c r="BJ394" s="358"/>
      <c r="BK394" s="358"/>
      <c r="BL394" s="358"/>
      <c r="BM394" s="358"/>
      <c r="BN394" s="358"/>
      <c r="BO394" s="358"/>
      <c r="BP394" s="358"/>
      <c r="BQ394" s="358"/>
      <c r="BR394" s="358"/>
      <c r="BS394" s="358"/>
      <c r="BT394" s="359"/>
      <c r="BU394" s="359"/>
      <c r="BV394" s="359"/>
      <c r="BW394" s="359"/>
      <c r="BX394" s="359"/>
      <c r="BY394" s="359"/>
      <c r="BZ394" s="359"/>
      <c r="CA394" s="359"/>
      <c r="CB394" s="359"/>
      <c r="CC394" s="359"/>
    </row>
    <row r="395" spans="1:81" s="360" customFormat="1" ht="12">
      <c r="A395" s="396"/>
      <c r="C395" s="350" t="s">
        <v>624</v>
      </c>
      <c r="D395" s="299" t="s">
        <v>833</v>
      </c>
      <c r="F395" s="357"/>
      <c r="G395" s="424">
        <f>+F394</f>
        <v>78240</v>
      </c>
      <c r="H395" s="381"/>
      <c r="I395" s="381"/>
      <c r="J395" s="381"/>
      <c r="K395" s="381"/>
      <c r="L395" s="381"/>
      <c r="M395" s="381"/>
      <c r="N395" s="381"/>
      <c r="O395" s="381"/>
      <c r="P395" s="381"/>
      <c r="Q395" s="357"/>
      <c r="R395" s="382"/>
      <c r="S395" s="357"/>
      <c r="T395" s="382"/>
      <c r="U395" s="382">
        <f>-G395</f>
        <v>-78240</v>
      </c>
      <c r="V395" s="381"/>
      <c r="W395" s="382"/>
      <c r="X395" s="381"/>
      <c r="Y395" s="381"/>
      <c r="Z395" s="381"/>
      <c r="AA395" s="381"/>
      <c r="AB395" s="381"/>
      <c r="AC395" s="381"/>
      <c r="AD395" s="381"/>
      <c r="AE395" s="381"/>
      <c r="AF395" s="381"/>
      <c r="AG395" s="381"/>
      <c r="AH395" s="381"/>
      <c r="AI395" s="381"/>
      <c r="AJ395" s="381"/>
      <c r="AK395" s="381"/>
      <c r="AL395" s="381"/>
      <c r="AM395" s="301"/>
      <c r="AN395" s="357"/>
      <c r="AO395" s="357"/>
      <c r="AP395" s="357"/>
      <c r="AQ395" s="357"/>
      <c r="AR395" s="357"/>
      <c r="AS395" s="357"/>
      <c r="AT395" s="357"/>
      <c r="AU395" s="357"/>
      <c r="AV395" s="357"/>
      <c r="AW395" s="357"/>
      <c r="AX395" s="357"/>
      <c r="AY395" s="357"/>
      <c r="AZ395" s="357"/>
      <c r="BA395" s="357"/>
      <c r="BB395" s="357"/>
      <c r="BC395" s="357"/>
      <c r="BD395" s="357"/>
      <c r="BE395" s="358"/>
      <c r="BF395" s="358"/>
      <c r="BG395" s="358"/>
      <c r="BH395" s="358"/>
      <c r="BI395" s="358"/>
      <c r="BJ395" s="358"/>
      <c r="BK395" s="358"/>
      <c r="BL395" s="358"/>
      <c r="BM395" s="358"/>
      <c r="BN395" s="358"/>
      <c r="BO395" s="358"/>
      <c r="BP395" s="358"/>
      <c r="BQ395" s="358"/>
      <c r="BR395" s="358"/>
      <c r="BS395" s="358"/>
      <c r="BT395" s="359"/>
      <c r="BU395" s="359"/>
      <c r="BV395" s="359"/>
      <c r="BW395" s="359"/>
      <c r="BX395" s="359"/>
      <c r="BY395" s="359"/>
      <c r="BZ395" s="359"/>
      <c r="CA395" s="359"/>
      <c r="CB395" s="359"/>
      <c r="CC395" s="359"/>
    </row>
    <row r="396" spans="1:81" s="360" customFormat="1" ht="12">
      <c r="A396" s="396"/>
      <c r="D396" s="300"/>
      <c r="F396" s="357"/>
      <c r="G396" s="381"/>
      <c r="H396" s="381"/>
      <c r="I396" s="381"/>
      <c r="J396" s="381"/>
      <c r="K396" s="381"/>
      <c r="L396" s="381"/>
      <c r="M396" s="381"/>
      <c r="N396" s="381"/>
      <c r="O396" s="381"/>
      <c r="P396" s="381"/>
      <c r="Q396" s="357"/>
      <c r="R396" s="382"/>
      <c r="S396" s="357"/>
      <c r="T396" s="382"/>
      <c r="U396" s="382"/>
      <c r="V396" s="381"/>
      <c r="W396" s="382"/>
      <c r="X396" s="381"/>
      <c r="Y396" s="381"/>
      <c r="Z396" s="381"/>
      <c r="AA396" s="381"/>
      <c r="AB396" s="381"/>
      <c r="AC396" s="381"/>
      <c r="AD396" s="381"/>
      <c r="AE396" s="381"/>
      <c r="AF396" s="381"/>
      <c r="AG396" s="381"/>
      <c r="AH396" s="381"/>
      <c r="AI396" s="381"/>
      <c r="AJ396" s="381"/>
      <c r="AK396" s="381"/>
      <c r="AL396" s="381"/>
      <c r="AM396" s="301"/>
      <c r="AN396" s="357"/>
      <c r="AO396" s="357"/>
      <c r="AP396" s="357"/>
      <c r="AQ396" s="357"/>
      <c r="AR396" s="357"/>
      <c r="AS396" s="357"/>
      <c r="AT396" s="357"/>
      <c r="AU396" s="357"/>
      <c r="AV396" s="357"/>
      <c r="AW396" s="357"/>
      <c r="AX396" s="357"/>
      <c r="AY396" s="357"/>
      <c r="AZ396" s="357"/>
      <c r="BA396" s="357"/>
      <c r="BB396" s="357"/>
      <c r="BC396" s="357"/>
      <c r="BD396" s="357"/>
      <c r="BE396" s="358"/>
      <c r="BF396" s="358"/>
      <c r="BG396" s="358"/>
      <c r="BH396" s="358"/>
      <c r="BI396" s="358"/>
      <c r="BJ396" s="358"/>
      <c r="BK396" s="358"/>
      <c r="BL396" s="358"/>
      <c r="BM396" s="358"/>
      <c r="BN396" s="358"/>
      <c r="BO396" s="358"/>
      <c r="BP396" s="358"/>
      <c r="BQ396" s="358"/>
      <c r="BR396" s="358"/>
      <c r="BS396" s="358"/>
      <c r="BT396" s="359"/>
      <c r="BU396" s="359"/>
      <c r="BV396" s="359"/>
      <c r="BW396" s="359"/>
      <c r="BX396" s="359"/>
      <c r="BY396" s="359"/>
      <c r="BZ396" s="359"/>
      <c r="CA396" s="359"/>
      <c r="CB396" s="359"/>
      <c r="CC396" s="359"/>
    </row>
    <row r="397" spans="1:81" s="360" customFormat="1" ht="12">
      <c r="A397" s="396"/>
      <c r="D397" s="300"/>
      <c r="F397" s="357"/>
      <c r="G397" s="381"/>
      <c r="H397" s="381"/>
      <c r="I397" s="381"/>
      <c r="J397" s="381"/>
      <c r="K397" s="381"/>
      <c r="L397" s="381"/>
      <c r="M397" s="381"/>
      <c r="N397" s="381"/>
      <c r="O397" s="381"/>
      <c r="P397" s="381"/>
      <c r="Q397" s="357"/>
      <c r="R397" s="382"/>
      <c r="S397" s="357"/>
      <c r="T397" s="382"/>
      <c r="U397" s="382"/>
      <c r="V397" s="381"/>
      <c r="W397" s="382"/>
      <c r="X397" s="381"/>
      <c r="Y397" s="381"/>
      <c r="Z397" s="381"/>
      <c r="AA397" s="381"/>
      <c r="AB397" s="381"/>
      <c r="AC397" s="381"/>
      <c r="AD397" s="381"/>
      <c r="AE397" s="381"/>
      <c r="AF397" s="381"/>
      <c r="AG397" s="381"/>
      <c r="AH397" s="381"/>
      <c r="AI397" s="381"/>
      <c r="AJ397" s="381"/>
      <c r="AK397" s="381"/>
      <c r="AL397" s="381"/>
      <c r="AM397" s="301"/>
      <c r="AN397" s="357"/>
      <c r="AO397" s="357"/>
      <c r="AP397" s="357"/>
      <c r="AQ397" s="357"/>
      <c r="AR397" s="357"/>
      <c r="AS397" s="357"/>
      <c r="AT397" s="357"/>
      <c r="AU397" s="357"/>
      <c r="AV397" s="357"/>
      <c r="AW397" s="357"/>
      <c r="AX397" s="357"/>
      <c r="AY397" s="357"/>
      <c r="AZ397" s="357"/>
      <c r="BA397" s="357"/>
      <c r="BB397" s="357"/>
      <c r="BC397" s="357"/>
      <c r="BD397" s="357"/>
      <c r="BE397" s="358"/>
      <c r="BF397" s="358"/>
      <c r="BG397" s="358"/>
      <c r="BH397" s="358"/>
      <c r="BI397" s="358"/>
      <c r="BJ397" s="358"/>
      <c r="BK397" s="358"/>
      <c r="BL397" s="358"/>
      <c r="BM397" s="358"/>
      <c r="BN397" s="358"/>
      <c r="BO397" s="358"/>
      <c r="BP397" s="358"/>
      <c r="BQ397" s="358"/>
      <c r="BR397" s="358"/>
      <c r="BS397" s="358"/>
      <c r="BT397" s="359"/>
      <c r="BU397" s="359"/>
      <c r="BV397" s="359"/>
      <c r="BW397" s="359"/>
      <c r="BX397" s="359"/>
      <c r="BY397" s="359"/>
      <c r="BZ397" s="359"/>
      <c r="CA397" s="359"/>
      <c r="CB397" s="359"/>
      <c r="CC397" s="359"/>
    </row>
    <row r="398" spans="1:81" s="360" customFormat="1" ht="12">
      <c r="A398" s="396" t="s">
        <v>911</v>
      </c>
      <c r="C398" s="350" t="s">
        <v>756</v>
      </c>
      <c r="D398" s="300"/>
      <c r="F398" s="418"/>
      <c r="G398" s="424"/>
      <c r="H398" s="381"/>
      <c r="I398" s="381"/>
      <c r="J398" s="381"/>
      <c r="K398" s="381"/>
      <c r="L398" s="381"/>
      <c r="M398" s="381"/>
      <c r="N398" s="381"/>
      <c r="O398" s="381"/>
      <c r="P398" s="381"/>
      <c r="Q398" s="357"/>
      <c r="R398" s="382"/>
      <c r="S398" s="357"/>
      <c r="T398" s="382"/>
      <c r="U398" s="382"/>
      <c r="V398" s="381"/>
      <c r="W398" s="382"/>
      <c r="X398" s="381"/>
      <c r="Y398" s="381"/>
      <c r="Z398" s="381"/>
      <c r="AA398" s="381"/>
      <c r="AB398" s="381"/>
      <c r="AC398" s="381"/>
      <c r="AD398" s="381"/>
      <c r="AE398" s="381"/>
      <c r="AF398" s="381"/>
      <c r="AG398" s="381"/>
      <c r="AH398" s="381"/>
      <c r="AI398" s="381"/>
      <c r="AJ398" s="381"/>
      <c r="AK398" s="381"/>
      <c r="AL398" s="381"/>
      <c r="AM398" s="301"/>
      <c r="AN398" s="357"/>
      <c r="AO398" s="357"/>
      <c r="AP398" s="357"/>
      <c r="AQ398" s="357"/>
      <c r="AR398" s="357"/>
      <c r="AS398" s="357"/>
      <c r="AT398" s="357"/>
      <c r="AU398" s="357"/>
      <c r="AV398" s="357"/>
      <c r="AW398" s="357"/>
      <c r="AX398" s="357"/>
      <c r="AY398" s="357"/>
      <c r="AZ398" s="357"/>
      <c r="BA398" s="357"/>
      <c r="BB398" s="357"/>
      <c r="BC398" s="357"/>
      <c r="BD398" s="357"/>
      <c r="BE398" s="358"/>
      <c r="BF398" s="358"/>
      <c r="BG398" s="358"/>
      <c r="BH398" s="358"/>
      <c r="BI398" s="358"/>
      <c r="BJ398" s="358"/>
      <c r="BK398" s="358"/>
      <c r="BL398" s="358"/>
      <c r="BM398" s="358"/>
      <c r="BN398" s="358"/>
      <c r="BO398" s="358"/>
      <c r="BP398" s="358"/>
      <c r="BQ398" s="358"/>
      <c r="BR398" s="358"/>
      <c r="BS398" s="358"/>
      <c r="BT398" s="359"/>
      <c r="BU398" s="359"/>
      <c r="BV398" s="359"/>
      <c r="BW398" s="359"/>
      <c r="BX398" s="359"/>
      <c r="BY398" s="359"/>
      <c r="BZ398" s="359"/>
      <c r="CA398" s="359"/>
      <c r="CB398" s="359"/>
      <c r="CC398" s="359"/>
    </row>
    <row r="399" spans="1:81" s="360" customFormat="1" ht="12">
      <c r="A399" s="396"/>
      <c r="C399" s="360" t="s">
        <v>623</v>
      </c>
      <c r="D399" s="300" t="s">
        <v>757</v>
      </c>
      <c r="F399" s="473">
        <f>-0.49*F414</f>
        <v>539000</v>
      </c>
      <c r="G399" s="381"/>
      <c r="H399" s="381"/>
      <c r="I399" s="381"/>
      <c r="J399" s="381"/>
      <c r="K399" s="381"/>
      <c r="L399" s="381"/>
      <c r="M399" s="381"/>
      <c r="N399" s="381"/>
      <c r="O399" s="381"/>
      <c r="P399" s="381"/>
      <c r="Q399" s="357"/>
      <c r="R399" s="382"/>
      <c r="S399" s="357"/>
      <c r="T399" s="382"/>
      <c r="U399" s="382"/>
      <c r="V399" s="381"/>
      <c r="W399" s="382"/>
      <c r="X399" s="381"/>
      <c r="Y399" s="381"/>
      <c r="Z399" s="381"/>
      <c r="AA399" s="381"/>
      <c r="AB399" s="381"/>
      <c r="AC399" s="381"/>
      <c r="AD399" s="381"/>
      <c r="AE399" s="381"/>
      <c r="AF399" s="381"/>
      <c r="AG399" s="381"/>
      <c r="AH399" s="381"/>
      <c r="AI399" s="381">
        <f>+F399</f>
        <v>539000</v>
      </c>
      <c r="AJ399" s="381"/>
      <c r="AK399" s="381"/>
      <c r="AL399" s="381"/>
      <c r="AM399" s="301"/>
      <c r="AN399" s="357"/>
      <c r="AO399" s="357"/>
      <c r="AP399" s="357"/>
      <c r="AQ399" s="357"/>
      <c r="AR399" s="357"/>
      <c r="AS399" s="357"/>
      <c r="AT399" s="357"/>
      <c r="AU399" s="357"/>
      <c r="AV399" s="357"/>
      <c r="AW399" s="357"/>
      <c r="AX399" s="357"/>
      <c r="AY399" s="357"/>
      <c r="AZ399" s="357"/>
      <c r="BA399" s="357"/>
      <c r="BB399" s="357"/>
      <c r="BC399" s="357"/>
      <c r="BD399" s="357"/>
      <c r="BE399" s="358"/>
      <c r="BF399" s="358"/>
      <c r="BG399" s="358"/>
      <c r="BH399" s="358"/>
      <c r="BI399" s="358"/>
      <c r="BJ399" s="358"/>
      <c r="BK399" s="358"/>
      <c r="BL399" s="358"/>
      <c r="BM399" s="358"/>
      <c r="BN399" s="358"/>
      <c r="BO399" s="358"/>
      <c r="BP399" s="358"/>
      <c r="BQ399" s="358"/>
      <c r="BR399" s="358"/>
      <c r="BS399" s="358"/>
      <c r="BT399" s="359"/>
      <c r="BU399" s="359"/>
      <c r="BV399" s="359"/>
      <c r="BW399" s="359"/>
      <c r="BX399" s="359"/>
      <c r="BY399" s="359"/>
      <c r="BZ399" s="359"/>
      <c r="CA399" s="359"/>
      <c r="CB399" s="359"/>
      <c r="CC399" s="359"/>
    </row>
    <row r="400" spans="1:81" s="360" customFormat="1" ht="12">
      <c r="A400" s="396"/>
      <c r="D400" s="300" t="s">
        <v>758</v>
      </c>
      <c r="F400" s="357"/>
      <c r="G400" s="381"/>
      <c r="H400" s="381"/>
      <c r="I400" s="381"/>
      <c r="J400" s="381"/>
      <c r="K400" s="381"/>
      <c r="L400" s="381"/>
      <c r="M400" s="381"/>
      <c r="N400" s="381"/>
      <c r="O400" s="381"/>
      <c r="P400" s="381"/>
      <c r="Q400" s="357"/>
      <c r="R400" s="382"/>
      <c r="S400" s="357"/>
      <c r="T400" s="382"/>
      <c r="U400" s="382"/>
      <c r="V400" s="381"/>
      <c r="W400" s="382"/>
      <c r="X400" s="381"/>
      <c r="Y400" s="381"/>
      <c r="Z400" s="381"/>
      <c r="AA400" s="381"/>
      <c r="AB400" s="381"/>
      <c r="AC400" s="381"/>
      <c r="AD400" s="381"/>
      <c r="AE400" s="381"/>
      <c r="AF400" s="381"/>
      <c r="AG400" s="381"/>
      <c r="AH400" s="381"/>
      <c r="AI400" s="381"/>
      <c r="AJ400" s="381"/>
      <c r="AK400" s="381"/>
      <c r="AL400" s="381"/>
      <c r="AM400" s="301"/>
      <c r="AN400" s="357"/>
      <c r="AO400" s="357"/>
      <c r="AP400" s="357"/>
      <c r="AQ400" s="357"/>
      <c r="AR400" s="357"/>
      <c r="AS400" s="357"/>
      <c r="AT400" s="357"/>
      <c r="AU400" s="357"/>
      <c r="AV400" s="357"/>
      <c r="AW400" s="357"/>
      <c r="AX400" s="357"/>
      <c r="AY400" s="357"/>
      <c r="AZ400" s="357"/>
      <c r="BA400" s="357"/>
      <c r="BB400" s="357"/>
      <c r="BC400" s="357"/>
      <c r="BD400" s="357"/>
      <c r="BE400" s="358"/>
      <c r="BF400" s="358"/>
      <c r="BG400" s="358"/>
      <c r="BH400" s="358"/>
      <c r="BI400" s="358"/>
      <c r="BJ400" s="358"/>
      <c r="BK400" s="358"/>
      <c r="BL400" s="358"/>
      <c r="BM400" s="358"/>
      <c r="BN400" s="358"/>
      <c r="BO400" s="358"/>
      <c r="BP400" s="358"/>
      <c r="BQ400" s="358"/>
      <c r="BR400" s="358"/>
      <c r="BS400" s="358"/>
      <c r="BT400" s="359"/>
      <c r="BU400" s="359"/>
      <c r="BV400" s="359"/>
      <c r="BW400" s="359"/>
      <c r="BX400" s="359"/>
      <c r="BY400" s="359"/>
      <c r="BZ400" s="359"/>
      <c r="CA400" s="359"/>
      <c r="CB400" s="359"/>
      <c r="CC400" s="359"/>
    </row>
    <row r="401" spans="1:81" s="360" customFormat="1" ht="12">
      <c r="A401" s="396"/>
      <c r="D401" s="300" t="str">
        <f>"49% x RM"&amp;ROUND(-F414,0)</f>
        <v>49% x RM1100000</v>
      </c>
      <c r="F401" s="357"/>
      <c r="G401" s="381"/>
      <c r="H401" s="381"/>
      <c r="I401" s="381"/>
      <c r="J401" s="381"/>
      <c r="K401" s="381"/>
      <c r="L401" s="381"/>
      <c r="M401" s="381"/>
      <c r="N401" s="381"/>
      <c r="O401" s="381"/>
      <c r="P401" s="381"/>
      <c r="Q401" s="357"/>
      <c r="R401" s="382"/>
      <c r="S401" s="357"/>
      <c r="T401" s="382"/>
      <c r="U401" s="382"/>
      <c r="V401" s="381"/>
      <c r="W401" s="382"/>
      <c r="X401" s="381"/>
      <c r="Y401" s="381"/>
      <c r="Z401" s="381"/>
      <c r="AA401" s="381"/>
      <c r="AB401" s="381"/>
      <c r="AC401" s="381"/>
      <c r="AD401" s="381"/>
      <c r="AE401" s="381"/>
      <c r="AF401" s="381"/>
      <c r="AG401" s="381"/>
      <c r="AH401" s="381"/>
      <c r="AI401" s="381"/>
      <c r="AJ401" s="381"/>
      <c r="AK401" s="381"/>
      <c r="AL401" s="381"/>
      <c r="AM401" s="301"/>
      <c r="AN401" s="357"/>
      <c r="AO401" s="357"/>
      <c r="AP401" s="357"/>
      <c r="AQ401" s="357"/>
      <c r="AR401" s="357"/>
      <c r="AS401" s="357"/>
      <c r="AT401" s="357"/>
      <c r="AU401" s="357"/>
      <c r="AV401" s="357"/>
      <c r="AW401" s="357"/>
      <c r="AX401" s="357"/>
      <c r="AY401" s="357"/>
      <c r="AZ401" s="357"/>
      <c r="BA401" s="357"/>
      <c r="BB401" s="357"/>
      <c r="BC401" s="357"/>
      <c r="BD401" s="357"/>
      <c r="BE401" s="358"/>
      <c r="BF401" s="358"/>
      <c r="BG401" s="358"/>
      <c r="BH401" s="358"/>
      <c r="BI401" s="358"/>
      <c r="BJ401" s="358"/>
      <c r="BK401" s="358"/>
      <c r="BL401" s="358"/>
      <c r="BM401" s="358"/>
      <c r="BN401" s="358"/>
      <c r="BO401" s="358"/>
      <c r="BP401" s="358"/>
      <c r="BQ401" s="358"/>
      <c r="BR401" s="358"/>
      <c r="BS401" s="358"/>
      <c r="BT401" s="359"/>
      <c r="BU401" s="359"/>
      <c r="BV401" s="359"/>
      <c r="BW401" s="359"/>
      <c r="BX401" s="359"/>
      <c r="BY401" s="359"/>
      <c r="BZ401" s="359"/>
      <c r="CA401" s="359"/>
      <c r="CB401" s="359"/>
      <c r="CC401" s="359"/>
    </row>
    <row r="402" spans="1:81" s="360" customFormat="1" ht="12">
      <c r="A402" s="396"/>
      <c r="C402" s="360" t="s">
        <v>623</v>
      </c>
      <c r="D402" s="300" t="s">
        <v>745</v>
      </c>
      <c r="F402" s="476">
        <f>0.49*F415</f>
        <v>1090250</v>
      </c>
      <c r="G402" s="381"/>
      <c r="H402" s="381"/>
      <c r="I402" s="381">
        <f>+F402</f>
        <v>1090250</v>
      </c>
      <c r="J402" s="381"/>
      <c r="K402" s="381"/>
      <c r="L402" s="381"/>
      <c r="M402" s="381"/>
      <c r="N402" s="381"/>
      <c r="O402" s="381"/>
      <c r="P402" s="381"/>
      <c r="Q402" s="357"/>
      <c r="R402" s="382"/>
      <c r="S402" s="357"/>
      <c r="T402" s="382"/>
      <c r="U402" s="382"/>
      <c r="V402" s="381"/>
      <c r="W402" s="382"/>
      <c r="X402" s="381"/>
      <c r="Y402" s="381"/>
      <c r="Z402" s="381"/>
      <c r="AA402" s="381"/>
      <c r="AB402" s="381"/>
      <c r="AC402" s="381"/>
      <c r="AD402" s="381"/>
      <c r="AE402" s="381"/>
      <c r="AF402" s="381"/>
      <c r="AG402" s="381"/>
      <c r="AH402" s="381"/>
      <c r="AI402" s="381"/>
      <c r="AJ402" s="381"/>
      <c r="AK402" s="381"/>
      <c r="AL402" s="381"/>
      <c r="AM402" s="301"/>
      <c r="AN402" s="357"/>
      <c r="AO402" s="357"/>
      <c r="AP402" s="357"/>
      <c r="AQ402" s="357"/>
      <c r="AR402" s="357"/>
      <c r="AS402" s="357"/>
      <c r="AT402" s="357"/>
      <c r="AU402" s="357"/>
      <c r="AV402" s="357"/>
      <c r="AW402" s="357"/>
      <c r="AX402" s="357"/>
      <c r="AY402" s="357"/>
      <c r="AZ402" s="357"/>
      <c r="BA402" s="357"/>
      <c r="BB402" s="357"/>
      <c r="BC402" s="357"/>
      <c r="BD402" s="357"/>
      <c r="BE402" s="358"/>
      <c r="BF402" s="358"/>
      <c r="BG402" s="358"/>
      <c r="BH402" s="358"/>
      <c r="BI402" s="358"/>
      <c r="BJ402" s="358"/>
      <c r="BK402" s="358"/>
      <c r="BL402" s="358"/>
      <c r="BM402" s="358"/>
      <c r="BN402" s="358"/>
      <c r="BO402" s="358"/>
      <c r="BP402" s="358"/>
      <c r="BQ402" s="358"/>
      <c r="BR402" s="358"/>
      <c r="BS402" s="358"/>
      <c r="BT402" s="359"/>
      <c r="BU402" s="359"/>
      <c r="BV402" s="359"/>
      <c r="BW402" s="359"/>
      <c r="BX402" s="359"/>
      <c r="BY402" s="359"/>
      <c r="BZ402" s="359"/>
      <c r="CA402" s="359"/>
      <c r="CB402" s="359"/>
      <c r="CC402" s="359"/>
    </row>
    <row r="403" spans="1:81" s="360" customFormat="1" ht="12">
      <c r="A403" s="396"/>
      <c r="D403" s="300" t="s">
        <v>760</v>
      </c>
      <c r="F403" s="357"/>
      <c r="G403" s="381"/>
      <c r="H403" s="381"/>
      <c r="I403" s="381"/>
      <c r="J403" s="381"/>
      <c r="K403" s="381"/>
      <c r="L403" s="381"/>
      <c r="M403" s="381"/>
      <c r="N403" s="381"/>
      <c r="O403" s="381"/>
      <c r="P403" s="381"/>
      <c r="Q403" s="357"/>
      <c r="R403" s="382"/>
      <c r="S403" s="357"/>
      <c r="T403" s="382"/>
      <c r="U403" s="382"/>
      <c r="V403" s="381"/>
      <c r="W403" s="382"/>
      <c r="X403" s="381"/>
      <c r="Y403" s="381"/>
      <c r="Z403" s="381"/>
      <c r="AA403" s="381"/>
      <c r="AB403" s="381"/>
      <c r="AC403" s="381"/>
      <c r="AD403" s="381"/>
      <c r="AE403" s="381"/>
      <c r="AF403" s="381"/>
      <c r="AG403" s="381"/>
      <c r="AH403" s="381"/>
      <c r="AI403" s="381"/>
      <c r="AJ403" s="381"/>
      <c r="AK403" s="381"/>
      <c r="AL403" s="381"/>
      <c r="AM403" s="301"/>
      <c r="AN403" s="357"/>
      <c r="AO403" s="357"/>
      <c r="AP403" s="357"/>
      <c r="AQ403" s="357"/>
      <c r="AR403" s="357"/>
      <c r="AS403" s="357"/>
      <c r="AT403" s="357"/>
      <c r="AU403" s="357"/>
      <c r="AV403" s="357"/>
      <c r="AW403" s="357"/>
      <c r="AX403" s="357"/>
      <c r="AY403" s="357"/>
      <c r="AZ403" s="357"/>
      <c r="BA403" s="357"/>
      <c r="BB403" s="357"/>
      <c r="BC403" s="357"/>
      <c r="BD403" s="357"/>
      <c r="BE403" s="358"/>
      <c r="BF403" s="358"/>
      <c r="BG403" s="358"/>
      <c r="BH403" s="358"/>
      <c r="BI403" s="358"/>
      <c r="BJ403" s="358"/>
      <c r="BK403" s="358"/>
      <c r="BL403" s="358"/>
      <c r="BM403" s="358"/>
      <c r="BN403" s="358"/>
      <c r="BO403" s="358"/>
      <c r="BP403" s="358"/>
      <c r="BQ403" s="358"/>
      <c r="BR403" s="358"/>
      <c r="BS403" s="358"/>
      <c r="BT403" s="359"/>
      <c r="BU403" s="359"/>
      <c r="BV403" s="359"/>
      <c r="BW403" s="359"/>
      <c r="BX403" s="359"/>
      <c r="BY403" s="359"/>
      <c r="BZ403" s="359"/>
      <c r="CA403" s="359"/>
      <c r="CB403" s="359"/>
      <c r="CC403" s="359"/>
    </row>
    <row r="404" spans="1:81" s="360" customFormat="1" ht="12">
      <c r="A404" s="396"/>
      <c r="D404" s="300" t="str">
        <f>"49% x RM"&amp;ROUND(F415,0)</f>
        <v>49% x RM2225000</v>
      </c>
      <c r="F404" s="357"/>
      <c r="G404" s="381"/>
      <c r="H404" s="381"/>
      <c r="I404" s="381"/>
      <c r="J404" s="381"/>
      <c r="K404" s="381"/>
      <c r="L404" s="381"/>
      <c r="M404" s="381"/>
      <c r="N404" s="381"/>
      <c r="O404" s="381"/>
      <c r="P404" s="381"/>
      <c r="Q404" s="357"/>
      <c r="R404" s="382"/>
      <c r="S404" s="357"/>
      <c r="T404" s="382"/>
      <c r="U404" s="382"/>
      <c r="V404" s="381"/>
      <c r="W404" s="382"/>
      <c r="X404" s="381"/>
      <c r="Y404" s="381"/>
      <c r="Z404" s="381"/>
      <c r="AA404" s="381"/>
      <c r="AB404" s="381"/>
      <c r="AC404" s="381"/>
      <c r="AD404" s="381"/>
      <c r="AE404" s="381"/>
      <c r="AF404" s="381"/>
      <c r="AG404" s="381"/>
      <c r="AH404" s="381"/>
      <c r="AI404" s="381"/>
      <c r="AJ404" s="381"/>
      <c r="AK404" s="381"/>
      <c r="AL404" s="381"/>
      <c r="AM404" s="301"/>
      <c r="AN404" s="357"/>
      <c r="AO404" s="357"/>
      <c r="AP404" s="357"/>
      <c r="AQ404" s="357"/>
      <c r="AR404" s="357"/>
      <c r="AS404" s="357"/>
      <c r="AT404" s="357"/>
      <c r="AU404" s="357"/>
      <c r="AV404" s="357"/>
      <c r="AW404" s="357"/>
      <c r="AX404" s="357"/>
      <c r="AY404" s="357"/>
      <c r="AZ404" s="357"/>
      <c r="BA404" s="357"/>
      <c r="BB404" s="357"/>
      <c r="BC404" s="357"/>
      <c r="BD404" s="357"/>
      <c r="BE404" s="358"/>
      <c r="BF404" s="358"/>
      <c r="BG404" s="358"/>
      <c r="BH404" s="358"/>
      <c r="BI404" s="358"/>
      <c r="BJ404" s="358"/>
      <c r="BK404" s="358"/>
      <c r="BL404" s="358"/>
      <c r="BM404" s="358"/>
      <c r="BN404" s="358"/>
      <c r="BO404" s="358"/>
      <c r="BP404" s="358"/>
      <c r="BQ404" s="358"/>
      <c r="BR404" s="358"/>
      <c r="BS404" s="358"/>
      <c r="BT404" s="359"/>
      <c r="BU404" s="359"/>
      <c r="BV404" s="359"/>
      <c r="BW404" s="359"/>
      <c r="BX404" s="359"/>
      <c r="BY404" s="359"/>
      <c r="BZ404" s="359"/>
      <c r="CA404" s="359"/>
      <c r="CB404" s="359"/>
      <c r="CC404" s="359"/>
    </row>
    <row r="405" spans="1:81" s="360" customFormat="1" ht="12">
      <c r="A405" s="396"/>
      <c r="C405" s="360" t="s">
        <v>624</v>
      </c>
      <c r="D405" s="380" t="s">
        <v>762</v>
      </c>
      <c r="F405" s="357"/>
      <c r="G405" s="477">
        <f>0.49*F413</f>
        <v>1629250</v>
      </c>
      <c r="H405" s="381"/>
      <c r="I405" s="381"/>
      <c r="J405" s="381"/>
      <c r="K405" s="381"/>
      <c r="L405" s="381"/>
      <c r="M405" s="381"/>
      <c r="N405" s="381"/>
      <c r="O405" s="381"/>
      <c r="P405" s="381"/>
      <c r="Q405" s="357"/>
      <c r="R405" s="382"/>
      <c r="S405" s="357"/>
      <c r="T405" s="382"/>
      <c r="U405" s="382"/>
      <c r="V405" s="381"/>
      <c r="W405" s="382"/>
      <c r="X405" s="381"/>
      <c r="Y405" s="381"/>
      <c r="Z405" s="381"/>
      <c r="AA405" s="381"/>
      <c r="AB405" s="381"/>
      <c r="AC405" s="381"/>
      <c r="AD405" s="381"/>
      <c r="AE405" s="381"/>
      <c r="AF405" s="381"/>
      <c r="AG405" s="381"/>
      <c r="AH405" s="381">
        <f>-G405</f>
        <v>-1629250</v>
      </c>
      <c r="AI405" s="381"/>
      <c r="AJ405" s="381"/>
      <c r="AK405" s="381"/>
      <c r="AL405" s="381"/>
      <c r="AM405" s="301"/>
      <c r="AN405" s="357"/>
      <c r="AO405" s="357"/>
      <c r="AP405" s="357"/>
      <c r="AQ405" s="357"/>
      <c r="AR405" s="357"/>
      <c r="AS405" s="357"/>
      <c r="AT405" s="357"/>
      <c r="AU405" s="357"/>
      <c r="AV405" s="357"/>
      <c r="AW405" s="357"/>
      <c r="AX405" s="357"/>
      <c r="AY405" s="357"/>
      <c r="AZ405" s="357"/>
      <c r="BA405" s="357"/>
      <c r="BB405" s="357"/>
      <c r="BC405" s="357"/>
      <c r="BD405" s="357"/>
      <c r="BE405" s="358"/>
      <c r="BF405" s="358"/>
      <c r="BG405" s="358"/>
      <c r="BH405" s="358"/>
      <c r="BI405" s="358"/>
      <c r="BJ405" s="358"/>
      <c r="BK405" s="358"/>
      <c r="BL405" s="358"/>
      <c r="BM405" s="358"/>
      <c r="BN405" s="358"/>
      <c r="BO405" s="358"/>
      <c r="BP405" s="358"/>
      <c r="BQ405" s="358"/>
      <c r="BR405" s="358"/>
      <c r="BS405" s="358"/>
      <c r="BT405" s="359"/>
      <c r="BU405" s="359"/>
      <c r="BV405" s="359"/>
      <c r="BW405" s="359"/>
      <c r="BX405" s="359"/>
      <c r="BY405" s="359"/>
      <c r="BZ405" s="359"/>
      <c r="CA405" s="359"/>
      <c r="CB405" s="359"/>
      <c r="CC405" s="359"/>
    </row>
    <row r="406" spans="1:81" s="360" customFormat="1" ht="12">
      <c r="A406" s="396"/>
      <c r="D406" s="380" t="s">
        <v>763</v>
      </c>
      <c r="F406" s="357"/>
      <c r="G406" s="381"/>
      <c r="H406" s="381"/>
      <c r="I406" s="381"/>
      <c r="J406" s="381"/>
      <c r="K406" s="381"/>
      <c r="L406" s="381"/>
      <c r="M406" s="381"/>
      <c r="N406" s="381"/>
      <c r="O406" s="381"/>
      <c r="P406" s="381"/>
      <c r="Q406" s="357"/>
      <c r="R406" s="382"/>
      <c r="S406" s="357"/>
      <c r="T406" s="382"/>
      <c r="U406" s="382"/>
      <c r="V406" s="381"/>
      <c r="W406" s="382"/>
      <c r="X406" s="381"/>
      <c r="Y406" s="381"/>
      <c r="Z406" s="381"/>
      <c r="AA406" s="381"/>
      <c r="AB406" s="381"/>
      <c r="AC406" s="381"/>
      <c r="AD406" s="381"/>
      <c r="AE406" s="381"/>
      <c r="AF406" s="381"/>
      <c r="AG406" s="381"/>
      <c r="AH406" s="381"/>
      <c r="AI406" s="381"/>
      <c r="AJ406" s="381"/>
      <c r="AK406" s="381"/>
      <c r="AL406" s="381"/>
      <c r="AM406" s="301"/>
      <c r="AN406" s="357"/>
      <c r="AO406" s="357"/>
      <c r="AP406" s="357"/>
      <c r="AQ406" s="357"/>
      <c r="AR406" s="357"/>
      <c r="AS406" s="357"/>
      <c r="AT406" s="357"/>
      <c r="AU406" s="357"/>
      <c r="AV406" s="357"/>
      <c r="AW406" s="357"/>
      <c r="AX406" s="357"/>
      <c r="AY406" s="357"/>
      <c r="AZ406" s="357"/>
      <c r="BA406" s="357"/>
      <c r="BB406" s="357"/>
      <c r="BC406" s="357"/>
      <c r="BD406" s="357"/>
      <c r="BE406" s="358"/>
      <c r="BF406" s="358"/>
      <c r="BG406" s="358"/>
      <c r="BH406" s="358"/>
      <c r="BI406" s="358"/>
      <c r="BJ406" s="358"/>
      <c r="BK406" s="358"/>
      <c r="BL406" s="358"/>
      <c r="BM406" s="358"/>
      <c r="BN406" s="358"/>
      <c r="BO406" s="358"/>
      <c r="BP406" s="358"/>
      <c r="BQ406" s="358"/>
      <c r="BR406" s="358"/>
      <c r="BS406" s="358"/>
      <c r="BT406" s="359"/>
      <c r="BU406" s="359"/>
      <c r="BV406" s="359"/>
      <c r="BW406" s="359"/>
      <c r="BX406" s="359"/>
      <c r="BY406" s="359"/>
      <c r="BZ406" s="359"/>
      <c r="CA406" s="359"/>
      <c r="CB406" s="359"/>
      <c r="CC406" s="359"/>
    </row>
    <row r="407" spans="1:81" s="360" customFormat="1" ht="12">
      <c r="A407" s="396"/>
      <c r="D407" s="300" t="str">
        <f>"       49% x RM"&amp;ROUND(F413,0)</f>
        <v>       49% x RM3325000</v>
      </c>
      <c r="F407" s="357"/>
      <c r="G407" s="381"/>
      <c r="H407" s="381"/>
      <c r="I407" s="381"/>
      <c r="J407" s="381"/>
      <c r="K407" s="381"/>
      <c r="L407" s="381"/>
      <c r="M407" s="381"/>
      <c r="N407" s="381"/>
      <c r="O407" s="381"/>
      <c r="P407" s="381"/>
      <c r="Q407" s="357"/>
      <c r="R407" s="382"/>
      <c r="S407" s="357"/>
      <c r="T407" s="382"/>
      <c r="U407" s="382"/>
      <c r="V407" s="381"/>
      <c r="W407" s="382"/>
      <c r="X407" s="381"/>
      <c r="Y407" s="381"/>
      <c r="Z407" s="381"/>
      <c r="AA407" s="381"/>
      <c r="AB407" s="381"/>
      <c r="AC407" s="381"/>
      <c r="AD407" s="381"/>
      <c r="AE407" s="381"/>
      <c r="AF407" s="381"/>
      <c r="AG407" s="381"/>
      <c r="AH407" s="381"/>
      <c r="AI407" s="381"/>
      <c r="AJ407" s="381"/>
      <c r="AK407" s="381"/>
      <c r="AL407" s="381"/>
      <c r="AM407" s="301"/>
      <c r="AN407" s="357"/>
      <c r="AO407" s="357"/>
      <c r="AP407" s="357"/>
      <c r="AQ407" s="357"/>
      <c r="AR407" s="357"/>
      <c r="AS407" s="357"/>
      <c r="AT407" s="357"/>
      <c r="AU407" s="357"/>
      <c r="AV407" s="357"/>
      <c r="AW407" s="357"/>
      <c r="AX407" s="357"/>
      <c r="AY407" s="357"/>
      <c r="AZ407" s="357"/>
      <c r="BA407" s="357"/>
      <c r="BB407" s="357"/>
      <c r="BC407" s="357"/>
      <c r="BD407" s="357"/>
      <c r="BE407" s="358"/>
      <c r="BF407" s="358"/>
      <c r="BG407" s="358"/>
      <c r="BH407" s="358"/>
      <c r="BI407" s="358"/>
      <c r="BJ407" s="358"/>
      <c r="BK407" s="358"/>
      <c r="BL407" s="358"/>
      <c r="BM407" s="358"/>
      <c r="BN407" s="358"/>
      <c r="BO407" s="358"/>
      <c r="BP407" s="358"/>
      <c r="BQ407" s="358"/>
      <c r="BR407" s="358"/>
      <c r="BS407" s="358"/>
      <c r="BT407" s="359"/>
      <c r="BU407" s="359"/>
      <c r="BV407" s="359"/>
      <c r="BW407" s="359"/>
      <c r="BX407" s="359"/>
      <c r="BY407" s="359"/>
      <c r="BZ407" s="359"/>
      <c r="CA407" s="359"/>
      <c r="CB407" s="359"/>
      <c r="CC407" s="359"/>
    </row>
    <row r="408" spans="1:81" s="360" customFormat="1" ht="12">
      <c r="A408" s="396"/>
      <c r="D408" s="380"/>
      <c r="F408" s="357"/>
      <c r="G408" s="424"/>
      <c r="H408" s="381"/>
      <c r="I408" s="381"/>
      <c r="J408" s="381"/>
      <c r="K408" s="381"/>
      <c r="L408" s="381"/>
      <c r="M408" s="381"/>
      <c r="N408" s="381"/>
      <c r="O408" s="381"/>
      <c r="P408" s="381"/>
      <c r="Q408" s="357"/>
      <c r="R408" s="382"/>
      <c r="S408" s="357"/>
      <c r="T408" s="382"/>
      <c r="U408" s="382"/>
      <c r="V408" s="381"/>
      <c r="W408" s="382"/>
      <c r="X408" s="381"/>
      <c r="Y408" s="381"/>
      <c r="Z408" s="381"/>
      <c r="AA408" s="381"/>
      <c r="AB408" s="381"/>
      <c r="AC408" s="381"/>
      <c r="AD408" s="381"/>
      <c r="AE408" s="381"/>
      <c r="AF408" s="381"/>
      <c r="AG408" s="381"/>
      <c r="AH408" s="381"/>
      <c r="AI408" s="381"/>
      <c r="AJ408" s="381"/>
      <c r="AK408" s="381"/>
      <c r="AL408" s="381"/>
      <c r="AM408" s="301"/>
      <c r="AN408" s="357"/>
      <c r="AO408" s="357"/>
      <c r="AP408" s="357"/>
      <c r="AQ408" s="357"/>
      <c r="AR408" s="357"/>
      <c r="AS408" s="357"/>
      <c r="AT408" s="357"/>
      <c r="AU408" s="357"/>
      <c r="AV408" s="357"/>
      <c r="AW408" s="357"/>
      <c r="AX408" s="357"/>
      <c r="AY408" s="357"/>
      <c r="AZ408" s="357"/>
      <c r="BA408" s="357"/>
      <c r="BB408" s="357"/>
      <c r="BC408" s="357"/>
      <c r="BD408" s="357"/>
      <c r="BE408" s="358"/>
      <c r="BF408" s="358"/>
      <c r="BG408" s="358"/>
      <c r="BH408" s="358"/>
      <c r="BI408" s="358"/>
      <c r="BJ408" s="358"/>
      <c r="BK408" s="358"/>
      <c r="BL408" s="358"/>
      <c r="BM408" s="358"/>
      <c r="BN408" s="358"/>
      <c r="BO408" s="358"/>
      <c r="BP408" s="358"/>
      <c r="BQ408" s="358"/>
      <c r="BR408" s="358"/>
      <c r="BS408" s="358"/>
      <c r="BT408" s="359"/>
      <c r="BU408" s="359"/>
      <c r="BV408" s="359"/>
      <c r="BW408" s="359"/>
      <c r="BX408" s="359"/>
      <c r="BY408" s="359"/>
      <c r="BZ408" s="359"/>
      <c r="CA408" s="359"/>
      <c r="CB408" s="359"/>
      <c r="CC408" s="359"/>
    </row>
    <row r="409" spans="1:81" s="360" customFormat="1" ht="12.75" thickBot="1">
      <c r="A409" s="396"/>
      <c r="C409" s="297"/>
      <c r="D409" s="380"/>
      <c r="F409" s="404">
        <f>SUM(F399:F407)</f>
        <v>1629250</v>
      </c>
      <c r="G409" s="405">
        <f>SUM(G399:G407)</f>
        <v>1629250</v>
      </c>
      <c r="H409" s="381"/>
      <c r="I409" s="381"/>
      <c r="J409" s="381"/>
      <c r="K409" s="381"/>
      <c r="L409" s="381"/>
      <c r="M409" s="381"/>
      <c r="N409" s="381"/>
      <c r="O409" s="381"/>
      <c r="P409" s="381"/>
      <c r="Q409" s="357"/>
      <c r="R409" s="382"/>
      <c r="S409" s="357"/>
      <c r="T409" s="382"/>
      <c r="U409" s="382"/>
      <c r="V409" s="381"/>
      <c r="W409" s="382"/>
      <c r="X409" s="381"/>
      <c r="Y409" s="381"/>
      <c r="Z409" s="381"/>
      <c r="AA409" s="381"/>
      <c r="AB409" s="381"/>
      <c r="AC409" s="381"/>
      <c r="AD409" s="381"/>
      <c r="AE409" s="381"/>
      <c r="AF409" s="381"/>
      <c r="AG409" s="381"/>
      <c r="AH409" s="381"/>
      <c r="AI409" s="381"/>
      <c r="AJ409" s="381"/>
      <c r="AK409" s="381"/>
      <c r="AL409" s="381"/>
      <c r="AM409" s="301"/>
      <c r="AN409" s="357"/>
      <c r="AO409" s="357"/>
      <c r="AP409" s="357"/>
      <c r="AQ409" s="357"/>
      <c r="AR409" s="357"/>
      <c r="AS409" s="357"/>
      <c r="AT409" s="357"/>
      <c r="AU409" s="357"/>
      <c r="AV409" s="357"/>
      <c r="AW409" s="357"/>
      <c r="AX409" s="357"/>
      <c r="AY409" s="357"/>
      <c r="AZ409" s="357"/>
      <c r="BA409" s="357"/>
      <c r="BB409" s="357"/>
      <c r="BC409" s="357"/>
      <c r="BD409" s="357"/>
      <c r="BE409" s="358"/>
      <c r="BF409" s="358"/>
      <c r="BG409" s="358"/>
      <c r="BH409" s="358"/>
      <c r="BI409" s="358"/>
      <c r="BJ409" s="358"/>
      <c r="BK409" s="358"/>
      <c r="BL409" s="358"/>
      <c r="BM409" s="358"/>
      <c r="BN409" s="358"/>
      <c r="BO409" s="358"/>
      <c r="BP409" s="358"/>
      <c r="BQ409" s="358"/>
      <c r="BR409" s="358"/>
      <c r="BS409" s="358"/>
      <c r="BT409" s="359"/>
      <c r="BU409" s="359"/>
      <c r="BV409" s="359"/>
      <c r="BW409" s="359"/>
      <c r="BX409" s="359"/>
      <c r="BY409" s="359"/>
      <c r="BZ409" s="359"/>
      <c r="CA409" s="359"/>
      <c r="CB409" s="359"/>
      <c r="CC409" s="359"/>
    </row>
    <row r="410" spans="1:81" s="360" customFormat="1" ht="12.75" thickTop="1">
      <c r="A410" s="396"/>
      <c r="F410" s="418"/>
      <c r="G410" s="424"/>
      <c r="H410" s="381"/>
      <c r="I410" s="381"/>
      <c r="J410" s="381"/>
      <c r="K410" s="381"/>
      <c r="L410" s="381"/>
      <c r="M410" s="381"/>
      <c r="N410" s="381"/>
      <c r="O410" s="381"/>
      <c r="P410" s="381"/>
      <c r="Q410" s="357"/>
      <c r="R410" s="382"/>
      <c r="S410" s="357"/>
      <c r="T410" s="382"/>
      <c r="U410" s="382"/>
      <c r="V410" s="381"/>
      <c r="W410" s="382"/>
      <c r="X410" s="381"/>
      <c r="Y410" s="381"/>
      <c r="Z410" s="381"/>
      <c r="AA410" s="381"/>
      <c r="AB410" s="381"/>
      <c r="AC410" s="381"/>
      <c r="AD410" s="381"/>
      <c r="AE410" s="381"/>
      <c r="AF410" s="381"/>
      <c r="AG410" s="381"/>
      <c r="AH410" s="381"/>
      <c r="AI410" s="381"/>
      <c r="AJ410" s="381"/>
      <c r="AK410" s="381"/>
      <c r="AL410" s="381"/>
      <c r="AM410" s="301"/>
      <c r="AN410" s="357"/>
      <c r="AO410" s="357"/>
      <c r="AP410" s="357"/>
      <c r="AQ410" s="357"/>
      <c r="AR410" s="357"/>
      <c r="AS410" s="357"/>
      <c r="AT410" s="357"/>
      <c r="AU410" s="357"/>
      <c r="AV410" s="357"/>
      <c r="AW410" s="357"/>
      <c r="AX410" s="357"/>
      <c r="AY410" s="357"/>
      <c r="AZ410" s="357"/>
      <c r="BA410" s="357"/>
      <c r="BB410" s="357"/>
      <c r="BC410" s="357"/>
      <c r="BD410" s="357"/>
      <c r="BE410" s="358"/>
      <c r="BF410" s="358"/>
      <c r="BG410" s="358"/>
      <c r="BH410" s="358"/>
      <c r="BI410" s="358"/>
      <c r="BJ410" s="358"/>
      <c r="BK410" s="358"/>
      <c r="BL410" s="358"/>
      <c r="BM410" s="358"/>
      <c r="BN410" s="358"/>
      <c r="BO410" s="358"/>
      <c r="BP410" s="358"/>
      <c r="BQ410" s="358"/>
      <c r="BR410" s="358"/>
      <c r="BS410" s="358"/>
      <c r="BT410" s="359"/>
      <c r="BU410" s="359"/>
      <c r="BV410" s="359"/>
      <c r="BW410" s="359"/>
      <c r="BX410" s="359"/>
      <c r="BY410" s="359"/>
      <c r="BZ410" s="359"/>
      <c r="CA410" s="359"/>
      <c r="CB410" s="359"/>
      <c r="CC410" s="359"/>
    </row>
    <row r="411" spans="1:81" s="360" customFormat="1" ht="12">
      <c r="A411" s="396"/>
      <c r="C411" s="350" t="s">
        <v>912</v>
      </c>
      <c r="F411" s="418"/>
      <c r="G411" s="424"/>
      <c r="H411" s="381"/>
      <c r="I411" s="381"/>
      <c r="J411" s="381"/>
      <c r="K411" s="381"/>
      <c r="L411" s="381"/>
      <c r="M411" s="381"/>
      <c r="N411" s="381"/>
      <c r="O411" s="381"/>
      <c r="P411" s="381"/>
      <c r="Q411" s="357"/>
      <c r="R411" s="382"/>
      <c r="S411" s="357"/>
      <c r="T411" s="382"/>
      <c r="U411" s="382"/>
      <c r="V411" s="381"/>
      <c r="W411" s="382"/>
      <c r="X411" s="381"/>
      <c r="Y411" s="381"/>
      <c r="Z411" s="381"/>
      <c r="AA411" s="381"/>
      <c r="AB411" s="381"/>
      <c r="AC411" s="381"/>
      <c r="AD411" s="381"/>
      <c r="AE411" s="381"/>
      <c r="AF411" s="381"/>
      <c r="AG411" s="381"/>
      <c r="AH411" s="381"/>
      <c r="AI411" s="381"/>
      <c r="AJ411" s="381"/>
      <c r="AK411" s="381"/>
      <c r="AL411" s="381"/>
      <c r="AM411" s="301"/>
      <c r="AN411" s="357"/>
      <c r="AO411" s="357"/>
      <c r="AP411" s="357"/>
      <c r="AQ411" s="357"/>
      <c r="AR411" s="357"/>
      <c r="AS411" s="357"/>
      <c r="AT411" s="357"/>
      <c r="AU411" s="357"/>
      <c r="AV411" s="357"/>
      <c r="AW411" s="357"/>
      <c r="AX411" s="357"/>
      <c r="AY411" s="357"/>
      <c r="AZ411" s="357"/>
      <c r="BA411" s="357"/>
      <c r="BB411" s="357"/>
      <c r="BC411" s="357"/>
      <c r="BD411" s="357"/>
      <c r="BE411" s="358"/>
      <c r="BF411" s="358"/>
      <c r="BG411" s="358"/>
      <c r="BH411" s="358"/>
      <c r="BI411" s="358"/>
      <c r="BJ411" s="358"/>
      <c r="BK411" s="358"/>
      <c r="BL411" s="358"/>
      <c r="BM411" s="358"/>
      <c r="BN411" s="358"/>
      <c r="BO411" s="358"/>
      <c r="BP411" s="358"/>
      <c r="BQ411" s="358"/>
      <c r="BR411" s="358"/>
      <c r="BS411" s="358"/>
      <c r="BT411" s="359"/>
      <c r="BU411" s="359"/>
      <c r="BV411" s="359"/>
      <c r="BW411" s="359"/>
      <c r="BX411" s="359"/>
      <c r="BY411" s="359"/>
      <c r="BZ411" s="359"/>
      <c r="CA411" s="359"/>
      <c r="CB411" s="359"/>
      <c r="CC411" s="359"/>
    </row>
    <row r="412" spans="1:81" s="360" customFormat="1" ht="12">
      <c r="A412" s="396"/>
      <c r="C412" s="360" t="s">
        <v>913</v>
      </c>
      <c r="F412" s="418"/>
      <c r="G412" s="424"/>
      <c r="H412" s="381"/>
      <c r="I412" s="381"/>
      <c r="J412" s="381"/>
      <c r="K412" s="381"/>
      <c r="L412" s="381"/>
      <c r="M412" s="381"/>
      <c r="N412" s="381"/>
      <c r="O412" s="381"/>
      <c r="P412" s="381"/>
      <c r="Q412" s="357"/>
      <c r="R412" s="382"/>
      <c r="S412" s="357"/>
      <c r="T412" s="382"/>
      <c r="U412" s="382"/>
      <c r="V412" s="381"/>
      <c r="W412" s="382"/>
      <c r="X412" s="381"/>
      <c r="Y412" s="381"/>
      <c r="Z412" s="381"/>
      <c r="AA412" s="381"/>
      <c r="AB412" s="381"/>
      <c r="AC412" s="381"/>
      <c r="AD412" s="381"/>
      <c r="AE412" s="381"/>
      <c r="AF412" s="381"/>
      <c r="AG412" s="381"/>
      <c r="AH412" s="381"/>
      <c r="AI412" s="381"/>
      <c r="AJ412" s="381"/>
      <c r="AK412" s="381"/>
      <c r="AL412" s="381"/>
      <c r="AM412" s="301"/>
      <c r="AN412" s="357"/>
      <c r="AO412" s="357"/>
      <c r="AP412" s="357"/>
      <c r="AQ412" s="357"/>
      <c r="AR412" s="357"/>
      <c r="AS412" s="357"/>
      <c r="AT412" s="357"/>
      <c r="AU412" s="357"/>
      <c r="AV412" s="357"/>
      <c r="AW412" s="357"/>
      <c r="AX412" s="357"/>
      <c r="AY412" s="357"/>
      <c r="AZ412" s="357"/>
      <c r="BA412" s="357"/>
      <c r="BB412" s="357"/>
      <c r="BC412" s="357"/>
      <c r="BD412" s="357"/>
      <c r="BE412" s="358"/>
      <c r="BF412" s="358"/>
      <c r="BG412" s="358"/>
      <c r="BH412" s="358"/>
      <c r="BI412" s="358"/>
      <c r="BJ412" s="358"/>
      <c r="BK412" s="358"/>
      <c r="BL412" s="358"/>
      <c r="BM412" s="358"/>
      <c r="BN412" s="358"/>
      <c r="BO412" s="358"/>
      <c r="BP412" s="358"/>
      <c r="BQ412" s="358"/>
      <c r="BR412" s="358"/>
      <c r="BS412" s="358"/>
      <c r="BT412" s="359"/>
      <c r="BU412" s="359"/>
      <c r="BV412" s="359"/>
      <c r="BW412" s="359"/>
      <c r="BX412" s="359"/>
      <c r="BY412" s="359"/>
      <c r="BZ412" s="359"/>
      <c r="CA412" s="359"/>
      <c r="CB412" s="359"/>
      <c r="CC412" s="359"/>
    </row>
    <row r="413" spans="1:81" s="360" customFormat="1" ht="12">
      <c r="A413" s="396"/>
      <c r="C413" s="360" t="s">
        <v>914</v>
      </c>
      <c r="D413" s="380"/>
      <c r="E413" s="357"/>
      <c r="F413" s="357">
        <v>3325000</v>
      </c>
      <c r="G413" s="381"/>
      <c r="H413" s="381"/>
      <c r="I413" s="381"/>
      <c r="J413" s="381"/>
      <c r="K413" s="381"/>
      <c r="L413" s="381"/>
      <c r="M413" s="381"/>
      <c r="N413" s="381"/>
      <c r="O413" s="381"/>
      <c r="P413" s="381"/>
      <c r="Q413" s="357"/>
      <c r="R413" s="382"/>
      <c r="S413" s="357"/>
      <c r="T413" s="382"/>
      <c r="U413" s="382"/>
      <c r="V413" s="381"/>
      <c r="W413" s="382"/>
      <c r="X413" s="381"/>
      <c r="Y413" s="381"/>
      <c r="Z413" s="381"/>
      <c r="AA413" s="381"/>
      <c r="AB413" s="381"/>
      <c r="AC413" s="381"/>
      <c r="AD413" s="381"/>
      <c r="AE413" s="381"/>
      <c r="AF413" s="381"/>
      <c r="AG413" s="381"/>
      <c r="AH413" s="381"/>
      <c r="AI413" s="381"/>
      <c r="AJ413" s="381"/>
      <c r="AK413" s="381"/>
      <c r="AL413" s="381"/>
      <c r="AM413" s="301"/>
      <c r="AN413" s="357"/>
      <c r="AO413" s="357"/>
      <c r="AP413" s="357"/>
      <c r="AQ413" s="357"/>
      <c r="AR413" s="357"/>
      <c r="AS413" s="357"/>
      <c r="AT413" s="357"/>
      <c r="AU413" s="357"/>
      <c r="AV413" s="357"/>
      <c r="AW413" s="357"/>
      <c r="AX413" s="357"/>
      <c r="AY413" s="357"/>
      <c r="AZ413" s="357"/>
      <c r="BA413" s="357"/>
      <c r="BB413" s="357"/>
      <c r="BC413" s="357"/>
      <c r="BD413" s="357"/>
      <c r="BE413" s="358"/>
      <c r="BF413" s="358"/>
      <c r="BG413" s="358"/>
      <c r="BH413" s="358"/>
      <c r="BI413" s="358"/>
      <c r="BJ413" s="358"/>
      <c r="BK413" s="358"/>
      <c r="BL413" s="358"/>
      <c r="BM413" s="358"/>
      <c r="BN413" s="358"/>
      <c r="BO413" s="358"/>
      <c r="BP413" s="358"/>
      <c r="BQ413" s="358"/>
      <c r="BR413" s="358"/>
      <c r="BS413" s="358"/>
      <c r="BT413" s="359"/>
      <c r="BU413" s="359"/>
      <c r="BV413" s="359"/>
      <c r="BW413" s="359"/>
      <c r="BX413" s="359"/>
      <c r="BY413" s="359"/>
      <c r="BZ413" s="359"/>
      <c r="CA413" s="359"/>
      <c r="CB413" s="359"/>
      <c r="CC413" s="359"/>
    </row>
    <row r="414" spans="1:81" s="360" customFormat="1" ht="12">
      <c r="A414" s="396"/>
      <c r="C414" s="360" t="s">
        <v>915</v>
      </c>
      <c r="D414" s="380"/>
      <c r="F414" s="357">
        <v>-1100000</v>
      </c>
      <c r="G414" s="381"/>
      <c r="H414" s="381"/>
      <c r="I414" s="381"/>
      <c r="J414" s="381"/>
      <c r="K414" s="381"/>
      <c r="L414" s="381"/>
      <c r="M414" s="381"/>
      <c r="N414" s="381"/>
      <c r="O414" s="381"/>
      <c r="P414" s="381"/>
      <c r="Q414" s="357"/>
      <c r="R414" s="382"/>
      <c r="S414" s="357"/>
      <c r="T414" s="382"/>
      <c r="U414" s="382"/>
      <c r="V414" s="381"/>
      <c r="W414" s="382"/>
      <c r="X414" s="381"/>
      <c r="Y414" s="381"/>
      <c r="Z414" s="381"/>
      <c r="AA414" s="381"/>
      <c r="AB414" s="381"/>
      <c r="AC414" s="381"/>
      <c r="AD414" s="381"/>
      <c r="AE414" s="381"/>
      <c r="AF414" s="381"/>
      <c r="AG414" s="381"/>
      <c r="AH414" s="381"/>
      <c r="AI414" s="381"/>
      <c r="AJ414" s="381"/>
      <c r="AK414" s="381"/>
      <c r="AL414" s="381"/>
      <c r="AM414" s="301"/>
      <c r="AN414" s="357"/>
      <c r="AO414" s="357"/>
      <c r="AP414" s="357"/>
      <c r="AQ414" s="357"/>
      <c r="AR414" s="357"/>
      <c r="AS414" s="357"/>
      <c r="AT414" s="357"/>
      <c r="AU414" s="357"/>
      <c r="AV414" s="357"/>
      <c r="AW414" s="357"/>
      <c r="AX414" s="357"/>
      <c r="AY414" s="357"/>
      <c r="AZ414" s="357"/>
      <c r="BA414" s="357"/>
      <c r="BB414" s="357"/>
      <c r="BC414" s="357"/>
      <c r="BD414" s="357"/>
      <c r="BE414" s="358"/>
      <c r="BF414" s="358"/>
      <c r="BG414" s="358"/>
      <c r="BH414" s="358"/>
      <c r="BI414" s="358"/>
      <c r="BJ414" s="358"/>
      <c r="BK414" s="358"/>
      <c r="BL414" s="358"/>
      <c r="BM414" s="358"/>
      <c r="BN414" s="358"/>
      <c r="BO414" s="358"/>
      <c r="BP414" s="358"/>
      <c r="BQ414" s="358"/>
      <c r="BR414" s="358"/>
      <c r="BS414" s="358"/>
      <c r="BT414" s="359"/>
      <c r="BU414" s="359"/>
      <c r="BV414" s="359"/>
      <c r="BW414" s="359"/>
      <c r="BX414" s="359"/>
      <c r="BY414" s="359"/>
      <c r="BZ414" s="359"/>
      <c r="CA414" s="359"/>
      <c r="CB414" s="359"/>
      <c r="CC414" s="359"/>
    </row>
    <row r="415" spans="1:81" s="360" customFormat="1" ht="12.75" thickBot="1">
      <c r="A415" s="396"/>
      <c r="C415" s="360" t="s">
        <v>916</v>
      </c>
      <c r="D415" s="380"/>
      <c r="F415" s="357">
        <f>+F413+F414</f>
        <v>2225000</v>
      </c>
      <c r="G415" s="381"/>
      <c r="H415" s="381"/>
      <c r="I415" s="381"/>
      <c r="J415" s="381"/>
      <c r="K415" s="381"/>
      <c r="L415" s="381"/>
      <c r="M415" s="381"/>
      <c r="N415" s="381"/>
      <c r="O415" s="381"/>
      <c r="P415" s="381"/>
      <c r="Q415" s="357"/>
      <c r="R415" s="382"/>
      <c r="S415" s="357"/>
      <c r="T415" s="382"/>
      <c r="U415" s="382"/>
      <c r="V415" s="381"/>
      <c r="W415" s="382"/>
      <c r="X415" s="381"/>
      <c r="Y415" s="381"/>
      <c r="Z415" s="381"/>
      <c r="AA415" s="381"/>
      <c r="AB415" s="381"/>
      <c r="AC415" s="381"/>
      <c r="AD415" s="381"/>
      <c r="AE415" s="381"/>
      <c r="AF415" s="381"/>
      <c r="AG415" s="381"/>
      <c r="AH415" s="381"/>
      <c r="AI415" s="381"/>
      <c r="AJ415" s="381"/>
      <c r="AK415" s="381"/>
      <c r="AL415" s="381"/>
      <c r="AM415" s="301"/>
      <c r="AN415" s="357"/>
      <c r="AO415" s="357"/>
      <c r="AP415" s="357"/>
      <c r="AQ415" s="357"/>
      <c r="AR415" s="357"/>
      <c r="AS415" s="357"/>
      <c r="AT415" s="357"/>
      <c r="AU415" s="357"/>
      <c r="AV415" s="357"/>
      <c r="AW415" s="357"/>
      <c r="AX415" s="357"/>
      <c r="AY415" s="357"/>
      <c r="AZ415" s="357"/>
      <c r="BA415" s="357"/>
      <c r="BB415" s="357"/>
      <c r="BC415" s="357"/>
      <c r="BD415" s="357"/>
      <c r="BE415" s="358"/>
      <c r="BF415" s="358"/>
      <c r="BG415" s="358"/>
      <c r="BH415" s="358"/>
      <c r="BI415" s="358"/>
      <c r="BJ415" s="358"/>
      <c r="BK415" s="358"/>
      <c r="BL415" s="358"/>
      <c r="BM415" s="358"/>
      <c r="BN415" s="358"/>
      <c r="BO415" s="358"/>
      <c r="BP415" s="358"/>
      <c r="BQ415" s="358"/>
      <c r="BR415" s="358"/>
      <c r="BS415" s="358"/>
      <c r="BT415" s="359"/>
      <c r="BU415" s="359"/>
      <c r="BV415" s="359"/>
      <c r="BW415" s="359"/>
      <c r="BX415" s="359"/>
      <c r="BY415" s="359"/>
      <c r="BZ415" s="359"/>
      <c r="CA415" s="359"/>
      <c r="CB415" s="359"/>
      <c r="CC415" s="359"/>
    </row>
    <row r="416" spans="1:81" s="360" customFormat="1" ht="12">
      <c r="A416" s="396"/>
      <c r="D416" s="380"/>
      <c r="F416" s="357"/>
      <c r="G416" s="381"/>
      <c r="H416" s="381"/>
      <c r="I416" s="381"/>
      <c r="J416" s="381"/>
      <c r="K416" s="381"/>
      <c r="L416" s="381"/>
      <c r="M416" s="381"/>
      <c r="N416" s="381"/>
      <c r="O416" s="381"/>
      <c r="P416" s="381"/>
      <c r="Q416" s="357"/>
      <c r="R416" s="478"/>
      <c r="S416" s="468"/>
      <c r="T416" s="381"/>
      <c r="U416" s="382"/>
      <c r="V416" s="381"/>
      <c r="W416" s="382"/>
      <c r="X416" s="381"/>
      <c r="Y416" s="381"/>
      <c r="Z416" s="381"/>
      <c r="AA416" s="381"/>
      <c r="AB416" s="381"/>
      <c r="AC416" s="381"/>
      <c r="AD416" s="381"/>
      <c r="AE416" s="381"/>
      <c r="AF416" s="381"/>
      <c r="AG416" s="381"/>
      <c r="AH416" s="381"/>
      <c r="AI416" s="381"/>
      <c r="AJ416" s="381"/>
      <c r="AK416" s="381"/>
      <c r="AL416" s="381"/>
      <c r="AM416" s="301"/>
      <c r="AN416" s="357"/>
      <c r="AO416" s="357"/>
      <c r="AP416" s="357"/>
      <c r="AQ416" s="357"/>
      <c r="AR416" s="357"/>
      <c r="AS416" s="357"/>
      <c r="AT416" s="357"/>
      <c r="AU416" s="357"/>
      <c r="AV416" s="357"/>
      <c r="AW416" s="357"/>
      <c r="AX416" s="357"/>
      <c r="AY416" s="357"/>
      <c r="AZ416" s="357"/>
      <c r="BA416" s="357"/>
      <c r="BB416" s="357"/>
      <c r="BC416" s="357"/>
      <c r="BD416" s="357"/>
      <c r="BE416" s="358"/>
      <c r="BF416" s="358"/>
      <c r="BG416" s="358"/>
      <c r="BH416" s="358"/>
      <c r="BI416" s="358"/>
      <c r="BJ416" s="358"/>
      <c r="BK416" s="358"/>
      <c r="BL416" s="358"/>
      <c r="BM416" s="358"/>
      <c r="BN416" s="358"/>
      <c r="BO416" s="358"/>
      <c r="BP416" s="358"/>
      <c r="BQ416" s="358"/>
      <c r="BR416" s="358"/>
      <c r="BS416" s="358"/>
      <c r="BT416" s="359"/>
      <c r="BU416" s="359"/>
      <c r="BV416" s="359"/>
      <c r="BW416" s="359"/>
      <c r="BX416" s="359"/>
      <c r="BY416" s="359"/>
      <c r="BZ416" s="359"/>
      <c r="CA416" s="359"/>
      <c r="CB416" s="359"/>
      <c r="CC416" s="359"/>
    </row>
    <row r="417" spans="1:81" s="360" customFormat="1" ht="12">
      <c r="A417" s="396"/>
      <c r="C417" s="360" t="s">
        <v>623</v>
      </c>
      <c r="D417" s="300" t="s">
        <v>917</v>
      </c>
      <c r="F417" s="357">
        <f>+'[2]Group '!D113</f>
        <v>784039</v>
      </c>
      <c r="G417" s="381"/>
      <c r="H417" s="381"/>
      <c r="I417" s="381"/>
      <c r="J417" s="381"/>
      <c r="K417" s="381"/>
      <c r="L417" s="381"/>
      <c r="M417" s="381"/>
      <c r="N417" s="381"/>
      <c r="O417" s="381"/>
      <c r="P417" s="381"/>
      <c r="Q417" s="357"/>
      <c r="R417" s="382"/>
      <c r="S417" s="381"/>
      <c r="T417" s="381"/>
      <c r="U417" s="382"/>
      <c r="V417" s="381"/>
      <c r="W417" s="382"/>
      <c r="X417" s="381"/>
      <c r="Y417" s="381"/>
      <c r="Z417" s="381"/>
      <c r="AA417" s="381"/>
      <c r="AB417" s="381"/>
      <c r="AC417" s="381"/>
      <c r="AD417" s="381"/>
      <c r="AE417" s="381"/>
      <c r="AF417" s="381"/>
      <c r="AG417" s="381"/>
      <c r="AH417" s="381"/>
      <c r="AI417" s="381"/>
      <c r="AJ417" s="381"/>
      <c r="AK417" s="381">
        <f>+F417</f>
        <v>784039</v>
      </c>
      <c r="AL417" s="381"/>
      <c r="AM417" s="301"/>
      <c r="AN417" s="357"/>
      <c r="AO417" s="357"/>
      <c r="AP417" s="357"/>
      <c r="AQ417" s="357"/>
      <c r="AR417" s="357"/>
      <c r="AS417" s="357"/>
      <c r="AT417" s="357"/>
      <c r="AU417" s="357"/>
      <c r="AV417" s="357"/>
      <c r="AW417" s="357"/>
      <c r="AX417" s="357"/>
      <c r="AY417" s="357"/>
      <c r="AZ417" s="357"/>
      <c r="BA417" s="357"/>
      <c r="BB417" s="357"/>
      <c r="BC417" s="357"/>
      <c r="BD417" s="357"/>
      <c r="BE417" s="358"/>
      <c r="BF417" s="358"/>
      <c r="BG417" s="358"/>
      <c r="BH417" s="358"/>
      <c r="BI417" s="358"/>
      <c r="BJ417" s="358"/>
      <c r="BK417" s="358"/>
      <c r="BL417" s="358"/>
      <c r="BM417" s="358"/>
      <c r="BN417" s="358"/>
      <c r="BO417" s="358"/>
      <c r="BP417" s="358"/>
      <c r="BQ417" s="358"/>
      <c r="BR417" s="358"/>
      <c r="BS417" s="358"/>
      <c r="BT417" s="359"/>
      <c r="BU417" s="359"/>
      <c r="BV417" s="359"/>
      <c r="BW417" s="359"/>
      <c r="BX417" s="359"/>
      <c r="BY417" s="359"/>
      <c r="BZ417" s="359"/>
      <c r="CA417" s="359"/>
      <c r="CB417" s="359"/>
      <c r="CC417" s="359"/>
    </row>
    <row r="418" spans="1:81" s="360" customFormat="1" ht="12">
      <c r="A418" s="396"/>
      <c r="C418" s="479" t="s">
        <v>624</v>
      </c>
      <c r="D418" s="300" t="s">
        <v>918</v>
      </c>
      <c r="F418" s="357"/>
      <c r="G418" s="381">
        <f>ROUND(F417*0.72,0)</f>
        <v>564508</v>
      </c>
      <c r="H418" s="381"/>
      <c r="I418" s="381">
        <f>-G418</f>
        <v>-564508</v>
      </c>
      <c r="J418" s="381"/>
      <c r="K418" s="381"/>
      <c r="L418" s="381"/>
      <c r="M418" s="381"/>
      <c r="N418" s="381"/>
      <c r="O418" s="381"/>
      <c r="P418" s="381"/>
      <c r="Q418" s="357"/>
      <c r="R418" s="382"/>
      <c r="S418" s="381"/>
      <c r="T418" s="381"/>
      <c r="U418" s="382"/>
      <c r="V418" s="381"/>
      <c r="W418" s="382"/>
      <c r="X418" s="381"/>
      <c r="Y418" s="381"/>
      <c r="Z418" s="381"/>
      <c r="AA418" s="381"/>
      <c r="AB418" s="381"/>
      <c r="AC418" s="381"/>
      <c r="AD418" s="381"/>
      <c r="AE418" s="381"/>
      <c r="AF418" s="381"/>
      <c r="AG418" s="381"/>
      <c r="AH418" s="381"/>
      <c r="AI418" s="381"/>
      <c r="AJ418" s="381"/>
      <c r="AK418" s="381"/>
      <c r="AL418" s="381"/>
      <c r="AM418" s="301"/>
      <c r="AN418" s="357"/>
      <c r="AO418" s="357"/>
      <c r="AP418" s="357"/>
      <c r="AQ418" s="357"/>
      <c r="AR418" s="357"/>
      <c r="AS418" s="357"/>
      <c r="AT418" s="357"/>
      <c r="AU418" s="357"/>
      <c r="AV418" s="357"/>
      <c r="AW418" s="357"/>
      <c r="AX418" s="357"/>
      <c r="AY418" s="357"/>
      <c r="AZ418" s="357"/>
      <c r="BA418" s="357"/>
      <c r="BB418" s="357"/>
      <c r="BC418" s="357"/>
      <c r="BD418" s="357"/>
      <c r="BE418" s="358"/>
      <c r="BF418" s="358"/>
      <c r="BG418" s="358"/>
      <c r="BH418" s="358"/>
      <c r="BI418" s="358"/>
      <c r="BJ418" s="358"/>
      <c r="BK418" s="358"/>
      <c r="BL418" s="358"/>
      <c r="BM418" s="358"/>
      <c r="BN418" s="358"/>
      <c r="BO418" s="358"/>
      <c r="BP418" s="358"/>
      <c r="BQ418" s="358"/>
      <c r="BR418" s="358"/>
      <c r="BS418" s="358"/>
      <c r="BT418" s="359"/>
      <c r="BU418" s="359"/>
      <c r="BV418" s="359"/>
      <c r="BW418" s="359"/>
      <c r="BX418" s="359"/>
      <c r="BY418" s="359"/>
      <c r="BZ418" s="359"/>
      <c r="CA418" s="359"/>
      <c r="CB418" s="359"/>
      <c r="CC418" s="359"/>
    </row>
    <row r="419" spans="1:81" s="360" customFormat="1" ht="12">
      <c r="A419" s="396"/>
      <c r="C419" s="479" t="s">
        <v>624</v>
      </c>
      <c r="D419" s="300" t="s">
        <v>919</v>
      </c>
      <c r="F419" s="357"/>
      <c r="G419" s="381">
        <f>+F417-G418</f>
        <v>219531</v>
      </c>
      <c r="H419" s="381"/>
      <c r="I419" s="381"/>
      <c r="J419" s="381"/>
      <c r="K419" s="381"/>
      <c r="L419" s="381"/>
      <c r="M419" s="381"/>
      <c r="N419" s="381"/>
      <c r="O419" s="381"/>
      <c r="P419" s="381"/>
      <c r="Q419" s="357"/>
      <c r="R419" s="382"/>
      <c r="S419" s="381"/>
      <c r="T419" s="381"/>
      <c r="U419" s="382"/>
      <c r="V419" s="381"/>
      <c r="W419" s="382"/>
      <c r="X419" s="381"/>
      <c r="Y419" s="381"/>
      <c r="Z419" s="381"/>
      <c r="AA419" s="381"/>
      <c r="AB419" s="381"/>
      <c r="AC419" s="381"/>
      <c r="AD419" s="381"/>
      <c r="AE419" s="381"/>
      <c r="AF419" s="381"/>
      <c r="AG419" s="381"/>
      <c r="AH419" s="381"/>
      <c r="AI419" s="381">
        <f>-G419</f>
        <v>-219531</v>
      </c>
      <c r="AJ419" s="381"/>
      <c r="AK419" s="381"/>
      <c r="AL419" s="381"/>
      <c r="AM419" s="301"/>
      <c r="AN419" s="357"/>
      <c r="AO419" s="357"/>
      <c r="AP419" s="357"/>
      <c r="AQ419" s="357"/>
      <c r="AR419" s="357"/>
      <c r="AS419" s="357"/>
      <c r="AT419" s="357"/>
      <c r="AU419" s="357"/>
      <c r="AV419" s="357"/>
      <c r="AW419" s="357"/>
      <c r="AX419" s="357"/>
      <c r="AY419" s="357"/>
      <c r="AZ419" s="357"/>
      <c r="BA419" s="357"/>
      <c r="BB419" s="357"/>
      <c r="BC419" s="357"/>
      <c r="BD419" s="357"/>
      <c r="BE419" s="358"/>
      <c r="BF419" s="358"/>
      <c r="BG419" s="358"/>
      <c r="BH419" s="358"/>
      <c r="BI419" s="358"/>
      <c r="BJ419" s="358"/>
      <c r="BK419" s="358"/>
      <c r="BL419" s="358"/>
      <c r="BM419" s="358"/>
      <c r="BN419" s="358"/>
      <c r="BO419" s="358"/>
      <c r="BP419" s="358"/>
      <c r="BQ419" s="358"/>
      <c r="BR419" s="358"/>
      <c r="BS419" s="358"/>
      <c r="BT419" s="359"/>
      <c r="BU419" s="359"/>
      <c r="BV419" s="359"/>
      <c r="BW419" s="359"/>
      <c r="BX419" s="359"/>
      <c r="BY419" s="359"/>
      <c r="BZ419" s="359"/>
      <c r="CA419" s="359"/>
      <c r="CB419" s="359"/>
      <c r="CC419" s="359"/>
    </row>
    <row r="420" spans="1:81" s="360" customFormat="1" ht="12">
      <c r="A420" s="396"/>
      <c r="C420" s="360" t="s">
        <v>920</v>
      </c>
      <c r="D420" s="380"/>
      <c r="F420" s="357"/>
      <c r="G420" s="381"/>
      <c r="H420" s="381"/>
      <c r="I420" s="381"/>
      <c r="J420" s="381"/>
      <c r="K420" s="381"/>
      <c r="L420" s="381"/>
      <c r="M420" s="381"/>
      <c r="N420" s="381"/>
      <c r="O420" s="381"/>
      <c r="P420" s="381"/>
      <c r="Q420" s="357"/>
      <c r="R420" s="382"/>
      <c r="S420" s="381"/>
      <c r="T420" s="381"/>
      <c r="U420" s="382"/>
      <c r="V420" s="381"/>
      <c r="W420" s="382"/>
      <c r="X420" s="381"/>
      <c r="Y420" s="381"/>
      <c r="Z420" s="381"/>
      <c r="AA420" s="381"/>
      <c r="AB420" s="381"/>
      <c r="AC420" s="381"/>
      <c r="AD420" s="381"/>
      <c r="AE420" s="381"/>
      <c r="AF420" s="381"/>
      <c r="AG420" s="381"/>
      <c r="AH420" s="381"/>
      <c r="AI420" s="381"/>
      <c r="AJ420" s="381"/>
      <c r="AK420" s="381"/>
      <c r="AL420" s="381"/>
      <c r="AM420" s="301"/>
      <c r="AN420" s="357"/>
      <c r="AO420" s="357"/>
      <c r="AP420" s="357"/>
      <c r="AQ420" s="357"/>
      <c r="AR420" s="357"/>
      <c r="AS420" s="357"/>
      <c r="AT420" s="357"/>
      <c r="AU420" s="357"/>
      <c r="AV420" s="357"/>
      <c r="AW420" s="357"/>
      <c r="AX420" s="357"/>
      <c r="AY420" s="357"/>
      <c r="AZ420" s="357"/>
      <c r="BA420" s="357"/>
      <c r="BB420" s="357"/>
      <c r="BC420" s="357"/>
      <c r="BD420" s="357"/>
      <c r="BE420" s="358"/>
      <c r="BF420" s="358"/>
      <c r="BG420" s="358"/>
      <c r="BH420" s="358"/>
      <c r="BI420" s="358"/>
      <c r="BJ420" s="358"/>
      <c r="BK420" s="358"/>
      <c r="BL420" s="358"/>
      <c r="BM420" s="358"/>
      <c r="BN420" s="358"/>
      <c r="BO420" s="358"/>
      <c r="BP420" s="358"/>
      <c r="BQ420" s="358"/>
      <c r="BR420" s="358"/>
      <c r="BS420" s="358"/>
      <c r="BT420" s="359"/>
      <c r="BU420" s="359"/>
      <c r="BV420" s="359"/>
      <c r="BW420" s="359"/>
      <c r="BX420" s="359"/>
      <c r="BY420" s="359"/>
      <c r="BZ420" s="359"/>
      <c r="CA420" s="359"/>
      <c r="CB420" s="359"/>
      <c r="CC420" s="359"/>
    </row>
    <row r="421" spans="1:81" s="360" customFormat="1" ht="12">
      <c r="A421" s="396"/>
      <c r="D421" s="380"/>
      <c r="F421" s="357"/>
      <c r="G421" s="381"/>
      <c r="H421" s="381"/>
      <c r="I421" s="381"/>
      <c r="J421" s="381"/>
      <c r="K421" s="381"/>
      <c r="L421" s="381"/>
      <c r="M421" s="381"/>
      <c r="N421" s="381"/>
      <c r="O421" s="381"/>
      <c r="P421" s="381"/>
      <c r="Q421" s="357"/>
      <c r="R421" s="382"/>
      <c r="S421" s="381"/>
      <c r="T421" s="381"/>
      <c r="U421" s="382"/>
      <c r="V421" s="381"/>
      <c r="W421" s="382"/>
      <c r="X421" s="381"/>
      <c r="Y421" s="381"/>
      <c r="Z421" s="381"/>
      <c r="AA421" s="381"/>
      <c r="AB421" s="381"/>
      <c r="AC421" s="381"/>
      <c r="AD421" s="381"/>
      <c r="AE421" s="381"/>
      <c r="AF421" s="381"/>
      <c r="AG421" s="381"/>
      <c r="AH421" s="381"/>
      <c r="AI421" s="381"/>
      <c r="AJ421" s="381"/>
      <c r="AK421" s="381"/>
      <c r="AL421" s="381"/>
      <c r="AM421" s="301"/>
      <c r="AN421" s="357"/>
      <c r="AO421" s="357"/>
      <c r="AP421" s="357"/>
      <c r="AQ421" s="357"/>
      <c r="AR421" s="357"/>
      <c r="AS421" s="357"/>
      <c r="AT421" s="357"/>
      <c r="AU421" s="357"/>
      <c r="AV421" s="357"/>
      <c r="AW421" s="357"/>
      <c r="AX421" s="357"/>
      <c r="AY421" s="357"/>
      <c r="AZ421" s="357"/>
      <c r="BA421" s="357"/>
      <c r="BB421" s="357"/>
      <c r="BC421" s="357"/>
      <c r="BD421" s="357"/>
      <c r="BE421" s="358"/>
      <c r="BF421" s="358"/>
      <c r="BG421" s="358"/>
      <c r="BH421" s="358"/>
      <c r="BI421" s="358"/>
      <c r="BJ421" s="358"/>
      <c r="BK421" s="358"/>
      <c r="BL421" s="358"/>
      <c r="BM421" s="358"/>
      <c r="BN421" s="358"/>
      <c r="BO421" s="358"/>
      <c r="BP421" s="358"/>
      <c r="BQ421" s="358"/>
      <c r="BR421" s="358"/>
      <c r="BS421" s="358"/>
      <c r="BT421" s="359"/>
      <c r="BU421" s="359"/>
      <c r="BV421" s="359"/>
      <c r="BW421" s="359"/>
      <c r="BX421" s="359"/>
      <c r="BY421" s="359"/>
      <c r="BZ421" s="359"/>
      <c r="CA421" s="359"/>
      <c r="CB421" s="359"/>
      <c r="CC421" s="359"/>
    </row>
    <row r="422" spans="1:81" s="360" customFormat="1" ht="12">
      <c r="A422" s="396"/>
      <c r="D422" s="380"/>
      <c r="F422" s="357"/>
      <c r="G422" s="381"/>
      <c r="H422" s="381"/>
      <c r="I422" s="381"/>
      <c r="J422" s="381"/>
      <c r="K422" s="381"/>
      <c r="L422" s="381"/>
      <c r="M422" s="381"/>
      <c r="N422" s="381"/>
      <c r="O422" s="381"/>
      <c r="P422" s="381"/>
      <c r="Q422" s="357"/>
      <c r="R422" s="382"/>
      <c r="S422" s="381"/>
      <c r="T422" s="381"/>
      <c r="U422" s="382"/>
      <c r="V422" s="381"/>
      <c r="W422" s="382"/>
      <c r="X422" s="381"/>
      <c r="Y422" s="381"/>
      <c r="Z422" s="381"/>
      <c r="AA422" s="381"/>
      <c r="AB422" s="381"/>
      <c r="AC422" s="381"/>
      <c r="AD422" s="381"/>
      <c r="AE422" s="381"/>
      <c r="AF422" s="381"/>
      <c r="AG422" s="381"/>
      <c r="AH422" s="381"/>
      <c r="AI422" s="381"/>
      <c r="AJ422" s="381"/>
      <c r="AK422" s="381"/>
      <c r="AL422" s="381"/>
      <c r="AM422" s="301"/>
      <c r="AN422" s="357"/>
      <c r="AO422" s="357"/>
      <c r="AP422" s="357"/>
      <c r="AQ422" s="357"/>
      <c r="AR422" s="357"/>
      <c r="AS422" s="357"/>
      <c r="AT422" s="357"/>
      <c r="AU422" s="357"/>
      <c r="AV422" s="357"/>
      <c r="AW422" s="357"/>
      <c r="AX422" s="357"/>
      <c r="AY422" s="357"/>
      <c r="AZ422" s="357"/>
      <c r="BA422" s="357"/>
      <c r="BB422" s="357"/>
      <c r="BC422" s="357"/>
      <c r="BD422" s="357"/>
      <c r="BE422" s="358"/>
      <c r="BF422" s="358"/>
      <c r="BG422" s="358"/>
      <c r="BH422" s="358"/>
      <c r="BI422" s="358"/>
      <c r="BJ422" s="358"/>
      <c r="BK422" s="358"/>
      <c r="BL422" s="358"/>
      <c r="BM422" s="358"/>
      <c r="BN422" s="358"/>
      <c r="BO422" s="358"/>
      <c r="BP422" s="358"/>
      <c r="BQ422" s="358"/>
      <c r="BR422" s="358"/>
      <c r="BS422" s="358"/>
      <c r="BT422" s="359"/>
      <c r="BU422" s="359"/>
      <c r="BV422" s="359"/>
      <c r="BW422" s="359"/>
      <c r="BX422" s="359"/>
      <c r="BY422" s="359"/>
      <c r="BZ422" s="359"/>
      <c r="CA422" s="359"/>
      <c r="CB422" s="359"/>
      <c r="CC422" s="359"/>
    </row>
    <row r="423" spans="1:81" s="360" customFormat="1" ht="12">
      <c r="A423" s="396"/>
      <c r="D423" s="380"/>
      <c r="F423" s="357"/>
      <c r="G423" s="381"/>
      <c r="H423" s="381"/>
      <c r="I423" s="381"/>
      <c r="J423" s="381"/>
      <c r="K423" s="381"/>
      <c r="L423" s="381"/>
      <c r="M423" s="381"/>
      <c r="N423" s="381"/>
      <c r="O423" s="381"/>
      <c r="P423" s="381"/>
      <c r="Q423" s="357"/>
      <c r="R423" s="382"/>
      <c r="S423" s="381"/>
      <c r="T423" s="381"/>
      <c r="U423" s="382"/>
      <c r="V423" s="381"/>
      <c r="W423" s="382"/>
      <c r="X423" s="381"/>
      <c r="Y423" s="381"/>
      <c r="Z423" s="381"/>
      <c r="AA423" s="381"/>
      <c r="AB423" s="381"/>
      <c r="AC423" s="381"/>
      <c r="AD423" s="381"/>
      <c r="AE423" s="381"/>
      <c r="AF423" s="381"/>
      <c r="AG423" s="381"/>
      <c r="AH423" s="381"/>
      <c r="AI423" s="381"/>
      <c r="AJ423" s="381"/>
      <c r="AK423" s="381"/>
      <c r="AL423" s="381"/>
      <c r="AM423" s="301"/>
      <c r="AN423" s="357"/>
      <c r="AO423" s="357"/>
      <c r="AP423" s="357"/>
      <c r="AQ423" s="357"/>
      <c r="AR423" s="357"/>
      <c r="AS423" s="357"/>
      <c r="AT423" s="357"/>
      <c r="AU423" s="357"/>
      <c r="AV423" s="357"/>
      <c r="AW423" s="357"/>
      <c r="AX423" s="357"/>
      <c r="AY423" s="357"/>
      <c r="AZ423" s="357"/>
      <c r="BA423" s="357"/>
      <c r="BB423" s="357"/>
      <c r="BC423" s="357"/>
      <c r="BD423" s="357"/>
      <c r="BE423" s="358"/>
      <c r="BF423" s="358"/>
      <c r="BG423" s="358"/>
      <c r="BH423" s="358"/>
      <c r="BI423" s="358"/>
      <c r="BJ423" s="358"/>
      <c r="BK423" s="358"/>
      <c r="BL423" s="358"/>
      <c r="BM423" s="358"/>
      <c r="BN423" s="358"/>
      <c r="BO423" s="358"/>
      <c r="BP423" s="358"/>
      <c r="BQ423" s="358"/>
      <c r="BR423" s="358"/>
      <c r="BS423" s="358"/>
      <c r="BT423" s="359"/>
      <c r="BU423" s="359"/>
      <c r="BV423" s="359"/>
      <c r="BW423" s="359"/>
      <c r="BX423" s="359"/>
      <c r="BY423" s="359"/>
      <c r="BZ423" s="359"/>
      <c r="CA423" s="359"/>
      <c r="CB423" s="359"/>
      <c r="CC423" s="359"/>
    </row>
    <row r="424" spans="1:81" s="360" customFormat="1" ht="12">
      <c r="A424" s="396"/>
      <c r="C424" s="360" t="s">
        <v>869</v>
      </c>
      <c r="D424" s="380" t="s">
        <v>921</v>
      </c>
      <c r="F424" s="357">
        <f>+G425</f>
        <v>3735834</v>
      </c>
      <c r="G424" s="480"/>
      <c r="H424" s="381"/>
      <c r="I424" s="381"/>
      <c r="J424" s="381"/>
      <c r="K424" s="381"/>
      <c r="L424" s="381"/>
      <c r="M424" s="381"/>
      <c r="N424" s="381"/>
      <c r="O424" s="381"/>
      <c r="P424" s="381"/>
      <c r="Q424" s="357"/>
      <c r="R424" s="382"/>
      <c r="S424" s="381"/>
      <c r="T424" s="381"/>
      <c r="U424" s="382"/>
      <c r="V424" s="381"/>
      <c r="W424" s="382"/>
      <c r="X424" s="381"/>
      <c r="Y424" s="381"/>
      <c r="Z424" s="381"/>
      <c r="AA424" s="381"/>
      <c r="AB424" s="381"/>
      <c r="AC424" s="381"/>
      <c r="AD424" s="381"/>
      <c r="AE424" s="381"/>
      <c r="AF424" s="381"/>
      <c r="AG424" s="381"/>
      <c r="AH424" s="381"/>
      <c r="AI424" s="381"/>
      <c r="AJ424" s="381"/>
      <c r="AK424" s="381">
        <f>+F424</f>
        <v>3735834</v>
      </c>
      <c r="AL424" s="381"/>
      <c r="AM424" s="301"/>
      <c r="AN424" s="357"/>
      <c r="AO424" s="357"/>
      <c r="AP424" s="357"/>
      <c r="AQ424" s="357"/>
      <c r="AR424" s="357"/>
      <c r="AS424" s="357"/>
      <c r="AT424" s="357"/>
      <c r="AU424" s="357"/>
      <c r="AV424" s="357"/>
      <c r="AW424" s="357"/>
      <c r="AX424" s="357"/>
      <c r="AY424" s="357"/>
      <c r="AZ424" s="357"/>
      <c r="BA424" s="357"/>
      <c r="BB424" s="357"/>
      <c r="BC424" s="357"/>
      <c r="BD424" s="357"/>
      <c r="BE424" s="358"/>
      <c r="BF424" s="358"/>
      <c r="BG424" s="358"/>
      <c r="BH424" s="358"/>
      <c r="BI424" s="358"/>
      <c r="BJ424" s="358"/>
      <c r="BK424" s="358"/>
      <c r="BL424" s="358"/>
      <c r="BM424" s="358"/>
      <c r="BN424" s="358"/>
      <c r="BO424" s="358"/>
      <c r="BP424" s="358"/>
      <c r="BQ424" s="358"/>
      <c r="BR424" s="358"/>
      <c r="BS424" s="358"/>
      <c r="BT424" s="359"/>
      <c r="BU424" s="359"/>
      <c r="BV424" s="359"/>
      <c r="BW424" s="359"/>
      <c r="BX424" s="359"/>
      <c r="BY424" s="359"/>
      <c r="BZ424" s="359"/>
      <c r="CA424" s="359"/>
      <c r="CB424" s="359"/>
      <c r="CC424" s="359"/>
    </row>
    <row r="425" spans="1:81" s="360" customFormat="1" ht="12">
      <c r="A425" s="396"/>
      <c r="C425" s="360" t="s">
        <v>871</v>
      </c>
      <c r="D425" s="449" t="s">
        <v>922</v>
      </c>
      <c r="G425" s="381">
        <f>+'[2]Group '!D138</f>
        <v>3735834</v>
      </c>
      <c r="H425" s="381"/>
      <c r="I425" s="381"/>
      <c r="J425" s="381"/>
      <c r="K425" s="381"/>
      <c r="L425" s="381"/>
      <c r="M425" s="381"/>
      <c r="N425" s="381"/>
      <c r="O425" s="381"/>
      <c r="P425" s="381"/>
      <c r="Q425" s="357"/>
      <c r="R425" s="382"/>
      <c r="S425" s="381"/>
      <c r="T425" s="381"/>
      <c r="U425" s="382"/>
      <c r="V425" s="381"/>
      <c r="W425" s="382"/>
      <c r="X425" s="381"/>
      <c r="Y425" s="381"/>
      <c r="Z425" s="381"/>
      <c r="AA425" s="381">
        <f>-G425</f>
        <v>-3735834</v>
      </c>
      <c r="AB425" s="381"/>
      <c r="AC425" s="381"/>
      <c r="AD425" s="381"/>
      <c r="AE425" s="381"/>
      <c r="AF425" s="381"/>
      <c r="AG425" s="381"/>
      <c r="AH425" s="381"/>
      <c r="AI425" s="381"/>
      <c r="AJ425" s="381"/>
      <c r="AK425" s="381"/>
      <c r="AL425" s="381"/>
      <c r="AM425" s="301"/>
      <c r="AN425" s="357"/>
      <c r="AO425" s="357"/>
      <c r="AP425" s="357"/>
      <c r="AQ425" s="357"/>
      <c r="AR425" s="357"/>
      <c r="AS425" s="357"/>
      <c r="AT425" s="357"/>
      <c r="AU425" s="357"/>
      <c r="AV425" s="357"/>
      <c r="AW425" s="357"/>
      <c r="AX425" s="357"/>
      <c r="AY425" s="357"/>
      <c r="AZ425" s="357"/>
      <c r="BA425" s="357"/>
      <c r="BB425" s="357"/>
      <c r="BC425" s="357"/>
      <c r="BD425" s="357"/>
      <c r="BE425" s="358"/>
      <c r="BF425" s="358"/>
      <c r="BG425" s="358"/>
      <c r="BH425" s="358"/>
      <c r="BI425" s="358"/>
      <c r="BJ425" s="358"/>
      <c r="BK425" s="358"/>
      <c r="BL425" s="358"/>
      <c r="BM425" s="358"/>
      <c r="BN425" s="358"/>
      <c r="BO425" s="358"/>
      <c r="BP425" s="358"/>
      <c r="BQ425" s="358"/>
      <c r="BR425" s="358"/>
      <c r="BS425" s="358"/>
      <c r="BT425" s="359"/>
      <c r="BU425" s="359"/>
      <c r="BV425" s="359"/>
      <c r="BW425" s="359"/>
      <c r="BX425" s="359"/>
      <c r="BY425" s="359"/>
      <c r="BZ425" s="359"/>
      <c r="CA425" s="359"/>
      <c r="CB425" s="359"/>
      <c r="CC425" s="359"/>
    </row>
    <row r="426" spans="1:81" s="360" customFormat="1" ht="12">
      <c r="A426" s="396"/>
      <c r="D426" s="449"/>
      <c r="G426" s="381"/>
      <c r="H426" s="381"/>
      <c r="I426" s="381"/>
      <c r="J426" s="381"/>
      <c r="K426" s="381"/>
      <c r="L426" s="381"/>
      <c r="M426" s="381"/>
      <c r="N426" s="381"/>
      <c r="O426" s="381"/>
      <c r="P426" s="381"/>
      <c r="Q426" s="357"/>
      <c r="R426" s="382"/>
      <c r="S426" s="381"/>
      <c r="T426" s="381"/>
      <c r="U426" s="382"/>
      <c r="V426" s="381"/>
      <c r="W426" s="382"/>
      <c r="X426" s="381"/>
      <c r="Y426" s="381"/>
      <c r="Z426" s="381"/>
      <c r="AA426" s="381"/>
      <c r="AB426" s="381"/>
      <c r="AC426" s="381"/>
      <c r="AD426" s="381"/>
      <c r="AE426" s="381"/>
      <c r="AF426" s="381"/>
      <c r="AG426" s="381"/>
      <c r="AH426" s="381"/>
      <c r="AI426" s="381"/>
      <c r="AJ426" s="381"/>
      <c r="AK426" s="381"/>
      <c r="AL426" s="381"/>
      <c r="AM426" s="301"/>
      <c r="AN426" s="357"/>
      <c r="AO426" s="357"/>
      <c r="AP426" s="357"/>
      <c r="AQ426" s="357"/>
      <c r="AR426" s="357"/>
      <c r="AS426" s="357"/>
      <c r="AT426" s="357"/>
      <c r="AU426" s="357"/>
      <c r="AV426" s="357"/>
      <c r="AW426" s="357"/>
      <c r="AX426" s="357"/>
      <c r="AY426" s="357"/>
      <c r="AZ426" s="357"/>
      <c r="BA426" s="357"/>
      <c r="BB426" s="357"/>
      <c r="BC426" s="357"/>
      <c r="BD426" s="357"/>
      <c r="BE426" s="358"/>
      <c r="BF426" s="358"/>
      <c r="BG426" s="358"/>
      <c r="BH426" s="358"/>
      <c r="BI426" s="358"/>
      <c r="BJ426" s="358"/>
      <c r="BK426" s="358"/>
      <c r="BL426" s="358"/>
      <c r="BM426" s="358"/>
      <c r="BN426" s="358"/>
      <c r="BO426" s="358"/>
      <c r="BP426" s="358"/>
      <c r="BQ426" s="358"/>
      <c r="BR426" s="358"/>
      <c r="BS426" s="358"/>
      <c r="BT426" s="359"/>
      <c r="BU426" s="359"/>
      <c r="BV426" s="359"/>
      <c r="BW426" s="359"/>
      <c r="BX426" s="359"/>
      <c r="BY426" s="359"/>
      <c r="BZ426" s="359"/>
      <c r="CA426" s="359"/>
      <c r="CB426" s="359"/>
      <c r="CC426" s="359"/>
    </row>
    <row r="427" spans="1:81" s="360" customFormat="1" ht="12">
      <c r="A427" s="396"/>
      <c r="C427" s="360" t="s">
        <v>869</v>
      </c>
      <c r="D427" s="449" t="s">
        <v>923</v>
      </c>
      <c r="F427" s="398">
        <f>+G428</f>
        <v>3735834</v>
      </c>
      <c r="G427" s="381"/>
      <c r="H427" s="381"/>
      <c r="I427" s="381"/>
      <c r="J427" s="381"/>
      <c r="K427" s="381"/>
      <c r="L427" s="381"/>
      <c r="M427" s="381"/>
      <c r="N427" s="381"/>
      <c r="O427" s="381"/>
      <c r="P427" s="381"/>
      <c r="Q427" s="357"/>
      <c r="R427" s="382"/>
      <c r="S427" s="381"/>
      <c r="T427" s="381"/>
      <c r="U427" s="382"/>
      <c r="V427" s="381"/>
      <c r="W427" s="382"/>
      <c r="X427" s="381"/>
      <c r="Y427" s="381"/>
      <c r="Z427" s="381"/>
      <c r="AA427" s="381">
        <f>+F427</f>
        <v>3735834</v>
      </c>
      <c r="AB427" s="381"/>
      <c r="AC427" s="381"/>
      <c r="AD427" s="381"/>
      <c r="AE427" s="381"/>
      <c r="AF427" s="381"/>
      <c r="AG427" s="381"/>
      <c r="AH427" s="381"/>
      <c r="AI427" s="381"/>
      <c r="AJ427" s="381"/>
      <c r="AK427" s="381"/>
      <c r="AL427" s="381"/>
      <c r="AM427" s="301"/>
      <c r="AN427" s="357"/>
      <c r="AO427" s="357"/>
      <c r="AP427" s="357"/>
      <c r="AQ427" s="357"/>
      <c r="AR427" s="357"/>
      <c r="AS427" s="357"/>
      <c r="AT427" s="357"/>
      <c r="AU427" s="357"/>
      <c r="AV427" s="357"/>
      <c r="AW427" s="357"/>
      <c r="AX427" s="357"/>
      <c r="AY427" s="357"/>
      <c r="AZ427" s="357"/>
      <c r="BA427" s="357"/>
      <c r="BB427" s="357"/>
      <c r="BC427" s="357"/>
      <c r="BD427" s="357"/>
      <c r="BE427" s="358"/>
      <c r="BF427" s="358"/>
      <c r="BG427" s="358"/>
      <c r="BH427" s="358"/>
      <c r="BI427" s="358"/>
      <c r="BJ427" s="358"/>
      <c r="BK427" s="358"/>
      <c r="BL427" s="358"/>
      <c r="BM427" s="358"/>
      <c r="BN427" s="358"/>
      <c r="BO427" s="358"/>
      <c r="BP427" s="358"/>
      <c r="BQ427" s="358"/>
      <c r="BR427" s="358"/>
      <c r="BS427" s="358"/>
      <c r="BT427" s="359"/>
      <c r="BU427" s="359"/>
      <c r="BV427" s="359"/>
      <c r="BW427" s="359"/>
      <c r="BX427" s="359"/>
      <c r="BY427" s="359"/>
      <c r="BZ427" s="359"/>
      <c r="CA427" s="359"/>
      <c r="CB427" s="359"/>
      <c r="CC427" s="359"/>
    </row>
    <row r="428" spans="1:81" s="360" customFormat="1" ht="12">
      <c r="A428" s="396"/>
      <c r="C428" s="360" t="s">
        <v>871</v>
      </c>
      <c r="D428" s="449" t="s">
        <v>924</v>
      </c>
      <c r="G428" s="381">
        <f>+G425</f>
        <v>3735834</v>
      </c>
      <c r="H428" s="381"/>
      <c r="I428" s="381"/>
      <c r="J428" s="381"/>
      <c r="K428" s="381"/>
      <c r="L428" s="381"/>
      <c r="M428" s="381"/>
      <c r="N428" s="381"/>
      <c r="O428" s="381"/>
      <c r="P428" s="381"/>
      <c r="Q428" s="357"/>
      <c r="R428" s="382"/>
      <c r="S428" s="381"/>
      <c r="T428" s="381"/>
      <c r="U428" s="382"/>
      <c r="V428" s="381"/>
      <c r="W428" s="382"/>
      <c r="X428" s="381"/>
      <c r="Y428" s="381"/>
      <c r="Z428" s="381"/>
      <c r="AA428" s="381"/>
      <c r="AB428" s="381"/>
      <c r="AC428" s="381"/>
      <c r="AD428" s="381"/>
      <c r="AE428" s="381"/>
      <c r="AF428" s="381"/>
      <c r="AG428" s="381"/>
      <c r="AH428" s="381"/>
      <c r="AI428" s="381"/>
      <c r="AJ428" s="381"/>
      <c r="AK428" s="381">
        <f>-G428</f>
        <v>-3735834</v>
      </c>
      <c r="AL428" s="381"/>
      <c r="AM428" s="301"/>
      <c r="AN428" s="357"/>
      <c r="AO428" s="357"/>
      <c r="AP428" s="357"/>
      <c r="AQ428" s="357"/>
      <c r="AR428" s="357"/>
      <c r="AS428" s="357"/>
      <c r="AT428" s="357"/>
      <c r="AU428" s="357"/>
      <c r="AV428" s="357"/>
      <c r="AW428" s="357"/>
      <c r="AX428" s="357"/>
      <c r="AY428" s="357"/>
      <c r="AZ428" s="357"/>
      <c r="BA428" s="357"/>
      <c r="BB428" s="357"/>
      <c r="BC428" s="357"/>
      <c r="BD428" s="357"/>
      <c r="BE428" s="358"/>
      <c r="BF428" s="358"/>
      <c r="BG428" s="358"/>
      <c r="BH428" s="358"/>
      <c r="BI428" s="358"/>
      <c r="BJ428" s="358"/>
      <c r="BK428" s="358"/>
      <c r="BL428" s="358"/>
      <c r="BM428" s="358"/>
      <c r="BN428" s="358"/>
      <c r="BO428" s="358"/>
      <c r="BP428" s="358"/>
      <c r="BQ428" s="358"/>
      <c r="BR428" s="358"/>
      <c r="BS428" s="358"/>
      <c r="BT428" s="359"/>
      <c r="BU428" s="359"/>
      <c r="BV428" s="359"/>
      <c r="BW428" s="359"/>
      <c r="BX428" s="359"/>
      <c r="BY428" s="359"/>
      <c r="BZ428" s="359"/>
      <c r="CA428" s="359"/>
      <c r="CB428" s="359"/>
      <c r="CC428" s="359"/>
    </row>
    <row r="429" spans="1:81" s="360" customFormat="1" ht="12">
      <c r="A429" s="396"/>
      <c r="C429" s="360" t="s">
        <v>925</v>
      </c>
      <c r="D429" s="380"/>
      <c r="F429" s="357">
        <f>ROUND(152250000*9.815%*3/12,0)-G425</f>
        <v>0</v>
      </c>
      <c r="G429" s="381"/>
      <c r="H429" s="381"/>
      <c r="I429" s="381"/>
      <c r="J429" s="381"/>
      <c r="K429" s="381"/>
      <c r="L429" s="381"/>
      <c r="M429" s="381"/>
      <c r="N429" s="381"/>
      <c r="O429" s="381"/>
      <c r="P429" s="381"/>
      <c r="Q429" s="357"/>
      <c r="R429" s="382"/>
      <c r="S429" s="381"/>
      <c r="T429" s="381"/>
      <c r="U429" s="382"/>
      <c r="V429" s="381"/>
      <c r="W429" s="382"/>
      <c r="X429" s="381"/>
      <c r="Y429" s="381"/>
      <c r="Z429" s="381"/>
      <c r="AA429" s="381"/>
      <c r="AB429" s="381"/>
      <c r="AC429" s="381"/>
      <c r="AD429" s="381"/>
      <c r="AE429" s="381"/>
      <c r="AF429" s="381"/>
      <c r="AG429" s="381"/>
      <c r="AH429" s="381"/>
      <c r="AI429" s="381"/>
      <c r="AJ429" s="381"/>
      <c r="AK429" s="381"/>
      <c r="AL429" s="381"/>
      <c r="AM429" s="301"/>
      <c r="AN429" s="357"/>
      <c r="AO429" s="357"/>
      <c r="AP429" s="357"/>
      <c r="AQ429" s="357"/>
      <c r="AR429" s="357"/>
      <c r="AS429" s="357"/>
      <c r="AT429" s="357"/>
      <c r="AU429" s="357"/>
      <c r="AV429" s="357"/>
      <c r="AW429" s="357"/>
      <c r="AX429" s="357"/>
      <c r="AY429" s="357"/>
      <c r="AZ429" s="357"/>
      <c r="BA429" s="357"/>
      <c r="BB429" s="357"/>
      <c r="BC429" s="357"/>
      <c r="BD429" s="357"/>
      <c r="BE429" s="358"/>
      <c r="BF429" s="358"/>
      <c r="BG429" s="358"/>
      <c r="BH429" s="358"/>
      <c r="BI429" s="358"/>
      <c r="BJ429" s="358"/>
      <c r="BK429" s="358"/>
      <c r="BL429" s="358"/>
      <c r="BM429" s="358"/>
      <c r="BN429" s="358"/>
      <c r="BO429" s="358"/>
      <c r="BP429" s="358"/>
      <c r="BQ429" s="358"/>
      <c r="BR429" s="358"/>
      <c r="BS429" s="358"/>
      <c r="BT429" s="359"/>
      <c r="BU429" s="359"/>
      <c r="BV429" s="359"/>
      <c r="BW429" s="359"/>
      <c r="BX429" s="359"/>
      <c r="BY429" s="359"/>
      <c r="BZ429" s="359"/>
      <c r="CA429" s="359"/>
      <c r="CB429" s="359"/>
      <c r="CC429" s="359"/>
    </row>
    <row r="430" spans="1:81" s="360" customFormat="1" ht="14.25">
      <c r="A430" s="396"/>
      <c r="C430" s="456"/>
      <c r="D430" s="3"/>
      <c r="F430" s="357"/>
      <c r="G430" s="381"/>
      <c r="H430" s="381"/>
      <c r="I430" s="381"/>
      <c r="J430" s="381"/>
      <c r="K430" s="381"/>
      <c r="L430" s="381"/>
      <c r="M430" s="381"/>
      <c r="N430" s="381"/>
      <c r="O430" s="381"/>
      <c r="P430" s="381"/>
      <c r="Q430" s="357"/>
      <c r="R430" s="382"/>
      <c r="S430" s="381"/>
      <c r="T430" s="381"/>
      <c r="U430" s="381"/>
      <c r="V430" s="381"/>
      <c r="W430" s="381"/>
      <c r="X430" s="381"/>
      <c r="Y430" s="381"/>
      <c r="Z430" s="381"/>
      <c r="AA430" s="381"/>
      <c r="AB430" s="381"/>
      <c r="AC430" s="381"/>
      <c r="AD430" s="381"/>
      <c r="AE430" s="381"/>
      <c r="AF430" s="381"/>
      <c r="AG430" s="381"/>
      <c r="AH430" s="381"/>
      <c r="AI430" s="381"/>
      <c r="AJ430" s="381"/>
      <c r="AK430" s="381"/>
      <c r="AL430" s="381"/>
      <c r="AM430" s="357"/>
      <c r="AN430" s="357"/>
      <c r="AO430" s="357"/>
      <c r="AP430" s="357"/>
      <c r="AQ430" s="357"/>
      <c r="AR430" s="357"/>
      <c r="AS430" s="357"/>
      <c r="AT430" s="357"/>
      <c r="AU430" s="357"/>
      <c r="AV430" s="357"/>
      <c r="AW430" s="357"/>
      <c r="AX430" s="357"/>
      <c r="AY430" s="357"/>
      <c r="AZ430" s="357"/>
      <c r="BA430" s="357"/>
      <c r="BB430" s="357"/>
      <c r="BC430" s="357"/>
      <c r="BD430" s="357"/>
      <c r="BE430" s="358"/>
      <c r="BF430" s="358"/>
      <c r="BG430" s="358"/>
      <c r="BH430" s="358"/>
      <c r="BI430" s="358"/>
      <c r="BJ430" s="358"/>
      <c r="BK430" s="358"/>
      <c r="BL430" s="358"/>
      <c r="BM430" s="358"/>
      <c r="BN430" s="358"/>
      <c r="BO430" s="358"/>
      <c r="BP430" s="358"/>
      <c r="BQ430" s="358"/>
      <c r="BR430" s="358"/>
      <c r="BS430" s="358"/>
      <c r="BT430" s="359"/>
      <c r="BU430" s="359"/>
      <c r="BV430" s="359"/>
      <c r="BW430" s="359"/>
      <c r="BX430" s="359"/>
      <c r="BY430" s="359"/>
      <c r="BZ430" s="359"/>
      <c r="CA430" s="359"/>
      <c r="CB430" s="359"/>
      <c r="CC430" s="359"/>
    </row>
    <row r="431" spans="1:81" s="360" customFormat="1" ht="12">
      <c r="A431" s="396"/>
      <c r="C431" s="360" t="s">
        <v>869</v>
      </c>
      <c r="D431" s="449" t="s">
        <v>926</v>
      </c>
      <c r="F431" s="357">
        <v>152125000</v>
      </c>
      <c r="G431" s="381"/>
      <c r="H431" s="381"/>
      <c r="I431" s="381"/>
      <c r="J431" s="381"/>
      <c r="K431" s="381"/>
      <c r="L431" s="381"/>
      <c r="M431" s="381"/>
      <c r="N431" s="381"/>
      <c r="O431" s="381"/>
      <c r="P431" s="381"/>
      <c r="Q431" s="357"/>
      <c r="R431" s="382"/>
      <c r="S431" s="381"/>
      <c r="T431" s="381"/>
      <c r="U431" s="381"/>
      <c r="V431" s="381"/>
      <c r="W431" s="381"/>
      <c r="X431" s="381"/>
      <c r="Y431" s="381"/>
      <c r="Z431" s="381"/>
      <c r="AA431" s="381"/>
      <c r="AB431" s="381"/>
      <c r="AC431" s="381"/>
      <c r="AD431" s="381"/>
      <c r="AE431" s="381"/>
      <c r="AF431" s="381"/>
      <c r="AG431" s="381"/>
      <c r="AH431" s="381"/>
      <c r="AI431" s="381"/>
      <c r="AJ431" s="381"/>
      <c r="AK431" s="381"/>
      <c r="AL431" s="381"/>
      <c r="AM431" s="357"/>
      <c r="AN431" s="357"/>
      <c r="AO431" s="357"/>
      <c r="AP431" s="357"/>
      <c r="AQ431" s="357"/>
      <c r="AR431" s="357"/>
      <c r="AS431" s="357"/>
      <c r="AT431" s="357"/>
      <c r="AU431" s="357"/>
      <c r="AV431" s="357"/>
      <c r="AW431" s="357"/>
      <c r="AX431" s="357"/>
      <c r="AY431" s="357"/>
      <c r="AZ431" s="357"/>
      <c r="BA431" s="357"/>
      <c r="BB431" s="357"/>
      <c r="BC431" s="357"/>
      <c r="BD431" s="357"/>
      <c r="BE431" s="358"/>
      <c r="BF431" s="358"/>
      <c r="BG431" s="358"/>
      <c r="BH431" s="358"/>
      <c r="BI431" s="358"/>
      <c r="BJ431" s="358"/>
      <c r="BK431" s="358"/>
      <c r="BL431" s="358"/>
      <c r="BM431" s="358"/>
      <c r="BN431" s="358"/>
      <c r="BO431" s="358"/>
      <c r="BP431" s="358"/>
      <c r="BQ431" s="358"/>
      <c r="BR431" s="358"/>
      <c r="BS431" s="358"/>
      <c r="BT431" s="359"/>
      <c r="BU431" s="359"/>
      <c r="BV431" s="359"/>
      <c r="BW431" s="359"/>
      <c r="BX431" s="359"/>
      <c r="BY431" s="359"/>
      <c r="BZ431" s="359"/>
      <c r="CA431" s="359"/>
      <c r="CB431" s="359"/>
      <c r="CC431" s="359"/>
    </row>
    <row r="432" spans="1:81" s="360" customFormat="1" ht="12">
      <c r="A432" s="396"/>
      <c r="C432" s="360" t="s">
        <v>871</v>
      </c>
      <c r="D432" s="449" t="s">
        <v>922</v>
      </c>
      <c r="F432" s="357"/>
      <c r="G432" s="381">
        <f>+F431</f>
        <v>152125000</v>
      </c>
      <c r="H432" s="381"/>
      <c r="I432" s="381"/>
      <c r="J432" s="381"/>
      <c r="K432" s="381"/>
      <c r="L432" s="381"/>
      <c r="M432" s="381"/>
      <c r="N432" s="381"/>
      <c r="O432" s="381"/>
      <c r="P432" s="381"/>
      <c r="Q432" s="357"/>
      <c r="R432" s="382"/>
      <c r="S432" s="381"/>
      <c r="T432" s="381"/>
      <c r="U432" s="381"/>
      <c r="V432" s="381"/>
      <c r="W432" s="381"/>
      <c r="X432" s="381"/>
      <c r="Y432" s="381"/>
      <c r="Z432" s="381"/>
      <c r="AA432" s="381"/>
      <c r="AB432" s="381"/>
      <c r="AC432" s="381"/>
      <c r="AD432" s="381"/>
      <c r="AE432" s="381"/>
      <c r="AF432" s="381"/>
      <c r="AG432" s="381"/>
      <c r="AH432" s="381"/>
      <c r="AI432" s="381"/>
      <c r="AJ432" s="381"/>
      <c r="AK432" s="381"/>
      <c r="AL432" s="381"/>
      <c r="AM432" s="357"/>
      <c r="AN432" s="357"/>
      <c r="AO432" s="357"/>
      <c r="AP432" s="357"/>
      <c r="AQ432" s="357"/>
      <c r="AR432" s="357"/>
      <c r="AS432" s="357"/>
      <c r="AT432" s="357"/>
      <c r="AU432" s="357"/>
      <c r="AV432" s="357"/>
      <c r="AW432" s="357"/>
      <c r="AX432" s="357"/>
      <c r="AY432" s="357"/>
      <c r="AZ432" s="357"/>
      <c r="BA432" s="357"/>
      <c r="BB432" s="357"/>
      <c r="BC432" s="357"/>
      <c r="BD432" s="357"/>
      <c r="BE432" s="358"/>
      <c r="BF432" s="358"/>
      <c r="BG432" s="358"/>
      <c r="BH432" s="358"/>
      <c r="BI432" s="358"/>
      <c r="BJ432" s="358"/>
      <c r="BK432" s="358"/>
      <c r="BL432" s="358"/>
      <c r="BM432" s="358"/>
      <c r="BN432" s="358"/>
      <c r="BO432" s="358"/>
      <c r="BP432" s="358"/>
      <c r="BQ432" s="358"/>
      <c r="BR432" s="358"/>
      <c r="BS432" s="358"/>
      <c r="BT432" s="359"/>
      <c r="BU432" s="359"/>
      <c r="BV432" s="359"/>
      <c r="BW432" s="359"/>
      <c r="BX432" s="359"/>
      <c r="BY432" s="359"/>
      <c r="BZ432" s="359"/>
      <c r="CA432" s="359"/>
      <c r="CB432" s="359"/>
      <c r="CC432" s="359"/>
    </row>
    <row r="433" spans="1:81" s="360" customFormat="1" ht="12">
      <c r="A433" s="396"/>
      <c r="C433" s="360" t="s">
        <v>927</v>
      </c>
      <c r="D433" s="449"/>
      <c r="F433" s="357"/>
      <c r="G433" s="381"/>
      <c r="H433" s="381"/>
      <c r="I433" s="381"/>
      <c r="J433" s="381"/>
      <c r="K433" s="381"/>
      <c r="L433" s="381"/>
      <c r="M433" s="381"/>
      <c r="N433" s="381"/>
      <c r="O433" s="381"/>
      <c r="P433" s="381"/>
      <c r="Q433" s="357"/>
      <c r="R433" s="382"/>
      <c r="S433" s="381"/>
      <c r="T433" s="381"/>
      <c r="U433" s="381"/>
      <c r="V433" s="381"/>
      <c r="W433" s="381"/>
      <c r="X433" s="381"/>
      <c r="Y433" s="381"/>
      <c r="Z433" s="381"/>
      <c r="AA433" s="381"/>
      <c r="AB433" s="381"/>
      <c r="AC433" s="381"/>
      <c r="AD433" s="381"/>
      <c r="AE433" s="381"/>
      <c r="AF433" s="381"/>
      <c r="AG433" s="381"/>
      <c r="AH433" s="381"/>
      <c r="AI433" s="381"/>
      <c r="AJ433" s="381"/>
      <c r="AK433" s="381"/>
      <c r="AL433" s="381"/>
      <c r="AM433" s="357"/>
      <c r="AN433" s="357"/>
      <c r="AO433" s="357"/>
      <c r="AP433" s="357"/>
      <c r="AQ433" s="357"/>
      <c r="AR433" s="357"/>
      <c r="AS433" s="357"/>
      <c r="AT433" s="357"/>
      <c r="AU433" s="357"/>
      <c r="AV433" s="357"/>
      <c r="AW433" s="357"/>
      <c r="AX433" s="357"/>
      <c r="AY433" s="357"/>
      <c r="AZ433" s="357"/>
      <c r="BA433" s="357"/>
      <c r="BB433" s="357"/>
      <c r="BC433" s="357"/>
      <c r="BD433" s="357"/>
      <c r="BE433" s="358"/>
      <c r="BF433" s="358"/>
      <c r="BG433" s="358"/>
      <c r="BH433" s="358"/>
      <c r="BI433" s="358"/>
      <c r="BJ433" s="358"/>
      <c r="BK433" s="358"/>
      <c r="BL433" s="358"/>
      <c r="BM433" s="358"/>
      <c r="BN433" s="358"/>
      <c r="BO433" s="358"/>
      <c r="BP433" s="358"/>
      <c r="BQ433" s="358"/>
      <c r="BR433" s="358"/>
      <c r="BS433" s="358"/>
      <c r="BT433" s="359"/>
      <c r="BU433" s="359"/>
      <c r="BV433" s="359"/>
      <c r="BW433" s="359"/>
      <c r="BX433" s="359"/>
      <c r="BY433" s="359"/>
      <c r="BZ433" s="359"/>
      <c r="CA433" s="359"/>
      <c r="CB433" s="359"/>
      <c r="CC433" s="359"/>
    </row>
    <row r="434" spans="1:81" s="360" customFormat="1" ht="14.25">
      <c r="A434" s="396"/>
      <c r="C434" s="456"/>
      <c r="D434" s="3"/>
      <c r="F434" s="357"/>
      <c r="G434" s="381"/>
      <c r="H434" s="381"/>
      <c r="I434" s="381"/>
      <c r="J434" s="381"/>
      <c r="K434" s="381"/>
      <c r="L434" s="381"/>
      <c r="M434" s="381"/>
      <c r="N434" s="381"/>
      <c r="O434" s="381"/>
      <c r="P434" s="381"/>
      <c r="Q434" s="357"/>
      <c r="R434" s="382"/>
      <c r="S434" s="381"/>
      <c r="T434" s="381"/>
      <c r="U434" s="381"/>
      <c r="V434" s="381"/>
      <c r="W434" s="381"/>
      <c r="X434" s="381"/>
      <c r="Y434" s="381"/>
      <c r="Z434" s="381"/>
      <c r="AA434" s="381"/>
      <c r="AB434" s="381"/>
      <c r="AC434" s="381"/>
      <c r="AD434" s="381"/>
      <c r="AE434" s="381"/>
      <c r="AF434" s="381"/>
      <c r="AG434" s="381"/>
      <c r="AH434" s="381"/>
      <c r="AI434" s="381"/>
      <c r="AJ434" s="381"/>
      <c r="AK434" s="381"/>
      <c r="AL434" s="381"/>
      <c r="AM434" s="357"/>
      <c r="AN434" s="357"/>
      <c r="AO434" s="357"/>
      <c r="AP434" s="357"/>
      <c r="AQ434" s="357"/>
      <c r="AR434" s="357"/>
      <c r="AS434" s="357"/>
      <c r="AT434" s="357"/>
      <c r="AU434" s="357"/>
      <c r="AV434" s="357"/>
      <c r="AW434" s="357"/>
      <c r="AX434" s="357"/>
      <c r="AY434" s="357"/>
      <c r="AZ434" s="357"/>
      <c r="BA434" s="357"/>
      <c r="BB434" s="357"/>
      <c r="BC434" s="357"/>
      <c r="BD434" s="357"/>
      <c r="BE434" s="358"/>
      <c r="BF434" s="358"/>
      <c r="BG434" s="358"/>
      <c r="BH434" s="358"/>
      <c r="BI434" s="358"/>
      <c r="BJ434" s="358"/>
      <c r="BK434" s="358"/>
      <c r="BL434" s="358"/>
      <c r="BM434" s="358"/>
      <c r="BN434" s="358"/>
      <c r="BO434" s="358"/>
      <c r="BP434" s="358"/>
      <c r="BQ434" s="358"/>
      <c r="BR434" s="358"/>
      <c r="BS434" s="358"/>
      <c r="BT434" s="359"/>
      <c r="BU434" s="359"/>
      <c r="BV434" s="359"/>
      <c r="BW434" s="359"/>
      <c r="BX434" s="359"/>
      <c r="BY434" s="359"/>
      <c r="BZ434" s="359"/>
      <c r="CA434" s="359"/>
      <c r="CB434" s="359"/>
      <c r="CC434" s="359"/>
    </row>
    <row r="435" spans="1:81" s="360" customFormat="1" ht="14.25">
      <c r="A435" s="396"/>
      <c r="C435" s="456"/>
      <c r="D435" s="3"/>
      <c r="F435" s="357"/>
      <c r="G435" s="381"/>
      <c r="H435" s="381"/>
      <c r="I435" s="381"/>
      <c r="J435" s="381"/>
      <c r="K435" s="381"/>
      <c r="L435" s="381"/>
      <c r="M435" s="381"/>
      <c r="N435" s="381"/>
      <c r="O435" s="381"/>
      <c r="P435" s="381"/>
      <c r="Q435" s="357"/>
      <c r="R435" s="382"/>
      <c r="S435" s="381"/>
      <c r="T435" s="381"/>
      <c r="U435" s="381"/>
      <c r="V435" s="381"/>
      <c r="W435" s="381"/>
      <c r="X435" s="381"/>
      <c r="Y435" s="381"/>
      <c r="Z435" s="381"/>
      <c r="AA435" s="381"/>
      <c r="AB435" s="381"/>
      <c r="AC435" s="381"/>
      <c r="AD435" s="381"/>
      <c r="AE435" s="381"/>
      <c r="AF435" s="381"/>
      <c r="AG435" s="381"/>
      <c r="AH435" s="381"/>
      <c r="AI435" s="381"/>
      <c r="AJ435" s="381"/>
      <c r="AK435" s="381"/>
      <c r="AL435" s="381"/>
      <c r="AM435" s="357"/>
      <c r="AN435" s="357"/>
      <c r="AO435" s="357"/>
      <c r="AP435" s="357"/>
      <c r="AQ435" s="357"/>
      <c r="AR435" s="357"/>
      <c r="AS435" s="357"/>
      <c r="AT435" s="357"/>
      <c r="AU435" s="357"/>
      <c r="AV435" s="357"/>
      <c r="AW435" s="357"/>
      <c r="AX435" s="357"/>
      <c r="AY435" s="357"/>
      <c r="AZ435" s="357"/>
      <c r="BA435" s="357"/>
      <c r="BB435" s="357"/>
      <c r="BC435" s="357"/>
      <c r="BD435" s="357"/>
      <c r="BE435" s="358"/>
      <c r="BF435" s="358"/>
      <c r="BG435" s="358"/>
      <c r="BH435" s="358"/>
      <c r="BI435" s="358"/>
      <c r="BJ435" s="358"/>
      <c r="BK435" s="358"/>
      <c r="BL435" s="358"/>
      <c r="BM435" s="358"/>
      <c r="BN435" s="358"/>
      <c r="BO435" s="358"/>
      <c r="BP435" s="358"/>
      <c r="BQ435" s="358"/>
      <c r="BR435" s="358"/>
      <c r="BS435" s="358"/>
      <c r="BT435" s="359"/>
      <c r="BU435" s="359"/>
      <c r="BV435" s="359"/>
      <c r="BW435" s="359"/>
      <c r="BX435" s="359"/>
      <c r="BY435" s="359"/>
      <c r="BZ435" s="359"/>
      <c r="CA435" s="359"/>
      <c r="CB435" s="359"/>
      <c r="CC435" s="359"/>
    </row>
    <row r="436" spans="1:81" s="360" customFormat="1" ht="14.25">
      <c r="A436" s="396"/>
      <c r="C436" s="456"/>
      <c r="D436" s="3"/>
      <c r="F436" s="357"/>
      <c r="G436" s="381"/>
      <c r="H436" s="381"/>
      <c r="I436" s="381"/>
      <c r="J436" s="381"/>
      <c r="K436" s="381"/>
      <c r="L436" s="381"/>
      <c r="M436" s="381"/>
      <c r="N436" s="381"/>
      <c r="O436" s="381"/>
      <c r="P436" s="381"/>
      <c r="Q436" s="357"/>
      <c r="R436" s="382"/>
      <c r="S436" s="381"/>
      <c r="T436" s="381"/>
      <c r="U436" s="381"/>
      <c r="V436" s="381"/>
      <c r="W436" s="381"/>
      <c r="X436" s="381"/>
      <c r="Y436" s="381"/>
      <c r="Z436" s="381"/>
      <c r="AA436" s="381"/>
      <c r="AB436" s="381"/>
      <c r="AC436" s="381"/>
      <c r="AD436" s="381"/>
      <c r="AE436" s="381"/>
      <c r="AF436" s="381"/>
      <c r="AG436" s="381"/>
      <c r="AH436" s="381"/>
      <c r="AI436" s="381"/>
      <c r="AJ436" s="381"/>
      <c r="AK436" s="381"/>
      <c r="AL436" s="381"/>
      <c r="AM436" s="357"/>
      <c r="AN436" s="357"/>
      <c r="AO436" s="357"/>
      <c r="AP436" s="357"/>
      <c r="AQ436" s="357"/>
      <c r="AR436" s="357"/>
      <c r="AS436" s="357"/>
      <c r="AT436" s="357"/>
      <c r="AU436" s="357"/>
      <c r="AV436" s="357"/>
      <c r="AW436" s="357"/>
      <c r="AX436" s="357"/>
      <c r="AY436" s="357"/>
      <c r="AZ436" s="357"/>
      <c r="BA436" s="357"/>
      <c r="BB436" s="357"/>
      <c r="BC436" s="357"/>
      <c r="BD436" s="357"/>
      <c r="BE436" s="358"/>
      <c r="BF436" s="358"/>
      <c r="BG436" s="358"/>
      <c r="BH436" s="358"/>
      <c r="BI436" s="358"/>
      <c r="BJ436" s="358"/>
      <c r="BK436" s="358"/>
      <c r="BL436" s="358"/>
      <c r="BM436" s="358"/>
      <c r="BN436" s="358"/>
      <c r="BO436" s="358"/>
      <c r="BP436" s="358"/>
      <c r="BQ436" s="358"/>
      <c r="BR436" s="358"/>
      <c r="BS436" s="358"/>
      <c r="BT436" s="359"/>
      <c r="BU436" s="359"/>
      <c r="BV436" s="359"/>
      <c r="BW436" s="359"/>
      <c r="BX436" s="359"/>
      <c r="BY436" s="359"/>
      <c r="BZ436" s="359"/>
      <c r="CA436" s="359"/>
      <c r="CB436" s="359"/>
      <c r="CC436" s="359"/>
    </row>
    <row r="437" spans="1:81" s="360" customFormat="1" ht="14.25">
      <c r="A437" s="396"/>
      <c r="C437" s="456"/>
      <c r="D437" s="3"/>
      <c r="F437" s="357"/>
      <c r="G437" s="381"/>
      <c r="H437" s="381"/>
      <c r="I437" s="381"/>
      <c r="J437" s="381"/>
      <c r="K437" s="381"/>
      <c r="L437" s="381"/>
      <c r="M437" s="381"/>
      <c r="N437" s="381"/>
      <c r="O437" s="381"/>
      <c r="P437" s="381"/>
      <c r="Q437" s="357"/>
      <c r="R437" s="382"/>
      <c r="S437" s="381"/>
      <c r="T437" s="381"/>
      <c r="U437" s="381"/>
      <c r="V437" s="381"/>
      <c r="W437" s="381"/>
      <c r="X437" s="381"/>
      <c r="Y437" s="381"/>
      <c r="Z437" s="381"/>
      <c r="AA437" s="381"/>
      <c r="AB437" s="381"/>
      <c r="AC437" s="381"/>
      <c r="AD437" s="381"/>
      <c r="AE437" s="381"/>
      <c r="AF437" s="381"/>
      <c r="AG437" s="381"/>
      <c r="AH437" s="381"/>
      <c r="AI437" s="381"/>
      <c r="AJ437" s="381"/>
      <c r="AK437" s="381"/>
      <c r="AL437" s="381"/>
      <c r="AM437" s="357"/>
      <c r="AN437" s="357"/>
      <c r="AO437" s="357"/>
      <c r="AP437" s="357"/>
      <c r="AQ437" s="357"/>
      <c r="AR437" s="357"/>
      <c r="AS437" s="357"/>
      <c r="AT437" s="357"/>
      <c r="AU437" s="357"/>
      <c r="AV437" s="357"/>
      <c r="AW437" s="357"/>
      <c r="AX437" s="357"/>
      <c r="AY437" s="357"/>
      <c r="AZ437" s="357"/>
      <c r="BA437" s="357"/>
      <c r="BB437" s="357"/>
      <c r="BC437" s="357"/>
      <c r="BD437" s="357"/>
      <c r="BE437" s="358"/>
      <c r="BF437" s="358"/>
      <c r="BG437" s="358"/>
      <c r="BH437" s="358"/>
      <c r="BI437" s="358"/>
      <c r="BJ437" s="358"/>
      <c r="BK437" s="358"/>
      <c r="BL437" s="358"/>
      <c r="BM437" s="358"/>
      <c r="BN437" s="358"/>
      <c r="BO437" s="358"/>
      <c r="BP437" s="358"/>
      <c r="BQ437" s="358"/>
      <c r="BR437" s="358"/>
      <c r="BS437" s="358"/>
      <c r="BT437" s="359"/>
      <c r="BU437" s="359"/>
      <c r="BV437" s="359"/>
      <c r="BW437" s="359"/>
      <c r="BX437" s="359"/>
      <c r="BY437" s="359"/>
      <c r="BZ437" s="359"/>
      <c r="CA437" s="359"/>
      <c r="CB437" s="359"/>
      <c r="CC437" s="359"/>
    </row>
    <row r="438" spans="1:71" s="474" customFormat="1" ht="12.75" thickBot="1">
      <c r="A438" s="481"/>
      <c r="B438" s="482"/>
      <c r="C438" s="482"/>
      <c r="D438" s="482"/>
      <c r="E438" s="482"/>
      <c r="F438" s="483"/>
      <c r="G438" s="463"/>
      <c r="H438" s="484">
        <f>SUM(H7:H437)</f>
        <v>-356960550</v>
      </c>
      <c r="I438" s="484">
        <f aca="true" t="shared" si="2" ref="I438:AJ438">SUM(I7:I437)</f>
        <v>5125577.640000001</v>
      </c>
      <c r="J438" s="484">
        <f t="shared" si="2"/>
        <v>206263140</v>
      </c>
      <c r="K438" s="484">
        <f t="shared" si="2"/>
        <v>121001000</v>
      </c>
      <c r="L438" s="484">
        <f t="shared" si="2"/>
        <v>0</v>
      </c>
      <c r="M438" s="484">
        <f>SUM(M7:M437)</f>
        <v>22082375.57859999</v>
      </c>
      <c r="N438" s="484">
        <f t="shared" si="2"/>
        <v>0</v>
      </c>
      <c r="O438" s="484">
        <f t="shared" si="2"/>
        <v>0</v>
      </c>
      <c r="P438" s="484">
        <f t="shared" si="2"/>
        <v>0</v>
      </c>
      <c r="Q438" s="485">
        <f t="shared" si="2"/>
        <v>-0.19860000163316727</v>
      </c>
      <c r="R438" s="486">
        <f t="shared" si="2"/>
        <v>0</v>
      </c>
      <c r="S438" s="484">
        <f t="shared" si="2"/>
        <v>0</v>
      </c>
      <c r="T438" s="484">
        <f t="shared" si="2"/>
        <v>0</v>
      </c>
      <c r="U438" s="484">
        <f t="shared" si="2"/>
        <v>-88479</v>
      </c>
      <c r="V438" s="484">
        <f t="shared" si="2"/>
        <v>16014</v>
      </c>
      <c r="W438" s="484">
        <f t="shared" si="2"/>
        <v>91711350</v>
      </c>
      <c r="X438" s="484">
        <f t="shared" si="2"/>
        <v>-91711350</v>
      </c>
      <c r="Y438" s="484">
        <f t="shared" si="2"/>
        <v>-51889379</v>
      </c>
      <c r="Z438" s="484">
        <f t="shared" si="2"/>
        <v>0</v>
      </c>
      <c r="AA438" s="484">
        <f t="shared" si="2"/>
        <v>51889379</v>
      </c>
      <c r="AB438" s="484">
        <f t="shared" si="2"/>
        <v>0</v>
      </c>
      <c r="AC438" s="484">
        <f t="shared" si="2"/>
        <v>0</v>
      </c>
      <c r="AD438" s="484">
        <f t="shared" si="2"/>
        <v>90000</v>
      </c>
      <c r="AE438" s="484">
        <f t="shared" si="2"/>
        <v>0</v>
      </c>
      <c r="AF438" s="484">
        <f t="shared" si="2"/>
        <v>0</v>
      </c>
      <c r="AG438" s="484">
        <f t="shared" si="2"/>
        <v>0</v>
      </c>
      <c r="AH438" s="484">
        <f t="shared" si="2"/>
        <v>-1629250</v>
      </c>
      <c r="AI438" s="484">
        <f t="shared" si="2"/>
        <v>319469</v>
      </c>
      <c r="AJ438" s="484">
        <f t="shared" si="2"/>
        <v>0</v>
      </c>
      <c r="AK438" s="484">
        <f>SUM(AK7:AK437)</f>
        <v>3780704</v>
      </c>
      <c r="AL438" s="487">
        <f>SUM(AL7:AL282)</f>
        <v>0</v>
      </c>
      <c r="AM438" s="488"/>
      <c r="AN438" s="488"/>
      <c r="AO438" s="488"/>
      <c r="AP438" s="488"/>
      <c r="AQ438" s="488"/>
      <c r="AR438" s="488"/>
      <c r="AS438" s="488"/>
      <c r="AT438" s="488"/>
      <c r="AU438" s="488"/>
      <c r="AV438" s="488"/>
      <c r="AW438" s="488"/>
      <c r="AX438" s="488"/>
      <c r="AY438" s="488"/>
      <c r="AZ438" s="488"/>
      <c r="BA438" s="488"/>
      <c r="BB438" s="488"/>
      <c r="BC438" s="488"/>
      <c r="BD438" s="488"/>
      <c r="BE438" s="489"/>
      <c r="BF438" s="489"/>
      <c r="BG438" s="489"/>
      <c r="BH438" s="489"/>
      <c r="BI438" s="489"/>
      <c r="BJ438" s="489"/>
      <c r="BK438" s="489"/>
      <c r="BL438" s="489"/>
      <c r="BM438" s="489"/>
      <c r="BN438" s="489"/>
      <c r="BO438" s="489"/>
      <c r="BP438" s="489"/>
      <c r="BQ438" s="489"/>
      <c r="BR438" s="489"/>
      <c r="BS438" s="489"/>
    </row>
    <row r="439" spans="1:81" s="491" customFormat="1" ht="12">
      <c r="A439" s="490"/>
      <c r="B439" s="300"/>
      <c r="F439" s="492"/>
      <c r="G439" s="492"/>
      <c r="H439" s="493"/>
      <c r="I439" s="493"/>
      <c r="J439" s="492"/>
      <c r="K439" s="492"/>
      <c r="L439" s="492"/>
      <c r="M439" s="492"/>
      <c r="N439" s="492"/>
      <c r="O439" s="492"/>
      <c r="P439" s="492"/>
      <c r="Q439" s="492"/>
      <c r="R439" s="492"/>
      <c r="S439" s="492"/>
      <c r="T439" s="492"/>
      <c r="U439" s="492"/>
      <c r="V439" s="492"/>
      <c r="W439" s="492"/>
      <c r="X439" s="492"/>
      <c r="Y439" s="401"/>
      <c r="Z439" s="401"/>
      <c r="AA439" s="401"/>
      <c r="AB439" s="494" t="s">
        <v>928</v>
      </c>
      <c r="AD439" s="492">
        <f>0+AD232+AD233</f>
        <v>0</v>
      </c>
      <c r="AE439" s="492"/>
      <c r="AF439" s="492"/>
      <c r="AG439" s="492">
        <f>AG215</f>
        <v>0</v>
      </c>
      <c r="AH439" s="492"/>
      <c r="AI439" s="495" t="s">
        <v>929</v>
      </c>
      <c r="AJ439" s="495"/>
      <c r="AK439" s="492"/>
      <c r="AL439" s="492"/>
      <c r="AM439" s="492"/>
      <c r="AN439" s="492"/>
      <c r="AO439" s="492"/>
      <c r="AP439" s="492"/>
      <c r="AQ439" s="492"/>
      <c r="AR439" s="492"/>
      <c r="AS439" s="492"/>
      <c r="AT439" s="492"/>
      <c r="AU439" s="492"/>
      <c r="AV439" s="492"/>
      <c r="AW439" s="492"/>
      <c r="AX439" s="492"/>
      <c r="AY439" s="492"/>
      <c r="AZ439" s="492"/>
      <c r="BA439" s="492"/>
      <c r="BB439" s="492"/>
      <c r="BC439" s="492"/>
      <c r="BD439" s="492"/>
      <c r="BE439" s="496"/>
      <c r="BF439" s="496"/>
      <c r="BG439" s="496"/>
      <c r="BH439" s="496"/>
      <c r="BI439" s="496"/>
      <c r="BJ439" s="496"/>
      <c r="BK439" s="496"/>
      <c r="BL439" s="496"/>
      <c r="BM439" s="496"/>
      <c r="BN439" s="496"/>
      <c r="BO439" s="496"/>
      <c r="BP439" s="496"/>
      <c r="BQ439" s="496"/>
      <c r="BR439" s="496"/>
      <c r="BS439" s="496"/>
      <c r="BT439" s="497"/>
      <c r="BU439" s="497"/>
      <c r="BV439" s="497"/>
      <c r="BW439" s="497"/>
      <c r="BX439" s="497"/>
      <c r="BY439" s="497"/>
      <c r="BZ439" s="497"/>
      <c r="CA439" s="497"/>
      <c r="CB439" s="497"/>
      <c r="CC439" s="497"/>
    </row>
    <row r="440" spans="1:81" s="491" customFormat="1" ht="12">
      <c r="A440" s="490"/>
      <c r="B440" s="300"/>
      <c r="F440" s="492"/>
      <c r="G440" s="492"/>
      <c r="H440" s="493"/>
      <c r="I440" s="493"/>
      <c r="J440" s="492"/>
      <c r="K440" s="492"/>
      <c r="L440" s="492"/>
      <c r="M440" s="492"/>
      <c r="N440" s="492"/>
      <c r="O440" s="492"/>
      <c r="P440" s="492"/>
      <c r="Q440" s="492"/>
      <c r="R440" s="492"/>
      <c r="S440" s="492"/>
      <c r="T440" s="492"/>
      <c r="U440" s="492"/>
      <c r="V440" s="492"/>
      <c r="W440" s="492"/>
      <c r="X440" s="492"/>
      <c r="Y440" s="401"/>
      <c r="Z440" s="401"/>
      <c r="AA440" s="401"/>
      <c r="AB440" s="494" t="s">
        <v>930</v>
      </c>
      <c r="AD440" s="492">
        <f>AD372</f>
        <v>90000</v>
      </c>
      <c r="AE440" s="492"/>
      <c r="AF440" s="492"/>
      <c r="AG440" s="492"/>
      <c r="AH440" s="492"/>
      <c r="AI440" s="495"/>
      <c r="AJ440" s="495"/>
      <c r="AK440" s="492"/>
      <c r="AL440" s="492"/>
      <c r="AM440" s="492"/>
      <c r="AN440" s="492"/>
      <c r="AO440" s="492"/>
      <c r="AP440" s="492"/>
      <c r="AQ440" s="492"/>
      <c r="AR440" s="492"/>
      <c r="AS440" s="492"/>
      <c r="AT440" s="492"/>
      <c r="AU440" s="492"/>
      <c r="AV440" s="492"/>
      <c r="AW440" s="492"/>
      <c r="AX440" s="492"/>
      <c r="AY440" s="492"/>
      <c r="AZ440" s="492"/>
      <c r="BA440" s="492"/>
      <c r="BB440" s="492"/>
      <c r="BC440" s="492"/>
      <c r="BD440" s="492"/>
      <c r="BE440" s="496"/>
      <c r="BF440" s="496"/>
      <c r="BG440" s="496"/>
      <c r="BH440" s="496"/>
      <c r="BI440" s="496"/>
      <c r="BJ440" s="496"/>
      <c r="BK440" s="496"/>
      <c r="BL440" s="496"/>
      <c r="BM440" s="496"/>
      <c r="BN440" s="496"/>
      <c r="BO440" s="496"/>
      <c r="BP440" s="496"/>
      <c r="BQ440" s="496"/>
      <c r="BR440" s="496"/>
      <c r="BS440" s="496"/>
      <c r="BT440" s="497"/>
      <c r="BU440" s="497"/>
      <c r="BV440" s="497"/>
      <c r="BW440" s="497"/>
      <c r="BX440" s="497"/>
      <c r="BY440" s="497"/>
      <c r="BZ440" s="497"/>
      <c r="CA440" s="497"/>
      <c r="CB440" s="497"/>
      <c r="CC440" s="497"/>
    </row>
    <row r="441" spans="6:36" ht="12">
      <c r="F441" s="301" t="s">
        <v>931</v>
      </c>
      <c r="H441" s="301">
        <f>+H438-H442</f>
        <v>0</v>
      </c>
      <c r="L441" s="301" t="s">
        <v>932</v>
      </c>
      <c r="M441" s="301">
        <f>+M438</f>
        <v>22082375.57859999</v>
      </c>
      <c r="Q441" s="301">
        <f>1430105839-1420433368</f>
        <v>9672471</v>
      </c>
      <c r="R441" s="498" t="s">
        <v>933</v>
      </c>
      <c r="AB441" s="499" t="s">
        <v>934</v>
      </c>
      <c r="AC441" s="300"/>
      <c r="AD441" s="499">
        <f>AD211</f>
        <v>0</v>
      </c>
      <c r="AE441" s="499"/>
      <c r="AF441" s="499"/>
      <c r="AG441" s="499">
        <f>AG438-AG439</f>
        <v>0</v>
      </c>
      <c r="AH441" s="499"/>
      <c r="AI441" s="500" t="s">
        <v>935</v>
      </c>
      <c r="AJ441" s="500"/>
    </row>
    <row r="442" spans="6:34" ht="12">
      <c r="F442" s="301" t="s">
        <v>936</v>
      </c>
      <c r="H442" s="301">
        <v>-356960550</v>
      </c>
      <c r="L442" s="301" t="s">
        <v>470</v>
      </c>
      <c r="M442" s="301">
        <v>0</v>
      </c>
      <c r="Q442" s="301">
        <f>-Q441</f>
        <v>-9672471</v>
      </c>
      <c r="R442" s="498" t="s">
        <v>937</v>
      </c>
      <c r="AD442" s="501">
        <f>SUM(AD439:AD441)</f>
        <v>90000</v>
      </c>
      <c r="AE442" s="501"/>
      <c r="AF442" s="501"/>
      <c r="AG442" s="501">
        <f>SUM(AG439:AG441)</f>
        <v>0</v>
      </c>
      <c r="AH442" s="499"/>
    </row>
    <row r="443" spans="8:37" ht="12">
      <c r="H443" s="502">
        <f>H441+H442</f>
        <v>-356960550</v>
      </c>
      <c r="I443" s="488"/>
      <c r="M443" s="502">
        <f>M441+M442</f>
        <v>22082375.57859999</v>
      </c>
      <c r="Q443" s="301">
        <f>Q438-Q441-Q442</f>
        <v>-0.19860000163316727</v>
      </c>
      <c r="R443" s="498" t="s">
        <v>938</v>
      </c>
      <c r="AA443" s="410"/>
      <c r="AB443" s="498"/>
      <c r="AD443" s="301">
        <f>AD442-AD438</f>
        <v>0</v>
      </c>
      <c r="AG443" s="499"/>
      <c r="AH443" s="499"/>
      <c r="AI443" s="300"/>
      <c r="AJ443" s="300"/>
      <c r="AK443" s="300"/>
    </row>
    <row r="444" spans="17:37" ht="12">
      <c r="Q444" s="503">
        <f>Q438</f>
        <v>-0.19860000163316727</v>
      </c>
      <c r="AA444" s="301">
        <f>AA407+AA406+AA408</f>
        <v>0</v>
      </c>
      <c r="AB444" s="498" t="s">
        <v>939</v>
      </c>
      <c r="AG444" s="499"/>
      <c r="AH444" s="499"/>
      <c r="AI444" s="300"/>
      <c r="AJ444" s="300"/>
      <c r="AK444" s="300"/>
    </row>
    <row r="445" spans="27:37" ht="12">
      <c r="AA445" s="301">
        <f>AA340</f>
        <v>51889379</v>
      </c>
      <c r="AB445" s="498" t="s">
        <v>940</v>
      </c>
      <c r="AG445" s="499"/>
      <c r="AH445" s="499"/>
      <c r="AI445" s="300"/>
      <c r="AJ445" s="300"/>
      <c r="AK445" s="300"/>
    </row>
    <row r="446" spans="27:37" ht="12">
      <c r="AA446" s="504">
        <f>SUM(AA443:AA445)</f>
        <v>51889379</v>
      </c>
      <c r="AG446" s="300"/>
      <c r="AH446" s="300"/>
      <c r="AI446" s="364">
        <v>0</v>
      </c>
      <c r="AJ446" s="364"/>
      <c r="AK446" s="505" t="s">
        <v>941</v>
      </c>
    </row>
    <row r="447" spans="27:37" ht="12">
      <c r="AA447" s="301">
        <f>AA446-AA438</f>
        <v>0</v>
      </c>
      <c r="AG447" s="300"/>
      <c r="AH447" s="300"/>
      <c r="AI447" s="364">
        <v>0</v>
      </c>
      <c r="AJ447" s="364"/>
      <c r="AK447" s="505" t="s">
        <v>942</v>
      </c>
    </row>
    <row r="448" spans="35:37" ht="12">
      <c r="AI448" s="501">
        <f>AI446+AI447</f>
        <v>0</v>
      </c>
      <c r="AJ448" s="499"/>
      <c r="AK448" s="364"/>
    </row>
  </sheetData>
  <mergeCells count="1">
    <mergeCell ref="C5:E5"/>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2:H127"/>
  <sheetViews>
    <sheetView workbookViewId="0" topLeftCell="A96">
      <selection activeCell="A96" sqref="A1:IV16384"/>
    </sheetView>
  </sheetViews>
  <sheetFormatPr defaultColWidth="9.140625" defaultRowHeight="11.25" customHeight="1"/>
  <cols>
    <col min="1" max="3" width="9.140625" style="80" customWidth="1"/>
    <col min="4" max="4" width="11.8515625" style="80" customWidth="1"/>
    <col min="5" max="5" width="12.8515625" style="80" customWidth="1"/>
    <col min="6" max="6" width="16.8515625" style="80" bestFit="1" customWidth="1"/>
    <col min="7" max="7" width="1.57421875" style="80" customWidth="1"/>
    <col min="8" max="8" width="16.28125" style="80" hidden="1" customWidth="1"/>
    <col min="9" max="16384" width="9.140625" style="80" customWidth="1"/>
  </cols>
  <sheetData>
    <row r="2" ht="11.25" customHeight="1">
      <c r="A2" s="65" t="s">
        <v>516</v>
      </c>
    </row>
    <row r="3" spans="1:8" ht="11.25" customHeight="1">
      <c r="A3" s="75" t="s">
        <v>517</v>
      </c>
      <c r="B3" s="72"/>
      <c r="C3" s="72"/>
      <c r="D3" s="72"/>
      <c r="E3" s="72"/>
      <c r="F3" s="74"/>
      <c r="G3" s="74"/>
      <c r="H3" s="74"/>
    </row>
    <row r="4" spans="1:8" ht="11.25" customHeight="1">
      <c r="A4" s="75" t="s">
        <v>518</v>
      </c>
      <c r="B4" s="24"/>
      <c r="C4" s="24"/>
      <c r="D4" s="24"/>
      <c r="E4" s="24"/>
      <c r="F4" s="74"/>
      <c r="G4" s="74"/>
      <c r="H4" s="74"/>
    </row>
    <row r="5" spans="1:8" ht="11.25" customHeight="1">
      <c r="A5" s="24"/>
      <c r="B5" s="72"/>
      <c r="C5" s="72"/>
      <c r="D5" s="72"/>
      <c r="E5" s="72"/>
      <c r="F5" s="74"/>
      <c r="G5" s="74"/>
      <c r="H5" s="74"/>
    </row>
    <row r="6" spans="1:8" ht="11.25" customHeight="1">
      <c r="A6" s="24"/>
      <c r="B6" s="72"/>
      <c r="C6" s="72"/>
      <c r="D6" s="72"/>
      <c r="E6" s="72"/>
      <c r="F6" s="73" t="s">
        <v>519</v>
      </c>
      <c r="G6" s="227"/>
      <c r="H6" s="227"/>
    </row>
    <row r="7" spans="1:8" ht="11.25" customHeight="1">
      <c r="A7" s="24"/>
      <c r="B7" s="72"/>
      <c r="C7" s="72"/>
      <c r="D7" s="72"/>
      <c r="E7" s="72"/>
      <c r="F7" s="228">
        <v>38412</v>
      </c>
      <c r="G7" s="229"/>
      <c r="H7" s="230">
        <v>37773</v>
      </c>
    </row>
    <row r="8" spans="1:8" ht="11.25" customHeight="1">
      <c r="A8" s="24"/>
      <c r="B8" s="72"/>
      <c r="C8" s="72"/>
      <c r="D8" s="72"/>
      <c r="E8" s="72"/>
      <c r="F8" s="231" t="s">
        <v>520</v>
      </c>
      <c r="G8" s="231"/>
      <c r="H8" s="231" t="s">
        <v>520</v>
      </c>
    </row>
    <row r="9" spans="1:8" ht="11.25" customHeight="1">
      <c r="A9" s="24"/>
      <c r="B9" s="72"/>
      <c r="C9" s="72"/>
      <c r="D9" s="72"/>
      <c r="E9" s="72"/>
      <c r="F9" s="74"/>
      <c r="G9" s="232"/>
      <c r="H9" s="74"/>
    </row>
    <row r="10" spans="1:8" ht="11.25" customHeight="1">
      <c r="A10" s="24" t="s">
        <v>521</v>
      </c>
      <c r="B10" s="72"/>
      <c r="C10" s="72"/>
      <c r="D10" s="72"/>
      <c r="E10" s="72"/>
      <c r="F10" s="74"/>
      <c r="G10" s="232"/>
      <c r="H10" s="74"/>
    </row>
    <row r="11" spans="1:8" ht="11.25" customHeight="1">
      <c r="A11" s="24" t="s">
        <v>522</v>
      </c>
      <c r="B11" s="72"/>
      <c r="C11" s="72"/>
      <c r="D11" s="72"/>
      <c r="E11" s="72"/>
      <c r="F11" s="74"/>
      <c r="G11" s="232"/>
      <c r="H11" s="74"/>
    </row>
    <row r="12" spans="1:8" ht="11.25" customHeight="1">
      <c r="A12" s="75"/>
      <c r="B12" s="76"/>
      <c r="C12" s="76"/>
      <c r="D12" s="76"/>
      <c r="E12" s="76"/>
      <c r="F12" s="233"/>
      <c r="G12" s="234"/>
      <c r="H12" s="233"/>
    </row>
    <row r="13" spans="1:8" ht="11.25" customHeight="1">
      <c r="A13" s="75" t="s">
        <v>66</v>
      </c>
      <c r="B13" s="76"/>
      <c r="C13" s="76"/>
      <c r="D13" s="76"/>
      <c r="E13" s="235"/>
      <c r="F13" s="236">
        <f>'[2]CF workings'!C12</f>
        <v>-5681115.578599989</v>
      </c>
      <c r="G13" s="237"/>
      <c r="H13" s="235">
        <v>2666451</v>
      </c>
    </row>
    <row r="14" spans="1:8" ht="11.25" customHeight="1">
      <c r="A14" s="24"/>
      <c r="B14" s="72"/>
      <c r="C14" s="72"/>
      <c r="D14" s="72"/>
      <c r="E14" s="72"/>
      <c r="F14" s="74"/>
      <c r="G14" s="232"/>
      <c r="H14" s="74"/>
    </row>
    <row r="15" spans="1:8" ht="11.25" customHeight="1">
      <c r="A15" s="24" t="s">
        <v>67</v>
      </c>
      <c r="B15" s="72"/>
      <c r="C15" s="72"/>
      <c r="D15" s="72"/>
      <c r="E15" s="72"/>
      <c r="F15" s="74"/>
      <c r="G15" s="232"/>
      <c r="H15" s="74"/>
    </row>
    <row r="16" spans="1:8" ht="11.25" customHeight="1">
      <c r="A16" s="24"/>
      <c r="B16" s="72"/>
      <c r="C16" s="72"/>
      <c r="D16" s="72"/>
      <c r="E16" s="72"/>
      <c r="F16" s="74"/>
      <c r="G16" s="232"/>
      <c r="H16" s="74"/>
    </row>
    <row r="17" spans="1:8" ht="12.75" customHeight="1">
      <c r="A17" s="24" t="s">
        <v>68</v>
      </c>
      <c r="B17" s="72"/>
      <c r="C17" s="72"/>
      <c r="D17" s="72"/>
      <c r="E17" s="235"/>
      <c r="F17" s="78">
        <f>'[2]CF workings'!C14</f>
        <v>205510</v>
      </c>
      <c r="G17" s="82"/>
      <c r="H17" s="78">
        <v>5802889</v>
      </c>
    </row>
    <row r="18" spans="1:8" ht="12.75" customHeight="1">
      <c r="A18" s="24" t="s">
        <v>69</v>
      </c>
      <c r="B18" s="72"/>
      <c r="C18" s="72"/>
      <c r="D18" s="72"/>
      <c r="E18" s="235"/>
      <c r="F18" s="78">
        <f>'[2]CF workings'!C15</f>
        <v>27196619</v>
      </c>
      <c r="G18" s="82"/>
      <c r="H18" s="78">
        <v>34264621</v>
      </c>
    </row>
    <row r="19" spans="1:8" ht="12.75" customHeight="1">
      <c r="A19" s="24" t="s">
        <v>523</v>
      </c>
      <c r="B19" s="72"/>
      <c r="C19" s="72"/>
      <c r="D19" s="72"/>
      <c r="E19" s="72"/>
      <c r="F19" s="78">
        <f>'[2]CF workings'!C17</f>
        <v>0</v>
      </c>
      <c r="G19" s="82"/>
      <c r="H19" s="78">
        <v>-25805</v>
      </c>
    </row>
    <row r="20" spans="1:8" ht="12.75" customHeight="1">
      <c r="A20" s="24" t="s">
        <v>70</v>
      </c>
      <c r="B20" s="72"/>
      <c r="C20" s="72"/>
      <c r="D20" s="72"/>
      <c r="E20" s="72"/>
      <c r="F20" s="78">
        <f>'[2]CF workings'!C19</f>
        <v>0</v>
      </c>
      <c r="G20" s="97"/>
      <c r="H20" s="78">
        <v>0</v>
      </c>
    </row>
    <row r="21" spans="1:8" ht="12.75" customHeight="1">
      <c r="A21" s="24" t="s">
        <v>524</v>
      </c>
      <c r="B21" s="72"/>
      <c r="C21" s="72"/>
      <c r="D21" s="72"/>
      <c r="E21" s="72"/>
      <c r="F21" s="78">
        <f>+'[2]CF workings'!C20</f>
        <v>0</v>
      </c>
      <c r="G21" s="97"/>
      <c r="H21" s="78">
        <v>-21000</v>
      </c>
    </row>
    <row r="22" spans="1:8" ht="12.75" customHeight="1">
      <c r="A22" s="24" t="s">
        <v>71</v>
      </c>
      <c r="B22" s="72"/>
      <c r="C22" s="72"/>
      <c r="D22" s="72"/>
      <c r="E22" s="235"/>
      <c r="F22" s="78">
        <f>'[2]CF workings'!C21</f>
        <v>0</v>
      </c>
      <c r="G22" s="97"/>
      <c r="H22" s="78">
        <v>258422297</v>
      </c>
    </row>
    <row r="23" spans="1:8" ht="12.75" customHeight="1">
      <c r="A23" s="24" t="s">
        <v>4</v>
      </c>
      <c r="B23" s="72"/>
      <c r="C23" s="72"/>
      <c r="D23" s="72"/>
      <c r="E23" s="235"/>
      <c r="F23" s="78">
        <f>'[2]CF workings'!C22</f>
        <v>-1629250</v>
      </c>
      <c r="G23" s="97"/>
      <c r="H23" s="78">
        <v>0</v>
      </c>
    </row>
    <row r="24" spans="1:8" ht="12.75" customHeight="1">
      <c r="A24" s="24" t="s">
        <v>72</v>
      </c>
      <c r="B24" s="72"/>
      <c r="C24" s="72"/>
      <c r="D24" s="72"/>
      <c r="E24" s="235"/>
      <c r="F24" s="78">
        <f>'[2]CF workings'!C16</f>
        <v>-221416</v>
      </c>
      <c r="G24" s="82"/>
      <c r="H24" s="78">
        <v>-229137</v>
      </c>
    </row>
    <row r="25" spans="1:8" ht="12.75" customHeight="1">
      <c r="A25" s="24" t="s">
        <v>525</v>
      </c>
      <c r="B25" s="72"/>
      <c r="C25" s="72"/>
      <c r="D25" s="72"/>
      <c r="E25" s="72"/>
      <c r="F25" s="78">
        <f>'[2]CF workings'!C18</f>
        <v>0</v>
      </c>
      <c r="G25" s="82"/>
      <c r="H25" s="78">
        <v>0</v>
      </c>
    </row>
    <row r="26" spans="1:8" ht="12.75" customHeight="1">
      <c r="A26" s="80" t="s">
        <v>73</v>
      </c>
      <c r="B26" s="72"/>
      <c r="C26" s="72"/>
      <c r="D26" s="74"/>
      <c r="E26" s="235"/>
      <c r="F26" s="238">
        <f>'[2]CF workings'!C23</f>
        <v>3086665</v>
      </c>
      <c r="G26" s="239"/>
      <c r="H26" s="81">
        <v>4957070</v>
      </c>
    </row>
    <row r="27" spans="1:8" ht="11.25" customHeight="1">
      <c r="A27" s="24"/>
      <c r="B27" s="72"/>
      <c r="C27" s="72"/>
      <c r="D27" s="72"/>
      <c r="E27" s="72"/>
      <c r="F27" s="83"/>
      <c r="G27" s="82"/>
      <c r="H27" s="78"/>
    </row>
    <row r="28" spans="1:8" ht="11.25" customHeight="1">
      <c r="A28" s="24" t="s">
        <v>526</v>
      </c>
      <c r="B28" s="72"/>
      <c r="C28" s="72"/>
      <c r="D28" s="72"/>
      <c r="E28" s="72"/>
      <c r="F28" s="82"/>
      <c r="G28" s="82"/>
      <c r="H28" s="78"/>
    </row>
    <row r="29" spans="1:8" ht="11.25" customHeight="1">
      <c r="A29" s="24" t="s">
        <v>527</v>
      </c>
      <c r="B29" s="24"/>
      <c r="C29" s="24"/>
      <c r="D29" s="24"/>
      <c r="E29" s="235"/>
      <c r="F29" s="79">
        <f>SUM(F13:F26)</f>
        <v>22957012.42140001</v>
      </c>
      <c r="G29" s="97"/>
      <c r="H29" s="79">
        <f>SUM(H13:H26)</f>
        <v>305837386</v>
      </c>
    </row>
    <row r="30" spans="1:8" ht="11.25" customHeight="1">
      <c r="A30" s="72"/>
      <c r="B30" s="72"/>
      <c r="C30" s="72"/>
      <c r="D30" s="72"/>
      <c r="E30" s="72"/>
      <c r="F30" s="78"/>
      <c r="G30" s="82"/>
      <c r="H30" s="78"/>
    </row>
    <row r="31" spans="1:8" ht="11.25" customHeight="1">
      <c r="A31" s="72" t="s">
        <v>75</v>
      </c>
      <c r="B31" s="72"/>
      <c r="C31" s="72"/>
      <c r="D31" s="72"/>
      <c r="E31" s="72"/>
      <c r="F31" s="78"/>
      <c r="G31" s="82"/>
      <c r="H31" s="78"/>
    </row>
    <row r="32" spans="1:8" ht="11.25" customHeight="1">
      <c r="A32" s="24"/>
      <c r="B32" s="72"/>
      <c r="C32" s="72"/>
      <c r="D32" s="72"/>
      <c r="E32" s="72"/>
      <c r="F32" s="84"/>
      <c r="G32" s="240"/>
      <c r="H32" s="74"/>
    </row>
    <row r="33" spans="1:8" ht="12.75">
      <c r="A33" s="24" t="s">
        <v>528</v>
      </c>
      <c r="B33" s="72"/>
      <c r="C33" s="72"/>
      <c r="D33" s="72"/>
      <c r="E33" s="235"/>
      <c r="F33" s="85">
        <f>'[2]CF workings'!C28</f>
        <v>-3.637978807091713E-10</v>
      </c>
      <c r="G33" s="239"/>
      <c r="H33" s="118">
        <v>-4975147</v>
      </c>
    </row>
    <row r="34" spans="1:8" ht="12.75">
      <c r="A34" s="24" t="s">
        <v>529</v>
      </c>
      <c r="B34" s="72"/>
      <c r="C34" s="72"/>
      <c r="D34" s="72"/>
      <c r="E34" s="235"/>
      <c r="F34" s="85">
        <f>'[2]CF workings'!C27</f>
        <v>0</v>
      </c>
      <c r="G34" s="239"/>
      <c r="H34" s="118">
        <v>449195</v>
      </c>
    </row>
    <row r="35" spans="1:8" ht="12.75">
      <c r="A35" s="24" t="s">
        <v>530</v>
      </c>
      <c r="B35" s="72"/>
      <c r="C35" s="72"/>
      <c r="D35" s="72"/>
      <c r="E35" s="72"/>
      <c r="F35" s="79">
        <f>'[2]CF workings'!C31</f>
        <v>6440323</v>
      </c>
      <c r="G35" s="97"/>
      <c r="H35" s="78">
        <v>-228224816</v>
      </c>
    </row>
    <row r="36" spans="1:8" ht="12.75">
      <c r="A36" s="24" t="s">
        <v>531</v>
      </c>
      <c r="B36" s="72"/>
      <c r="C36" s="72"/>
      <c r="D36" s="72"/>
      <c r="E36" s="72"/>
      <c r="F36" s="79">
        <f>'[2]CF workings'!C29</f>
        <v>0</v>
      </c>
      <c r="G36" s="97"/>
      <c r="H36" s="78">
        <v>1240702</v>
      </c>
    </row>
    <row r="37" spans="1:8" ht="12.75">
      <c r="A37" s="24" t="s">
        <v>532</v>
      </c>
      <c r="B37" s="72"/>
      <c r="C37" s="72"/>
      <c r="D37" s="72"/>
      <c r="E37" s="235"/>
      <c r="F37" s="79">
        <f>'[2]CF workings'!C30</f>
        <v>0</v>
      </c>
      <c r="G37" s="97"/>
      <c r="H37" s="78">
        <v>0</v>
      </c>
    </row>
    <row r="38" spans="1:8" ht="12.75">
      <c r="A38" s="24" t="s">
        <v>533</v>
      </c>
      <c r="B38" s="72"/>
      <c r="C38" s="72"/>
      <c r="D38" s="72"/>
      <c r="E38" s="235"/>
      <c r="F38" s="79">
        <f>'[2]CF workings'!C32</f>
        <v>4850729</v>
      </c>
      <c r="G38" s="97">
        <v>26304947</v>
      </c>
      <c r="H38" s="78">
        <v>-42073751</v>
      </c>
    </row>
    <row r="39" spans="1:8" ht="11.25" customHeight="1">
      <c r="A39" s="24"/>
      <c r="B39" s="72"/>
      <c r="C39" s="72"/>
      <c r="D39" s="72"/>
      <c r="E39" s="72"/>
      <c r="F39" s="241"/>
      <c r="G39" s="242"/>
      <c r="H39" s="81"/>
    </row>
    <row r="40" spans="1:8" ht="11.25" customHeight="1">
      <c r="A40" s="24"/>
      <c r="B40" s="72"/>
      <c r="C40" s="72"/>
      <c r="D40" s="72"/>
      <c r="E40" s="72"/>
      <c r="F40" s="72"/>
      <c r="G40" s="107"/>
      <c r="H40" s="78"/>
    </row>
    <row r="41" spans="1:8" ht="11.25" customHeight="1">
      <c r="A41" s="24" t="s">
        <v>534</v>
      </c>
      <c r="B41" s="72"/>
      <c r="C41" s="72"/>
      <c r="D41" s="72"/>
      <c r="E41" s="235"/>
      <c r="F41" s="87">
        <f>SUM(F29:F39)</f>
        <v>34248064.42140001</v>
      </c>
      <c r="G41" s="87"/>
      <c r="H41" s="87">
        <f>SUM(H29:H39)</f>
        <v>32253569</v>
      </c>
    </row>
    <row r="42" spans="1:8" ht="11.25" customHeight="1">
      <c r="A42" s="24"/>
      <c r="B42" s="72"/>
      <c r="C42" s="72"/>
      <c r="D42" s="72"/>
      <c r="E42" s="72"/>
      <c r="F42" s="72"/>
      <c r="G42" s="107"/>
      <c r="H42" s="78"/>
    </row>
    <row r="43" spans="1:8" ht="11.25" customHeight="1" hidden="1">
      <c r="A43" s="24" t="s">
        <v>535</v>
      </c>
      <c r="B43" s="72"/>
      <c r="C43" s="72"/>
      <c r="D43" s="72"/>
      <c r="E43" s="72"/>
      <c r="F43" s="118">
        <v>0</v>
      </c>
      <c r="G43" s="243"/>
      <c r="H43" s="78">
        <v>0</v>
      </c>
    </row>
    <row r="44" spans="1:8" ht="12.75">
      <c r="A44" s="24" t="s">
        <v>79</v>
      </c>
      <c r="B44" s="72"/>
      <c r="C44" s="72"/>
      <c r="D44" s="72"/>
      <c r="E44" s="235"/>
      <c r="F44" s="82">
        <f>'[2]CF workings'!C35+'[2]CF workings'!C36</f>
        <v>-11403</v>
      </c>
      <c r="G44" s="82"/>
      <c r="H44" s="82">
        <v>-547068</v>
      </c>
    </row>
    <row r="45" spans="1:8" ht="12.75">
      <c r="A45" s="24" t="s">
        <v>80</v>
      </c>
      <c r="B45" s="72"/>
      <c r="C45" s="72"/>
      <c r="D45" s="72"/>
      <c r="E45" s="235"/>
      <c r="F45" s="81">
        <f>'[2]CF workings'!C37</f>
        <v>319469</v>
      </c>
      <c r="G45" s="232"/>
      <c r="H45" s="120">
        <v>-148364</v>
      </c>
    </row>
    <row r="46" spans="1:8" ht="12.75">
      <c r="A46" s="24" t="s">
        <v>536</v>
      </c>
      <c r="B46" s="24"/>
      <c r="C46" s="24"/>
      <c r="D46" s="24"/>
      <c r="E46" s="235"/>
      <c r="F46" s="91">
        <f>SUM(F41:F45)</f>
        <v>34556130.42140001</v>
      </c>
      <c r="G46" s="92"/>
      <c r="H46" s="91">
        <f>SUM(H41:H45)</f>
        <v>31558137</v>
      </c>
    </row>
    <row r="47" spans="1:8" ht="11.25" customHeight="1">
      <c r="A47" s="24"/>
      <c r="B47" s="72"/>
      <c r="C47" s="72"/>
      <c r="D47" s="72"/>
      <c r="E47" s="72"/>
      <c r="F47" s="82"/>
      <c r="G47" s="82"/>
      <c r="H47" s="82"/>
    </row>
    <row r="48" spans="1:7" ht="11.25" customHeight="1">
      <c r="A48" s="99"/>
      <c r="C48" s="93"/>
      <c r="D48" s="93"/>
      <c r="G48" s="122"/>
    </row>
    <row r="49" spans="1:8" ht="11.25" customHeight="1">
      <c r="A49" s="24"/>
      <c r="B49" s="72"/>
      <c r="C49" s="72"/>
      <c r="D49" s="72"/>
      <c r="E49" s="72"/>
      <c r="F49" s="74"/>
      <c r="G49" s="232"/>
      <c r="H49" s="74"/>
    </row>
    <row r="50" spans="1:8" ht="11.25" customHeight="1">
      <c r="A50" s="65" t="s">
        <v>516</v>
      </c>
      <c r="B50" s="72"/>
      <c r="C50" s="72"/>
      <c r="D50" s="72"/>
      <c r="E50" s="72"/>
      <c r="F50" s="74"/>
      <c r="G50" s="232"/>
      <c r="H50" s="74"/>
    </row>
    <row r="51" spans="1:8" ht="11.25" customHeight="1">
      <c r="A51" s="75" t="s">
        <v>517</v>
      </c>
      <c r="B51" s="72"/>
      <c r="C51" s="72"/>
      <c r="D51" s="72"/>
      <c r="E51" s="72"/>
      <c r="F51" s="74"/>
      <c r="G51" s="232"/>
      <c r="H51" s="74"/>
    </row>
    <row r="52" spans="1:8" ht="11.25" customHeight="1">
      <c r="A52" s="75" t="str">
        <f>+A4</f>
        <v>FOR THE 1 MONTH PERIOD  ENDED 31 MARCH 2005</v>
      </c>
      <c r="B52" s="24"/>
      <c r="C52" s="24"/>
      <c r="D52" s="24"/>
      <c r="E52" s="24"/>
      <c r="F52" s="244"/>
      <c r="G52" s="232"/>
      <c r="H52" s="74"/>
    </row>
    <row r="53" spans="1:8" ht="11.25" customHeight="1">
      <c r="A53" s="24"/>
      <c r="B53" s="72"/>
      <c r="C53" s="72"/>
      <c r="D53" s="72"/>
      <c r="E53" s="72"/>
      <c r="F53" s="74"/>
      <c r="G53" s="232"/>
      <c r="H53" s="74"/>
    </row>
    <row r="54" spans="1:8" ht="11.25" customHeight="1">
      <c r="A54" s="24"/>
      <c r="B54" s="72"/>
      <c r="C54" s="72"/>
      <c r="D54" s="72"/>
      <c r="E54" s="72"/>
      <c r="F54" s="530" t="s">
        <v>519</v>
      </c>
      <c r="G54" s="530"/>
      <c r="H54" s="530"/>
    </row>
    <row r="55" spans="1:8" ht="11.25" customHeight="1">
      <c r="A55" s="24"/>
      <c r="B55" s="72"/>
      <c r="C55" s="72"/>
      <c r="D55" s="72"/>
      <c r="E55" s="245"/>
      <c r="F55" s="228">
        <f>+F7</f>
        <v>38412</v>
      </c>
      <c r="G55" s="246"/>
      <c r="H55" s="230">
        <v>37775</v>
      </c>
    </row>
    <row r="56" spans="1:8" ht="11.25" customHeight="1">
      <c r="A56" s="24"/>
      <c r="B56" s="72"/>
      <c r="C56" s="72"/>
      <c r="D56" s="72"/>
      <c r="E56" s="72"/>
      <c r="F56" s="231" t="s">
        <v>520</v>
      </c>
      <c r="G56" s="247"/>
      <c r="H56" s="231" t="s">
        <v>520</v>
      </c>
    </row>
    <row r="57" spans="1:8" ht="11.25" customHeight="1">
      <c r="A57" s="24"/>
      <c r="B57" s="72"/>
      <c r="C57" s="72"/>
      <c r="D57" s="72"/>
      <c r="E57" s="72"/>
      <c r="F57" s="74"/>
      <c r="G57" s="232"/>
      <c r="H57" s="74"/>
    </row>
    <row r="58" spans="1:8" ht="11.25" customHeight="1">
      <c r="A58" s="24" t="s">
        <v>537</v>
      </c>
      <c r="B58" s="72"/>
      <c r="C58" s="72"/>
      <c r="D58" s="72"/>
      <c r="E58" s="72"/>
      <c r="F58" s="74"/>
      <c r="G58" s="232"/>
      <c r="H58" s="74"/>
    </row>
    <row r="59" spans="1:8" ht="11.25" customHeight="1">
      <c r="A59" s="24" t="s">
        <v>538</v>
      </c>
      <c r="B59" s="72"/>
      <c r="C59" s="72"/>
      <c r="D59" s="72"/>
      <c r="E59" s="72"/>
      <c r="F59" s="74"/>
      <c r="G59" s="232"/>
      <c r="H59" s="74"/>
    </row>
    <row r="60" spans="1:8" ht="11.25" customHeight="1">
      <c r="A60" s="24"/>
      <c r="B60" s="72"/>
      <c r="C60" s="72"/>
      <c r="D60" s="72"/>
      <c r="E60" s="72"/>
      <c r="F60" s="82"/>
      <c r="G60" s="82"/>
      <c r="H60" s="82"/>
    </row>
    <row r="61" spans="1:8" ht="12.75">
      <c r="A61" s="24" t="s">
        <v>83</v>
      </c>
      <c r="B61" s="72"/>
      <c r="C61" s="72"/>
      <c r="D61" s="72"/>
      <c r="E61" s="235"/>
      <c r="F61" s="165">
        <f>'[2]CF workings'!C41</f>
        <v>-55364</v>
      </c>
      <c r="G61" s="82"/>
      <c r="H61" s="165">
        <v>-12588000</v>
      </c>
    </row>
    <row r="62" spans="1:8" ht="12.75" hidden="1">
      <c r="A62" s="24" t="s">
        <v>84</v>
      </c>
      <c r="B62" s="72"/>
      <c r="C62" s="72"/>
      <c r="D62" s="72"/>
      <c r="E62" s="72"/>
      <c r="F62" s="95">
        <f>'[2]CF workings'!C45</f>
        <v>0</v>
      </c>
      <c r="G62" s="82"/>
      <c r="H62" s="95">
        <v>0</v>
      </c>
    </row>
    <row r="63" spans="1:8" ht="12.75">
      <c r="A63" s="24" t="s">
        <v>84</v>
      </c>
      <c r="B63" s="72"/>
      <c r="C63" s="72"/>
      <c r="D63" s="72"/>
      <c r="E63" s="235"/>
      <c r="F63" s="95">
        <v>0</v>
      </c>
      <c r="G63" s="82"/>
      <c r="H63" s="95">
        <v>443000</v>
      </c>
    </row>
    <row r="64" spans="1:8" ht="12.75">
      <c r="A64" s="24" t="s">
        <v>5</v>
      </c>
      <c r="B64" s="72"/>
      <c r="C64" s="72"/>
      <c r="D64" s="72"/>
      <c r="E64" s="235"/>
      <c r="F64" s="95">
        <f>+'[2]CF workings'!C42</f>
        <v>-1627411</v>
      </c>
      <c r="G64" s="82"/>
      <c r="H64" s="95"/>
    </row>
    <row r="65" spans="1:8" ht="12.75">
      <c r="A65" s="24" t="s">
        <v>130</v>
      </c>
      <c r="B65" s="72"/>
      <c r="C65" s="72"/>
      <c r="D65" s="72"/>
      <c r="E65" s="235"/>
      <c r="F65" s="95">
        <f>+'[2]CF workings'!C43</f>
        <v>784039</v>
      </c>
      <c r="G65" s="82"/>
      <c r="H65" s="95"/>
    </row>
    <row r="66" spans="1:8" ht="12.75">
      <c r="A66" s="24" t="s">
        <v>539</v>
      </c>
      <c r="B66" s="72"/>
      <c r="C66" s="72"/>
      <c r="D66" s="72"/>
      <c r="E66" s="235"/>
      <c r="F66" s="95">
        <f>+'[2]CF workings'!C44</f>
        <v>0</v>
      </c>
      <c r="G66" s="82"/>
      <c r="H66" s="95"/>
    </row>
    <row r="67" spans="1:8" ht="12.75">
      <c r="A67" s="24" t="s">
        <v>85</v>
      </c>
      <c r="B67" s="72"/>
      <c r="C67" s="72"/>
      <c r="D67" s="72"/>
      <c r="E67" s="235"/>
      <c r="F67" s="96">
        <f>'[2]CF workings'!C46</f>
        <v>221416</v>
      </c>
      <c r="G67" s="82"/>
      <c r="H67" s="96">
        <v>825022</v>
      </c>
    </row>
    <row r="68" spans="1:8" ht="12.75" hidden="1">
      <c r="A68" s="24" t="s">
        <v>540</v>
      </c>
      <c r="B68" s="72"/>
      <c r="C68" s="72"/>
      <c r="D68" s="72"/>
      <c r="E68" s="72"/>
      <c r="F68" s="248"/>
      <c r="G68" s="107"/>
      <c r="H68" s="248"/>
    </row>
    <row r="69" spans="1:8" ht="12.75" hidden="1">
      <c r="A69" s="24" t="s">
        <v>541</v>
      </c>
      <c r="B69" s="72"/>
      <c r="C69" s="72"/>
      <c r="D69" s="72"/>
      <c r="E69" s="249"/>
      <c r="F69" s="250">
        <v>0</v>
      </c>
      <c r="G69" s="104"/>
      <c r="H69" s="96">
        <v>0</v>
      </c>
    </row>
    <row r="70" spans="1:8" ht="11.25" customHeight="1">
      <c r="A70" s="24"/>
      <c r="B70" s="72"/>
      <c r="C70" s="72"/>
      <c r="D70" s="72"/>
      <c r="E70" s="72"/>
      <c r="F70" s="82"/>
      <c r="G70" s="82"/>
      <c r="H70" s="78"/>
    </row>
    <row r="71" spans="1:8" ht="11.25" customHeight="1">
      <c r="A71" s="24" t="s">
        <v>542</v>
      </c>
      <c r="B71" s="72"/>
      <c r="C71" s="72"/>
      <c r="D71" s="72"/>
      <c r="E71" s="72"/>
      <c r="F71" s="72"/>
      <c r="G71" s="107"/>
      <c r="H71" s="72"/>
    </row>
    <row r="72" spans="1:8" ht="11.25" customHeight="1">
      <c r="A72" s="24" t="s">
        <v>543</v>
      </c>
      <c r="B72" s="24"/>
      <c r="C72" s="24"/>
      <c r="D72" s="24"/>
      <c r="E72" s="235"/>
      <c r="F72" s="97">
        <f>SUM(F61:F69)</f>
        <v>-677320</v>
      </c>
      <c r="G72" s="97"/>
      <c r="H72" s="97">
        <f>SUM(H61:H69)</f>
        <v>-11319978</v>
      </c>
    </row>
    <row r="73" spans="1:8" ht="11.25" customHeight="1">
      <c r="A73" s="24"/>
      <c r="B73" s="72"/>
      <c r="C73" s="72"/>
      <c r="D73" s="72"/>
      <c r="E73" s="72"/>
      <c r="F73" s="82"/>
      <c r="G73" s="82"/>
      <c r="H73" s="78"/>
    </row>
    <row r="74" spans="1:8" ht="11.25" customHeight="1">
      <c r="A74" s="24" t="s">
        <v>544</v>
      </c>
      <c r="B74" s="72"/>
      <c r="C74" s="72"/>
      <c r="D74" s="72"/>
      <c r="E74" s="72"/>
      <c r="F74" s="232"/>
      <c r="G74" s="232"/>
      <c r="H74" s="232"/>
    </row>
    <row r="75" spans="1:8" ht="11.25" customHeight="1">
      <c r="A75" s="24" t="s">
        <v>522</v>
      </c>
      <c r="B75" s="72"/>
      <c r="C75" s="72"/>
      <c r="D75" s="72"/>
      <c r="E75" s="72"/>
      <c r="F75" s="82"/>
      <c r="G75" s="82"/>
      <c r="H75" s="82"/>
    </row>
    <row r="76" spans="1:8" ht="11.25" customHeight="1">
      <c r="A76" s="24"/>
      <c r="C76" s="72"/>
      <c r="D76" s="72"/>
      <c r="E76" s="72"/>
      <c r="F76" s="100"/>
      <c r="G76" s="104"/>
      <c r="H76" s="165"/>
    </row>
    <row r="77" spans="1:8" ht="12.75">
      <c r="A77" s="24" t="s">
        <v>545</v>
      </c>
      <c r="B77" s="98"/>
      <c r="C77" s="72"/>
      <c r="D77" s="72"/>
      <c r="E77" s="235"/>
      <c r="F77" s="101">
        <f>'[2]CF workings'!C50</f>
        <v>0</v>
      </c>
      <c r="G77" s="251"/>
      <c r="H77" s="95">
        <v>2600000</v>
      </c>
    </row>
    <row r="78" spans="1:8" ht="12.75">
      <c r="A78" s="99" t="s">
        <v>131</v>
      </c>
      <c r="B78" s="98"/>
      <c r="C78" s="72"/>
      <c r="D78" s="72"/>
      <c r="E78" s="72"/>
      <c r="F78" s="101">
        <f>'[2]CF workings'!C51</f>
        <v>-15000000</v>
      </c>
      <c r="G78" s="104"/>
      <c r="H78" s="95">
        <v>0</v>
      </c>
    </row>
    <row r="79" spans="1:8" ht="12.75">
      <c r="A79" s="99" t="s">
        <v>546</v>
      </c>
      <c r="B79" s="98"/>
      <c r="C79" s="72"/>
      <c r="D79" s="72"/>
      <c r="E79" s="235"/>
      <c r="F79" s="101">
        <f>'[2]CF workings'!C52</f>
        <v>0</v>
      </c>
      <c r="G79" s="104"/>
      <c r="H79" s="95">
        <v>-59824922</v>
      </c>
    </row>
    <row r="80" spans="1:8" ht="12.75">
      <c r="A80" s="99" t="s">
        <v>547</v>
      </c>
      <c r="B80" s="98"/>
      <c r="C80" s="72"/>
      <c r="D80" s="72"/>
      <c r="E80" s="235"/>
      <c r="F80" s="101">
        <f>'[2]CF workings'!C53</f>
        <v>-16205959</v>
      </c>
      <c r="G80" s="104"/>
      <c r="H80" s="101">
        <v>29990019</v>
      </c>
    </row>
    <row r="81" spans="1:8" ht="12.75">
      <c r="A81" s="99" t="s">
        <v>548</v>
      </c>
      <c r="B81" s="98"/>
      <c r="C81" s="72"/>
      <c r="D81" s="72"/>
      <c r="E81" s="235"/>
      <c r="F81" s="103">
        <f>'[2]CF workings'!C54</f>
        <v>-20071</v>
      </c>
      <c r="G81" s="97"/>
      <c r="H81" s="96">
        <v>-111237</v>
      </c>
    </row>
    <row r="82" spans="1:8" ht="12.75">
      <c r="A82" s="99"/>
      <c r="B82" s="98"/>
      <c r="C82" s="72"/>
      <c r="D82" s="72"/>
      <c r="E82" s="72"/>
      <c r="F82" s="104"/>
      <c r="G82" s="104"/>
      <c r="H82" s="82"/>
    </row>
    <row r="83" spans="1:8" ht="11.25" customHeight="1">
      <c r="A83" s="24" t="s">
        <v>549</v>
      </c>
      <c r="B83" s="72"/>
      <c r="C83" s="72"/>
      <c r="D83" s="72"/>
      <c r="E83" s="72"/>
      <c r="F83" s="82"/>
      <c r="G83" s="82"/>
      <c r="H83" s="82"/>
    </row>
    <row r="84" spans="1:8" ht="11.25" customHeight="1">
      <c r="A84" s="24" t="s">
        <v>550</v>
      </c>
      <c r="B84" s="72"/>
      <c r="C84" s="72"/>
      <c r="D84" s="72"/>
      <c r="E84" s="235"/>
      <c r="F84" s="105">
        <f>SUM(F76:F81)</f>
        <v>-31226030</v>
      </c>
      <c r="G84" s="106"/>
      <c r="H84" s="252">
        <f>SUM(H77:H81)</f>
        <v>-27346140</v>
      </c>
    </row>
    <row r="85" spans="1:8" ht="11.25" customHeight="1">
      <c r="A85" s="24"/>
      <c r="B85" s="72"/>
      <c r="C85" s="72"/>
      <c r="D85" s="72"/>
      <c r="E85" s="72"/>
      <c r="F85" s="78"/>
      <c r="G85" s="82"/>
      <c r="H85" s="78"/>
    </row>
    <row r="86" spans="1:8" s="65" customFormat="1" ht="11.25" customHeight="1">
      <c r="A86" s="75" t="s">
        <v>551</v>
      </c>
      <c r="B86" s="76"/>
      <c r="C86" s="76"/>
      <c r="D86" s="76"/>
      <c r="E86" s="76"/>
      <c r="F86" s="235"/>
      <c r="G86" s="253"/>
      <c r="H86" s="235"/>
    </row>
    <row r="87" spans="1:8" s="65" customFormat="1" ht="11.25" customHeight="1">
      <c r="A87" s="75" t="s">
        <v>552</v>
      </c>
      <c r="B87" s="75"/>
      <c r="C87" s="75"/>
      <c r="D87" s="75"/>
      <c r="E87" s="235"/>
      <c r="F87" s="254">
        <f>F84+F72+F46</f>
        <v>2652780.4214000106</v>
      </c>
      <c r="G87" s="255"/>
      <c r="H87" s="254">
        <f>H84+H72+H46</f>
        <v>-7107981</v>
      </c>
    </row>
    <row r="88" spans="1:8" s="65" customFormat="1" ht="11.25" customHeight="1">
      <c r="A88" s="75"/>
      <c r="B88" s="76"/>
      <c r="C88" s="76"/>
      <c r="D88" s="76"/>
      <c r="E88" s="76"/>
      <c r="F88" s="235"/>
      <c r="G88" s="253"/>
      <c r="H88" s="235"/>
    </row>
    <row r="89" spans="1:8" s="65" customFormat="1" ht="11.25" customHeight="1">
      <c r="A89" s="75" t="s">
        <v>553</v>
      </c>
      <c r="B89" s="76"/>
      <c r="C89" s="76"/>
      <c r="D89" s="76"/>
      <c r="E89" s="76"/>
      <c r="F89" s="76"/>
      <c r="G89" s="256"/>
      <c r="H89" s="76"/>
    </row>
    <row r="90" spans="1:8" s="65" customFormat="1" ht="11.25" customHeight="1">
      <c r="A90" s="257" t="s">
        <v>554</v>
      </c>
      <c r="B90" s="76"/>
      <c r="C90" s="76"/>
      <c r="D90" s="76"/>
      <c r="E90" s="235"/>
      <c r="F90" s="108">
        <f>'[2]CF workings'!C60</f>
        <v>1648912</v>
      </c>
      <c r="G90" s="253"/>
      <c r="H90" s="108">
        <v>12410307</v>
      </c>
    </row>
    <row r="91" spans="1:8" s="65" customFormat="1" ht="11.25" customHeight="1">
      <c r="A91" s="75"/>
      <c r="B91" s="76"/>
      <c r="C91" s="76"/>
      <c r="D91" s="76"/>
      <c r="E91" s="76"/>
      <c r="F91" s="235"/>
      <c r="G91" s="253"/>
      <c r="H91" s="235"/>
    </row>
    <row r="92" spans="1:8" s="65" customFormat="1" ht="11.25" customHeight="1">
      <c r="A92" s="75" t="s">
        <v>553</v>
      </c>
      <c r="B92" s="76"/>
      <c r="C92" s="76"/>
      <c r="D92" s="76"/>
      <c r="E92" s="76"/>
      <c r="F92" s="76"/>
      <c r="G92" s="256"/>
      <c r="H92" s="76"/>
    </row>
    <row r="93" spans="1:8" s="65" customFormat="1" ht="13.5" thickBot="1">
      <c r="A93" s="257" t="s">
        <v>555</v>
      </c>
      <c r="B93" s="76"/>
      <c r="C93" s="76"/>
      <c r="D93" s="76"/>
      <c r="E93" s="235"/>
      <c r="F93" s="258">
        <f>F87+F90</f>
        <v>4301692.421400011</v>
      </c>
      <c r="G93" s="253"/>
      <c r="H93" s="258">
        <f>SUM(H87:H90)</f>
        <v>5302326</v>
      </c>
    </row>
    <row r="94" spans="1:8" ht="11.25" customHeight="1" thickTop="1">
      <c r="A94" s="24"/>
      <c r="B94" s="72"/>
      <c r="C94" s="72"/>
      <c r="D94" s="72"/>
      <c r="E94" s="72"/>
      <c r="G94" s="82"/>
      <c r="H94" s="78"/>
    </row>
    <row r="95" spans="1:8" ht="11.25" customHeight="1">
      <c r="A95" s="24"/>
      <c r="B95" s="72"/>
      <c r="C95" s="72"/>
      <c r="D95" s="72"/>
      <c r="E95" s="72"/>
      <c r="G95" s="82"/>
      <c r="H95" s="78"/>
    </row>
    <row r="96" spans="1:8" ht="11.25" customHeight="1">
      <c r="A96" s="259" t="s">
        <v>556</v>
      </c>
      <c r="B96" s="72"/>
      <c r="C96" s="72"/>
      <c r="D96" s="72"/>
      <c r="E96" s="72"/>
      <c r="G96" s="82"/>
      <c r="H96" s="78"/>
    </row>
    <row r="97" spans="1:8" ht="11.25" customHeight="1">
      <c r="A97" s="80" t="s">
        <v>94</v>
      </c>
      <c r="B97" s="72"/>
      <c r="C97" s="72"/>
      <c r="D97" s="72"/>
      <c r="E97" s="72"/>
      <c r="G97" s="82"/>
      <c r="H97" s="78"/>
    </row>
    <row r="98" spans="1:8" ht="11.25" customHeight="1">
      <c r="A98" s="24"/>
      <c r="B98" s="72"/>
      <c r="C98" s="72"/>
      <c r="D98" s="72"/>
      <c r="E98" s="72"/>
      <c r="G98" s="82"/>
      <c r="H98" s="78"/>
    </row>
    <row r="99" spans="3:8" ht="11.25" customHeight="1">
      <c r="C99" s="114"/>
      <c r="D99" s="66"/>
      <c r="F99" s="228">
        <v>38322</v>
      </c>
      <c r="G99" s="229"/>
      <c r="H99" s="230">
        <v>37773</v>
      </c>
    </row>
    <row r="100" spans="3:8" ht="12.75">
      <c r="C100" s="116"/>
      <c r="F100" s="231" t="s">
        <v>520</v>
      </c>
      <c r="G100" s="231"/>
      <c r="H100" s="231" t="s">
        <v>520</v>
      </c>
    </row>
    <row r="101" spans="1:8" ht="12.75">
      <c r="A101" s="80" t="s">
        <v>95</v>
      </c>
      <c r="C101" s="117"/>
      <c r="D101" s="118"/>
      <c r="E101" s="235"/>
      <c r="F101" s="118">
        <f>'[2]Group '!P491+'[2]Group '!P492</f>
        <v>53523625</v>
      </c>
      <c r="G101" s="82"/>
      <c r="H101" s="78">
        <v>72045424</v>
      </c>
    </row>
    <row r="102" spans="1:8" ht="12.75">
      <c r="A102" s="80" t="s">
        <v>96</v>
      </c>
      <c r="C102" s="117"/>
      <c r="D102" s="118"/>
      <c r="E102" s="235"/>
      <c r="F102" s="118">
        <f>'[2]Group '!P493</f>
        <v>3028892</v>
      </c>
      <c r="G102" s="82"/>
      <c r="H102" s="78">
        <v>5802326</v>
      </c>
    </row>
    <row r="103" spans="1:8" ht="12.75">
      <c r="A103" s="80" t="s">
        <v>97</v>
      </c>
      <c r="C103" s="117"/>
      <c r="D103" s="118"/>
      <c r="F103" s="120">
        <v>0</v>
      </c>
      <c r="G103" s="82"/>
      <c r="H103" s="81">
        <v>-500000</v>
      </c>
    </row>
    <row r="104" spans="3:8" ht="12.75">
      <c r="C104" s="117"/>
      <c r="D104" s="118"/>
      <c r="E104" s="235"/>
      <c r="F104" s="117">
        <f>SUM(F101:F103)</f>
        <v>56552517</v>
      </c>
      <c r="G104" s="82"/>
      <c r="H104" s="78">
        <f>SUM(H101:H103)</f>
        <v>77347750</v>
      </c>
    </row>
    <row r="105" spans="1:8" ht="12.75">
      <c r="A105" s="80" t="s">
        <v>557</v>
      </c>
      <c r="C105" s="117"/>
      <c r="D105" s="118"/>
      <c r="E105" s="235"/>
      <c r="F105" s="117">
        <f>-'[2]Group '!P504</f>
        <v>-52250825</v>
      </c>
      <c r="G105" s="82"/>
      <c r="H105" s="78">
        <v>-72045424</v>
      </c>
    </row>
    <row r="106" spans="3:7" ht="12.75">
      <c r="C106" s="122"/>
      <c r="F106" s="123"/>
      <c r="G106" s="122"/>
    </row>
    <row r="107" spans="1:8" ht="13.5" thickBot="1">
      <c r="A107" s="80" t="s">
        <v>558</v>
      </c>
      <c r="C107" s="124"/>
      <c r="E107" s="235"/>
      <c r="F107" s="125">
        <f>SUM(F104:F105)</f>
        <v>4301692</v>
      </c>
      <c r="G107" s="122"/>
      <c r="H107" s="260">
        <f>SUM(H104:H105)</f>
        <v>5302326</v>
      </c>
    </row>
    <row r="108" spans="1:7" ht="11.25" customHeight="1">
      <c r="A108" s="24"/>
      <c r="B108" s="72"/>
      <c r="C108" s="72"/>
      <c r="D108" s="72"/>
      <c r="E108" s="72"/>
      <c r="F108" s="126"/>
      <c r="G108" s="122"/>
    </row>
    <row r="109" spans="1:7" ht="11.25" customHeight="1">
      <c r="A109" s="24"/>
      <c r="B109" s="72"/>
      <c r="C109" s="72"/>
      <c r="D109" s="72"/>
      <c r="E109" s="72"/>
      <c r="G109" s="122"/>
    </row>
    <row r="110" spans="1:8" ht="11.25" customHeight="1">
      <c r="A110" s="80" t="s">
        <v>215</v>
      </c>
      <c r="F110" s="97">
        <f>F107-'[2]Group '!P509</f>
        <v>0</v>
      </c>
      <c r="G110" s="122"/>
      <c r="H110" s="97"/>
    </row>
    <row r="111" ht="11.25" customHeight="1">
      <c r="G111" s="122"/>
    </row>
    <row r="112" spans="6:7" ht="11.25" customHeight="1">
      <c r="F112" s="126"/>
      <c r="G112" s="122"/>
    </row>
    <row r="113" spans="6:8" ht="11.25" customHeight="1">
      <c r="F113" s="126">
        <f>+F107-F93</f>
        <v>-0.4214000105857849</v>
      </c>
      <c r="G113" s="122"/>
      <c r="H113" s="126">
        <f>+H107-H93</f>
        <v>0</v>
      </c>
    </row>
    <row r="114" ht="11.25" customHeight="1">
      <c r="G114" s="122"/>
    </row>
    <row r="115" ht="11.25" customHeight="1">
      <c r="G115" s="122"/>
    </row>
    <row r="116" ht="11.25" customHeight="1">
      <c r="G116" s="122"/>
    </row>
    <row r="117" ht="11.25" customHeight="1">
      <c r="G117" s="122"/>
    </row>
    <row r="118" ht="11.25" customHeight="1">
      <c r="G118" s="122"/>
    </row>
    <row r="119" ht="11.25" customHeight="1">
      <c r="G119" s="122"/>
    </row>
    <row r="120" ht="11.25" customHeight="1">
      <c r="G120" s="122"/>
    </row>
    <row r="121" ht="11.25" customHeight="1">
      <c r="G121" s="122"/>
    </row>
    <row r="122" ht="11.25" customHeight="1">
      <c r="G122" s="122"/>
    </row>
    <row r="123" ht="11.25" customHeight="1">
      <c r="G123" s="122"/>
    </row>
    <row r="124" ht="11.25" customHeight="1">
      <c r="G124" s="122"/>
    </row>
    <row r="125" ht="11.25" customHeight="1">
      <c r="G125" s="122"/>
    </row>
    <row r="126" ht="11.25" customHeight="1">
      <c r="G126" s="122"/>
    </row>
    <row r="127" ht="11.25" customHeight="1">
      <c r="G127" s="122"/>
    </row>
  </sheetData>
  <mergeCells count="1">
    <mergeCell ref="F54:H5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54"/>
  <sheetViews>
    <sheetView view="pageBreakPreview" zoomScale="80" zoomScaleNormal="75" zoomScaleSheetLayoutView="80" workbookViewId="0" topLeftCell="A1">
      <selection activeCell="B18" sqref="B18"/>
    </sheetView>
  </sheetViews>
  <sheetFormatPr defaultColWidth="9.140625" defaultRowHeight="12.75"/>
  <cols>
    <col min="1" max="1" width="14.57421875" style="271" customWidth="1"/>
    <col min="2" max="2" width="21.7109375" style="0" customWidth="1"/>
    <col min="3" max="3" width="13.7109375" style="0" customWidth="1"/>
    <col min="4" max="4" width="1.8515625" style="0" customWidth="1"/>
    <col min="5" max="5" width="13.421875" style="0" customWidth="1"/>
    <col min="6" max="6" width="2.140625" style="0" customWidth="1"/>
    <col min="7" max="7" width="12.7109375" style="0" customWidth="1"/>
    <col min="8" max="8" width="1.8515625" style="0" customWidth="1"/>
    <col min="9" max="9" width="13.8515625" style="0" customWidth="1"/>
    <col min="10" max="10" width="2.00390625" style="151" customWidth="1"/>
    <col min="11" max="11" width="12.28125" style="0" hidden="1" customWidth="1"/>
  </cols>
  <sheetData>
    <row r="1" spans="1:11" ht="20.25">
      <c r="A1" s="532" t="s">
        <v>12</v>
      </c>
      <c r="B1" s="532"/>
      <c r="C1" s="532"/>
      <c r="D1" s="532"/>
      <c r="E1" s="532"/>
      <c r="F1" s="532"/>
      <c r="G1" s="532"/>
      <c r="H1" s="532"/>
      <c r="I1" s="532"/>
      <c r="J1" s="152"/>
      <c r="K1" s="517" t="s">
        <v>1</v>
      </c>
    </row>
    <row r="2" spans="1:11" ht="12.75">
      <c r="A2" s="533" t="s">
        <v>13</v>
      </c>
      <c r="B2" s="534"/>
      <c r="C2" s="534"/>
      <c r="D2" s="534"/>
      <c r="E2" s="534"/>
      <c r="F2" s="534"/>
      <c r="G2" s="534"/>
      <c r="H2" s="534"/>
      <c r="I2" s="534"/>
      <c r="J2" s="153"/>
      <c r="K2" s="516" t="s">
        <v>0</v>
      </c>
    </row>
    <row r="3" spans="1:11" ht="12.75">
      <c r="A3" s="535" t="s">
        <v>14</v>
      </c>
      <c r="B3" s="534"/>
      <c r="C3" s="534"/>
      <c r="D3" s="534"/>
      <c r="E3" s="534"/>
      <c r="F3" s="534"/>
      <c r="G3" s="534"/>
      <c r="H3" s="534"/>
      <c r="I3" s="534"/>
      <c r="J3" s="153"/>
      <c r="K3" s="516" t="s">
        <v>127</v>
      </c>
    </row>
    <row r="4" spans="1:11" ht="12.75">
      <c r="A4" s="263"/>
      <c r="B4" s="64"/>
      <c r="C4" s="64"/>
      <c r="D4" s="64"/>
      <c r="E4" s="64"/>
      <c r="F4" s="64"/>
      <c r="G4" s="64"/>
      <c r="H4" s="64"/>
      <c r="I4" s="64"/>
      <c r="J4" s="153"/>
      <c r="K4" s="516" t="s">
        <v>123</v>
      </c>
    </row>
    <row r="5" spans="1:11" ht="12.75">
      <c r="A5" s="538" t="str">
        <f>"Quarterly report on consolidated results for the quarter ended "&amp;+K2&amp;". These figures have not been audited."</f>
        <v>Quarterly report on consolidated results for the quarter ended 31 March 2005. These figures have not been audited.</v>
      </c>
      <c r="B5" s="538"/>
      <c r="C5" s="538"/>
      <c r="D5" s="538"/>
      <c r="E5" s="538"/>
      <c r="F5" s="538"/>
      <c r="G5" s="538"/>
      <c r="H5" s="538"/>
      <c r="I5" s="538"/>
      <c r="J5" s="154"/>
      <c r="K5" s="518"/>
    </row>
    <row r="6" spans="1:10" ht="12.75">
      <c r="A6" s="538"/>
      <c r="B6" s="538"/>
      <c r="C6" s="538"/>
      <c r="D6" s="538"/>
      <c r="E6" s="538"/>
      <c r="F6" s="538"/>
      <c r="G6" s="538"/>
      <c r="H6" s="538"/>
      <c r="I6" s="538"/>
      <c r="J6" s="154"/>
    </row>
    <row r="7" spans="1:10" ht="12.75">
      <c r="A7" s="263"/>
      <c r="B7" s="130"/>
      <c r="C7" s="64"/>
      <c r="D7" s="64"/>
      <c r="E7" s="64"/>
      <c r="F7" s="64"/>
      <c r="G7" s="64"/>
      <c r="H7" s="64"/>
      <c r="I7" s="64"/>
      <c r="J7" s="153"/>
    </row>
    <row r="8" spans="1:10" ht="12.75">
      <c r="A8" s="264" t="s">
        <v>99</v>
      </c>
      <c r="B8" s="131"/>
      <c r="C8" s="132"/>
      <c r="D8" s="132"/>
      <c r="E8" s="132"/>
      <c r="F8" s="62"/>
      <c r="G8" s="62"/>
      <c r="H8" s="62"/>
      <c r="I8" s="131"/>
      <c r="J8" s="155"/>
    </row>
    <row r="9" spans="1:10" ht="12.75">
      <c r="A9" s="264"/>
      <c r="B9" s="131"/>
      <c r="C9" s="132"/>
      <c r="D9" s="132"/>
      <c r="E9" s="132"/>
      <c r="F9" s="62"/>
      <c r="G9" s="62"/>
      <c r="H9" s="62"/>
      <c r="I9" s="131"/>
      <c r="J9" s="155"/>
    </row>
    <row r="10" spans="1:10" ht="12.75">
      <c r="A10" s="264"/>
      <c r="B10" s="131"/>
      <c r="C10" s="132"/>
      <c r="D10" s="132"/>
      <c r="E10" s="132"/>
      <c r="F10" s="62"/>
      <c r="G10" s="62"/>
      <c r="H10" s="62"/>
      <c r="I10" s="131"/>
      <c r="J10" s="155"/>
    </row>
    <row r="11" spans="1:10" ht="12.75">
      <c r="A11" s="264"/>
      <c r="B11" s="131"/>
      <c r="C11" s="536" t="s">
        <v>100</v>
      </c>
      <c r="D11" s="536"/>
      <c r="E11" s="536"/>
      <c r="F11" s="133"/>
      <c r="G11" s="537" t="s">
        <v>101</v>
      </c>
      <c r="H11" s="537"/>
      <c r="I11" s="537"/>
      <c r="J11" s="156"/>
    </row>
    <row r="12" spans="1:11" ht="51">
      <c r="A12" s="263"/>
      <c r="B12" s="134"/>
      <c r="C12" s="135" t="s">
        <v>102</v>
      </c>
      <c r="D12" s="133"/>
      <c r="E12" s="136" t="s">
        <v>103</v>
      </c>
      <c r="F12" s="137"/>
      <c r="G12" s="135" t="s">
        <v>104</v>
      </c>
      <c r="H12" s="138"/>
      <c r="I12" s="138" t="s">
        <v>105</v>
      </c>
      <c r="J12" s="157"/>
      <c r="K12" s="135" t="s">
        <v>104</v>
      </c>
    </row>
    <row r="13" spans="1:11" ht="12.75">
      <c r="A13" s="265"/>
      <c r="B13" s="133"/>
      <c r="C13" s="139" t="str">
        <f>+K4</f>
        <v>31 Mar 05</v>
      </c>
      <c r="D13" s="133"/>
      <c r="E13" s="139" t="s">
        <v>122</v>
      </c>
      <c r="F13" s="133"/>
      <c r="G13" s="139" t="str">
        <f>+C13</f>
        <v>31 Mar 05</v>
      </c>
      <c r="H13" s="133"/>
      <c r="I13" s="139" t="str">
        <f>+E13</f>
        <v>31 Mar 04</v>
      </c>
      <c r="J13" s="158"/>
      <c r="K13" s="139" t="s">
        <v>106</v>
      </c>
    </row>
    <row r="14" spans="1:11" ht="12.75">
      <c r="A14" s="265"/>
      <c r="B14" s="133"/>
      <c r="C14" s="140" t="s">
        <v>56</v>
      </c>
      <c r="D14" s="133"/>
      <c r="E14" s="140" t="s">
        <v>56</v>
      </c>
      <c r="F14" s="133"/>
      <c r="G14" s="140" t="s">
        <v>56</v>
      </c>
      <c r="H14" s="133"/>
      <c r="I14" s="140" t="s">
        <v>56</v>
      </c>
      <c r="J14" s="159"/>
      <c r="K14" s="140" t="s">
        <v>56</v>
      </c>
    </row>
    <row r="15" spans="1:11" ht="12.75">
      <c r="A15" s="147"/>
      <c r="B15" s="62"/>
      <c r="C15" s="62"/>
      <c r="D15" s="62"/>
      <c r="E15" s="62"/>
      <c r="F15" s="62"/>
      <c r="G15" s="62"/>
      <c r="H15" s="62"/>
      <c r="I15" s="62"/>
      <c r="J15" s="160"/>
      <c r="K15" s="62"/>
    </row>
    <row r="16" spans="1:11" ht="12.75">
      <c r="A16" s="147" t="s">
        <v>107</v>
      </c>
      <c r="B16" s="62"/>
      <c r="C16" s="129">
        <f>+G16-K16</f>
        <v>26372</v>
      </c>
      <c r="D16" s="62"/>
      <c r="E16" s="129">
        <v>101464</v>
      </c>
      <c r="F16" s="62"/>
      <c r="G16" s="129">
        <f>ROUND(+Group!P7/1000,0)</f>
        <v>26372</v>
      </c>
      <c r="H16" s="62"/>
      <c r="I16" s="129">
        <v>101464</v>
      </c>
      <c r="J16" s="161"/>
      <c r="K16" s="144">
        <v>0</v>
      </c>
    </row>
    <row r="17" spans="1:11" ht="12.75">
      <c r="A17" s="147"/>
      <c r="B17" s="62"/>
      <c r="C17" s="62"/>
      <c r="D17" s="62"/>
      <c r="E17" s="141"/>
      <c r="F17" s="62"/>
      <c r="G17" s="62"/>
      <c r="H17" s="62"/>
      <c r="I17" s="141"/>
      <c r="J17" s="162"/>
      <c r="K17" s="62"/>
    </row>
    <row r="18" spans="1:11" ht="12.75">
      <c r="A18" s="147" t="s">
        <v>108</v>
      </c>
      <c r="B18" s="62"/>
      <c r="C18" s="129">
        <f>+G18-K18</f>
        <v>-6707</v>
      </c>
      <c r="D18" s="62"/>
      <c r="E18" s="129">
        <v>-80026</v>
      </c>
      <c r="F18" s="62"/>
      <c r="G18" s="62">
        <f>ROUND(+Group!P8/1000+Group!P15/1000,0)</f>
        <v>-6707</v>
      </c>
      <c r="H18" s="62"/>
      <c r="I18" s="141">
        <v>-80026</v>
      </c>
      <c r="J18" s="162"/>
      <c r="K18" s="62">
        <v>0</v>
      </c>
    </row>
    <row r="19" spans="1:11" ht="12.75">
      <c r="A19" s="147"/>
      <c r="B19" s="62"/>
      <c r="C19" s="142"/>
      <c r="D19" s="62"/>
      <c r="E19" s="142"/>
      <c r="F19" s="62"/>
      <c r="G19" s="142"/>
      <c r="H19" s="62"/>
      <c r="I19" s="142"/>
      <c r="J19" s="160"/>
      <c r="K19" s="142"/>
    </row>
    <row r="20" spans="1:11" ht="12.75">
      <c r="A20" s="147" t="s">
        <v>109</v>
      </c>
      <c r="B20" s="62"/>
      <c r="C20" s="62">
        <f>SUM(C16:C19)</f>
        <v>19665</v>
      </c>
      <c r="D20" s="62"/>
      <c r="E20" s="62">
        <f>SUM(E15:E19)</f>
        <v>21438</v>
      </c>
      <c r="F20" s="62"/>
      <c r="G20" s="62">
        <f>SUM(G15:G19)</f>
        <v>19665</v>
      </c>
      <c r="H20" s="62"/>
      <c r="I20" s="62">
        <f>SUM(I15:I19)</f>
        <v>21438</v>
      </c>
      <c r="J20" s="160"/>
      <c r="K20" s="62">
        <v>0</v>
      </c>
    </row>
    <row r="21" spans="1:11" ht="12.75">
      <c r="A21" s="147"/>
      <c r="B21" s="62"/>
      <c r="C21" s="62"/>
      <c r="D21" s="62"/>
      <c r="E21" s="62"/>
      <c r="F21" s="62"/>
      <c r="G21" s="62"/>
      <c r="H21" s="62"/>
      <c r="I21" s="62"/>
      <c r="J21" s="160"/>
      <c r="K21" s="62"/>
    </row>
    <row r="22" spans="1:11" ht="12.75">
      <c r="A22" s="147" t="s">
        <v>110</v>
      </c>
      <c r="B22" s="62"/>
      <c r="C22" s="129">
        <f>+G22-K22</f>
        <v>221</v>
      </c>
      <c r="D22" s="62"/>
      <c r="E22" s="129">
        <v>285</v>
      </c>
      <c r="F22" s="62"/>
      <c r="G22" s="62">
        <f>ROUND(+Group!P19/1000,0)</f>
        <v>221</v>
      </c>
      <c r="H22" s="62"/>
      <c r="I22" s="141">
        <v>285</v>
      </c>
      <c r="J22" s="162"/>
      <c r="K22" s="62">
        <v>0</v>
      </c>
    </row>
    <row r="23" spans="1:11" ht="12.75">
      <c r="A23" s="147"/>
      <c r="B23" s="62"/>
      <c r="C23" s="62"/>
      <c r="D23" s="62"/>
      <c r="E23" s="129"/>
      <c r="F23" s="62"/>
      <c r="G23" s="62"/>
      <c r="H23" s="62"/>
      <c r="I23" s="141"/>
      <c r="J23" s="162"/>
      <c r="K23" s="62"/>
    </row>
    <row r="24" spans="1:11" ht="12.75">
      <c r="A24" s="266" t="s">
        <v>7</v>
      </c>
      <c r="B24" s="62"/>
      <c r="C24" s="129">
        <f>+G24-K24</f>
        <v>1629</v>
      </c>
      <c r="D24" s="62"/>
      <c r="E24" s="129">
        <v>0</v>
      </c>
      <c r="F24" s="62"/>
      <c r="G24" s="62">
        <f>ROUND(+Group!P21/1000,0)</f>
        <v>1629</v>
      </c>
      <c r="H24" s="62"/>
      <c r="I24" s="141">
        <v>0</v>
      </c>
      <c r="J24" s="162"/>
      <c r="K24" s="62"/>
    </row>
    <row r="25" spans="1:11" ht="12.75">
      <c r="A25" s="147"/>
      <c r="B25" s="62"/>
      <c r="C25" s="62"/>
      <c r="D25" s="62"/>
      <c r="E25" s="141"/>
      <c r="F25" s="62"/>
      <c r="G25" s="62"/>
      <c r="H25" s="62"/>
      <c r="I25" s="141"/>
      <c r="J25" s="162"/>
      <c r="K25" s="62"/>
    </row>
    <row r="26" spans="1:11" ht="12.75">
      <c r="A26" s="267" t="s">
        <v>111</v>
      </c>
      <c r="B26" s="62"/>
      <c r="C26" s="129">
        <f>+G26-K26</f>
        <v>-27197</v>
      </c>
      <c r="D26" s="62"/>
      <c r="E26" s="129">
        <v>-22303</v>
      </c>
      <c r="F26" s="62"/>
      <c r="G26" s="62">
        <f>ROUND(+Group!P22/1000,0)</f>
        <v>-27197</v>
      </c>
      <c r="H26" s="62"/>
      <c r="I26" s="141">
        <v>-22303</v>
      </c>
      <c r="J26" s="162"/>
      <c r="K26" s="62">
        <v>0</v>
      </c>
    </row>
    <row r="27" spans="1:11" ht="12.75">
      <c r="A27" s="147"/>
      <c r="B27" s="62"/>
      <c r="C27" s="142"/>
      <c r="D27" s="62"/>
      <c r="E27" s="142"/>
      <c r="F27" s="62"/>
      <c r="G27" s="142"/>
      <c r="H27" s="62"/>
      <c r="I27" s="142"/>
      <c r="J27" s="160"/>
      <c r="K27" s="142"/>
    </row>
    <row r="28" spans="1:11" ht="12.75">
      <c r="A28" s="268" t="s">
        <v>582</v>
      </c>
      <c r="B28" s="62"/>
      <c r="C28" s="62">
        <f>SUM(C20:C26)</f>
        <v>-5682</v>
      </c>
      <c r="D28" s="62"/>
      <c r="E28" s="62">
        <f>SUM(E20:E27)</f>
        <v>-580</v>
      </c>
      <c r="F28" s="62"/>
      <c r="G28" s="62">
        <f>SUM(G20:G27)</f>
        <v>-5682</v>
      </c>
      <c r="H28" s="62"/>
      <c r="I28" s="62">
        <f>SUM(I20:I27)</f>
        <v>-580</v>
      </c>
      <c r="J28" s="160"/>
      <c r="K28" s="62">
        <v>0</v>
      </c>
    </row>
    <row r="29" spans="1:11" ht="12.75">
      <c r="A29" s="147"/>
      <c r="B29" s="62"/>
      <c r="C29" s="62"/>
      <c r="D29" s="62"/>
      <c r="E29" s="62"/>
      <c r="F29" s="62"/>
      <c r="G29" s="62"/>
      <c r="H29" s="62"/>
      <c r="I29" s="62"/>
      <c r="J29" s="160"/>
      <c r="K29" s="62"/>
    </row>
    <row r="30" spans="1:11" ht="12.75">
      <c r="A30" s="266" t="s">
        <v>112</v>
      </c>
      <c r="B30" s="62"/>
      <c r="C30" s="129">
        <f>+G30-K30</f>
        <v>-205</v>
      </c>
      <c r="D30" s="62"/>
      <c r="E30" s="129">
        <v>-684</v>
      </c>
      <c r="F30" s="62"/>
      <c r="G30" s="62">
        <f>ROUND(+Group!P26/1000,0)</f>
        <v>-205</v>
      </c>
      <c r="H30" s="62"/>
      <c r="I30" s="141">
        <v>-684</v>
      </c>
      <c r="J30" s="162"/>
      <c r="K30" s="62">
        <v>0</v>
      </c>
    </row>
    <row r="31" spans="1:11" ht="12.75">
      <c r="A31" s="147"/>
      <c r="B31" s="62"/>
      <c r="C31" s="142"/>
      <c r="D31" s="62"/>
      <c r="E31" s="142"/>
      <c r="F31" s="62"/>
      <c r="G31" s="142"/>
      <c r="H31" s="62"/>
      <c r="I31" s="142"/>
      <c r="J31" s="160"/>
      <c r="K31" s="142"/>
    </row>
    <row r="32" spans="1:11" ht="12.75">
      <c r="A32" s="267" t="s">
        <v>113</v>
      </c>
      <c r="B32" s="62"/>
      <c r="C32" s="62">
        <f>SUM(C28:C30)</f>
        <v>-5887</v>
      </c>
      <c r="D32" s="62"/>
      <c r="E32" s="62">
        <f>SUM(E28:E31)</f>
        <v>-1264</v>
      </c>
      <c r="F32" s="62"/>
      <c r="G32" s="62">
        <f>SUM(G28:G31)</f>
        <v>-5887</v>
      </c>
      <c r="H32" s="62"/>
      <c r="I32" s="62">
        <f>SUM(I28:I31)</f>
        <v>-1264</v>
      </c>
      <c r="J32" s="160"/>
      <c r="K32" s="62">
        <v>0</v>
      </c>
    </row>
    <row r="33" spans="1:11" ht="12.75">
      <c r="A33" s="267"/>
      <c r="B33" s="62"/>
      <c r="C33" s="62"/>
      <c r="D33" s="62"/>
      <c r="E33" s="62"/>
      <c r="F33" s="62"/>
      <c r="G33" s="62"/>
      <c r="H33" s="62"/>
      <c r="I33" s="62"/>
      <c r="J33" s="160"/>
      <c r="K33" s="62"/>
    </row>
    <row r="34" spans="1:11" ht="12.75">
      <c r="A34" s="267" t="s">
        <v>118</v>
      </c>
      <c r="B34" s="62"/>
      <c r="C34" s="129">
        <f>+G34-K34</f>
        <v>0</v>
      </c>
      <c r="D34" s="62"/>
      <c r="E34" s="62">
        <v>0</v>
      </c>
      <c r="F34" s="62"/>
      <c r="G34" s="62">
        <f>ROUND(Group!P29/1000,0)</f>
        <v>0</v>
      </c>
      <c r="H34" s="62"/>
      <c r="I34" s="62">
        <v>0</v>
      </c>
      <c r="J34" s="160"/>
      <c r="K34" s="62"/>
    </row>
    <row r="35" spans="1:11" ht="12.75">
      <c r="A35" s="147"/>
      <c r="B35" s="62"/>
      <c r="C35" s="62"/>
      <c r="D35" s="62"/>
      <c r="E35" s="62"/>
      <c r="F35" s="62"/>
      <c r="G35" s="62"/>
      <c r="H35" s="62"/>
      <c r="I35" s="62"/>
      <c r="J35" s="160"/>
      <c r="K35" s="62"/>
    </row>
    <row r="36" spans="1:11" ht="13.5" thickBot="1">
      <c r="A36" s="267" t="s">
        <v>63</v>
      </c>
      <c r="B36" s="62"/>
      <c r="C36" s="143">
        <f>SUM(C32:C35)</f>
        <v>-5887</v>
      </c>
      <c r="D36" s="62"/>
      <c r="E36" s="143">
        <f>SUM(E32:E35)</f>
        <v>-1264</v>
      </c>
      <c r="F36" s="62"/>
      <c r="G36" s="143">
        <f>SUM(G32:G35)</f>
        <v>-5887</v>
      </c>
      <c r="H36" s="62"/>
      <c r="I36" s="143">
        <f>SUM(I32:I35)</f>
        <v>-1264</v>
      </c>
      <c r="J36" s="160"/>
      <c r="K36" s="143">
        <v>0</v>
      </c>
    </row>
    <row r="37" spans="1:11" ht="13.5" thickTop="1">
      <c r="A37" s="147"/>
      <c r="B37" s="62"/>
      <c r="C37" s="62"/>
      <c r="D37" s="62"/>
      <c r="E37" s="62"/>
      <c r="F37" s="62"/>
      <c r="G37" s="62"/>
      <c r="H37" s="62"/>
      <c r="I37" s="62"/>
      <c r="J37" s="160"/>
      <c r="K37" s="62"/>
    </row>
    <row r="38" spans="1:11" ht="12.75">
      <c r="A38" s="147"/>
      <c r="B38" s="62"/>
      <c r="C38" s="62"/>
      <c r="D38" s="62"/>
      <c r="E38" s="62"/>
      <c r="F38" s="62"/>
      <c r="G38" s="62"/>
      <c r="H38" s="62"/>
      <c r="I38" s="62"/>
      <c r="J38" s="160"/>
      <c r="K38" s="62"/>
    </row>
    <row r="39" spans="1:11" ht="12.75">
      <c r="A39" s="266" t="s">
        <v>114</v>
      </c>
      <c r="B39" s="145"/>
      <c r="C39" s="62"/>
      <c r="D39" s="62"/>
      <c r="E39" s="62"/>
      <c r="F39" s="62"/>
      <c r="G39" s="62"/>
      <c r="H39" s="62"/>
      <c r="I39" s="62"/>
      <c r="J39" s="160"/>
      <c r="K39" s="62"/>
    </row>
    <row r="40" spans="1:11" ht="12.75">
      <c r="A40" s="269" t="s">
        <v>115</v>
      </c>
      <c r="B40" s="145"/>
      <c r="C40" s="146">
        <f>C36*1000/223508536*100</f>
        <v>-2.633903879178914</v>
      </c>
      <c r="D40" s="147"/>
      <c r="E40" s="146">
        <f>E36*1000/223508536*100</f>
        <v>-0.5655264996232627</v>
      </c>
      <c r="F40" s="147"/>
      <c r="G40" s="146">
        <f>G36*1000/223508536*100</f>
        <v>-2.633903879178914</v>
      </c>
      <c r="H40" s="147">
        <f>H36*1000/150171536*100</f>
        <v>0</v>
      </c>
      <c r="I40" s="146">
        <f>I36*1000/223508536*100</f>
        <v>-0.5655264996232627</v>
      </c>
      <c r="J40" s="163"/>
      <c r="K40" s="146">
        <v>0</v>
      </c>
    </row>
    <row r="41" spans="1:10" ht="12.75">
      <c r="A41" s="270"/>
      <c r="B41" s="145"/>
      <c r="C41" s="147"/>
      <c r="D41" s="147"/>
      <c r="E41" s="147"/>
      <c r="F41" s="147"/>
      <c r="G41" s="147"/>
      <c r="H41" s="147"/>
      <c r="I41" s="147"/>
      <c r="J41" s="164"/>
    </row>
    <row r="42" spans="1:10" ht="12.75">
      <c r="A42" s="270"/>
      <c r="B42" s="145"/>
      <c r="C42" s="147"/>
      <c r="D42" s="147"/>
      <c r="E42" s="147"/>
      <c r="F42" s="147"/>
      <c r="G42" s="147"/>
      <c r="H42" s="147"/>
      <c r="I42" s="147"/>
      <c r="J42" s="164"/>
    </row>
    <row r="43" spans="1:10" ht="12.75">
      <c r="A43" s="270"/>
      <c r="B43" s="145"/>
      <c r="C43" s="147"/>
      <c r="D43" s="147"/>
      <c r="E43" s="147"/>
      <c r="F43" s="147"/>
      <c r="G43" s="147"/>
      <c r="H43" s="147"/>
      <c r="I43" s="147"/>
      <c r="J43" s="164"/>
    </row>
    <row r="44" spans="1:10" ht="12.75">
      <c r="A44" s="270"/>
      <c r="B44" s="145"/>
      <c r="C44" s="147"/>
      <c r="D44" s="147"/>
      <c r="E44" s="147"/>
      <c r="F44" s="147"/>
      <c r="G44" s="147"/>
      <c r="H44" s="147"/>
      <c r="I44" s="147"/>
      <c r="J44" s="164"/>
    </row>
    <row r="45" spans="1:10" ht="12.75">
      <c r="A45" s="270"/>
      <c r="B45" s="145"/>
      <c r="C45" s="147"/>
      <c r="D45" s="147"/>
      <c r="E45" s="147"/>
      <c r="F45" s="147"/>
      <c r="G45" s="147"/>
      <c r="H45" s="147"/>
      <c r="I45" s="147"/>
      <c r="J45" s="164"/>
    </row>
    <row r="46" spans="1:10" ht="12.75">
      <c r="A46" s="270"/>
      <c r="B46" s="145"/>
      <c r="C46" s="147"/>
      <c r="D46" s="147"/>
      <c r="E46" s="147"/>
      <c r="F46" s="147"/>
      <c r="G46" s="147"/>
      <c r="H46" s="147"/>
      <c r="I46" s="147"/>
      <c r="J46" s="164"/>
    </row>
    <row r="47" spans="1:10" ht="12.75">
      <c r="A47" s="270"/>
      <c r="B47" s="145"/>
      <c r="C47" s="147"/>
      <c r="D47" s="147"/>
      <c r="E47" s="147"/>
      <c r="F47" s="147"/>
      <c r="G47" s="147"/>
      <c r="H47" s="147"/>
      <c r="I47" s="147"/>
      <c r="J47" s="164"/>
    </row>
    <row r="48" spans="1:10" ht="12.75">
      <c r="A48" s="531" t="s">
        <v>134</v>
      </c>
      <c r="B48" s="531"/>
      <c r="C48" s="531"/>
      <c r="D48" s="531"/>
      <c r="E48" s="531"/>
      <c r="F48" s="531"/>
      <c r="G48" s="531"/>
      <c r="H48" s="531"/>
      <c r="I48" s="531"/>
      <c r="J48" s="164"/>
    </row>
    <row r="49" spans="1:10" ht="12.75">
      <c r="A49" s="531"/>
      <c r="B49" s="531"/>
      <c r="C49" s="531"/>
      <c r="D49" s="531"/>
      <c r="E49" s="531"/>
      <c r="F49" s="531"/>
      <c r="G49" s="531"/>
      <c r="H49" s="531"/>
      <c r="I49" s="531"/>
      <c r="J49" s="164"/>
    </row>
    <row r="50" spans="1:10" ht="12.75">
      <c r="A50" s="531"/>
      <c r="B50" s="531"/>
      <c r="C50" s="531"/>
      <c r="D50" s="531"/>
      <c r="E50" s="531"/>
      <c r="F50" s="531"/>
      <c r="G50" s="531"/>
      <c r="H50" s="531"/>
      <c r="I50" s="531"/>
      <c r="J50" s="164"/>
    </row>
    <row r="51" spans="1:10" ht="12.75">
      <c r="A51" s="270"/>
      <c r="B51" s="145"/>
      <c r="C51" s="147"/>
      <c r="D51" s="147"/>
      <c r="E51" s="147"/>
      <c r="F51" s="147"/>
      <c r="G51" s="147"/>
      <c r="H51" s="147"/>
      <c r="I51" s="147"/>
      <c r="J51" s="164"/>
    </row>
    <row r="52" spans="1:10" ht="12.75">
      <c r="A52" s="42"/>
      <c r="B52" s="72"/>
      <c r="C52" s="72"/>
      <c r="D52" s="72"/>
      <c r="E52" s="72"/>
      <c r="F52" s="82"/>
      <c r="G52" s="72"/>
      <c r="H52" s="82"/>
      <c r="I52" s="82"/>
      <c r="J52" s="82"/>
    </row>
    <row r="53" spans="2:10" ht="12.75">
      <c r="B53" s="72"/>
      <c r="C53" s="72"/>
      <c r="D53" s="72"/>
      <c r="E53" s="72"/>
      <c r="F53" s="82"/>
      <c r="G53" s="72"/>
      <c r="H53" s="82"/>
      <c r="I53" s="82"/>
      <c r="J53" s="82"/>
    </row>
    <row r="54" spans="2:10" ht="12.75">
      <c r="B54" s="72"/>
      <c r="C54" s="72"/>
      <c r="D54" s="72"/>
      <c r="E54" s="72"/>
      <c r="F54" s="82"/>
      <c r="G54" s="72"/>
      <c r="H54" s="82"/>
      <c r="I54" s="82"/>
      <c r="J54" s="82"/>
    </row>
  </sheetData>
  <mergeCells count="7">
    <mergeCell ref="A48:I50"/>
    <mergeCell ref="A1:I1"/>
    <mergeCell ref="A2:I2"/>
    <mergeCell ref="A3:I3"/>
    <mergeCell ref="C11:E11"/>
    <mergeCell ref="G11:I11"/>
    <mergeCell ref="A5:I6"/>
  </mergeCells>
  <printOptions/>
  <pageMargins left="0.75" right="0.75" top="1" bottom="1" header="0.5" footer="0.5"/>
  <pageSetup horizontalDpi="600" verticalDpi="600" orientation="portrait" scale="82"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dimension ref="A1:G102"/>
  <sheetViews>
    <sheetView tabSelected="1" view="pageBreakPreview" zoomScale="80" zoomScaleNormal="75" zoomScaleSheetLayoutView="80" workbookViewId="0" topLeftCell="A37">
      <selection activeCell="A45" sqref="A45"/>
    </sheetView>
  </sheetViews>
  <sheetFormatPr defaultColWidth="9.140625" defaultRowHeight="12.75"/>
  <cols>
    <col min="1" max="1" width="13.8515625" style="271" customWidth="1"/>
    <col min="2" max="2" width="10.28125" style="0" customWidth="1"/>
    <col min="3" max="3" width="10.57421875" style="0" customWidth="1"/>
    <col min="4" max="4" width="17.7109375" style="0" customWidth="1"/>
    <col min="5" max="5" width="18.140625" style="0" customWidth="1"/>
    <col min="6" max="6" width="2.00390625" style="0" customWidth="1"/>
    <col min="7" max="7" width="18.7109375" style="0" customWidth="1"/>
  </cols>
  <sheetData>
    <row r="1" spans="1:7" ht="15">
      <c r="A1" s="272" t="s">
        <v>12</v>
      </c>
      <c r="B1" s="167"/>
      <c r="C1" s="167"/>
      <c r="D1" s="167"/>
      <c r="E1" s="167"/>
      <c r="F1" s="167"/>
      <c r="G1" s="167"/>
    </row>
    <row r="2" spans="1:7" ht="14.25">
      <c r="A2" s="273" t="s">
        <v>13</v>
      </c>
      <c r="B2" s="168"/>
      <c r="C2" s="168"/>
      <c r="D2" s="168"/>
      <c r="E2" s="168"/>
      <c r="F2" s="168"/>
      <c r="G2" s="168"/>
    </row>
    <row r="3" spans="1:7" ht="14.25">
      <c r="A3" s="273" t="s">
        <v>14</v>
      </c>
      <c r="B3" s="168"/>
      <c r="C3" s="168"/>
      <c r="D3" s="168"/>
      <c r="E3" s="168"/>
      <c r="F3" s="168"/>
      <c r="G3" s="168"/>
    </row>
    <row r="4" spans="1:7" ht="15">
      <c r="A4" s="274"/>
      <c r="B4" s="2"/>
      <c r="C4" s="1"/>
      <c r="D4" s="1"/>
      <c r="E4" s="3"/>
      <c r="F4" s="1"/>
      <c r="G4" s="3"/>
    </row>
    <row r="5" spans="1:7" ht="15">
      <c r="A5" s="275" t="s">
        <v>15</v>
      </c>
      <c r="B5" s="1"/>
      <c r="C5" s="1"/>
      <c r="D5" s="1"/>
      <c r="E5" s="3"/>
      <c r="F5" s="1"/>
      <c r="G5" s="3"/>
    </row>
    <row r="6" spans="1:7" ht="15">
      <c r="A6" s="275" t="str">
        <f>"AS AT "&amp;(PL!K3)</f>
        <v>AS AT 31 MARCH 2005</v>
      </c>
      <c r="B6" s="1"/>
      <c r="C6" s="1"/>
      <c r="D6" s="1"/>
      <c r="E6" s="3"/>
      <c r="F6" s="1"/>
      <c r="G6" s="3"/>
    </row>
    <row r="7" spans="1:7" ht="15">
      <c r="A7" s="274"/>
      <c r="B7" s="1"/>
      <c r="C7" s="1"/>
      <c r="D7" s="1"/>
      <c r="E7" s="4" t="s">
        <v>16</v>
      </c>
      <c r="F7" s="2"/>
      <c r="G7" s="4" t="s">
        <v>17</v>
      </c>
    </row>
    <row r="8" spans="1:7" ht="15">
      <c r="A8" s="274"/>
      <c r="B8" s="1"/>
      <c r="C8" s="1"/>
      <c r="D8" s="1"/>
      <c r="E8" s="539" t="s">
        <v>18</v>
      </c>
      <c r="F8" s="2"/>
      <c r="G8" s="539" t="s">
        <v>19</v>
      </c>
    </row>
    <row r="9" spans="1:7" ht="15">
      <c r="A9" s="274"/>
      <c r="B9" s="1"/>
      <c r="C9" s="1"/>
      <c r="D9" s="1"/>
      <c r="E9" s="539"/>
      <c r="F9" s="2"/>
      <c r="G9" s="539"/>
    </row>
    <row r="10" spans="1:7" ht="15">
      <c r="A10" s="274"/>
      <c r="B10" s="1"/>
      <c r="C10" s="1"/>
      <c r="D10" s="1"/>
      <c r="E10" s="522" t="str">
        <f>+PL!K4</f>
        <v>31 Mar 05</v>
      </c>
      <c r="F10" s="5"/>
      <c r="G10" s="523" t="s">
        <v>2</v>
      </c>
    </row>
    <row r="11" spans="1:7" ht="15">
      <c r="A11" s="274"/>
      <c r="B11" s="1"/>
      <c r="C11" s="1"/>
      <c r="D11" s="1"/>
      <c r="E11" s="4" t="s">
        <v>20</v>
      </c>
      <c r="F11" s="2"/>
      <c r="G11" s="4" t="s">
        <v>20</v>
      </c>
    </row>
    <row r="12" spans="1:7" ht="15">
      <c r="A12" s="276"/>
      <c r="B12" s="6"/>
      <c r="C12" s="6"/>
      <c r="D12" s="6"/>
      <c r="E12" s="7"/>
      <c r="F12" s="1"/>
      <c r="G12" s="7"/>
    </row>
    <row r="13" spans="1:7" ht="15">
      <c r="A13" s="277" t="s">
        <v>21</v>
      </c>
      <c r="B13" s="6"/>
      <c r="C13" s="6"/>
      <c r="D13" s="6"/>
      <c r="E13" s="9">
        <f>ROUND(+Group!$P$42/1000,0)</f>
        <v>5980</v>
      </c>
      <c r="F13" s="3"/>
      <c r="G13" s="9">
        <v>6130</v>
      </c>
    </row>
    <row r="14" spans="1:7" ht="15">
      <c r="A14" s="277"/>
      <c r="B14" s="6"/>
      <c r="C14" s="6"/>
      <c r="D14" s="6"/>
      <c r="E14" s="9"/>
      <c r="F14" s="3"/>
      <c r="G14" s="9"/>
    </row>
    <row r="15" spans="1:7" ht="15">
      <c r="A15" s="277" t="s">
        <v>8</v>
      </c>
      <c r="B15" s="6"/>
      <c r="C15" s="6"/>
      <c r="D15" s="6"/>
      <c r="E15" s="166">
        <f>ROUND(+Group!$P$43/1000,0)</f>
        <v>6586</v>
      </c>
      <c r="F15" s="3"/>
      <c r="G15" s="9">
        <v>6684</v>
      </c>
    </row>
    <row r="16" spans="1:7" ht="15">
      <c r="A16" s="277"/>
      <c r="B16" s="6"/>
      <c r="C16" s="6"/>
      <c r="D16" s="6"/>
      <c r="E16" s="9"/>
      <c r="F16" s="3"/>
      <c r="G16" s="9"/>
    </row>
    <row r="17" spans="1:7" ht="15">
      <c r="A17" s="277" t="s">
        <v>9</v>
      </c>
      <c r="B17" s="6"/>
      <c r="C17" s="6"/>
      <c r="D17" s="6"/>
      <c r="E17" s="9">
        <f>ROUND(+Group!$P$45/1000,0)</f>
        <v>43034</v>
      </c>
      <c r="F17" s="3"/>
      <c r="G17" s="9">
        <v>42508</v>
      </c>
    </row>
    <row r="18" spans="1:7" ht="15">
      <c r="A18" s="276"/>
      <c r="B18" s="6"/>
      <c r="C18" s="6"/>
      <c r="D18" s="6"/>
      <c r="E18" s="9"/>
      <c r="F18" s="3"/>
      <c r="G18" s="9"/>
    </row>
    <row r="19" spans="1:7" ht="15">
      <c r="A19" s="277" t="s">
        <v>22</v>
      </c>
      <c r="B19" s="6"/>
      <c r="C19" s="6"/>
      <c r="D19" s="6"/>
      <c r="E19" s="9">
        <f>ROUND(+Group!$P46/1000,0)</f>
        <v>206263</v>
      </c>
      <c r="F19" s="3"/>
      <c r="G19" s="9">
        <v>209350</v>
      </c>
    </row>
    <row r="20" spans="1:7" ht="15">
      <c r="A20" s="277"/>
      <c r="B20" s="6"/>
      <c r="C20" s="6"/>
      <c r="D20" s="6"/>
      <c r="E20" s="9"/>
      <c r="F20" s="3"/>
      <c r="G20" s="9"/>
    </row>
    <row r="21" spans="1:7" ht="15">
      <c r="A21" s="277" t="s">
        <v>23</v>
      </c>
      <c r="B21" s="6"/>
      <c r="C21" s="6"/>
      <c r="D21" s="6"/>
      <c r="E21" s="9">
        <f>ROUND(+Group!$P$50/1000,0)</f>
        <v>1200299</v>
      </c>
      <c r="F21" s="3"/>
      <c r="G21" s="9">
        <v>1203498</v>
      </c>
    </row>
    <row r="22" spans="1:7" ht="15">
      <c r="A22" s="276"/>
      <c r="B22" s="6"/>
      <c r="C22" s="6"/>
      <c r="D22" s="6"/>
      <c r="E22" s="9"/>
      <c r="F22" s="3"/>
      <c r="G22" s="9"/>
    </row>
    <row r="23" spans="1:7" ht="14.25">
      <c r="A23" s="278" t="s">
        <v>24</v>
      </c>
      <c r="B23" s="8"/>
      <c r="C23" s="8"/>
      <c r="D23" s="10"/>
      <c r="E23" s="11"/>
      <c r="F23" s="3"/>
      <c r="G23" s="11"/>
    </row>
    <row r="24" spans="1:7" ht="14.25">
      <c r="A24" s="278"/>
      <c r="B24" s="8"/>
      <c r="C24" s="8"/>
      <c r="D24" s="10"/>
      <c r="E24" s="12"/>
      <c r="F24" s="13"/>
      <c r="G24" s="14"/>
    </row>
    <row r="25" spans="1:7" ht="14.25">
      <c r="A25" s="277" t="s">
        <v>124</v>
      </c>
      <c r="B25" s="8"/>
      <c r="C25" s="8"/>
      <c r="D25" s="10"/>
      <c r="E25" s="15">
        <f>ROUND(+Group!P54/1000,0)</f>
        <v>13516</v>
      </c>
      <c r="F25" s="3"/>
      <c r="G25" s="15">
        <v>11790</v>
      </c>
    </row>
    <row r="26" spans="1:7" ht="14.25">
      <c r="A26" s="277" t="s">
        <v>25</v>
      </c>
      <c r="B26" s="8"/>
      <c r="C26" s="8"/>
      <c r="D26" s="10"/>
      <c r="E26" s="15">
        <f>ROUND(+Group!$P55/1000,0)</f>
        <v>144718</v>
      </c>
      <c r="F26" s="3"/>
      <c r="G26" s="15">
        <v>144713</v>
      </c>
    </row>
    <row r="27" spans="1:7" ht="14.25">
      <c r="A27" s="277" t="s">
        <v>26</v>
      </c>
      <c r="B27" s="8"/>
      <c r="C27" s="8"/>
      <c r="D27" s="10"/>
      <c r="E27" s="15">
        <f>ROUND(+Group!$P56/1000,0)</f>
        <v>10338</v>
      </c>
      <c r="F27" s="3"/>
      <c r="G27" s="15">
        <v>13479</v>
      </c>
    </row>
    <row r="28" spans="1:7" ht="14.25">
      <c r="A28" s="277" t="s">
        <v>28</v>
      </c>
      <c r="B28" s="8"/>
      <c r="C28" s="8"/>
      <c r="D28" s="10"/>
      <c r="E28" s="15">
        <f>ROUND(+Group!$P57/1000,0)</f>
        <v>1364</v>
      </c>
      <c r="F28" s="3"/>
      <c r="G28" s="15">
        <v>1364</v>
      </c>
    </row>
    <row r="29" spans="1:7" ht="14.25">
      <c r="A29" s="277" t="s">
        <v>29</v>
      </c>
      <c r="B29" s="8"/>
      <c r="C29" s="8"/>
      <c r="D29" s="10"/>
      <c r="E29" s="15">
        <f>ROUND(+Group!$P61/1000,0)</f>
        <v>56553</v>
      </c>
      <c r="F29" s="3"/>
      <c r="G29" s="15">
        <v>37694</v>
      </c>
    </row>
    <row r="30" spans="1:7" ht="14.25">
      <c r="A30" s="277"/>
      <c r="B30" s="8"/>
      <c r="C30" s="8"/>
      <c r="D30" s="10"/>
      <c r="E30" s="17"/>
      <c r="F30" s="3"/>
      <c r="G30" s="17"/>
    </row>
    <row r="31" spans="1:7" ht="14.25">
      <c r="A31" s="277"/>
      <c r="B31" s="8"/>
      <c r="C31" s="8"/>
      <c r="D31" s="10"/>
      <c r="E31" s="17">
        <f>SUM(E25:E30)</f>
        <v>226489</v>
      </c>
      <c r="F31" s="3"/>
      <c r="G31" s="17">
        <f>SUM(G25:G30)</f>
        <v>209040</v>
      </c>
    </row>
    <row r="32" spans="1:7" ht="14.25">
      <c r="A32" s="277"/>
      <c r="B32" s="10"/>
      <c r="C32" s="10"/>
      <c r="D32" s="10"/>
      <c r="E32" s="9"/>
      <c r="F32" s="3"/>
      <c r="G32" s="9"/>
    </row>
    <row r="33" spans="1:7" ht="14.25">
      <c r="A33" s="278" t="s">
        <v>30</v>
      </c>
      <c r="B33" s="8"/>
      <c r="C33" s="8"/>
      <c r="D33" s="10"/>
      <c r="E33" s="9"/>
      <c r="F33" s="3"/>
      <c r="G33" s="9"/>
    </row>
    <row r="34" spans="1:7" ht="14.25">
      <c r="A34" s="277"/>
      <c r="B34" s="8"/>
      <c r="C34" s="8"/>
      <c r="D34" s="10"/>
      <c r="E34" s="18"/>
      <c r="F34" s="3"/>
      <c r="G34" s="18"/>
    </row>
    <row r="35" spans="1:7" ht="14.25">
      <c r="A35" s="277" t="s">
        <v>31</v>
      </c>
      <c r="B35" s="8"/>
      <c r="C35" s="8"/>
      <c r="D35" s="10"/>
      <c r="E35" s="15">
        <f>ROUND(+Group!$P66/1000,0)</f>
        <v>26080</v>
      </c>
      <c r="F35" s="3"/>
      <c r="G35" s="15">
        <v>26116</v>
      </c>
    </row>
    <row r="36" spans="1:7" ht="14.25">
      <c r="A36" s="277" t="s">
        <v>32</v>
      </c>
      <c r="B36" s="8"/>
      <c r="C36" s="8"/>
      <c r="D36" s="10"/>
      <c r="E36" s="15">
        <f>ROUND(+Group!$P67/1000+Group!$P72/1000,0)+2</f>
        <v>42113</v>
      </c>
      <c r="F36" s="3"/>
      <c r="G36" s="15">
        <v>33419</v>
      </c>
    </row>
    <row r="37" spans="1:7" ht="14.25">
      <c r="A37" s="277" t="s">
        <v>10</v>
      </c>
      <c r="B37" s="8"/>
      <c r="C37" s="8"/>
      <c r="D37" s="10"/>
      <c r="E37" s="15">
        <f>ROUND(+Group!$P$68/1000,0)</f>
        <v>2039</v>
      </c>
      <c r="F37" s="3"/>
      <c r="G37" s="15">
        <v>2039</v>
      </c>
    </row>
    <row r="38" spans="1:7" ht="14.25">
      <c r="A38" s="277" t="s">
        <v>11</v>
      </c>
      <c r="B38" s="8"/>
      <c r="C38" s="8"/>
      <c r="D38" s="10"/>
      <c r="E38" s="15">
        <f>ROUND(+Group!$P70/1000,0)</f>
        <v>2</v>
      </c>
      <c r="F38" s="3"/>
      <c r="G38" s="15">
        <v>2</v>
      </c>
    </row>
    <row r="39" spans="1:7" ht="14.25">
      <c r="A39" s="277" t="s">
        <v>33</v>
      </c>
      <c r="B39" s="8"/>
      <c r="C39" s="8"/>
      <c r="D39" s="10"/>
      <c r="E39" s="15">
        <f>ROUND(+Group!$P65/1000,0)</f>
        <v>289650</v>
      </c>
      <c r="F39" s="3"/>
      <c r="G39" s="15">
        <v>248350</v>
      </c>
    </row>
    <row r="40" spans="1:7" ht="14.25">
      <c r="A40" s="277" t="s">
        <v>34</v>
      </c>
      <c r="B40" s="8"/>
      <c r="C40" s="8"/>
      <c r="D40" s="10"/>
      <c r="E40" s="15">
        <f>ROUND(+Group!$P71/1000,0)</f>
        <v>153</v>
      </c>
      <c r="F40" s="3"/>
      <c r="G40" s="15">
        <v>149</v>
      </c>
    </row>
    <row r="41" spans="1:7" ht="14.25">
      <c r="A41" s="277" t="s">
        <v>35</v>
      </c>
      <c r="B41" s="8"/>
      <c r="C41" s="8"/>
      <c r="D41" s="10"/>
      <c r="E41" s="15">
        <f>ROUND(+Group!$P73/1000,0)</f>
        <v>744</v>
      </c>
      <c r="F41" s="3"/>
      <c r="G41" s="15">
        <v>744</v>
      </c>
    </row>
    <row r="42" spans="1:7" ht="14.25">
      <c r="A42" s="277"/>
      <c r="B42" s="8"/>
      <c r="C42" s="8"/>
      <c r="D42" s="10"/>
      <c r="E42" s="15"/>
      <c r="F42" s="3"/>
      <c r="G42" s="15"/>
    </row>
    <row r="43" spans="1:7" ht="14.25">
      <c r="A43" s="277"/>
      <c r="B43" s="8"/>
      <c r="C43" s="8"/>
      <c r="D43" s="7"/>
      <c r="E43" s="19">
        <f>SUM(E35:E41)</f>
        <v>360781</v>
      </c>
      <c r="F43" s="3"/>
      <c r="G43" s="19">
        <f>SUM(G35:G41)</f>
        <v>310819</v>
      </c>
    </row>
    <row r="44" spans="1:7" ht="14.25">
      <c r="A44" s="277"/>
      <c r="B44" s="8"/>
      <c r="C44" s="8"/>
      <c r="D44" s="7"/>
      <c r="E44" s="11"/>
      <c r="F44" s="3"/>
      <c r="G44" s="11"/>
    </row>
    <row r="45" spans="1:7" ht="14.25">
      <c r="A45" s="277" t="s">
        <v>943</v>
      </c>
      <c r="B45" s="10"/>
      <c r="C45" s="10"/>
      <c r="D45" s="10"/>
      <c r="E45" s="9">
        <f>E31-E43</f>
        <v>-134292</v>
      </c>
      <c r="F45" s="20"/>
      <c r="G45" s="9">
        <f>G31-G43</f>
        <v>-101779</v>
      </c>
    </row>
    <row r="46" spans="1:7" ht="14.25">
      <c r="A46" s="277" t="s">
        <v>27</v>
      </c>
      <c r="B46" s="10"/>
      <c r="C46" s="10"/>
      <c r="D46" s="10"/>
      <c r="E46" s="21"/>
      <c r="F46" s="3"/>
      <c r="G46" s="21"/>
    </row>
    <row r="47" spans="1:7" ht="15" thickBot="1">
      <c r="A47" s="277"/>
      <c r="B47" s="10"/>
      <c r="C47" s="10"/>
      <c r="D47" s="10"/>
      <c r="E47" s="22">
        <f>E13+E19+E21+E45+E15+E17</f>
        <v>1327870</v>
      </c>
      <c r="F47" s="23"/>
      <c r="G47" s="22">
        <f>G13+G19+G21+G45+G15+G17</f>
        <v>1366391</v>
      </c>
    </row>
    <row r="48" spans="1:7" ht="15" thickTop="1">
      <c r="A48" s="277"/>
      <c r="B48" s="10"/>
      <c r="C48" s="10"/>
      <c r="D48" s="10"/>
      <c r="E48" s="11"/>
      <c r="F48" s="23"/>
      <c r="G48" s="11"/>
    </row>
    <row r="49" spans="1:7" ht="14.25">
      <c r="A49" s="277"/>
      <c r="B49" s="10"/>
      <c r="C49" s="10"/>
      <c r="D49" s="10"/>
      <c r="E49" s="11"/>
      <c r="F49" s="23"/>
      <c r="G49" s="11"/>
    </row>
    <row r="50" spans="1:7" ht="14.25">
      <c r="A50" s="277"/>
      <c r="B50" s="10"/>
      <c r="C50" s="10"/>
      <c r="D50" s="10"/>
      <c r="E50" s="11"/>
      <c r="F50" s="23"/>
      <c r="G50" s="11"/>
    </row>
    <row r="51" spans="1:7" ht="12.75">
      <c r="A51" s="531" t="s">
        <v>135</v>
      </c>
      <c r="B51" s="531"/>
      <c r="C51" s="531"/>
      <c r="D51" s="531"/>
      <c r="E51" s="531"/>
      <c r="F51" s="531"/>
      <c r="G51" s="531"/>
    </row>
    <row r="52" spans="1:7" ht="12.75">
      <c r="A52" s="531"/>
      <c r="B52" s="531"/>
      <c r="C52" s="531"/>
      <c r="D52" s="531"/>
      <c r="E52" s="531"/>
      <c r="F52" s="531"/>
      <c r="G52" s="531"/>
    </row>
    <row r="53" spans="1:7" ht="12.75">
      <c r="A53" s="531"/>
      <c r="B53" s="531"/>
      <c r="C53" s="531"/>
      <c r="D53" s="531"/>
      <c r="E53" s="531"/>
      <c r="F53" s="531"/>
      <c r="G53" s="531"/>
    </row>
    <row r="54" spans="2:7" ht="14.25">
      <c r="B54" s="10"/>
      <c r="C54" s="10"/>
      <c r="D54" s="10"/>
      <c r="E54" s="25"/>
      <c r="F54" s="3"/>
      <c r="G54" s="25"/>
    </row>
    <row r="55" spans="1:7" ht="15">
      <c r="A55" s="277"/>
      <c r="B55" s="10"/>
      <c r="C55" s="10"/>
      <c r="D55" s="10"/>
      <c r="E55" s="4" t="s">
        <v>16</v>
      </c>
      <c r="F55" s="2"/>
      <c r="G55" s="4" t="s">
        <v>17</v>
      </c>
    </row>
    <row r="56" spans="1:7" ht="15">
      <c r="A56" s="277"/>
      <c r="B56" s="10"/>
      <c r="C56" s="10"/>
      <c r="D56" s="10"/>
      <c r="E56" s="539" t="s">
        <v>18</v>
      </c>
      <c r="F56" s="2"/>
      <c r="G56" s="539" t="s">
        <v>19</v>
      </c>
    </row>
    <row r="57" spans="1:7" ht="15">
      <c r="A57" s="277"/>
      <c r="B57" s="10"/>
      <c r="C57" s="10"/>
      <c r="D57" s="10"/>
      <c r="E57" s="539"/>
      <c r="F57" s="2"/>
      <c r="G57" s="539"/>
    </row>
    <row r="58" spans="1:7" ht="15">
      <c r="A58" s="277"/>
      <c r="B58" s="10"/>
      <c r="C58" s="10"/>
      <c r="D58" s="10"/>
      <c r="E58" s="5" t="str">
        <f>+E10</f>
        <v>31 Mar 05</v>
      </c>
      <c r="F58" s="2"/>
      <c r="G58" s="5" t="str">
        <f>+G10</f>
        <v>31 Dec 04</v>
      </c>
    </row>
    <row r="59" spans="1:7" ht="15">
      <c r="A59" s="277"/>
      <c r="B59" s="10"/>
      <c r="C59" s="10"/>
      <c r="D59" s="10"/>
      <c r="E59" s="4" t="s">
        <v>20</v>
      </c>
      <c r="F59" s="2"/>
      <c r="G59" s="4" t="s">
        <v>20</v>
      </c>
    </row>
    <row r="60" spans="1:7" ht="14.25">
      <c r="A60" s="277"/>
      <c r="B60" s="10"/>
      <c r="C60" s="10"/>
      <c r="D60" s="10"/>
      <c r="E60" s="25"/>
      <c r="F60" s="3"/>
      <c r="G60" s="25"/>
    </row>
    <row r="61" spans="1:7" ht="14.25">
      <c r="A61" s="277" t="s">
        <v>36</v>
      </c>
      <c r="B61" s="10"/>
      <c r="C61" s="10"/>
      <c r="D61" s="10"/>
      <c r="E61" s="25"/>
      <c r="F61" s="3"/>
      <c r="G61" s="25"/>
    </row>
    <row r="62" spans="1:7" ht="14.25">
      <c r="A62" s="277"/>
      <c r="B62" s="10"/>
      <c r="C62" s="10"/>
      <c r="D62" s="10"/>
      <c r="E62" s="25"/>
      <c r="F62" s="3"/>
      <c r="G62" s="25"/>
    </row>
    <row r="63" spans="1:7" ht="14.25">
      <c r="A63" s="277" t="s">
        <v>37</v>
      </c>
      <c r="B63" s="10"/>
      <c r="C63" s="10"/>
      <c r="D63" s="10"/>
      <c r="E63" s="25">
        <f>ROUND(+Group!$P$81/1000,0)</f>
        <v>223509</v>
      </c>
      <c r="F63" s="3"/>
      <c r="G63" s="25">
        <v>223509</v>
      </c>
    </row>
    <row r="64" spans="1:7" ht="14.25">
      <c r="A64" s="277"/>
      <c r="B64" s="10"/>
      <c r="C64" s="10"/>
      <c r="D64" s="10"/>
      <c r="E64" s="25"/>
      <c r="F64" s="3"/>
      <c r="G64" s="25"/>
    </row>
    <row r="65" spans="1:7" ht="14.25">
      <c r="A65" s="277" t="s">
        <v>38</v>
      </c>
      <c r="B65" s="10"/>
      <c r="C65" s="10"/>
      <c r="D65" s="10"/>
      <c r="E65" s="26">
        <f>ROUND(+Group!$P$82/1000,0)</f>
        <v>103563</v>
      </c>
      <c r="F65" s="3"/>
      <c r="G65" s="26">
        <v>103563</v>
      </c>
    </row>
    <row r="66" spans="1:7" ht="14.25">
      <c r="A66" s="279"/>
      <c r="B66" s="10"/>
      <c r="C66" s="10"/>
      <c r="D66" s="10"/>
      <c r="E66" s="25"/>
      <c r="F66" s="3"/>
      <c r="G66" s="25"/>
    </row>
    <row r="67" spans="1:7" ht="14.25">
      <c r="A67" s="277" t="s">
        <v>39</v>
      </c>
      <c r="B67" s="10"/>
      <c r="C67" s="10"/>
      <c r="D67" s="10"/>
      <c r="E67" s="182">
        <f>ROUND(+Group!$P$85/1000,0)-1</f>
        <v>14023</v>
      </c>
      <c r="F67" s="3"/>
      <c r="G67" s="27">
        <v>19910</v>
      </c>
    </row>
    <row r="68" spans="1:7" ht="14.25">
      <c r="A68" s="277"/>
      <c r="B68" s="10"/>
      <c r="C68" s="10"/>
      <c r="D68" s="10"/>
      <c r="E68" s="25"/>
      <c r="F68" s="3"/>
      <c r="G68" s="25"/>
    </row>
    <row r="69" spans="1:7" ht="14.25">
      <c r="A69" s="277" t="s">
        <v>40</v>
      </c>
      <c r="B69" s="10"/>
      <c r="C69" s="10"/>
      <c r="D69" s="10"/>
      <c r="E69" s="25">
        <f>SUM(E63:E67)</f>
        <v>341095</v>
      </c>
      <c r="F69" s="7"/>
      <c r="G69" s="25">
        <f>SUM(G63:G67)</f>
        <v>346982</v>
      </c>
    </row>
    <row r="70" spans="1:7" ht="14.25">
      <c r="A70" s="277"/>
      <c r="B70" s="10"/>
      <c r="C70" s="10"/>
      <c r="D70" s="10"/>
      <c r="E70" s="25"/>
      <c r="F70" s="3"/>
      <c r="G70" s="25"/>
    </row>
    <row r="71" spans="1:7" ht="14.25">
      <c r="A71" s="278" t="s">
        <v>41</v>
      </c>
      <c r="B71" s="10"/>
      <c r="C71" s="10"/>
      <c r="D71" s="10"/>
      <c r="E71" s="25"/>
      <c r="F71" s="3"/>
      <c r="G71" s="25"/>
    </row>
    <row r="72" spans="1:7" ht="14.25">
      <c r="A72" s="278" t="s">
        <v>42</v>
      </c>
      <c r="B72" s="10"/>
      <c r="C72" s="10"/>
      <c r="D72" s="10"/>
      <c r="E72" s="28"/>
      <c r="F72" s="3"/>
      <c r="G72" s="28"/>
    </row>
    <row r="73" spans="1:7" ht="14.25">
      <c r="A73" s="277"/>
      <c r="B73" s="10"/>
      <c r="C73" s="10"/>
      <c r="D73" s="10"/>
      <c r="E73" s="29"/>
      <c r="F73" s="3"/>
      <c r="G73" s="29"/>
    </row>
    <row r="74" spans="1:7" ht="14.25">
      <c r="A74" s="277" t="s">
        <v>43</v>
      </c>
      <c r="B74" s="10"/>
      <c r="C74" s="10"/>
      <c r="D74" s="10"/>
      <c r="E74" s="30">
        <f>ROUND(+Group!$P89/1000,0)</f>
        <v>976894</v>
      </c>
      <c r="F74" s="3"/>
      <c r="G74" s="30">
        <v>1009169</v>
      </c>
    </row>
    <row r="75" spans="1:7" ht="14.25">
      <c r="A75" s="277" t="s">
        <v>44</v>
      </c>
      <c r="B75" s="10"/>
      <c r="C75" s="10"/>
      <c r="D75" s="10"/>
      <c r="E75" s="30">
        <f>ROUND(+Group!$P90/1000,0)</f>
        <v>9406</v>
      </c>
      <c r="F75" s="3"/>
      <c r="G75" s="30">
        <v>9740</v>
      </c>
    </row>
    <row r="76" spans="1:7" ht="14.25">
      <c r="A76" s="277" t="s">
        <v>34</v>
      </c>
      <c r="B76" s="10"/>
      <c r="C76" s="10"/>
      <c r="D76" s="10"/>
      <c r="E76" s="30">
        <f>ROUND(+Group!$P91/1000,0)</f>
        <v>387</v>
      </c>
      <c r="F76" s="3"/>
      <c r="G76" s="30">
        <v>412</v>
      </c>
    </row>
    <row r="77" spans="1:7" ht="14.25">
      <c r="A77" s="277" t="s">
        <v>118</v>
      </c>
      <c r="B77" s="10"/>
      <c r="C77" s="10"/>
      <c r="D77" s="10"/>
      <c r="E77" s="30">
        <f>ROUND(+Group!$P92/1000,0)</f>
        <v>88</v>
      </c>
      <c r="F77" s="3"/>
      <c r="G77" s="30">
        <v>88</v>
      </c>
    </row>
    <row r="78" spans="1:7" ht="14.25">
      <c r="A78" s="277" t="s">
        <v>117</v>
      </c>
      <c r="B78" s="10"/>
      <c r="C78" s="10"/>
      <c r="D78" s="10"/>
      <c r="E78" s="30">
        <f>ROUND(+Group!$P93/1000,0)</f>
        <v>0</v>
      </c>
      <c r="F78" s="3"/>
      <c r="G78" s="30">
        <v>0</v>
      </c>
    </row>
    <row r="79" spans="1:7" ht="14.25">
      <c r="A79" s="277"/>
      <c r="B79" s="10"/>
      <c r="C79" s="10"/>
      <c r="D79" s="10"/>
      <c r="E79" s="31"/>
      <c r="F79" s="3"/>
      <c r="G79" s="31"/>
    </row>
    <row r="80" spans="1:7" ht="14.25">
      <c r="A80" s="277"/>
      <c r="B80" s="10"/>
      <c r="C80" s="10"/>
      <c r="D80" s="10"/>
      <c r="E80" s="32">
        <f>SUM(E74:E78)</f>
        <v>986775</v>
      </c>
      <c r="F80" s="13"/>
      <c r="G80" s="32">
        <f>SUM(G74:G78)</f>
        <v>1019409</v>
      </c>
    </row>
    <row r="81" spans="1:7" ht="14.25">
      <c r="A81" s="277"/>
      <c r="B81" s="10"/>
      <c r="C81" s="10"/>
      <c r="D81" s="10"/>
      <c r="E81" s="33"/>
      <c r="F81" s="3"/>
      <c r="G81" s="33"/>
    </row>
    <row r="82" spans="1:7" ht="14.25">
      <c r="A82" s="277"/>
      <c r="B82" s="10"/>
      <c r="C82" s="10"/>
      <c r="D82" s="10"/>
      <c r="E82" s="28"/>
      <c r="F82" s="3"/>
      <c r="G82" s="28"/>
    </row>
    <row r="83" spans="1:7" ht="15" thickBot="1">
      <c r="A83" s="277"/>
      <c r="B83" s="3"/>
      <c r="C83" s="3"/>
      <c r="D83" s="10"/>
      <c r="E83" s="34">
        <f>E69+E80</f>
        <v>1327870</v>
      </c>
      <c r="F83" s="35"/>
      <c r="G83" s="34">
        <f>G69+G80</f>
        <v>1366391</v>
      </c>
    </row>
    <row r="84" spans="1:7" ht="15" thickTop="1">
      <c r="A84" s="277"/>
      <c r="B84" s="3"/>
      <c r="C84" s="3"/>
      <c r="D84" s="3"/>
      <c r="E84" s="36"/>
      <c r="F84" s="36"/>
      <c r="G84" s="36"/>
    </row>
    <row r="85" spans="1:7" ht="14.25">
      <c r="A85" s="279" t="s">
        <v>45</v>
      </c>
      <c r="B85" s="3"/>
      <c r="C85" s="3"/>
      <c r="D85" s="3"/>
      <c r="E85" s="37">
        <f>(E69-E19)/E63</f>
        <v>0.6032508758036589</v>
      </c>
      <c r="F85" s="37"/>
      <c r="G85" s="37">
        <f>(G69-G19)/G63</f>
        <v>0.6157783355480092</v>
      </c>
    </row>
    <row r="86" spans="1:7" ht="14.25">
      <c r="A86" s="279"/>
      <c r="B86" s="3"/>
      <c r="C86" s="3"/>
      <c r="D86" s="3"/>
      <c r="E86" s="37"/>
      <c r="F86" s="37"/>
      <c r="G86" s="37"/>
    </row>
    <row r="87" spans="1:7" ht="15">
      <c r="A87" s="279"/>
      <c r="B87" s="3"/>
      <c r="C87" s="3"/>
      <c r="D87" s="3"/>
      <c r="E87" s="226" t="str">
        <f>IF(AND(+E83-E47&gt;-1,+E83-E47&lt;1)," ",+E83-E47)</f>
        <v> </v>
      </c>
      <c r="F87" s="37"/>
      <c r="G87" s="37"/>
    </row>
    <row r="88" spans="1:7" ht="14.25">
      <c r="A88" s="279"/>
      <c r="B88" s="3"/>
      <c r="C88" s="3"/>
      <c r="D88" s="3"/>
      <c r="E88" s="37"/>
      <c r="F88" s="37"/>
      <c r="G88" s="37"/>
    </row>
    <row r="100" spans="1:7" ht="12.75">
      <c r="A100" s="531" t="s">
        <v>135</v>
      </c>
      <c r="B100" s="531"/>
      <c r="C100" s="531"/>
      <c r="D100" s="531"/>
      <c r="E100" s="531"/>
      <c r="F100" s="531"/>
      <c r="G100" s="531"/>
    </row>
    <row r="101" spans="1:7" ht="12.75">
      <c r="A101" s="531"/>
      <c r="B101" s="531"/>
      <c r="C101" s="531"/>
      <c r="D101" s="531"/>
      <c r="E101" s="531"/>
      <c r="F101" s="531"/>
      <c r="G101" s="531"/>
    </row>
    <row r="102" spans="1:7" ht="12.75">
      <c r="A102" s="531"/>
      <c r="B102" s="531"/>
      <c r="C102" s="531"/>
      <c r="D102" s="531"/>
      <c r="E102" s="531"/>
      <c r="F102" s="531"/>
      <c r="G102" s="531"/>
    </row>
  </sheetData>
  <mergeCells count="6">
    <mergeCell ref="A100:G102"/>
    <mergeCell ref="E56:E57"/>
    <mergeCell ref="G56:G57"/>
    <mergeCell ref="E8:E9"/>
    <mergeCell ref="G8:G9"/>
    <mergeCell ref="A51:G53"/>
  </mergeCells>
  <printOptions/>
  <pageMargins left="0.75" right="0.75" top="1" bottom="1" header="0.5" footer="0.5"/>
  <pageSetup firstPageNumber="2" useFirstPageNumber="1" fitToHeight="0" horizontalDpi="600" verticalDpi="600" orientation="portrait" scale="80" r:id="rId1"/>
  <headerFooter alignWithMargins="0">
    <oddFooter>&amp;R&amp;P</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H60"/>
  <sheetViews>
    <sheetView view="pageBreakPreview" zoomScale="80" zoomScaleNormal="75" zoomScaleSheetLayoutView="80" workbookViewId="0" topLeftCell="A26">
      <selection activeCell="A37" sqref="A37"/>
    </sheetView>
  </sheetViews>
  <sheetFormatPr defaultColWidth="9.140625" defaultRowHeight="12.75"/>
  <cols>
    <col min="1" max="1" width="9.140625" style="271" customWidth="1"/>
    <col min="2" max="2" width="12.00390625" style="0" customWidth="1"/>
    <col min="3" max="3" width="10.7109375" style="0" customWidth="1"/>
    <col min="4" max="5" width="14.00390625" style="0" customWidth="1"/>
    <col min="6" max="6" width="15.140625" style="0" customWidth="1"/>
    <col min="7" max="8" width="14.00390625" style="0" customWidth="1"/>
  </cols>
  <sheetData>
    <row r="1" spans="1:8" ht="18">
      <c r="A1" s="540" t="s">
        <v>12</v>
      </c>
      <c r="B1" s="540"/>
      <c r="C1" s="540"/>
      <c r="D1" s="540"/>
      <c r="E1" s="540"/>
      <c r="F1" s="540"/>
      <c r="G1" s="540"/>
      <c r="H1" s="38"/>
    </row>
    <row r="2" spans="1:8" ht="12.75">
      <c r="A2" s="541" t="s">
        <v>13</v>
      </c>
      <c r="B2" s="541"/>
      <c r="C2" s="541"/>
      <c r="D2" s="541"/>
      <c r="E2" s="541"/>
      <c r="F2" s="541"/>
      <c r="G2" s="541"/>
      <c r="H2" s="38"/>
    </row>
    <row r="3" spans="1:8" ht="12.75">
      <c r="A3" s="541" t="s">
        <v>14</v>
      </c>
      <c r="B3" s="541"/>
      <c r="C3" s="541"/>
      <c r="D3" s="541"/>
      <c r="E3" s="541"/>
      <c r="F3" s="541"/>
      <c r="G3" s="541"/>
      <c r="H3" s="38"/>
    </row>
    <row r="4" spans="1:8" ht="12.75">
      <c r="A4" s="42"/>
      <c r="B4" s="39"/>
      <c r="C4" s="38"/>
      <c r="D4" s="38"/>
      <c r="E4" s="38"/>
      <c r="F4" s="38"/>
      <c r="G4" s="38"/>
      <c r="H4" s="38"/>
    </row>
    <row r="5" spans="1:8" ht="12.75">
      <c r="A5" s="280" t="s">
        <v>27</v>
      </c>
      <c r="B5" s="38"/>
      <c r="C5" s="38"/>
      <c r="D5" s="38"/>
      <c r="E5" s="41"/>
      <c r="F5" s="38"/>
      <c r="G5" s="38"/>
      <c r="H5" s="38"/>
    </row>
    <row r="6" spans="1:8" ht="12.75">
      <c r="A6" s="281" t="s">
        <v>137</v>
      </c>
      <c r="B6" s="38"/>
      <c r="C6" s="38"/>
      <c r="D6" s="38"/>
      <c r="E6" s="38"/>
      <c r="F6" s="38"/>
      <c r="G6" s="38"/>
      <c r="H6" s="38"/>
    </row>
    <row r="7" spans="1:8" ht="15">
      <c r="A7" s="543" t="str">
        <f>+PL!K3</f>
        <v>31 MARCH 2005</v>
      </c>
      <c r="B7" s="544"/>
      <c r="C7" s="38"/>
      <c r="D7" s="38"/>
      <c r="E7" s="38"/>
      <c r="F7" s="38"/>
      <c r="G7" s="38"/>
      <c r="H7" s="38"/>
    </row>
    <row r="8" spans="1:8" ht="12.75">
      <c r="A8" s="42"/>
      <c r="B8" s="42"/>
      <c r="C8" s="42"/>
      <c r="D8" s="43"/>
      <c r="E8" s="44"/>
      <c r="F8" s="44"/>
      <c r="G8" s="44"/>
      <c r="H8" s="45"/>
    </row>
    <row r="9" spans="1:8" ht="12.75">
      <c r="A9" s="42"/>
      <c r="B9" s="42"/>
      <c r="C9" s="42"/>
      <c r="D9" s="43"/>
      <c r="E9" s="44"/>
      <c r="F9" s="44"/>
      <c r="G9" s="44"/>
      <c r="H9" s="45"/>
    </row>
    <row r="10" spans="1:8" ht="25.5">
      <c r="A10" s="46"/>
      <c r="B10" s="46"/>
      <c r="C10" s="46"/>
      <c r="D10" s="47"/>
      <c r="E10" s="48" t="s">
        <v>46</v>
      </c>
      <c r="F10" s="48"/>
      <c r="G10" s="48" t="s">
        <v>47</v>
      </c>
      <c r="H10" s="49"/>
    </row>
    <row r="11" spans="1:8" ht="12.75">
      <c r="A11" s="42"/>
      <c r="B11" s="42"/>
      <c r="C11" s="42"/>
      <c r="D11" s="43"/>
      <c r="E11" s="44"/>
      <c r="F11" s="44"/>
      <c r="G11" s="44"/>
      <c r="H11" s="45"/>
    </row>
    <row r="12" spans="1:8" ht="12.75">
      <c r="A12" s="42"/>
      <c r="B12" s="42"/>
      <c r="C12" s="42"/>
      <c r="D12" s="43"/>
      <c r="E12" s="44"/>
      <c r="F12" s="44"/>
      <c r="G12" s="44"/>
      <c r="H12" s="45"/>
    </row>
    <row r="13" spans="1:8" ht="12.75">
      <c r="A13" s="42"/>
      <c r="B13" s="42"/>
      <c r="C13" s="42"/>
      <c r="D13" s="50" t="s">
        <v>48</v>
      </c>
      <c r="E13" s="50" t="s">
        <v>48</v>
      </c>
      <c r="F13" s="50" t="s">
        <v>49</v>
      </c>
      <c r="G13" s="50" t="s">
        <v>50</v>
      </c>
      <c r="H13" s="542" t="s">
        <v>51</v>
      </c>
    </row>
    <row r="14" spans="1:8" ht="12.75">
      <c r="A14" s="43"/>
      <c r="B14" s="43"/>
      <c r="C14" s="42"/>
      <c r="D14" s="50" t="s">
        <v>52</v>
      </c>
      <c r="E14" s="50" t="s">
        <v>53</v>
      </c>
      <c r="F14" s="50" t="s">
        <v>54</v>
      </c>
      <c r="G14" s="50" t="s">
        <v>55</v>
      </c>
      <c r="H14" s="542"/>
    </row>
    <row r="15" spans="1:8" ht="12.75">
      <c r="A15" s="42"/>
      <c r="B15" s="42"/>
      <c r="C15" s="42"/>
      <c r="D15" s="50" t="s">
        <v>56</v>
      </c>
      <c r="E15" s="50" t="s">
        <v>56</v>
      </c>
      <c r="F15" s="50" t="s">
        <v>56</v>
      </c>
      <c r="G15" s="50" t="s">
        <v>56</v>
      </c>
      <c r="H15" s="50" t="s">
        <v>56</v>
      </c>
    </row>
    <row r="16" spans="1:8" ht="12.75">
      <c r="A16" s="42"/>
      <c r="B16" s="42"/>
      <c r="C16" s="42"/>
      <c r="D16" s="51"/>
      <c r="E16" s="51"/>
      <c r="F16" s="51"/>
      <c r="G16" s="51"/>
      <c r="H16" s="50"/>
    </row>
    <row r="17" spans="1:8" ht="12.75">
      <c r="A17" s="42"/>
      <c r="B17" s="42"/>
      <c r="C17" s="42"/>
      <c r="D17" s="43"/>
      <c r="E17" s="43"/>
      <c r="F17" s="43"/>
      <c r="G17" s="43"/>
      <c r="H17" s="43"/>
    </row>
    <row r="18" spans="1:8" ht="12.75">
      <c r="A18" s="280" t="s">
        <v>57</v>
      </c>
      <c r="B18" s="38"/>
      <c r="C18" s="42"/>
      <c r="D18" s="43"/>
      <c r="E18" s="43"/>
      <c r="F18" s="43"/>
      <c r="G18" s="43"/>
      <c r="H18" s="43"/>
    </row>
    <row r="19" spans="1:8" ht="12.75">
      <c r="A19" s="42" t="s">
        <v>58</v>
      </c>
      <c r="B19" s="38"/>
      <c r="C19" s="38"/>
      <c r="D19" s="52">
        <v>223509</v>
      </c>
      <c r="E19" s="53">
        <v>103563</v>
      </c>
      <c r="F19" s="53">
        <v>47825</v>
      </c>
      <c r="G19" s="53">
        <v>9066</v>
      </c>
      <c r="H19" s="54">
        <f>SUM(D19:G19)</f>
        <v>383963</v>
      </c>
    </row>
    <row r="20" spans="1:8" ht="12.75">
      <c r="A20" s="42" t="s">
        <v>59</v>
      </c>
      <c r="B20" s="38"/>
      <c r="C20" s="38"/>
      <c r="D20" s="53">
        <v>0</v>
      </c>
      <c r="E20" s="53">
        <v>0</v>
      </c>
      <c r="F20" s="53">
        <v>0</v>
      </c>
      <c r="G20" s="53">
        <v>11593</v>
      </c>
      <c r="H20" s="54">
        <f>SUM(D20:G20)</f>
        <v>11593</v>
      </c>
    </row>
    <row r="21" spans="1:8" ht="12.75">
      <c r="A21" s="42"/>
      <c r="B21" s="38"/>
      <c r="C21" s="38"/>
      <c r="D21" s="55"/>
      <c r="E21" s="55"/>
      <c r="F21" s="55"/>
      <c r="G21" s="55"/>
      <c r="H21" s="56"/>
    </row>
    <row r="22" spans="1:8" ht="12.75">
      <c r="A22" s="280" t="s">
        <v>60</v>
      </c>
      <c r="B22" s="38"/>
      <c r="C22" s="38"/>
      <c r="D22" s="53">
        <f>SUM(D19:D20)</f>
        <v>223509</v>
      </c>
      <c r="E22" s="53">
        <f>SUM(E19:E20)</f>
        <v>103563</v>
      </c>
      <c r="F22" s="53">
        <f>SUM(F19:F20)</f>
        <v>47825</v>
      </c>
      <c r="G22" s="53">
        <f>SUM(G19:G20)</f>
        <v>20659</v>
      </c>
      <c r="H22" s="57">
        <f>SUM(H19:H20)</f>
        <v>395556</v>
      </c>
    </row>
    <row r="23" spans="1:8" ht="12.75">
      <c r="A23" s="42"/>
      <c r="B23" s="38"/>
      <c r="C23" s="38"/>
      <c r="D23" s="53"/>
      <c r="E23" s="53"/>
      <c r="F23" s="53"/>
      <c r="G23" s="53"/>
      <c r="H23" s="57"/>
    </row>
    <row r="24" spans="1:8" ht="12.75">
      <c r="A24" s="42" t="s">
        <v>61</v>
      </c>
      <c r="B24" s="38"/>
      <c r="C24" s="38"/>
      <c r="D24" s="53">
        <v>0</v>
      </c>
      <c r="E24" s="53">
        <v>0</v>
      </c>
      <c r="F24" s="53">
        <v>0</v>
      </c>
      <c r="G24" s="53">
        <v>5035</v>
      </c>
      <c r="H24" s="57">
        <f>SUM(D24:G24)</f>
        <v>5035</v>
      </c>
    </row>
    <row r="25" spans="1:8" ht="12.75">
      <c r="A25" s="42"/>
      <c r="B25" s="38"/>
      <c r="C25" s="38"/>
      <c r="D25" s="53"/>
      <c r="E25" s="53"/>
      <c r="F25" s="53"/>
      <c r="G25" s="53"/>
      <c r="H25" s="57"/>
    </row>
    <row r="26" spans="1:8" ht="13.5" thickBot="1">
      <c r="A26" s="280" t="s">
        <v>62</v>
      </c>
      <c r="B26" s="38"/>
      <c r="C26" s="38"/>
      <c r="D26" s="58">
        <f>SUM(D22:D25)</f>
        <v>223509</v>
      </c>
      <c r="E26" s="58">
        <f>SUM(E22:E25)</f>
        <v>103563</v>
      </c>
      <c r="F26" s="58">
        <f>SUM(F22:F25)</f>
        <v>47825</v>
      </c>
      <c r="G26" s="58">
        <f>SUM(G22:G25)</f>
        <v>25694</v>
      </c>
      <c r="H26" s="59">
        <f>SUM(H22:H25)</f>
        <v>400591</v>
      </c>
    </row>
    <row r="27" spans="1:8" ht="13.5" thickTop="1">
      <c r="A27" s="42"/>
      <c r="B27" s="38"/>
      <c r="C27" s="38"/>
      <c r="D27" s="38"/>
      <c r="E27" s="38"/>
      <c r="F27" s="38"/>
      <c r="G27" s="38"/>
      <c r="H27" s="40"/>
    </row>
    <row r="28" spans="1:8" ht="12.75">
      <c r="A28" s="271" t="s">
        <v>125</v>
      </c>
      <c r="C28" s="149"/>
      <c r="D28" s="149"/>
      <c r="E28" s="149"/>
      <c r="F28" s="150">
        <v>-47825</v>
      </c>
      <c r="G28" s="40"/>
      <c r="H28" s="57">
        <f>SUM(D28:G28)</f>
        <v>-47825</v>
      </c>
    </row>
    <row r="29" spans="1:8" ht="12.75">
      <c r="A29" s="271" t="s">
        <v>126</v>
      </c>
      <c r="C29" s="149"/>
      <c r="D29" s="149"/>
      <c r="E29" s="149"/>
      <c r="F29" s="149"/>
      <c r="G29" s="133">
        <v>-5784</v>
      </c>
      <c r="H29" s="57">
        <f>SUM(D29:G29)</f>
        <v>-5784</v>
      </c>
    </row>
    <row r="30" spans="3:8" ht="12.75">
      <c r="C30" s="149"/>
      <c r="D30" s="149"/>
      <c r="E30" s="149"/>
      <c r="F30" s="149"/>
      <c r="G30" s="133"/>
      <c r="H30" s="57"/>
    </row>
    <row r="31" spans="1:8" ht="13.5" thickBot="1">
      <c r="A31" s="280" t="s">
        <v>6</v>
      </c>
      <c r="B31" s="60"/>
      <c r="C31" s="60"/>
      <c r="D31" s="61">
        <f>SUM(D26:D30)</f>
        <v>223509</v>
      </c>
      <c r="E31" s="61">
        <f>SUM(E26:E30)</f>
        <v>103563</v>
      </c>
      <c r="F31" s="61">
        <f>SUM(F26:F30)</f>
        <v>0</v>
      </c>
      <c r="G31" s="61">
        <f>SUM(G26:G30)</f>
        <v>19910</v>
      </c>
      <c r="H31" s="61">
        <f>SUM(H26:H30)</f>
        <v>346982</v>
      </c>
    </row>
    <row r="32" spans="3:8" ht="13.5" thickTop="1">
      <c r="C32" s="149"/>
      <c r="D32" s="149"/>
      <c r="E32" s="149"/>
      <c r="F32" s="149"/>
      <c r="G32" s="133"/>
      <c r="H32" s="57"/>
    </row>
    <row r="33" spans="1:8" ht="12.75">
      <c r="A33" s="271" t="s">
        <v>126</v>
      </c>
      <c r="C33" s="149"/>
      <c r="D33" s="149"/>
      <c r="E33" s="149"/>
      <c r="F33" s="149"/>
      <c r="G33" s="133">
        <f>+PL!G36</f>
        <v>-5887</v>
      </c>
      <c r="H33" s="57">
        <f>SUM(D33:G33)</f>
        <v>-5887</v>
      </c>
    </row>
    <row r="34" spans="1:8" ht="12.75">
      <c r="A34" s="280"/>
      <c r="B34" s="60"/>
      <c r="C34" s="60"/>
      <c r="D34" s="148"/>
      <c r="E34" s="148"/>
      <c r="F34" s="148"/>
      <c r="G34" s="53"/>
      <c r="H34" s="40"/>
    </row>
    <row r="35" spans="1:8" ht="13.5" thickBot="1">
      <c r="A35" s="280" t="str">
        <f>"At "&amp;PL!K2</f>
        <v>At 31 March 2005</v>
      </c>
      <c r="B35" s="60"/>
      <c r="C35" s="60"/>
      <c r="D35" s="61">
        <f>SUM(D31:D34)</f>
        <v>223509</v>
      </c>
      <c r="E35" s="61">
        <f>SUM(E31:E34)</f>
        <v>103563</v>
      </c>
      <c r="F35" s="61">
        <f>SUM(F31:F34)</f>
        <v>0</v>
      </c>
      <c r="G35" s="61">
        <f>SUM(G31:G34)</f>
        <v>14023</v>
      </c>
      <c r="H35" s="61">
        <f>SUM(H31:H34)</f>
        <v>341095</v>
      </c>
    </row>
    <row r="36" ht="13.5" thickTop="1"/>
    <row r="37" spans="7:8" ht="12.75">
      <c r="G37" s="289" t="str">
        <f>IF(AND(+G35-'BS'!E67&lt;0.99,+G35-'BS'!E67&gt;-0.99)," ",+G35-'BS'!E67)</f>
        <v> </v>
      </c>
      <c r="H37" s="225" t="str">
        <f>IF(AND(+H35-'BS'!E69&lt;0.99,+H35-'BS'!E69&gt;-0.99)," ",+H35-'BS'!E69)</f>
        <v> </v>
      </c>
    </row>
    <row r="58" spans="1:8" ht="12.75">
      <c r="A58" s="531" t="s">
        <v>138</v>
      </c>
      <c r="B58" s="531"/>
      <c r="C58" s="531"/>
      <c r="D58" s="531"/>
      <c r="E58" s="531"/>
      <c r="F58" s="531"/>
      <c r="G58" s="531"/>
      <c r="H58" s="531"/>
    </row>
    <row r="59" spans="1:8" ht="12.75">
      <c r="A59" s="531"/>
      <c r="B59" s="531"/>
      <c r="C59" s="531"/>
      <c r="D59" s="531"/>
      <c r="E59" s="531"/>
      <c r="F59" s="531"/>
      <c r="G59" s="531"/>
      <c r="H59" s="531"/>
    </row>
    <row r="60" spans="1:8" ht="12.75">
      <c r="A60" s="531"/>
      <c r="B60" s="531"/>
      <c r="C60" s="531"/>
      <c r="D60" s="531"/>
      <c r="E60" s="531"/>
      <c r="F60" s="531"/>
      <c r="G60" s="531"/>
      <c r="H60" s="531"/>
    </row>
  </sheetData>
  <mergeCells count="6">
    <mergeCell ref="A58:H60"/>
    <mergeCell ref="A1:G1"/>
    <mergeCell ref="A2:G2"/>
    <mergeCell ref="A3:G3"/>
    <mergeCell ref="H13:H14"/>
    <mergeCell ref="A7:B7"/>
  </mergeCells>
  <printOptions/>
  <pageMargins left="0.75" right="0.75" top="1" bottom="1" header="0.5" footer="0.5"/>
  <pageSetup firstPageNumber="4" useFirstPageNumber="1" horizontalDpi="600" verticalDpi="600" orientation="portrait" scale="80"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dimension ref="A1:L116"/>
  <sheetViews>
    <sheetView view="pageBreakPreview" zoomScale="80" zoomScaleNormal="75" zoomScaleSheetLayoutView="80" workbookViewId="0" topLeftCell="A1">
      <selection activeCell="G7" sqref="G7"/>
    </sheetView>
  </sheetViews>
  <sheetFormatPr defaultColWidth="9.140625" defaultRowHeight="12.75"/>
  <cols>
    <col min="1" max="1" width="2.7109375" style="0" customWidth="1"/>
    <col min="2" max="2" width="19.140625" style="0" customWidth="1"/>
    <col min="3" max="3" width="14.00390625" style="0" customWidth="1"/>
    <col min="5" max="5" width="9.7109375" style="0" customWidth="1"/>
    <col min="6" max="6" width="9.00390625" style="0" customWidth="1"/>
    <col min="7" max="7" width="12.8515625" style="0" customWidth="1"/>
    <col min="8" max="8" width="2.28125" style="0" customWidth="1"/>
    <col min="9" max="9" width="0" style="0" hidden="1" customWidth="1"/>
    <col min="10" max="10" width="13.7109375" style="0" customWidth="1"/>
    <col min="12" max="12" width="10.8515625" style="0" hidden="1" customWidth="1"/>
  </cols>
  <sheetData>
    <row r="1" spans="1:10" ht="18">
      <c r="A1" s="62"/>
      <c r="B1" s="63" t="s">
        <v>12</v>
      </c>
      <c r="C1" s="63"/>
      <c r="D1" s="63"/>
      <c r="E1" s="63"/>
      <c r="F1" s="63"/>
      <c r="G1" s="63"/>
      <c r="H1" s="62"/>
      <c r="I1" s="62"/>
      <c r="J1" s="62"/>
    </row>
    <row r="2" spans="1:10" ht="12.75">
      <c r="A2" s="62"/>
      <c r="B2" s="533" t="s">
        <v>13</v>
      </c>
      <c r="C2" s="534"/>
      <c r="D2" s="534"/>
      <c r="E2" s="534"/>
      <c r="F2" s="534"/>
      <c r="G2" s="534"/>
      <c r="H2" s="62"/>
      <c r="I2" s="62"/>
      <c r="J2" s="62"/>
    </row>
    <row r="3" spans="1:10" ht="12.75">
      <c r="A3" s="62"/>
      <c r="B3" s="534" t="s">
        <v>14</v>
      </c>
      <c r="C3" s="534"/>
      <c r="D3" s="534"/>
      <c r="E3" s="534"/>
      <c r="F3" s="534"/>
      <c r="G3" s="534"/>
      <c r="H3" s="62"/>
      <c r="I3" s="62"/>
      <c r="J3" s="62"/>
    </row>
    <row r="5" spans="1:10" ht="12.75">
      <c r="A5" s="65"/>
      <c r="B5" s="65" t="s">
        <v>136</v>
      </c>
      <c r="C5" s="65"/>
      <c r="D5" s="65"/>
      <c r="E5" s="65"/>
      <c r="F5" s="65"/>
      <c r="G5" s="65"/>
      <c r="H5" s="65"/>
      <c r="I5" s="65"/>
      <c r="J5" s="65"/>
    </row>
    <row r="6" spans="1:10" ht="12.75">
      <c r="A6" s="65"/>
      <c r="B6" s="519" t="str">
        <f>+PL!K3</f>
        <v>31 MARCH 2005</v>
      </c>
      <c r="C6" s="65"/>
      <c r="D6" s="65"/>
      <c r="E6" s="65"/>
      <c r="F6" s="65"/>
      <c r="G6" s="65"/>
      <c r="H6" s="65"/>
      <c r="I6" s="65"/>
      <c r="J6" s="65"/>
    </row>
    <row r="7" spans="1:10" ht="12.75">
      <c r="A7" s="65"/>
      <c r="B7" s="65"/>
      <c r="C7" s="65"/>
      <c r="D7" s="65"/>
      <c r="E7" s="65"/>
      <c r="F7" s="65"/>
      <c r="G7" s="65"/>
      <c r="H7" s="65"/>
      <c r="I7" s="65"/>
      <c r="J7" s="65"/>
    </row>
    <row r="8" spans="1:10" ht="12.75">
      <c r="A8" s="65"/>
      <c r="B8" s="65"/>
      <c r="C8" s="65"/>
      <c r="D8" s="65"/>
      <c r="E8" s="65"/>
      <c r="F8" s="65"/>
      <c r="G8" s="66"/>
      <c r="H8" s="66"/>
      <c r="I8" s="66"/>
      <c r="J8" s="66"/>
    </row>
    <row r="9" spans="1:10" ht="12.75">
      <c r="A9" s="65"/>
      <c r="B9" s="65"/>
      <c r="C9" s="65"/>
      <c r="D9" s="65"/>
      <c r="E9" s="65"/>
      <c r="F9" s="65"/>
      <c r="G9" s="545" t="s">
        <v>133</v>
      </c>
      <c r="H9" s="546"/>
      <c r="I9" s="546"/>
      <c r="J9" s="546"/>
    </row>
    <row r="10" spans="1:10" ht="15.75">
      <c r="A10" s="67"/>
      <c r="B10" s="68"/>
      <c r="C10" s="67"/>
      <c r="D10" s="67"/>
      <c r="E10" s="67"/>
      <c r="F10" s="67"/>
      <c r="G10" s="521" t="str">
        <f>+PL!K4</f>
        <v>31 Mar 05</v>
      </c>
      <c r="H10" s="70"/>
      <c r="I10" s="71"/>
      <c r="J10" s="521" t="s">
        <v>122</v>
      </c>
    </row>
    <row r="11" spans="1:10" ht="12.75">
      <c r="A11" s="72"/>
      <c r="B11" s="24"/>
      <c r="C11" s="72"/>
      <c r="D11" s="72"/>
      <c r="E11" s="72"/>
      <c r="F11" s="72"/>
      <c r="G11" s="73" t="s">
        <v>64</v>
      </c>
      <c r="H11" s="72"/>
      <c r="I11" s="73" t="s">
        <v>64</v>
      </c>
      <c r="J11" s="73" t="s">
        <v>64</v>
      </c>
    </row>
    <row r="12" spans="1:10" ht="12.75">
      <c r="A12" s="72"/>
      <c r="B12" s="24"/>
      <c r="C12" s="72"/>
      <c r="D12" s="72"/>
      <c r="E12" s="72"/>
      <c r="F12" s="72"/>
      <c r="G12" s="74"/>
      <c r="H12" s="72"/>
      <c r="I12" s="74"/>
      <c r="J12" s="74"/>
    </row>
    <row r="13" spans="1:10" ht="12.75">
      <c r="A13" s="72"/>
      <c r="B13" s="75" t="s">
        <v>65</v>
      </c>
      <c r="C13" s="76"/>
      <c r="D13" s="76"/>
      <c r="E13" s="76"/>
      <c r="F13" s="72"/>
      <c r="G13" s="74"/>
      <c r="H13" s="72"/>
      <c r="I13" s="74"/>
      <c r="J13" s="74"/>
    </row>
    <row r="14" spans="1:10" ht="12.75">
      <c r="A14" s="72"/>
      <c r="B14" s="75"/>
      <c r="C14" s="76"/>
      <c r="D14" s="76"/>
      <c r="E14" s="76"/>
      <c r="F14" s="72"/>
      <c r="G14" s="74"/>
      <c r="H14" s="72"/>
      <c r="I14" s="74"/>
      <c r="J14" s="74"/>
    </row>
    <row r="15" spans="1:12" ht="12.75">
      <c r="A15" s="72"/>
      <c r="B15" s="24"/>
      <c r="C15" s="72"/>
      <c r="D15" s="72"/>
      <c r="E15" s="72"/>
      <c r="F15" s="72"/>
      <c r="G15" s="74"/>
      <c r="H15" s="72"/>
      <c r="I15" s="74"/>
      <c r="J15" s="74"/>
      <c r="L15" s="525" t="s">
        <v>215</v>
      </c>
    </row>
    <row r="16" spans="1:12" ht="12.75">
      <c r="A16" s="72"/>
      <c r="B16" s="24" t="s">
        <v>583</v>
      </c>
      <c r="C16" s="72"/>
      <c r="D16" s="72"/>
      <c r="E16" s="72"/>
      <c r="F16" s="72"/>
      <c r="G16" s="77">
        <f>+PL!C28</f>
        <v>-5682</v>
      </c>
      <c r="H16" s="72"/>
      <c r="I16" s="77"/>
      <c r="J16" s="77">
        <v>-580</v>
      </c>
      <c r="L16" s="262" t="str">
        <f>IF(+Notes!I79=G16," ",+Notes!I79)</f>
        <v> </v>
      </c>
    </row>
    <row r="17" spans="1:10" ht="12.75">
      <c r="A17" s="72"/>
      <c r="B17" s="24"/>
      <c r="C17" s="72"/>
      <c r="D17" s="72"/>
      <c r="E17" s="72"/>
      <c r="F17" s="72"/>
      <c r="G17" s="74"/>
      <c r="H17" s="72"/>
      <c r="I17" s="74"/>
      <c r="J17" s="74"/>
    </row>
    <row r="18" spans="1:10" ht="12.75">
      <c r="A18" s="72"/>
      <c r="B18" s="24" t="s">
        <v>67</v>
      </c>
      <c r="C18" s="72"/>
      <c r="D18" s="72"/>
      <c r="E18" s="72"/>
      <c r="F18" s="72"/>
      <c r="G18" s="74"/>
      <c r="H18" s="72"/>
      <c r="I18" s="74"/>
      <c r="J18" s="74"/>
    </row>
    <row r="19" spans="1:10" ht="12.75">
      <c r="A19" s="72"/>
      <c r="B19" s="24"/>
      <c r="C19" s="72"/>
      <c r="D19" s="72"/>
      <c r="E19" s="72"/>
      <c r="F19" s="72"/>
      <c r="G19" s="74"/>
      <c r="H19" s="72"/>
      <c r="I19" s="74"/>
      <c r="J19" s="74"/>
    </row>
    <row r="20" spans="1:12" ht="13.5" customHeight="1">
      <c r="A20" s="72"/>
      <c r="B20" s="24" t="s">
        <v>68</v>
      </c>
      <c r="C20" s="72"/>
      <c r="D20" s="72"/>
      <c r="E20" s="72"/>
      <c r="F20" s="72"/>
      <c r="G20" s="78">
        <f>ROUND(+'CF Sum'!$F$17/1000,0)-1</f>
        <v>205</v>
      </c>
      <c r="H20" s="72"/>
      <c r="I20" s="78"/>
      <c r="J20" s="78">
        <v>2808</v>
      </c>
      <c r="L20" s="262" t="str">
        <f>IF(+Notes!I103=G20," ",+Notes!I103)</f>
        <v> </v>
      </c>
    </row>
    <row r="21" spans="1:12" ht="12.75">
      <c r="A21" s="72"/>
      <c r="B21" s="24" t="s">
        <v>69</v>
      </c>
      <c r="C21" s="72"/>
      <c r="D21" s="72"/>
      <c r="E21" s="72"/>
      <c r="F21" s="72"/>
      <c r="G21" s="78">
        <f>ROUND(+'CF Sum'!$F$18/1000,0)</f>
        <v>27197</v>
      </c>
      <c r="H21" s="72"/>
      <c r="I21" s="78"/>
      <c r="J21" s="78">
        <v>22303</v>
      </c>
      <c r="L21" s="262" t="str">
        <f>IF(G21=-Notes!I76," ",-Notes!I76)</f>
        <v> </v>
      </c>
    </row>
    <row r="22" spans="1:10" ht="12.75" hidden="1">
      <c r="A22" s="72"/>
      <c r="B22" s="24" t="s">
        <v>128</v>
      </c>
      <c r="C22" s="72"/>
      <c r="D22" s="72"/>
      <c r="E22" s="72"/>
      <c r="F22" s="72"/>
      <c r="G22" s="78"/>
      <c r="H22" s="72"/>
      <c r="I22" s="78"/>
      <c r="J22" s="78">
        <v>0</v>
      </c>
    </row>
    <row r="23" spans="1:12" ht="12.75" hidden="1">
      <c r="A23" s="72"/>
      <c r="B23" s="24" t="s">
        <v>70</v>
      </c>
      <c r="C23" s="72"/>
      <c r="D23" s="72"/>
      <c r="E23" s="72"/>
      <c r="F23" s="72"/>
      <c r="G23" s="78"/>
      <c r="H23" s="72"/>
      <c r="I23" s="78"/>
      <c r="J23" s="78">
        <v>0</v>
      </c>
      <c r="L23" s="524"/>
    </row>
    <row r="24" spans="1:12" ht="12.75">
      <c r="A24" s="72"/>
      <c r="B24" s="24" t="s">
        <v>71</v>
      </c>
      <c r="C24" s="72"/>
      <c r="D24" s="72"/>
      <c r="E24" s="72"/>
      <c r="F24" s="72"/>
      <c r="G24" s="78">
        <f>+'CF Sum'!$F$22/1000</f>
        <v>0</v>
      </c>
      <c r="H24" s="72"/>
      <c r="I24" s="79"/>
      <c r="J24" s="79">
        <v>41040</v>
      </c>
      <c r="L24" s="526" t="s">
        <v>3</v>
      </c>
    </row>
    <row r="25" spans="1:10" ht="12.75" hidden="1">
      <c r="A25" s="72"/>
      <c r="B25" s="24" t="s">
        <v>129</v>
      </c>
      <c r="C25" s="72"/>
      <c r="D25" s="72"/>
      <c r="E25" s="72"/>
      <c r="F25" s="72"/>
      <c r="G25" s="78"/>
      <c r="H25" s="72"/>
      <c r="I25" s="78"/>
      <c r="J25" s="78">
        <v>0</v>
      </c>
    </row>
    <row r="26" spans="1:12" ht="12.75">
      <c r="A26" s="72"/>
      <c r="B26" s="24" t="s">
        <v>4</v>
      </c>
      <c r="C26" s="72"/>
      <c r="D26" s="72"/>
      <c r="E26" s="72"/>
      <c r="F26" s="72"/>
      <c r="G26" s="78">
        <f>ROUND(+'CF Sum'!$F23/1000,0)</f>
        <v>-1629</v>
      </c>
      <c r="H26" s="72"/>
      <c r="I26" s="79"/>
      <c r="J26" s="79">
        <v>0</v>
      </c>
      <c r="L26" s="262" t="str">
        <f>IF(G26=-Notes!I78," ",-Notes!I78)</f>
        <v> </v>
      </c>
    </row>
    <row r="27" spans="1:12" ht="12.75">
      <c r="A27" s="72"/>
      <c r="B27" s="24" t="s">
        <v>72</v>
      </c>
      <c r="C27" s="72"/>
      <c r="D27" s="72"/>
      <c r="E27" s="72"/>
      <c r="F27" s="72"/>
      <c r="G27" s="78">
        <f>ROUND(+'CF Sum'!$F24/1000,0)</f>
        <v>-221</v>
      </c>
      <c r="H27" s="72"/>
      <c r="I27" s="78"/>
      <c r="J27" s="78">
        <v>-248</v>
      </c>
      <c r="L27" s="262" t="str">
        <f>IF(G27=-Notes!I77," ",-Notes!I77)</f>
        <v> </v>
      </c>
    </row>
    <row r="28" spans="1:12" ht="12.75">
      <c r="A28" s="72"/>
      <c r="B28" s="80" t="s">
        <v>73</v>
      </c>
      <c r="C28" s="72"/>
      <c r="D28" s="72"/>
      <c r="E28" s="72"/>
      <c r="F28" s="72"/>
      <c r="G28" s="78">
        <f>ROUND(+'CF Sum'!$F$26/1000,0)</f>
        <v>3087</v>
      </c>
      <c r="H28" s="72"/>
      <c r="I28" s="81"/>
      <c r="J28" s="82">
        <v>2479</v>
      </c>
      <c r="L28" s="262" t="str">
        <f>IF(G28=Notes!I105," ",Notes!I105)</f>
        <v> </v>
      </c>
    </row>
    <row r="29" spans="1:10" ht="12.75">
      <c r="A29" s="72"/>
      <c r="B29" s="24"/>
      <c r="C29" s="72"/>
      <c r="D29" s="72"/>
      <c r="E29" s="72"/>
      <c r="F29" s="72"/>
      <c r="G29" s="83"/>
      <c r="H29" s="72"/>
      <c r="I29" s="82"/>
      <c r="J29" s="83"/>
    </row>
    <row r="30" spans="1:10" ht="12.75">
      <c r="A30" s="24"/>
      <c r="B30" s="24" t="s">
        <v>74</v>
      </c>
      <c r="C30" s="24"/>
      <c r="D30" s="24"/>
      <c r="E30" s="24"/>
      <c r="F30" s="24"/>
      <c r="G30" s="79">
        <f>SUM(G16:G28)</f>
        <v>22957</v>
      </c>
      <c r="H30" s="79"/>
      <c r="I30" s="79">
        <f>SUM(I16:I28)</f>
        <v>0</v>
      </c>
      <c r="J30" s="79">
        <f>SUM(J16:J28)</f>
        <v>67802</v>
      </c>
    </row>
    <row r="31" spans="1:10" ht="12.75">
      <c r="A31" s="72"/>
      <c r="B31" s="24"/>
      <c r="C31" s="72"/>
      <c r="D31" s="72"/>
      <c r="E31" s="72"/>
      <c r="F31" s="72"/>
      <c r="G31" s="79"/>
      <c r="H31" s="72"/>
      <c r="I31" s="79"/>
      <c r="J31" s="79"/>
    </row>
    <row r="32" spans="1:10" ht="12.75">
      <c r="A32" s="72"/>
      <c r="B32" s="72" t="s">
        <v>75</v>
      </c>
      <c r="C32" s="72"/>
      <c r="D32" s="72"/>
      <c r="E32" s="72"/>
      <c r="F32" s="72"/>
      <c r="G32" s="78"/>
      <c r="H32" s="72"/>
      <c r="I32" s="78"/>
      <c r="J32" s="82"/>
    </row>
    <row r="33" spans="1:10" ht="12.75">
      <c r="A33" s="72"/>
      <c r="B33" s="24"/>
      <c r="C33" s="72"/>
      <c r="D33" s="72"/>
      <c r="E33" s="72"/>
      <c r="F33" s="72"/>
      <c r="G33" s="84"/>
      <c r="H33" s="72"/>
      <c r="I33" s="84"/>
      <c r="J33" s="84"/>
    </row>
    <row r="34" spans="1:10" ht="12.75">
      <c r="A34" s="72"/>
      <c r="B34" s="24" t="s">
        <v>76</v>
      </c>
      <c r="C34" s="72"/>
      <c r="D34" s="72"/>
      <c r="E34" s="72"/>
      <c r="F34" s="72"/>
      <c r="G34" s="85">
        <f>ROUND(SUM('CF Sum'!$F$33:$F$35)/1000,0)</f>
        <v>6440</v>
      </c>
      <c r="H34" s="72"/>
      <c r="I34" s="85"/>
      <c r="J34" s="548">
        <v>-69401</v>
      </c>
    </row>
    <row r="35" spans="1:10" ht="12.75">
      <c r="A35" s="72"/>
      <c r="B35" s="24" t="s">
        <v>77</v>
      </c>
      <c r="C35" s="72"/>
      <c r="D35" s="72"/>
      <c r="E35" s="72"/>
      <c r="F35" s="72"/>
      <c r="G35" s="86">
        <f>ROUND(SUM('CF Sum'!$F$36:$F$38)/1000,0)</f>
        <v>4851</v>
      </c>
      <c r="H35" s="72"/>
      <c r="I35" s="86"/>
      <c r="J35" s="549"/>
    </row>
    <row r="36" spans="1:10" ht="12.75">
      <c r="A36" s="72"/>
      <c r="B36" s="24"/>
      <c r="C36" s="72"/>
      <c r="D36" s="72"/>
      <c r="E36" s="72"/>
      <c r="F36" s="72"/>
      <c r="G36" s="72"/>
      <c r="H36" s="72"/>
      <c r="I36" s="72"/>
      <c r="J36" s="72"/>
    </row>
    <row r="37" spans="1:10" ht="12.75">
      <c r="A37" s="72"/>
      <c r="B37" s="24" t="s">
        <v>78</v>
      </c>
      <c r="C37" s="72"/>
      <c r="D37" s="72"/>
      <c r="E37" s="72"/>
      <c r="F37" s="72"/>
      <c r="G37" s="87">
        <f>SUM(G30:G35)</f>
        <v>34248</v>
      </c>
      <c r="H37" s="87"/>
      <c r="I37" s="87">
        <f>SUM(I30:I35)</f>
        <v>0</v>
      </c>
      <c r="J37" s="87">
        <f>SUM(J30:J35)</f>
        <v>-1599</v>
      </c>
    </row>
    <row r="38" spans="1:10" ht="12.75">
      <c r="A38" s="72"/>
      <c r="B38" s="72"/>
      <c r="C38" s="72"/>
      <c r="D38" s="72"/>
      <c r="E38" s="72"/>
      <c r="F38" s="72"/>
      <c r="G38" s="87"/>
      <c r="H38" s="72"/>
      <c r="I38" s="87"/>
      <c r="J38" s="87"/>
    </row>
    <row r="39" spans="1:10" ht="12.75">
      <c r="A39" s="72"/>
      <c r="B39" s="24" t="s">
        <v>79</v>
      </c>
      <c r="C39" s="72"/>
      <c r="D39" s="72"/>
      <c r="E39" s="72"/>
      <c r="F39" s="72"/>
      <c r="G39" s="82">
        <f>ROUND(+'CF Sum'!$F44/1000,0)</f>
        <v>-11</v>
      </c>
      <c r="H39" s="72"/>
      <c r="I39" s="82"/>
      <c r="J39" s="82">
        <v>-168</v>
      </c>
    </row>
    <row r="40" spans="1:10" ht="12.75">
      <c r="A40" s="24"/>
      <c r="B40" s="24" t="s">
        <v>80</v>
      </c>
      <c r="C40" s="24"/>
      <c r="D40" s="24"/>
      <c r="E40" s="24"/>
      <c r="F40" s="24"/>
      <c r="G40" s="81">
        <f>ROUND(+'CF Sum'!$F45/1000,0)</f>
        <v>319</v>
      </c>
      <c r="H40" s="24"/>
      <c r="I40" s="89"/>
      <c r="J40" s="88">
        <v>-3</v>
      </c>
    </row>
    <row r="41" spans="1:10" ht="12.75">
      <c r="A41" s="24"/>
      <c r="B41" s="24"/>
      <c r="C41" s="24"/>
      <c r="D41" s="24"/>
      <c r="E41" s="24"/>
      <c r="F41" s="24"/>
      <c r="G41" s="24"/>
      <c r="H41" s="90"/>
      <c r="I41" s="24"/>
      <c r="J41" s="24"/>
    </row>
    <row r="42" spans="1:10" ht="12.75">
      <c r="A42" s="72"/>
      <c r="B42" s="24" t="s">
        <v>81</v>
      </c>
      <c r="C42" s="72"/>
      <c r="D42" s="72"/>
      <c r="E42" s="72"/>
      <c r="F42" s="72"/>
      <c r="G42" s="91">
        <f>SUM(G37:G40)</f>
        <v>34556</v>
      </c>
      <c r="H42" s="92"/>
      <c r="I42" s="91">
        <f>SUM(I37:I40)</f>
        <v>0</v>
      </c>
      <c r="J42" s="91">
        <f>SUM(J37:J40)</f>
        <v>-1770</v>
      </c>
    </row>
    <row r="43" spans="1:10" ht="12.75">
      <c r="A43" s="93"/>
      <c r="B43" s="72"/>
      <c r="C43" s="76"/>
      <c r="D43" s="76"/>
      <c r="E43" s="76"/>
      <c r="F43" s="72"/>
      <c r="G43" s="74"/>
      <c r="H43" s="94"/>
      <c r="I43" s="74"/>
      <c r="J43" s="74"/>
    </row>
    <row r="44" spans="1:10" ht="12.75">
      <c r="A44" s="72"/>
      <c r="B44" s="75" t="s">
        <v>82</v>
      </c>
      <c r="C44" s="72"/>
      <c r="D44" s="72"/>
      <c r="E44" s="72"/>
      <c r="F44" s="72"/>
      <c r="G44" s="74"/>
      <c r="H44" s="72"/>
      <c r="I44" s="74"/>
      <c r="J44" s="74"/>
    </row>
    <row r="45" spans="1:10" ht="12.75">
      <c r="A45" s="72"/>
      <c r="B45" s="24"/>
      <c r="C45" s="72"/>
      <c r="D45" s="72"/>
      <c r="E45" s="72"/>
      <c r="F45" s="72"/>
      <c r="G45" s="81"/>
      <c r="H45" s="72"/>
      <c r="I45" s="81"/>
      <c r="J45" s="81"/>
    </row>
    <row r="46" spans="1:12" ht="12.75">
      <c r="A46" s="72"/>
      <c r="B46" s="24" t="s">
        <v>83</v>
      </c>
      <c r="C46" s="72"/>
      <c r="D46" s="72"/>
      <c r="E46" s="72"/>
      <c r="F46" s="72"/>
      <c r="G46" s="165">
        <f>ROUND(+'CF Sum'!$F61/1000,0)</f>
        <v>-55</v>
      </c>
      <c r="H46" s="72"/>
      <c r="I46" s="95"/>
      <c r="J46" s="95">
        <v>-61</v>
      </c>
      <c r="L46" s="262" t="str">
        <f>IF(G46=-Notes!I102," ",-Notes!I102)</f>
        <v> </v>
      </c>
    </row>
    <row r="47" spans="1:12" ht="12.75" hidden="1">
      <c r="A47" s="72"/>
      <c r="B47" s="24" t="s">
        <v>84</v>
      </c>
      <c r="C47" s="72"/>
      <c r="D47" s="72"/>
      <c r="E47" s="72"/>
      <c r="F47" s="72"/>
      <c r="G47" s="95"/>
      <c r="H47" s="72"/>
      <c r="I47" s="95"/>
      <c r="J47" s="95">
        <v>0</v>
      </c>
      <c r="L47" s="262" t="str">
        <f>IF(G47=Notes!I124," ",Notes!I124)</f>
        <v> </v>
      </c>
    </row>
    <row r="48" spans="1:12" ht="12.75">
      <c r="A48" s="72"/>
      <c r="B48" s="24" t="s">
        <v>5</v>
      </c>
      <c r="C48" s="72"/>
      <c r="D48" s="72"/>
      <c r="E48" s="72"/>
      <c r="F48" s="72"/>
      <c r="G48" s="95">
        <f>ROUND(+'CF Sum'!$F64/1000,0)</f>
        <v>-1627</v>
      </c>
      <c r="H48" s="72"/>
      <c r="I48" s="95"/>
      <c r="J48" s="95">
        <v>0</v>
      </c>
      <c r="L48" s="262"/>
    </row>
    <row r="49" spans="1:12" ht="12.75" hidden="1">
      <c r="A49" s="72"/>
      <c r="B49" s="24" t="s">
        <v>119</v>
      </c>
      <c r="C49" s="72"/>
      <c r="D49" s="72"/>
      <c r="E49" s="72"/>
      <c r="F49" s="72"/>
      <c r="G49" s="95"/>
      <c r="H49" s="72"/>
      <c r="I49" s="95"/>
      <c r="J49" s="95">
        <v>0</v>
      </c>
      <c r="L49" s="262" t="str">
        <f>IF(G49=Notes!I126," ",Notes!I126)</f>
        <v> </v>
      </c>
    </row>
    <row r="50" spans="1:12" ht="12.75" hidden="1">
      <c r="A50" s="72"/>
      <c r="B50" s="24" t="s">
        <v>116</v>
      </c>
      <c r="C50" s="72"/>
      <c r="D50" s="72"/>
      <c r="E50" s="72"/>
      <c r="F50" s="72"/>
      <c r="G50" s="95"/>
      <c r="H50" s="72"/>
      <c r="I50" s="95"/>
      <c r="J50" s="95">
        <v>0</v>
      </c>
      <c r="L50" s="262" t="str">
        <f>IF(G50=Notes!I127," ",Notes!I127)</f>
        <v> </v>
      </c>
    </row>
    <row r="51" spans="1:12" ht="12.75">
      <c r="A51" s="72"/>
      <c r="B51" s="24" t="s">
        <v>130</v>
      </c>
      <c r="C51" s="72"/>
      <c r="D51" s="72"/>
      <c r="E51" s="72"/>
      <c r="F51" s="72"/>
      <c r="G51" s="95">
        <f>ROUND(+'CF Sum'!$F65/1000,0)</f>
        <v>784</v>
      </c>
      <c r="H51" s="72"/>
      <c r="I51" s="95"/>
      <c r="J51" s="95">
        <v>0</v>
      </c>
      <c r="L51" s="262" t="str">
        <f>IF(G51=ROUND(ConsoJL!F417/1000,0)," ",ROUND(ConsoJL!F417/1000,0))</f>
        <v> </v>
      </c>
    </row>
    <row r="52" spans="1:12" ht="12.75">
      <c r="A52" s="72"/>
      <c r="B52" s="24" t="s">
        <v>85</v>
      </c>
      <c r="C52" s="72"/>
      <c r="D52" s="72"/>
      <c r="E52" s="72"/>
      <c r="F52" s="72"/>
      <c r="G52" s="96">
        <f>ROUND(+'CF Sum'!$F67/1000,0)</f>
        <v>221</v>
      </c>
      <c r="H52" s="72"/>
      <c r="I52" s="95"/>
      <c r="J52" s="96">
        <v>427</v>
      </c>
      <c r="L52" s="262" t="str">
        <f>IF(G52=Notes!I77," ",Notes!I77)</f>
        <v> </v>
      </c>
    </row>
    <row r="53" spans="1:10" ht="12.75">
      <c r="A53" s="72"/>
      <c r="B53" s="24"/>
      <c r="C53" s="72"/>
      <c r="D53" s="72"/>
      <c r="E53" s="72"/>
      <c r="F53" s="72"/>
      <c r="G53" s="97"/>
      <c r="H53" s="72"/>
      <c r="I53" s="97"/>
      <c r="J53" s="97"/>
    </row>
    <row r="54" spans="1:10" ht="12.75">
      <c r="A54" s="72"/>
      <c r="B54" s="24" t="s">
        <v>120</v>
      </c>
      <c r="C54" s="24"/>
      <c r="D54" s="24"/>
      <c r="E54" s="24"/>
      <c r="F54" s="24"/>
      <c r="G54" s="97">
        <f>SUM(G46:G52)</f>
        <v>-677</v>
      </c>
      <c r="H54" s="97"/>
      <c r="I54" s="97">
        <f>SUM(I46:I52)</f>
        <v>0</v>
      </c>
      <c r="J54" s="97">
        <f>SUM(J46:J52)</f>
        <v>366</v>
      </c>
    </row>
    <row r="55" spans="1:10" ht="12.75">
      <c r="A55" s="72"/>
      <c r="B55" s="24"/>
      <c r="C55" s="24"/>
      <c r="D55" s="24"/>
      <c r="E55" s="24"/>
      <c r="F55" s="24"/>
      <c r="G55" s="97"/>
      <c r="H55" s="97"/>
      <c r="I55" s="97"/>
      <c r="J55" s="97"/>
    </row>
    <row r="56" spans="1:10" ht="12.75">
      <c r="A56" s="72"/>
      <c r="B56" s="24"/>
      <c r="C56" s="24"/>
      <c r="D56" s="24"/>
      <c r="E56" s="24"/>
      <c r="F56" s="24"/>
      <c r="G56" s="97"/>
      <c r="H56" s="97"/>
      <c r="I56" s="97"/>
      <c r="J56" s="97"/>
    </row>
    <row r="57" spans="1:10" ht="12.75">
      <c r="A57" s="72"/>
      <c r="B57" s="24"/>
      <c r="C57" s="24"/>
      <c r="D57" s="24"/>
      <c r="E57" s="24"/>
      <c r="F57" s="24"/>
      <c r="G57" s="97"/>
      <c r="H57" s="97"/>
      <c r="I57" s="97"/>
      <c r="J57" s="97"/>
    </row>
    <row r="58" spans="1:10" ht="12.75">
      <c r="A58" s="72"/>
      <c r="B58" s="24"/>
      <c r="C58" s="24"/>
      <c r="D58" s="24"/>
      <c r="E58" s="24"/>
      <c r="F58" s="24"/>
      <c r="G58" s="97"/>
      <c r="H58" s="97"/>
      <c r="I58" s="97"/>
      <c r="J58" s="97"/>
    </row>
    <row r="59" spans="1:10" ht="12.75">
      <c r="A59" s="72"/>
      <c r="B59" s="24"/>
      <c r="C59" s="24"/>
      <c r="D59" s="24"/>
      <c r="E59" s="24"/>
      <c r="F59" s="24"/>
      <c r="G59" s="97"/>
      <c r="H59" s="97"/>
      <c r="I59" s="97"/>
      <c r="J59" s="97"/>
    </row>
    <row r="60" spans="1:10" ht="12.75">
      <c r="A60" s="72"/>
      <c r="B60" s="24"/>
      <c r="C60" s="24"/>
      <c r="D60" s="24"/>
      <c r="E60" s="24"/>
      <c r="F60" s="24"/>
      <c r="G60" s="97"/>
      <c r="H60" s="97"/>
      <c r="I60" s="97"/>
      <c r="J60" s="97"/>
    </row>
    <row r="61" spans="1:10" ht="12.75">
      <c r="A61" s="72"/>
      <c r="B61" s="531" t="s">
        <v>139</v>
      </c>
      <c r="C61" s="531"/>
      <c r="D61" s="531"/>
      <c r="E61" s="531"/>
      <c r="F61" s="531"/>
      <c r="G61" s="531"/>
      <c r="H61" s="531"/>
      <c r="I61" s="531"/>
      <c r="J61" s="531"/>
    </row>
    <row r="62" spans="1:10" ht="12.75">
      <c r="A62" s="72"/>
      <c r="B62" s="531"/>
      <c r="C62" s="531"/>
      <c r="D62" s="531"/>
      <c r="E62" s="531"/>
      <c r="F62" s="531"/>
      <c r="G62" s="531"/>
      <c r="H62" s="531"/>
      <c r="I62" s="531"/>
      <c r="J62" s="531"/>
    </row>
    <row r="63" spans="1:10" ht="12.75">
      <c r="A63" s="72"/>
      <c r="B63" s="531"/>
      <c r="C63" s="531"/>
      <c r="D63" s="531"/>
      <c r="E63" s="531"/>
      <c r="F63" s="531"/>
      <c r="G63" s="531"/>
      <c r="H63" s="531"/>
      <c r="I63" s="531"/>
      <c r="J63" s="531"/>
    </row>
    <row r="64" spans="1:10" ht="12.75">
      <c r="A64" s="72"/>
      <c r="B64" s="24"/>
      <c r="C64" s="72"/>
      <c r="D64" s="72"/>
      <c r="E64" s="72"/>
      <c r="F64" s="72"/>
      <c r="G64" s="72"/>
      <c r="H64" s="72"/>
      <c r="I64" s="72"/>
      <c r="J64" s="72"/>
    </row>
    <row r="65" spans="1:10" ht="12.75">
      <c r="A65" s="72"/>
      <c r="B65" s="24"/>
      <c r="C65" s="72"/>
      <c r="D65" s="72"/>
      <c r="E65" s="72"/>
      <c r="F65" s="72"/>
      <c r="G65" s="72"/>
      <c r="H65" s="72"/>
      <c r="I65" s="72"/>
      <c r="J65" s="72"/>
    </row>
    <row r="66" spans="1:10" ht="12.75">
      <c r="A66" s="72"/>
      <c r="B66" s="24"/>
      <c r="C66" s="72"/>
      <c r="D66" s="72"/>
      <c r="E66" s="72"/>
      <c r="F66" s="72"/>
      <c r="G66" s="72"/>
      <c r="H66" s="72"/>
      <c r="I66" s="72"/>
      <c r="J66" s="72"/>
    </row>
    <row r="67" spans="1:10" ht="12.75">
      <c r="A67" s="72"/>
      <c r="B67" s="24"/>
      <c r="C67" s="72"/>
      <c r="D67" s="72"/>
      <c r="E67" s="72"/>
      <c r="F67" s="72"/>
      <c r="G67" s="72"/>
      <c r="H67" s="72"/>
      <c r="I67" s="72"/>
      <c r="J67" s="72"/>
    </row>
    <row r="68" spans="1:10" ht="12.75" customHeight="1">
      <c r="A68" s="72"/>
      <c r="B68" s="24"/>
      <c r="C68" s="72"/>
      <c r="D68" s="72"/>
      <c r="E68" s="72"/>
      <c r="F68" s="72"/>
      <c r="G68" s="545" t="str">
        <f>+G9</f>
        <v>3  Months ended</v>
      </c>
      <c r="H68" s="547"/>
      <c r="I68" s="547"/>
      <c r="J68" s="547"/>
    </row>
    <row r="69" spans="1:10" ht="15.75">
      <c r="A69" s="72"/>
      <c r="B69" s="24"/>
      <c r="C69" s="72"/>
      <c r="D69" s="72"/>
      <c r="E69" s="72"/>
      <c r="F69" s="72"/>
      <c r="G69" s="69" t="str">
        <f>+G10</f>
        <v>31 Mar 05</v>
      </c>
      <c r="H69" s="70"/>
      <c r="I69" s="71"/>
      <c r="J69" s="69" t="str">
        <f>+J10</f>
        <v>31 Mar 04</v>
      </c>
    </row>
    <row r="70" spans="1:10" ht="12.75">
      <c r="A70" s="72"/>
      <c r="B70" s="24"/>
      <c r="C70" s="72"/>
      <c r="D70" s="72"/>
      <c r="E70" s="72"/>
      <c r="F70" s="72"/>
      <c r="G70" s="73" t="s">
        <v>64</v>
      </c>
      <c r="H70" s="72"/>
      <c r="I70" s="73" t="s">
        <v>64</v>
      </c>
      <c r="J70" s="73" t="s">
        <v>64</v>
      </c>
    </row>
    <row r="71" spans="1:10" ht="12.75">
      <c r="A71" s="72"/>
      <c r="B71" s="24"/>
      <c r="C71" s="72"/>
      <c r="D71" s="72"/>
      <c r="E71" s="72"/>
      <c r="F71" s="72"/>
      <c r="G71" s="72"/>
      <c r="H71" s="72"/>
      <c r="I71" s="72"/>
      <c r="J71" s="72"/>
    </row>
    <row r="72" spans="1:10" ht="12.75">
      <c r="A72" s="72"/>
      <c r="B72" s="75" t="s">
        <v>86</v>
      </c>
      <c r="C72" s="76"/>
      <c r="D72" s="76"/>
      <c r="E72" s="76"/>
      <c r="F72" s="72"/>
      <c r="G72" s="82"/>
      <c r="H72" s="72"/>
      <c r="I72" s="82"/>
      <c r="J72" s="82"/>
    </row>
    <row r="73" spans="1:10" ht="12.75">
      <c r="A73" s="72"/>
      <c r="B73" s="75"/>
      <c r="C73" s="98"/>
      <c r="D73" s="72"/>
      <c r="E73" s="72"/>
      <c r="F73" s="72"/>
      <c r="G73" s="89"/>
      <c r="H73" s="72"/>
      <c r="I73" s="89"/>
      <c r="J73" s="89"/>
    </row>
    <row r="74" spans="1:10" ht="12.75" customHeight="1" hidden="1">
      <c r="A74" s="72"/>
      <c r="B74" s="99" t="s">
        <v>87</v>
      </c>
      <c r="C74" s="98"/>
      <c r="D74" s="72"/>
      <c r="E74" s="72"/>
      <c r="F74" s="72"/>
      <c r="G74" s="100">
        <v>0</v>
      </c>
      <c r="H74" s="72"/>
      <c r="I74" s="100"/>
      <c r="J74" s="100">
        <v>0</v>
      </c>
    </row>
    <row r="75" spans="1:10" ht="12.75">
      <c r="A75" s="72"/>
      <c r="B75" s="99" t="s">
        <v>131</v>
      </c>
      <c r="C75" s="98"/>
      <c r="D75" s="72"/>
      <c r="E75" s="72"/>
      <c r="F75" s="72"/>
      <c r="G75" s="101">
        <f>ROUND(+'CF Sum'!$F78/1000,0)</f>
        <v>-15000</v>
      </c>
      <c r="H75" s="72"/>
      <c r="I75" s="101"/>
      <c r="J75" s="101">
        <v>0</v>
      </c>
    </row>
    <row r="76" spans="1:10" ht="12.75" hidden="1">
      <c r="A76" s="72"/>
      <c r="B76" s="99" t="s">
        <v>132</v>
      </c>
      <c r="C76" s="98"/>
      <c r="D76" s="72"/>
      <c r="E76" s="72"/>
      <c r="F76" s="72"/>
      <c r="G76" s="101">
        <v>0</v>
      </c>
      <c r="H76" s="72"/>
      <c r="I76" s="101"/>
      <c r="J76" s="101">
        <v>0</v>
      </c>
    </row>
    <row r="77" spans="1:10" ht="12.75">
      <c r="A77" s="72"/>
      <c r="B77" s="99" t="s">
        <v>88</v>
      </c>
      <c r="C77" s="98"/>
      <c r="D77" s="72"/>
      <c r="E77" s="72"/>
      <c r="F77" s="72"/>
      <c r="G77" s="101">
        <f>ROUND(+'CF Sum'!$F$79/1000,0)</f>
        <v>0</v>
      </c>
      <c r="H77" s="72"/>
      <c r="I77" s="101"/>
      <c r="J77" s="101">
        <v>-58750</v>
      </c>
    </row>
    <row r="78" spans="1:10" ht="12.75">
      <c r="A78" s="72"/>
      <c r="B78" s="99" t="s">
        <v>89</v>
      </c>
      <c r="C78" s="98"/>
      <c r="D78" s="72"/>
      <c r="E78" s="72"/>
      <c r="F78" s="72"/>
      <c r="G78" s="102">
        <f>ROUND(+'CF Sum'!$F$80/1000,0)</f>
        <v>-16206</v>
      </c>
      <c r="H78" s="72"/>
      <c r="I78" s="102"/>
      <c r="J78" s="102">
        <v>68181</v>
      </c>
    </row>
    <row r="79" spans="1:10" ht="12.75">
      <c r="A79" s="72"/>
      <c r="B79" s="99" t="s">
        <v>90</v>
      </c>
      <c r="C79" s="98"/>
      <c r="D79" s="72"/>
      <c r="E79" s="72"/>
      <c r="F79" s="72"/>
      <c r="G79" s="103">
        <f>ROUND(+'CF Sum'!$F$81/1000,0)</f>
        <v>-20</v>
      </c>
      <c r="H79" s="72"/>
      <c r="I79" s="103"/>
      <c r="J79" s="103">
        <v>-51</v>
      </c>
    </row>
    <row r="80" spans="1:10" ht="12.75">
      <c r="A80" s="24"/>
      <c r="B80" s="99"/>
      <c r="C80" s="72"/>
      <c r="D80" s="72"/>
      <c r="E80" s="72"/>
      <c r="F80" s="72"/>
      <c r="G80" s="104"/>
      <c r="H80" s="90"/>
      <c r="I80" s="104"/>
      <c r="J80" s="104"/>
    </row>
    <row r="81" spans="1:10" ht="12.75">
      <c r="A81" s="72"/>
      <c r="B81" s="24" t="s">
        <v>91</v>
      </c>
      <c r="C81" s="72"/>
      <c r="D81" s="72"/>
      <c r="E81" s="72"/>
      <c r="F81" s="72"/>
      <c r="G81" s="105">
        <f>SUM(G74:G79)</f>
        <v>-31226</v>
      </c>
      <c r="H81" s="106"/>
      <c r="I81" s="105">
        <f>SUM(I74:I79)</f>
        <v>0</v>
      </c>
      <c r="J81" s="105">
        <f>SUM(J74:J79)</f>
        <v>9380</v>
      </c>
    </row>
    <row r="82" spans="1:10" ht="12.75">
      <c r="A82" s="72"/>
      <c r="B82" s="24"/>
      <c r="C82" s="72"/>
      <c r="D82" s="72"/>
      <c r="E82" s="72"/>
      <c r="F82" s="72"/>
      <c r="G82" s="78"/>
      <c r="H82" s="107"/>
      <c r="I82" s="78"/>
      <c r="J82" s="78"/>
    </row>
    <row r="83" spans="1:10" ht="12.75">
      <c r="A83" s="72"/>
      <c r="B83" s="75" t="s">
        <v>121</v>
      </c>
      <c r="C83" s="72"/>
      <c r="D83" s="72"/>
      <c r="E83" s="72"/>
      <c r="F83" s="72"/>
      <c r="G83" s="79">
        <f>G81+G54+G42</f>
        <v>2653</v>
      </c>
      <c r="H83" s="79"/>
      <c r="I83" s="79">
        <f>I81+I54+I42</f>
        <v>0</v>
      </c>
      <c r="J83" s="79">
        <f>J81+J54+J42</f>
        <v>7976</v>
      </c>
    </row>
    <row r="84" spans="1:10" ht="12.75">
      <c r="A84" s="72"/>
      <c r="B84" s="24"/>
      <c r="C84" s="24"/>
      <c r="D84" s="24"/>
      <c r="E84" s="24"/>
      <c r="F84" s="24"/>
      <c r="G84" s="72"/>
      <c r="H84" s="72"/>
      <c r="I84" s="72"/>
      <c r="J84" s="72"/>
    </row>
    <row r="85" spans="1:10" ht="12.75">
      <c r="A85" s="72"/>
      <c r="B85" s="75" t="s">
        <v>92</v>
      </c>
      <c r="C85" s="72"/>
      <c r="D85" s="72"/>
      <c r="E85" s="72"/>
      <c r="F85" s="72"/>
      <c r="G85" s="81">
        <f>ROUND(+'CF Sum'!F90/1000,0)</f>
        <v>1649</v>
      </c>
      <c r="H85" s="72"/>
      <c r="I85" s="81"/>
      <c r="J85" s="108">
        <v>10280</v>
      </c>
    </row>
    <row r="86" spans="1:10" ht="12.75">
      <c r="A86" s="72"/>
      <c r="B86" s="24"/>
      <c r="C86" s="72"/>
      <c r="D86" s="72"/>
      <c r="E86" s="72"/>
      <c r="F86" s="72"/>
      <c r="G86" s="72"/>
      <c r="H86" s="72"/>
      <c r="I86" s="72"/>
      <c r="J86" s="72"/>
    </row>
    <row r="87" spans="1:10" ht="13.5" thickBot="1">
      <c r="A87" s="72"/>
      <c r="B87" s="75" t="s">
        <v>93</v>
      </c>
      <c r="C87" s="72"/>
      <c r="D87" s="72"/>
      <c r="E87" s="72"/>
      <c r="F87" s="72"/>
      <c r="G87" s="109">
        <f>G85+G83</f>
        <v>4302</v>
      </c>
      <c r="H87" s="82"/>
      <c r="I87" s="109">
        <f>I85+I83</f>
        <v>0</v>
      </c>
      <c r="J87" s="109">
        <f>J85+J83</f>
        <v>18256</v>
      </c>
    </row>
    <row r="88" spans="1:10" ht="13.5" thickTop="1">
      <c r="A88" s="110"/>
      <c r="B88" s="111"/>
      <c r="C88" s="110"/>
      <c r="D88" s="110"/>
      <c r="E88" s="110"/>
      <c r="F88" s="110"/>
      <c r="G88" s="112"/>
      <c r="H88" s="110"/>
      <c r="I88" s="112"/>
      <c r="J88" s="112"/>
    </row>
    <row r="89" spans="1:10" ht="12.75">
      <c r="A89" s="110"/>
      <c r="B89" s="80" t="s">
        <v>94</v>
      </c>
      <c r="C89" s="72"/>
      <c r="D89" s="72"/>
      <c r="E89" s="72"/>
      <c r="F89" s="72"/>
      <c r="G89" s="80"/>
      <c r="H89" s="110"/>
      <c r="I89" s="113"/>
      <c r="J89" s="80"/>
    </row>
    <row r="90" spans="1:10" ht="12.75">
      <c r="A90" s="110"/>
      <c r="B90" s="80"/>
      <c r="C90" s="80"/>
      <c r="D90" s="114"/>
      <c r="E90" s="66"/>
      <c r="F90" s="80"/>
      <c r="G90" s="115"/>
      <c r="H90" s="110"/>
      <c r="I90" s="113"/>
      <c r="J90" s="115"/>
    </row>
    <row r="91" spans="1:10" ht="12.75">
      <c r="A91" s="110"/>
      <c r="B91" s="80"/>
      <c r="C91" s="80"/>
      <c r="D91" s="116"/>
      <c r="E91" s="80"/>
      <c r="F91" s="80"/>
      <c r="G91" s="66" t="s">
        <v>20</v>
      </c>
      <c r="H91" s="110"/>
      <c r="I91" s="113"/>
      <c r="J91" s="66" t="s">
        <v>20</v>
      </c>
    </row>
    <row r="92" spans="1:10" ht="12.75">
      <c r="A92" s="110"/>
      <c r="B92" s="80" t="s">
        <v>95</v>
      </c>
      <c r="C92" s="80"/>
      <c r="D92" s="117"/>
      <c r="E92" s="118"/>
      <c r="F92" s="80"/>
      <c r="G92" s="118">
        <f>ROUND(+'CF Sum'!$F101/1000,0)</f>
        <v>53524</v>
      </c>
      <c r="H92" s="110"/>
      <c r="I92" s="113"/>
      <c r="J92" s="118">
        <v>43945</v>
      </c>
    </row>
    <row r="93" spans="1:10" ht="12.75">
      <c r="A93" s="110"/>
      <c r="B93" s="80" t="s">
        <v>96</v>
      </c>
      <c r="C93" s="80"/>
      <c r="D93" s="117"/>
      <c r="E93" s="118"/>
      <c r="F93" s="80"/>
      <c r="G93" s="118">
        <f>ROUND(+'CF Sum'!$F102/1000,0)</f>
        <v>3029</v>
      </c>
      <c r="H93" s="110"/>
      <c r="I93" s="119"/>
      <c r="J93" s="117">
        <v>15208</v>
      </c>
    </row>
    <row r="94" spans="1:10" ht="12.75">
      <c r="A94" s="110"/>
      <c r="B94" s="80" t="s">
        <v>97</v>
      </c>
      <c r="C94" s="80"/>
      <c r="D94" s="117"/>
      <c r="E94" s="118"/>
      <c r="F94" s="80"/>
      <c r="G94" s="120">
        <f>ROUND(+'CF Sum'!$F103/1000,0)</f>
        <v>0</v>
      </c>
      <c r="H94" s="110"/>
      <c r="I94" s="110"/>
      <c r="J94" s="117">
        <v>0</v>
      </c>
    </row>
    <row r="95" spans="1:10" ht="12.75">
      <c r="A95" s="110"/>
      <c r="B95" s="80"/>
      <c r="C95" s="80"/>
      <c r="D95" s="117"/>
      <c r="E95" s="118"/>
      <c r="F95" s="80"/>
      <c r="G95" s="117">
        <f>SUM(G92:G94)</f>
        <v>56553</v>
      </c>
      <c r="H95" s="110"/>
      <c r="I95" s="110"/>
      <c r="J95" s="121">
        <f>SUM(J92:J94)</f>
        <v>59153</v>
      </c>
    </row>
    <row r="96" spans="1:10" ht="12.75">
      <c r="A96" s="110"/>
      <c r="B96" s="80" t="s">
        <v>98</v>
      </c>
      <c r="C96" s="80"/>
      <c r="D96" s="117"/>
      <c r="E96" s="118"/>
      <c r="F96" s="80"/>
      <c r="G96" s="118">
        <f>ROUND(+'CF Sum'!$F105/1000,0)</f>
        <v>-52251</v>
      </c>
      <c r="H96" s="110"/>
      <c r="I96" s="110"/>
      <c r="J96" s="117">
        <v>-40897</v>
      </c>
    </row>
    <row r="97" spans="1:10" ht="12.75">
      <c r="A97" s="110"/>
      <c r="B97" s="80"/>
      <c r="C97" s="80"/>
      <c r="D97" s="122"/>
      <c r="E97" s="80"/>
      <c r="F97" s="80"/>
      <c r="G97" s="123"/>
      <c r="H97" s="110"/>
      <c r="I97" s="110"/>
      <c r="J97" s="123"/>
    </row>
    <row r="98" spans="1:10" ht="13.5" thickBot="1">
      <c r="A98" s="110"/>
      <c r="B98" s="75" t="s">
        <v>93</v>
      </c>
      <c r="C98" s="80"/>
      <c r="D98" s="124"/>
      <c r="E98" s="80"/>
      <c r="F98" s="80"/>
      <c r="G98" s="125">
        <f>G95+G96</f>
        <v>4302</v>
      </c>
      <c r="H98" s="110"/>
      <c r="I98" s="110"/>
      <c r="J98" s="125">
        <f>J95+J96</f>
        <v>18256</v>
      </c>
    </row>
    <row r="99" spans="1:10" ht="12.75">
      <c r="A99" s="110"/>
      <c r="B99" s="24"/>
      <c r="C99" s="72"/>
      <c r="D99" s="72"/>
      <c r="E99" s="72"/>
      <c r="F99" s="72"/>
      <c r="G99" s="126"/>
      <c r="H99" s="110"/>
      <c r="I99" s="113"/>
      <c r="J99" s="110"/>
    </row>
    <row r="100" spans="1:10" ht="12.75">
      <c r="A100" s="127"/>
      <c r="B100" s="128"/>
      <c r="C100" s="128"/>
      <c r="D100" s="127"/>
      <c r="E100" s="127"/>
      <c r="F100" s="127"/>
      <c r="G100" s="127"/>
      <c r="H100" s="127"/>
      <c r="I100" s="127"/>
      <c r="J100" s="127"/>
    </row>
    <row r="101" spans="1:10" ht="12.75">
      <c r="A101" s="127"/>
      <c r="B101" s="127"/>
      <c r="C101" s="127"/>
      <c r="D101" s="127"/>
      <c r="E101" s="127"/>
      <c r="F101" s="127"/>
      <c r="G101" s="261" t="str">
        <f>IF(AND(+G87-G98&gt;-0.99,+G87-G98&lt;0.99)," ",+G87-G98)</f>
        <v> </v>
      </c>
      <c r="H101" s="127"/>
      <c r="I101" s="127"/>
      <c r="J101" s="262" t="str">
        <f>IF(AND(+J87-J98&gt;-0.99,+J87-J98&lt;0.99)," ",+J87-J98)</f>
        <v> </v>
      </c>
    </row>
    <row r="102" ht="12.75">
      <c r="G102" s="288"/>
    </row>
    <row r="114" spans="2:10" ht="12.75">
      <c r="B114" s="531" t="s">
        <v>139</v>
      </c>
      <c r="C114" s="531"/>
      <c r="D114" s="531"/>
      <c r="E114" s="531"/>
      <c r="F114" s="531"/>
      <c r="G114" s="531"/>
      <c r="H114" s="531"/>
      <c r="I114" s="531"/>
      <c r="J114" s="531"/>
    </row>
    <row r="115" spans="2:10" ht="12.75">
      <c r="B115" s="531"/>
      <c r="C115" s="531"/>
      <c r="D115" s="531"/>
      <c r="E115" s="531"/>
      <c r="F115" s="531"/>
      <c r="G115" s="531"/>
      <c r="H115" s="531"/>
      <c r="I115" s="531"/>
      <c r="J115" s="531"/>
    </row>
    <row r="116" spans="2:10" ht="12.75">
      <c r="B116" s="531"/>
      <c r="C116" s="531"/>
      <c r="D116" s="531"/>
      <c r="E116" s="531"/>
      <c r="F116" s="531"/>
      <c r="G116" s="531"/>
      <c r="H116" s="531"/>
      <c r="I116" s="531"/>
      <c r="J116" s="531"/>
    </row>
  </sheetData>
  <mergeCells count="7">
    <mergeCell ref="B114:J116"/>
    <mergeCell ref="B2:G2"/>
    <mergeCell ref="B3:G3"/>
    <mergeCell ref="G9:J9"/>
    <mergeCell ref="G68:J68"/>
    <mergeCell ref="B61:J63"/>
    <mergeCell ref="J34:J35"/>
  </mergeCells>
  <printOptions/>
  <pageMargins left="0.75" right="0.48" top="1" bottom="1" header="0.5" footer="0.5"/>
  <pageSetup firstPageNumber="5" useFirstPageNumber="1" fitToHeight="2" horizontalDpi="600" verticalDpi="600" orientation="portrait" scale="74" r:id="rId2"/>
  <headerFooter alignWithMargins="0">
    <oddFooter>&amp;R&amp;P</oddFooter>
  </headerFooter>
  <rowBreaks count="1" manualBreakCount="1">
    <brk id="63" max="9" man="1"/>
  </rowBreaks>
  <drawing r:id="rId1"/>
</worksheet>
</file>

<file path=xl/worksheets/sheet8.xml><?xml version="1.0" encoding="utf-8"?>
<worksheet xmlns="http://schemas.openxmlformats.org/spreadsheetml/2006/main" xmlns:r="http://schemas.openxmlformats.org/officeDocument/2006/relationships">
  <dimension ref="A1:K108"/>
  <sheetViews>
    <sheetView view="pageBreakPreview" zoomScaleSheetLayoutView="100" workbookViewId="0" topLeftCell="A64">
      <selection activeCell="K84" sqref="K84"/>
    </sheetView>
  </sheetViews>
  <sheetFormatPr defaultColWidth="9.140625" defaultRowHeight="12.75"/>
  <cols>
    <col min="1" max="2" width="5.7109375" style="0" customWidth="1"/>
    <col min="3" max="3" width="10.140625" style="0" customWidth="1"/>
    <col min="4" max="4" width="10.8515625" style="0" bestFit="1" customWidth="1"/>
    <col min="5" max="6" width="11.8515625" style="0" customWidth="1"/>
    <col min="7" max="7" width="10.57421875" style="0" customWidth="1"/>
    <col min="8" max="8" width="11.8515625" style="0" customWidth="1"/>
    <col min="9" max="9" width="12.421875" style="0" customWidth="1"/>
    <col min="10" max="10" width="5.28125" style="0" customWidth="1"/>
    <col min="11" max="11" width="11.7109375" style="149" customWidth="1"/>
  </cols>
  <sheetData>
    <row r="1" spans="1:9" ht="12.75">
      <c r="A1" s="554" t="s">
        <v>577</v>
      </c>
      <c r="B1" s="554"/>
      <c r="C1" s="554"/>
      <c r="D1" s="554"/>
      <c r="E1" s="554"/>
      <c r="F1" s="554"/>
      <c r="G1" s="554"/>
      <c r="H1" s="554"/>
      <c r="I1" s="554"/>
    </row>
    <row r="2" spans="1:9" ht="12.75">
      <c r="A2" s="555" t="str">
        <f>"Notes to the Interim Financial Report for the Quarter ended "&amp;PL!K2</f>
        <v>Notes to the Interim Financial Report for the Quarter ended 31 March 2005</v>
      </c>
      <c r="B2" s="555"/>
      <c r="C2" s="555"/>
      <c r="D2" s="555"/>
      <c r="E2" s="555"/>
      <c r="F2" s="555"/>
      <c r="G2" s="555"/>
      <c r="H2" s="555"/>
      <c r="I2" s="555"/>
    </row>
    <row r="4" spans="1:2" ht="12.75">
      <c r="A4" s="65" t="s">
        <v>560</v>
      </c>
      <c r="B4" s="65" t="s">
        <v>559</v>
      </c>
    </row>
    <row r="6" spans="2:9" ht="12.75">
      <c r="B6" s="527" t="str">
        <f>"The condensed financial statements for the financial period ended "&amp;PL!K2&amp;" are unaudited and have been prepared in accordance with the requirements of Accounting Standard MASB 26, Interim Financial Reporting and paragraph 9.22 of the Bursa Malaysia Securities Berhad (“Bursa Malaysia”) Listing Requirements."</f>
        <v>The condensed financial statements for the financial period ended 31 March 2005 are unaudited and have been prepared in accordance with the requirements of Accounting Standard MASB 26, Interim Financial Reporting and paragraph 9.22 of the Bursa Malaysia Securities Berhad (“Bursa Malaysia”) Listing Requirements.</v>
      </c>
      <c r="C6" s="551"/>
      <c r="D6" s="551"/>
      <c r="E6" s="551"/>
      <c r="F6" s="551"/>
      <c r="G6" s="551"/>
      <c r="H6" s="551"/>
      <c r="I6" s="551"/>
    </row>
    <row r="7" spans="2:9" ht="12.75">
      <c r="B7" s="551"/>
      <c r="C7" s="551"/>
      <c r="D7" s="551"/>
      <c r="E7" s="551"/>
      <c r="F7" s="551"/>
      <c r="G7" s="551"/>
      <c r="H7" s="551"/>
      <c r="I7" s="551"/>
    </row>
    <row r="8" spans="2:9" ht="12.75">
      <c r="B8" s="551"/>
      <c r="C8" s="551"/>
      <c r="D8" s="551"/>
      <c r="E8" s="551"/>
      <c r="F8" s="551"/>
      <c r="G8" s="551"/>
      <c r="H8" s="551"/>
      <c r="I8" s="551"/>
    </row>
    <row r="9" spans="2:9" ht="12.75">
      <c r="B9" s="551"/>
      <c r="C9" s="551"/>
      <c r="D9" s="551"/>
      <c r="E9" s="551"/>
      <c r="F9" s="551"/>
      <c r="G9" s="551"/>
      <c r="H9" s="551"/>
      <c r="I9" s="551"/>
    </row>
    <row r="10" spans="2:9" ht="12.75">
      <c r="B10" s="282"/>
      <c r="C10" s="282"/>
      <c r="D10" s="282"/>
      <c r="E10" s="282"/>
      <c r="F10" s="282"/>
      <c r="G10" s="282"/>
      <c r="H10" s="282"/>
      <c r="I10" s="282"/>
    </row>
    <row r="11" spans="2:9" ht="12.75">
      <c r="B11" s="551" t="s">
        <v>561</v>
      </c>
      <c r="C11" s="551"/>
      <c r="D11" s="551"/>
      <c r="E11" s="551"/>
      <c r="F11" s="551"/>
      <c r="G11" s="551"/>
      <c r="H11" s="551"/>
      <c r="I11" s="551"/>
    </row>
    <row r="12" spans="2:9" ht="12.75">
      <c r="B12" s="551"/>
      <c r="C12" s="551"/>
      <c r="D12" s="551"/>
      <c r="E12" s="551"/>
      <c r="F12" s="551"/>
      <c r="G12" s="551"/>
      <c r="H12" s="551"/>
      <c r="I12" s="551"/>
    </row>
    <row r="13" spans="2:9" ht="12.75">
      <c r="B13" s="282"/>
      <c r="C13" s="282"/>
      <c r="D13" s="282"/>
      <c r="E13" s="282"/>
      <c r="F13" s="282"/>
      <c r="G13" s="282"/>
      <c r="H13" s="282"/>
      <c r="I13" s="282"/>
    </row>
    <row r="14" spans="2:9" ht="12.75">
      <c r="B14" s="551" t="s">
        <v>562</v>
      </c>
      <c r="C14" s="551"/>
      <c r="D14" s="551"/>
      <c r="E14" s="551"/>
      <c r="F14" s="551"/>
      <c r="G14" s="551"/>
      <c r="H14" s="551"/>
      <c r="I14" s="551"/>
    </row>
    <row r="15" spans="2:9" ht="12.75">
      <c r="B15" s="551"/>
      <c r="C15" s="551"/>
      <c r="D15" s="551"/>
      <c r="E15" s="551"/>
      <c r="F15" s="551"/>
      <c r="G15" s="551"/>
      <c r="H15" s="551"/>
      <c r="I15" s="551"/>
    </row>
    <row r="16" spans="2:9" ht="12.75">
      <c r="B16" s="551"/>
      <c r="C16" s="551"/>
      <c r="D16" s="551"/>
      <c r="E16" s="551"/>
      <c r="F16" s="551"/>
      <c r="G16" s="551"/>
      <c r="H16" s="551"/>
      <c r="I16" s="551"/>
    </row>
    <row r="19" spans="1:2" ht="12.75">
      <c r="A19" s="65" t="s">
        <v>564</v>
      </c>
      <c r="B19" s="65" t="s">
        <v>563</v>
      </c>
    </row>
    <row r="21" spans="2:9" ht="12.75">
      <c r="B21" s="551" t="s">
        <v>565</v>
      </c>
      <c r="C21" s="551"/>
      <c r="D21" s="551"/>
      <c r="E21" s="551"/>
      <c r="F21" s="551"/>
      <c r="G21" s="551"/>
      <c r="H21" s="551"/>
      <c r="I21" s="551"/>
    </row>
    <row r="22" spans="2:9" ht="12.75">
      <c r="B22" s="551"/>
      <c r="C22" s="551"/>
      <c r="D22" s="551"/>
      <c r="E22" s="551"/>
      <c r="F22" s="551"/>
      <c r="G22" s="551"/>
      <c r="H22" s="551"/>
      <c r="I22" s="551"/>
    </row>
    <row r="23" spans="2:9" ht="12.75">
      <c r="B23" s="551"/>
      <c r="C23" s="551"/>
      <c r="D23" s="551"/>
      <c r="E23" s="551"/>
      <c r="F23" s="551"/>
      <c r="G23" s="551"/>
      <c r="H23" s="551"/>
      <c r="I23" s="551"/>
    </row>
    <row r="25" spans="1:11" s="65" customFormat="1" ht="12.75">
      <c r="A25" s="65" t="s">
        <v>566</v>
      </c>
      <c r="B25" s="65" t="s">
        <v>567</v>
      </c>
      <c r="K25" s="133"/>
    </row>
    <row r="27" spans="2:9" ht="12.75">
      <c r="B27" s="527" t="s">
        <v>568</v>
      </c>
      <c r="C27" s="551"/>
      <c r="D27" s="551"/>
      <c r="E27" s="551"/>
      <c r="F27" s="551"/>
      <c r="G27" s="551"/>
      <c r="H27" s="551"/>
      <c r="I27" s="551"/>
    </row>
    <row r="30" spans="1:11" s="65" customFormat="1" ht="12.75">
      <c r="A30" s="65" t="s">
        <v>569</v>
      </c>
      <c r="B30" s="65" t="s">
        <v>570</v>
      </c>
      <c r="K30" s="133"/>
    </row>
    <row r="32" spans="2:9" ht="12.75">
      <c r="B32" s="527" t="s">
        <v>571</v>
      </c>
      <c r="C32" s="551"/>
      <c r="D32" s="551"/>
      <c r="E32" s="551"/>
      <c r="F32" s="551"/>
      <c r="G32" s="551"/>
      <c r="H32" s="551"/>
      <c r="I32" s="551"/>
    </row>
    <row r="33" spans="2:9" ht="12.75">
      <c r="B33" s="551"/>
      <c r="C33" s="551"/>
      <c r="D33" s="551"/>
      <c r="E33" s="551"/>
      <c r="F33" s="551"/>
      <c r="G33" s="551"/>
      <c r="H33" s="551"/>
      <c r="I33" s="551"/>
    </row>
    <row r="36" spans="1:11" s="65" customFormat="1" ht="12.75">
      <c r="A36" s="65" t="s">
        <v>572</v>
      </c>
      <c r="B36" s="65" t="s">
        <v>573</v>
      </c>
      <c r="K36" s="133"/>
    </row>
    <row r="38" spans="2:9" ht="12.75">
      <c r="B38" s="551" t="s">
        <v>574</v>
      </c>
      <c r="C38" s="551"/>
      <c r="D38" s="551"/>
      <c r="E38" s="551"/>
      <c r="F38" s="551"/>
      <c r="G38" s="551"/>
      <c r="H38" s="551"/>
      <c r="I38" s="551"/>
    </row>
    <row r="39" spans="2:9" ht="12.75">
      <c r="B39" s="551"/>
      <c r="C39" s="551"/>
      <c r="D39" s="551"/>
      <c r="E39" s="551"/>
      <c r="F39" s="551"/>
      <c r="G39" s="551"/>
      <c r="H39" s="551"/>
      <c r="I39" s="551"/>
    </row>
    <row r="40" spans="2:9" ht="12.75">
      <c r="B40" s="551"/>
      <c r="C40" s="551"/>
      <c r="D40" s="551"/>
      <c r="E40" s="551"/>
      <c r="F40" s="551"/>
      <c r="G40" s="551"/>
      <c r="H40" s="551"/>
      <c r="I40" s="551"/>
    </row>
    <row r="43" spans="1:11" s="65" customFormat="1" ht="12.75">
      <c r="A43" s="65" t="s">
        <v>575</v>
      </c>
      <c r="B43" s="65" t="s">
        <v>576</v>
      </c>
      <c r="K43" s="133"/>
    </row>
    <row r="45" spans="2:9" ht="12.75">
      <c r="B45" s="551" t="str">
        <f>"There were no issuances, cancellations, repurchases, resale and repayments of debt and equity securities for the current financial period ended "&amp;PL!K2&amp;" except for the following: -"</f>
        <v>There were no issuances, cancellations, repurchases, resale and repayments of debt and equity securities for the current financial period ended 31 March 2005 except for the following: -</v>
      </c>
      <c r="C45" s="551"/>
      <c r="D45" s="551"/>
      <c r="E45" s="551"/>
      <c r="F45" s="551"/>
      <c r="G45" s="551"/>
      <c r="H45" s="551"/>
      <c r="I45" s="551"/>
    </row>
    <row r="46" spans="2:9" ht="12.75">
      <c r="B46" s="551"/>
      <c r="C46" s="551"/>
      <c r="D46" s="551"/>
      <c r="E46" s="551"/>
      <c r="F46" s="551"/>
      <c r="G46" s="551"/>
      <c r="H46" s="551"/>
      <c r="I46" s="551"/>
    </row>
    <row r="47" spans="2:9" ht="12.75">
      <c r="B47" s="551"/>
      <c r="C47" s="551"/>
      <c r="D47" s="551"/>
      <c r="E47" s="551"/>
      <c r="F47" s="551"/>
      <c r="G47" s="551"/>
      <c r="H47" s="551"/>
      <c r="I47" s="551"/>
    </row>
    <row r="48" spans="7:8" ht="12.75">
      <c r="G48" s="283"/>
      <c r="H48" s="66" t="s">
        <v>579</v>
      </c>
    </row>
    <row r="49" spans="7:8" ht="12.75">
      <c r="G49" s="283"/>
      <c r="H49" s="66" t="s">
        <v>580</v>
      </c>
    </row>
    <row r="50" spans="7:8" ht="12.75">
      <c r="G50" s="283"/>
      <c r="H50" s="520" t="str">
        <f>+PL!K4</f>
        <v>31 Mar 05</v>
      </c>
    </row>
    <row r="51" spans="7:8" ht="12.75">
      <c r="G51" s="283"/>
      <c r="H51" s="66" t="s">
        <v>581</v>
      </c>
    </row>
    <row r="52" ht="12.75">
      <c r="K52" s="512"/>
    </row>
    <row r="53" spans="2:11" ht="12.75">
      <c r="B53" s="80" t="s">
        <v>578</v>
      </c>
      <c r="H53" s="511">
        <f>+'CF Sum'!F78/1000</f>
        <v>-15000</v>
      </c>
      <c r="K53" s="513"/>
    </row>
    <row r="56" spans="1:2" ht="12.75">
      <c r="A56" s="65" t="s">
        <v>587</v>
      </c>
      <c r="B56" s="65" t="s">
        <v>588</v>
      </c>
    </row>
    <row r="58" ht="12.75">
      <c r="B58" t="s">
        <v>589</v>
      </c>
    </row>
    <row r="61" spans="1:2" ht="12.75">
      <c r="A61" s="65" t="s">
        <v>590</v>
      </c>
      <c r="B61" s="65" t="s">
        <v>591</v>
      </c>
    </row>
    <row r="63" ht="12.75">
      <c r="B63" t="str">
        <f>"The Group’s financial information by industry segments as at "&amp;PL!K2&amp;" is as follows: -"</f>
        <v>The Group’s financial information by industry segments as at 31 March 2005 is as follows: -</v>
      </c>
    </row>
    <row r="65" spans="2:9" ht="12.75">
      <c r="B65" s="38"/>
      <c r="C65" s="38"/>
      <c r="E65" s="291" t="s">
        <v>592</v>
      </c>
      <c r="F65" s="292"/>
      <c r="G65" s="292"/>
      <c r="H65" s="292"/>
      <c r="I65" s="292"/>
    </row>
    <row r="66" spans="2:9" ht="12.75">
      <c r="B66" s="38" t="s">
        <v>593</v>
      </c>
      <c r="C66" s="38"/>
      <c r="E66" s="291" t="s">
        <v>594</v>
      </c>
      <c r="F66" s="291" t="s">
        <v>595</v>
      </c>
      <c r="G66" s="291" t="s">
        <v>596</v>
      </c>
      <c r="H66" s="291" t="s">
        <v>597</v>
      </c>
      <c r="I66" s="291" t="s">
        <v>598</v>
      </c>
    </row>
    <row r="67" spans="2:9" ht="12.75">
      <c r="B67" s="38"/>
      <c r="C67" s="38"/>
      <c r="E67" s="291" t="s">
        <v>20</v>
      </c>
      <c r="F67" s="291" t="s">
        <v>20</v>
      </c>
      <c r="G67" s="291" t="s">
        <v>20</v>
      </c>
      <c r="H67" s="291" t="s">
        <v>20</v>
      </c>
      <c r="I67" s="291" t="s">
        <v>20</v>
      </c>
    </row>
    <row r="68" spans="2:11" ht="13.5" thickBot="1">
      <c r="B68" s="38" t="s">
        <v>107</v>
      </c>
      <c r="C68" s="38"/>
      <c r="E68" s="38"/>
      <c r="F68" s="38"/>
      <c r="G68" s="38"/>
      <c r="H68" s="38"/>
      <c r="I68" s="38"/>
      <c r="K68" s="506" t="s">
        <v>215</v>
      </c>
    </row>
    <row r="69" spans="2:11" ht="12.75">
      <c r="B69" s="38" t="s">
        <v>599</v>
      </c>
      <c r="C69" s="38"/>
      <c r="E69" s="38">
        <v>0</v>
      </c>
      <c r="F69" s="38">
        <v>0</v>
      </c>
      <c r="G69" s="38">
        <f>ROUND(+Group!F120/1000,0)</f>
        <v>26372</v>
      </c>
      <c r="H69" s="38">
        <v>0</v>
      </c>
      <c r="I69" s="38">
        <f>SUM(E69:H69)</f>
        <v>26372</v>
      </c>
      <c r="K69" s="507" t="str">
        <f>IF(+PL!G16=I69," ",+PL!G16)</f>
        <v> </v>
      </c>
    </row>
    <row r="70" spans="2:11" ht="12.75">
      <c r="B70" s="38" t="s">
        <v>600</v>
      </c>
      <c r="C70" s="38"/>
      <c r="E70" s="55">
        <f>ROUND((+Group!D113+Group!D116)/1000,0)</f>
        <v>874</v>
      </c>
      <c r="F70" s="55">
        <f>ROUND(Group!G108/1000,0)</f>
        <v>0</v>
      </c>
      <c r="G70" s="55">
        <v>0</v>
      </c>
      <c r="H70" s="55">
        <f>-ROUND(Group!M120/1000,0)</f>
        <v>-874</v>
      </c>
      <c r="I70" s="55">
        <f>SUM(E70:H70)</f>
        <v>0</v>
      </c>
      <c r="K70" s="508"/>
    </row>
    <row r="71" spans="2:11" ht="12.75">
      <c r="B71" s="38"/>
      <c r="C71" s="38"/>
      <c r="E71" s="38"/>
      <c r="F71" s="38"/>
      <c r="G71" s="38"/>
      <c r="H71" s="38"/>
      <c r="I71" s="38"/>
      <c r="K71" s="508"/>
    </row>
    <row r="72" spans="2:11" ht="13.5" thickBot="1">
      <c r="B72" s="38" t="s">
        <v>601</v>
      </c>
      <c r="C72" s="38"/>
      <c r="E72" s="38">
        <f>SUM(E69:E70)</f>
        <v>874</v>
      </c>
      <c r="F72" s="38">
        <f>SUM(F69:F70)</f>
        <v>0</v>
      </c>
      <c r="G72" s="38">
        <f>SUM(G69:G70)</f>
        <v>26372</v>
      </c>
      <c r="H72" s="38">
        <f>SUM(H69:H70)</f>
        <v>-874</v>
      </c>
      <c r="I72" s="293">
        <f>SUM(I10:I70)</f>
        <v>26372</v>
      </c>
      <c r="K72" s="508" t="str">
        <f>IF(+PL!G16=I72," ",+PL!G16)</f>
        <v> </v>
      </c>
    </row>
    <row r="73" spans="2:11" ht="13.5" thickTop="1">
      <c r="B73" s="38"/>
      <c r="C73" s="38"/>
      <c r="E73" s="38"/>
      <c r="F73" s="38"/>
      <c r="G73" s="38"/>
      <c r="H73" s="38"/>
      <c r="I73" s="38"/>
      <c r="K73" s="508"/>
    </row>
    <row r="74" spans="2:11" ht="12.75">
      <c r="B74" s="38" t="s">
        <v>602</v>
      </c>
      <c r="C74" s="38"/>
      <c r="E74" s="38"/>
      <c r="F74" s="38"/>
      <c r="G74" s="38"/>
      <c r="H74" s="38"/>
      <c r="I74" s="38"/>
      <c r="K74" s="508"/>
    </row>
    <row r="75" spans="2:11" ht="12.75">
      <c r="B75" s="38" t="s">
        <v>603</v>
      </c>
      <c r="C75" s="38"/>
      <c r="E75" s="38">
        <f>ROUND((Group!D24+Group!E24+Group!I24)/1000,0)-E76-E77-Group!P20/1000</f>
        <v>-751</v>
      </c>
      <c r="F75" s="38">
        <f>ROUND((Group!G24+Group!H24+Group!J24)/1000,0)-F76-F77</f>
        <v>-2014</v>
      </c>
      <c r="G75" s="38">
        <f>ROUND((Group!F24)/1000,0)-G76-G77</f>
        <v>26301</v>
      </c>
      <c r="H75" s="514">
        <f>-ROUND((Group!M24+Group!N24)/1000,0)-E78-1</f>
        <v>-3871</v>
      </c>
      <c r="I75" s="53">
        <f>SUM(E75:H75)</f>
        <v>19665</v>
      </c>
      <c r="K75" s="508" t="str">
        <f>IF(+PL!G20=I75," ",+PL!G20)</f>
        <v> </v>
      </c>
    </row>
    <row r="76" spans="2:11" ht="12.75">
      <c r="B76" s="38" t="s">
        <v>604</v>
      </c>
      <c r="C76" s="38"/>
      <c r="E76" s="514">
        <f>ROUND((Group!D22+Group!E22+Group!I22)/1000,0)-2</f>
        <v>-3038</v>
      </c>
      <c r="F76" s="38">
        <f>ROUND((Group!G22+Group!H22+Group!J22)/1000,0)</f>
        <v>-10</v>
      </c>
      <c r="G76" s="38">
        <f>ROUND((Group!F22)/1000,0)</f>
        <v>-27886</v>
      </c>
      <c r="H76" s="514">
        <f>ROUND(+ConsoJL!G428/1000,0)+1</f>
        <v>3737</v>
      </c>
      <c r="I76" s="38">
        <f>SUM(E76:H76)</f>
        <v>-27197</v>
      </c>
      <c r="K76" s="508" t="str">
        <f>IF(+PL!G26=I76," ",+PL!G26)</f>
        <v> </v>
      </c>
    </row>
    <row r="77" spans="2:11" ht="12.75">
      <c r="B77" s="38" t="s">
        <v>605</v>
      </c>
      <c r="C77" s="38"/>
      <c r="E77" s="38">
        <f>ROUND((SUM(Group!D135:E138)+SUM(Group!I135:I138))/1000,0)</f>
        <v>3742</v>
      </c>
      <c r="F77" s="38">
        <f>ROUND((SUM(Group!G135:H138)+SUM(Group!J135:J138))/1000,0)</f>
        <v>3</v>
      </c>
      <c r="G77" s="38">
        <f>ROUND((SUM(Group!F135:F138))/1000,0)</f>
        <v>213</v>
      </c>
      <c r="H77" s="514">
        <f>ROUND(-ConsoJL!F424/1000,0)-1</f>
        <v>-3737</v>
      </c>
      <c r="I77" s="53">
        <f>SUM(E77:H77)</f>
        <v>221</v>
      </c>
      <c r="K77" s="508" t="str">
        <f>IF(+PL!G22=I77," ",+PL!G22)</f>
        <v> </v>
      </c>
    </row>
    <row r="78" spans="2:11" ht="12.75">
      <c r="B78" s="38" t="s">
        <v>606</v>
      </c>
      <c r="C78" s="38"/>
      <c r="E78" s="38">
        <f>ROUND(-Group!N21/1000,0)</f>
        <v>1629</v>
      </c>
      <c r="F78" s="38">
        <v>0</v>
      </c>
      <c r="G78" s="38">
        <v>0</v>
      </c>
      <c r="H78" s="38">
        <v>0</v>
      </c>
      <c r="I78" s="55">
        <f>SUM(E78:H78)</f>
        <v>1629</v>
      </c>
      <c r="K78" s="508" t="str">
        <f>IF(+PL!G24=I78," ",PL!G24)</f>
        <v> </v>
      </c>
    </row>
    <row r="79" spans="2:11" ht="12.75">
      <c r="B79" s="38"/>
      <c r="C79" s="38"/>
      <c r="E79" s="38"/>
      <c r="F79" s="38"/>
      <c r="G79" s="38"/>
      <c r="H79" s="38"/>
      <c r="I79" s="38">
        <f>SUM(I75:I78)</f>
        <v>-5682</v>
      </c>
      <c r="K79" s="508" t="str">
        <f>IF(+PL!G28=I79," ",PL!G28)</f>
        <v> </v>
      </c>
    </row>
    <row r="80" spans="2:11" ht="12.75">
      <c r="B80" s="38" t="s">
        <v>607</v>
      </c>
      <c r="C80" s="38"/>
      <c r="E80" s="38">
        <f>ROUND((Group!D26+Group!E26+Group!I26)/1000,0)-ROUND(SUM(Group!M26:N26)/1000,0)</f>
        <v>-539</v>
      </c>
      <c r="F80" s="38">
        <f>ROUND((Group!G26+Group!H26+Group!J26)/1000,0)</f>
        <v>0</v>
      </c>
      <c r="G80" s="38">
        <f>ROUND((Group!F26)/1000,0)</f>
        <v>334</v>
      </c>
      <c r="H80" s="38">
        <v>0</v>
      </c>
      <c r="I80" s="53">
        <f>SUM(E80:H80)</f>
        <v>-205</v>
      </c>
      <c r="K80" s="508" t="str">
        <f>IF(+PL!G30=I80," ",PL!G30)</f>
        <v> </v>
      </c>
    </row>
    <row r="81" spans="2:11" ht="12.75">
      <c r="B81" s="38"/>
      <c r="C81" s="38"/>
      <c r="E81" s="38"/>
      <c r="F81" s="38"/>
      <c r="G81" s="38"/>
      <c r="H81" s="38"/>
      <c r="I81" s="38"/>
      <c r="K81" s="508"/>
    </row>
    <row r="82" spans="2:11" ht="12.75">
      <c r="B82" s="38" t="s">
        <v>63</v>
      </c>
      <c r="C82" s="38"/>
      <c r="E82" s="38"/>
      <c r="F82" s="38"/>
      <c r="G82" s="38"/>
      <c r="H82" s="38"/>
      <c r="I82" s="294">
        <f>SUM(I79:I81)</f>
        <v>-5887</v>
      </c>
      <c r="K82" s="508" t="str">
        <f>IF(+PL!G32=I82," ",PL!G32)</f>
        <v> </v>
      </c>
    </row>
    <row r="83" spans="2:11" ht="12.75">
      <c r="B83" s="38" t="s">
        <v>118</v>
      </c>
      <c r="C83" s="38"/>
      <c r="E83" s="38"/>
      <c r="F83" s="38"/>
      <c r="G83" s="38"/>
      <c r="H83" s="38"/>
      <c r="I83" s="53">
        <f>ROUND((Group!P29/1000),0)</f>
        <v>0</v>
      </c>
      <c r="K83" s="508" t="str">
        <f>IF(+PL!G34=I83," ",PL!G34)</f>
        <v> </v>
      </c>
    </row>
    <row r="84" spans="2:11" ht="13.5" thickBot="1">
      <c r="B84" s="38" t="s">
        <v>608</v>
      </c>
      <c r="C84" s="38"/>
      <c r="E84" s="38"/>
      <c r="F84" s="38"/>
      <c r="G84" s="38"/>
      <c r="H84" s="38"/>
      <c r="I84" s="58">
        <f>+I82+I83</f>
        <v>-5887</v>
      </c>
      <c r="K84" s="508" t="str">
        <f>IF(+PL!G36=I84," ",PL!G36)</f>
        <v> </v>
      </c>
    </row>
    <row r="85" spans="2:11" ht="13.5" thickTop="1">
      <c r="B85" s="38"/>
      <c r="C85" s="38"/>
      <c r="E85" s="38"/>
      <c r="F85" s="38"/>
      <c r="G85" s="38"/>
      <c r="H85" s="38"/>
      <c r="I85" s="53"/>
      <c r="K85" s="509"/>
    </row>
    <row r="86" spans="2:11" ht="12.75">
      <c r="B86" s="550" t="s">
        <v>609</v>
      </c>
      <c r="C86" s="551"/>
      <c r="D86" s="551"/>
      <c r="E86" s="551"/>
      <c r="F86" s="551"/>
      <c r="G86" s="551"/>
      <c r="H86" s="551"/>
      <c r="I86" s="551"/>
      <c r="K86" s="509"/>
    </row>
    <row r="87" spans="2:11" ht="12.75">
      <c r="B87" s="551"/>
      <c r="C87" s="551"/>
      <c r="D87" s="551"/>
      <c r="E87" s="551"/>
      <c r="F87" s="551"/>
      <c r="G87" s="551"/>
      <c r="H87" s="551"/>
      <c r="I87" s="551"/>
      <c r="K87" s="509"/>
    </row>
    <row r="88" spans="2:11" ht="12.75">
      <c r="B88" s="38"/>
      <c r="C88" s="38"/>
      <c r="E88" s="38"/>
      <c r="F88" s="38"/>
      <c r="G88" s="38"/>
      <c r="H88" s="38"/>
      <c r="I88" s="38"/>
      <c r="K88" s="509"/>
    </row>
    <row r="89" spans="2:11" ht="12.75">
      <c r="B89" s="38"/>
      <c r="C89" s="38"/>
      <c r="E89" s="291" t="s">
        <v>592</v>
      </c>
      <c r="F89" s="292"/>
      <c r="G89" s="292"/>
      <c r="H89" s="292"/>
      <c r="I89" s="292"/>
      <c r="K89" s="509"/>
    </row>
    <row r="90" spans="2:11" ht="12.75">
      <c r="B90" s="38"/>
      <c r="C90" s="38"/>
      <c r="E90" s="291" t="s">
        <v>594</v>
      </c>
      <c r="F90" s="291" t="s">
        <v>595</v>
      </c>
      <c r="G90" s="291" t="s">
        <v>596</v>
      </c>
      <c r="H90" s="291" t="s">
        <v>597</v>
      </c>
      <c r="I90" s="291" t="s">
        <v>598</v>
      </c>
      <c r="K90" s="509"/>
    </row>
    <row r="91" spans="2:11" ht="12.75">
      <c r="B91" s="38" t="s">
        <v>610</v>
      </c>
      <c r="C91" s="38"/>
      <c r="E91" s="291" t="s">
        <v>20</v>
      </c>
      <c r="F91" s="291" t="s">
        <v>20</v>
      </c>
      <c r="G91" s="291" t="s">
        <v>20</v>
      </c>
      <c r="H91" s="291" t="s">
        <v>20</v>
      </c>
      <c r="I91" s="291" t="s">
        <v>20</v>
      </c>
      <c r="K91" s="509"/>
    </row>
    <row r="92" spans="2:11" ht="12.75">
      <c r="B92" s="38"/>
      <c r="C92" s="38"/>
      <c r="E92" s="292"/>
      <c r="F92" s="292"/>
      <c r="G92" s="292"/>
      <c r="H92" s="292"/>
      <c r="I92" s="292"/>
      <c r="K92" s="509"/>
    </row>
    <row r="93" spans="2:11" ht="12.75">
      <c r="B93" s="38" t="s">
        <v>611</v>
      </c>
      <c r="C93" s="38"/>
      <c r="E93" s="38"/>
      <c r="F93" s="38"/>
      <c r="G93" s="38"/>
      <c r="H93" s="38"/>
      <c r="I93" s="38"/>
      <c r="K93" s="509"/>
    </row>
    <row r="94" spans="2:11" ht="13.5" thickBot="1">
      <c r="B94" s="38" t="s">
        <v>612</v>
      </c>
      <c r="C94" s="38"/>
      <c r="E94" s="38">
        <f>ROUND((Group!D78+Group!E78+Group!D74+Group!E74+(Group!I78+Group!I74))/1000,0)</f>
        <v>579584</v>
      </c>
      <c r="F94" s="38">
        <f>ROUND(((Group!G78+Group!G74)+(Group!H78+Group!H74)+(Group!J78+Group!J74))/1000,0)</f>
        <v>101182</v>
      </c>
      <c r="G94" s="38">
        <f>ROUND(((Group!F78+Group!F74))/1000,0)</f>
        <v>1455638</v>
      </c>
      <c r="H94" s="514">
        <f>ROUND(SUM(Group!M42:N61)/1000,0)+1</f>
        <v>-447753</v>
      </c>
      <c r="I94" s="293">
        <f>SUM(E94:H94)</f>
        <v>1688651</v>
      </c>
      <c r="K94" s="508" t="str">
        <f>IF(+'BS'!E47+'BS'!E43=I94," ",+'BS'!E47+'BS'!E43)</f>
        <v> </v>
      </c>
    </row>
    <row r="95" spans="2:11" ht="13.5" thickTop="1">
      <c r="B95" s="38"/>
      <c r="C95" s="38"/>
      <c r="E95" s="38"/>
      <c r="F95" s="295"/>
      <c r="G95" s="295"/>
      <c r="H95" s="295"/>
      <c r="I95" s="295"/>
      <c r="K95" s="509"/>
    </row>
    <row r="96" spans="2:11" ht="12.75">
      <c r="B96" s="38" t="s">
        <v>613</v>
      </c>
      <c r="C96" s="38"/>
      <c r="E96" s="38"/>
      <c r="F96" s="295"/>
      <c r="G96" s="295"/>
      <c r="H96" s="295"/>
      <c r="I96" s="295"/>
      <c r="K96" s="509"/>
    </row>
    <row r="97" spans="2:11" ht="13.5" thickBot="1">
      <c r="B97" s="38" t="s">
        <v>614</v>
      </c>
      <c r="C97" s="38"/>
      <c r="E97" s="38">
        <f>ROUND((Group!D95+Group!D74+Group!E74+Group!E95+(Group!I95+Group!I74))/1000,0)</f>
        <v>192675</v>
      </c>
      <c r="F97" s="295">
        <f>ROUND((Group!G95+Group!H95+Group!G74+Group!H74+(Group!J95+Group!J74))/1000,0)</f>
        <v>109656</v>
      </c>
      <c r="G97" s="295">
        <f>ROUND(((Group!F95+Group!F74))/1000,0)</f>
        <v>1347334</v>
      </c>
      <c r="H97" s="515">
        <f>-ROUND((Group!M95+Group!N95+Group!M74+Group!N74)/1000,0)+1</f>
        <v>-302109</v>
      </c>
      <c r="I97" s="293">
        <f>SUM(E97:H97)</f>
        <v>1347556</v>
      </c>
      <c r="K97" s="508" t="str">
        <f>IF(+'BS'!E43+'BS'!E80=I97," ",+'BS'!E43+'BS'!E80)</f>
        <v> </v>
      </c>
    </row>
    <row r="98" spans="2:11" ht="13.5" thickTop="1">
      <c r="B98" s="38"/>
      <c r="C98" s="38"/>
      <c r="E98" s="38"/>
      <c r="F98" s="295"/>
      <c r="G98" s="295"/>
      <c r="H98" s="295"/>
      <c r="I98" s="295"/>
      <c r="K98" s="509"/>
    </row>
    <row r="99" spans="2:11" ht="12.75">
      <c r="B99" s="38"/>
      <c r="C99" s="38"/>
      <c r="E99" s="38"/>
      <c r="F99" s="295"/>
      <c r="G99" s="295"/>
      <c r="H99" s="295"/>
      <c r="I99" s="38"/>
      <c r="K99" s="509"/>
    </row>
    <row r="100" spans="2:11" ht="12.75">
      <c r="B100" s="38" t="s">
        <v>615</v>
      </c>
      <c r="C100" s="38"/>
      <c r="E100" s="38"/>
      <c r="F100" s="295"/>
      <c r="G100" s="295"/>
      <c r="H100" s="295"/>
      <c r="I100" s="295"/>
      <c r="K100" s="509"/>
    </row>
    <row r="101" spans="2:11" ht="12.75">
      <c r="B101" s="38"/>
      <c r="C101" s="38"/>
      <c r="E101" s="38"/>
      <c r="F101" s="295"/>
      <c r="G101" s="295"/>
      <c r="H101" s="295"/>
      <c r="I101" s="295"/>
      <c r="K101" s="509"/>
    </row>
    <row r="102" spans="2:11" ht="12.75">
      <c r="B102" s="38" t="s">
        <v>616</v>
      </c>
      <c r="C102" s="38"/>
      <c r="E102" s="38">
        <f>ROUND((Group!D248+Group!E248+Group!I248)/1000,0)</f>
        <v>55</v>
      </c>
      <c r="F102" s="295">
        <f>ROUND((Group!H248+Group!G248+Group!J248)/1000,0)</f>
        <v>0</v>
      </c>
      <c r="G102" s="295">
        <f>ROUND((Group!F248)/1000,0)</f>
        <v>0</v>
      </c>
      <c r="H102" s="295">
        <v>0</v>
      </c>
      <c r="I102" s="295">
        <f>SUM(E102:H102)</f>
        <v>55</v>
      </c>
      <c r="K102" s="508" t="str">
        <f>IF(-'CF'!G46=I102," ",-'CF'!G46)</f>
        <v> </v>
      </c>
    </row>
    <row r="103" spans="2:11" ht="12.75">
      <c r="B103" s="38" t="s">
        <v>617</v>
      </c>
      <c r="C103" s="38"/>
      <c r="E103" s="38">
        <f>-ROUND((Group!D304/1000+Group!E304/1000+Group!I304/1000),0)</f>
        <v>10</v>
      </c>
      <c r="F103" s="295">
        <f>-ROUND((Group!G304+Group!H304+Group!J304)/1000,0)</f>
        <v>191</v>
      </c>
      <c r="G103" s="295">
        <f>-ROUND((Group!F304)/1000,0)</f>
        <v>4</v>
      </c>
      <c r="H103" s="295">
        <v>0</v>
      </c>
      <c r="I103" s="295">
        <f>SUM(E103:H103)</f>
        <v>205</v>
      </c>
      <c r="K103" s="508" t="str">
        <f>IF(+'CF'!G20=I103," ",+'CF'!G20)</f>
        <v> </v>
      </c>
    </row>
    <row r="104" spans="2:11" ht="12.75">
      <c r="B104" s="38" t="s">
        <v>618</v>
      </c>
      <c r="C104" s="38"/>
      <c r="E104" s="38"/>
      <c r="F104" s="295"/>
      <c r="G104" s="295"/>
      <c r="H104" s="295"/>
      <c r="I104" s="295"/>
      <c r="K104" s="509"/>
    </row>
    <row r="105" spans="2:11" ht="12.75">
      <c r="B105" s="38" t="s">
        <v>619</v>
      </c>
      <c r="C105" s="38"/>
      <c r="E105" s="38">
        <v>0</v>
      </c>
      <c r="F105" s="38">
        <v>0</v>
      </c>
      <c r="G105" s="38">
        <v>0</v>
      </c>
      <c r="H105" s="295">
        <f>ROUND(Group!M171/1000,0)</f>
        <v>3087</v>
      </c>
      <c r="I105" s="295">
        <f>SUM(E105:H105)</f>
        <v>3087</v>
      </c>
      <c r="K105" s="508" t="str">
        <f>IF(+'CF'!G28=I105," ",+'CF'!G28)</f>
        <v> </v>
      </c>
    </row>
    <row r="106" spans="2:11" ht="13.5" thickBot="1">
      <c r="B106" s="38"/>
      <c r="C106" s="38"/>
      <c r="D106" s="38"/>
      <c r="E106" s="38"/>
      <c r="F106" s="38"/>
      <c r="G106" s="38"/>
      <c r="H106" s="38"/>
      <c r="K106" s="510"/>
    </row>
    <row r="107" spans="2:9" ht="12.75">
      <c r="B107" s="552" t="s">
        <v>609</v>
      </c>
      <c r="C107" s="553"/>
      <c r="D107" s="553"/>
      <c r="E107" s="553"/>
      <c r="F107" s="553"/>
      <c r="G107" s="553"/>
      <c r="H107" s="553"/>
      <c r="I107" s="553"/>
    </row>
    <row r="108" spans="2:9" ht="12.75">
      <c r="B108" s="553"/>
      <c r="C108" s="553"/>
      <c r="D108" s="553"/>
      <c r="E108" s="553"/>
      <c r="F108" s="553"/>
      <c r="G108" s="553"/>
      <c r="H108" s="553"/>
      <c r="I108" s="553"/>
    </row>
  </sheetData>
  <mergeCells count="12">
    <mergeCell ref="B27:I27"/>
    <mergeCell ref="B32:I33"/>
    <mergeCell ref="B6:I9"/>
    <mergeCell ref="B11:I12"/>
    <mergeCell ref="A1:I1"/>
    <mergeCell ref="A2:I2"/>
    <mergeCell ref="B14:I16"/>
    <mergeCell ref="B21:I23"/>
    <mergeCell ref="B86:I87"/>
    <mergeCell ref="B107:I108"/>
    <mergeCell ref="B38:I40"/>
    <mergeCell ref="B45:I47"/>
  </mergeCells>
  <printOptions/>
  <pageMargins left="0.75" right="0.75" top="0.6" bottom="1" header="0.48" footer="0.5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kee_hock_kee</dc:creator>
  <cp:keywords/>
  <dc:description/>
  <cp:lastModifiedBy>darmawatti</cp:lastModifiedBy>
  <cp:lastPrinted>2005-05-26T01:23:37Z</cp:lastPrinted>
  <dcterms:created xsi:type="dcterms:W3CDTF">2004-11-23T07:40:46Z</dcterms:created>
  <dcterms:modified xsi:type="dcterms:W3CDTF">2005-05-26T08:49:51Z</dcterms:modified>
  <cp:category/>
  <cp:version/>
  <cp:contentType/>
  <cp:contentStatus/>
</cp:coreProperties>
</file>