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'BS'!$A$1:$G$82</definedName>
    <definedName name="_xlnm.Print_Area" localSheetId="2">'CFLOW'!$A$1:$E$79</definedName>
    <definedName name="_xlnm.Print_Area" localSheetId="0">'P&amp;L'!$B$2:$J$73</definedName>
  </definedNames>
  <calcPr fullCalcOnLoad="1"/>
</workbook>
</file>

<file path=xl/sharedStrings.xml><?xml version="1.0" encoding="utf-8"?>
<sst xmlns="http://schemas.openxmlformats.org/spreadsheetml/2006/main" count="363" uniqueCount="209">
  <si>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</si>
  <si>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</si>
  <si>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</si>
  <si>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</si>
  <si>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</si>
  <si>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</si>
  <si>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</si>
  <si>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</si>
  <si>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</si>
  <si>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</si>
  <si>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</si>
  <si>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</si>
  <si>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</si>
  <si>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</si>
  <si>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</si>
  <si>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</si>
  <si>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</si>
  <si>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</si>
  <si>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</si>
  <si>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</si>
  <si>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</si>
  <si>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</si>
  <si>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</si>
  <si>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</si>
  <si>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</si>
  <si>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</si>
  <si>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</si>
  <si>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</si>
  <si>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</si>
  <si>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</si>
  <si>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</si>
  <si>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</si>
  <si>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</si>
  <si>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</si>
  <si>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</si>
  <si>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</si>
  <si>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</si>
  <si>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</si>
  <si>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</si>
  <si>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</si>
  <si>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</si>
  <si>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</si>
  <si>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</si>
  <si>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</si>
  <si>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 xml:space="preserve">     Non-cash items</t>
  </si>
  <si>
    <t>TODATE</t>
  </si>
  <si>
    <t>Interest Income</t>
  </si>
  <si>
    <t>Interest Expense</t>
  </si>
  <si>
    <t xml:space="preserve">CASH AND CASH EQUIVALENTS </t>
  </si>
  <si>
    <t>- AT START OF PERIOD</t>
  </si>
  <si>
    <t>OTHER INVESTMENTS</t>
  </si>
  <si>
    <t xml:space="preserve">PROVISIONS </t>
  </si>
  <si>
    <t>31 DEC</t>
  </si>
  <si>
    <t xml:space="preserve">     Dividend paid</t>
  </si>
  <si>
    <t>TOTAL EQUITY</t>
  </si>
  <si>
    <t>ATTRIBUTABLE TO :</t>
  </si>
  <si>
    <t xml:space="preserve">Basic Profit/(Loss) Per Ordinary Share (Sen) </t>
  </si>
  <si>
    <t>TOTAL ASSETS</t>
  </si>
  <si>
    <t>NON-CURRENT LIABILITIES</t>
  </si>
  <si>
    <t>TOTAL LIABILITIES</t>
  </si>
  <si>
    <t>TOTAL EQUITY AND LIABILITIES</t>
  </si>
  <si>
    <t>TAX RECOVERABLE</t>
  </si>
  <si>
    <t>NON-CURRENT ASSETS</t>
  </si>
  <si>
    <t>EQUITY AND LIABILITIES :</t>
  </si>
  <si>
    <t>ASSETS :</t>
  </si>
  <si>
    <t>SHARE PREMIUM</t>
  </si>
  <si>
    <t>PROVISIONS</t>
  </si>
  <si>
    <t>TAX PAYABLE</t>
  </si>
  <si>
    <t>NET ASSETS PER SHARE ATTRIBUTABLE TO ORDINARY</t>
  </si>
  <si>
    <t>INVESTMENT PROPERTIES</t>
  </si>
  <si>
    <t>LOSS BEFORE TAXATION</t>
  </si>
  <si>
    <t>DISCONTINUED OPERATIONS :</t>
  </si>
  <si>
    <t>from discontinued operations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</si>
  <si>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</si>
  <si>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</si>
  <si>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</si>
  <si>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</si>
  <si>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</si>
  <si>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</si>
  <si>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</si>
  <si>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</si>
  <si>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</si>
  <si>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PROFIT/(LOSS) FOR THE PERIOD </t>
  </si>
  <si>
    <t>NON CURRENT ASSETS HELD FOR SALE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</si>
  <si>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</si>
  <si>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</si>
  <si>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</si>
  <si>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</si>
  <si>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CONDENSED CONSOLIDATED STATEMENT OF COMPREHENSIVE INCOME</t>
  </si>
  <si>
    <t>FOR THE FINANCIAL PERIOD</t>
  </si>
  <si>
    <t xml:space="preserve">The Condensed Consolidated Statement of Comprehensive Income should be read in conjunction with the </t>
  </si>
  <si>
    <t>Prior Year Adjustment</t>
  </si>
  <si>
    <t>Share</t>
  </si>
  <si>
    <t>Capital</t>
  </si>
  <si>
    <t>Premium</t>
  </si>
  <si>
    <t>Convertible</t>
  </si>
  <si>
    <t>Unsecured</t>
  </si>
  <si>
    <t>Loan</t>
  </si>
  <si>
    <t>Stocks</t>
  </si>
  <si>
    <t>Accumulated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</si>
  <si>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</si>
  <si>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</si>
  <si>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</si>
  <si>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</si>
  <si>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</si>
  <si>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PREPAYMENTS</t>
  </si>
  <si>
    <t>TRADE AND OTHER PAYABLES</t>
  </si>
  <si>
    <t>Non-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</si>
  <si>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</si>
  <si>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</si>
  <si>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</si>
  <si>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</si>
  <si>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</si>
  <si>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</si>
  <si>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Non-controlling interests</t>
  </si>
  <si>
    <t>EQUITY ATTRIBUTABLE TO EQUITY OWNERS OF THE PARENT</t>
  </si>
  <si>
    <t>EQUITY OWNERS OF THE PARENT (RM)</t>
  </si>
  <si>
    <t>Other Operating Income</t>
  </si>
  <si>
    <t>FAIR VALUE ADJUSTMENT RESERVE</t>
  </si>
  <si>
    <t>Reserve</t>
  </si>
  <si>
    <t>Owners Of  The Company</t>
  </si>
  <si>
    <t>CONDENSED CONSOLIDATED STATEMENT OF CASH FLOWS</t>
  </si>
  <si>
    <t xml:space="preserve">The Condensed Consolidated Statement of Cash Flows should be read in conjunction with the </t>
  </si>
  <si>
    <t>for the financial period</t>
  </si>
  <si>
    <t>Adjustments for :-</t>
  </si>
  <si>
    <t xml:space="preserve">     Liquidated and ascertained damages paid</t>
  </si>
  <si>
    <t>CASH AND CASH EQUIVALENTS</t>
  </si>
  <si>
    <t>Investment fund</t>
  </si>
  <si>
    <t xml:space="preserve">The Condensed Consolidated Statement of Financial Position should be read in conjunction with </t>
  </si>
  <si>
    <t>TO EQUITY OWNERS OF THE COMPANY :</t>
  </si>
  <si>
    <t xml:space="preserve">     Investment income received</t>
  </si>
  <si>
    <t>Dividend paid</t>
  </si>
  <si>
    <t xml:space="preserve">     Dividend received</t>
  </si>
  <si>
    <t xml:space="preserve">     Exchange loss</t>
  </si>
  <si>
    <t>TRADE AND OTHER RECEIVABLES</t>
  </si>
  <si>
    <t xml:space="preserve">     Proceeds from disposal of property, plant and equipment</t>
  </si>
  <si>
    <t xml:space="preserve">     Purchase of property, plant and equipment</t>
  </si>
  <si>
    <t xml:space="preserve">     Redemption in long term investment </t>
  </si>
  <si>
    <t xml:space="preserve"> for the financial period</t>
  </si>
  <si>
    <t xml:space="preserve">     Net change in cash held under HDA   </t>
  </si>
  <si>
    <t xml:space="preserve">Less : Cash held under HDA   </t>
  </si>
  <si>
    <t xml:space="preserve">The new Companies Act 2016 (the "Act"), which came into operation on 31 January 2017, abolished the concept </t>
  </si>
  <si>
    <t>transitional  provision  set out in  Section 618(2) of the Act.    Notwithstanding this provision,  the Company may</t>
  </si>
  <si>
    <t>Controlling</t>
  </si>
  <si>
    <t xml:space="preserve">of authorised share capital and par value of share capital.   Consequently,  the amount standing to the credit of the </t>
  </si>
  <si>
    <t xml:space="preserve">share  premium  account  of   RM28.715 million  became  part  of  the  Company's  share  capital  pursuant  to  the </t>
  </si>
  <si>
    <t xml:space="preserve">within  24 months  from the commencement of the Act,  use  the  said  share  premium of  RM28.715 million for </t>
  </si>
  <si>
    <t xml:space="preserve">    CASH AND CASH EQUIVALENTS </t>
  </si>
  <si>
    <t xml:space="preserve">EFFECT OF EXCHANGE RATE CHANGES ON </t>
  </si>
  <si>
    <t>ACCUMULATED PROFIT</t>
  </si>
  <si>
    <t>NET CASH USED IN OPERATING ACTIVITIES</t>
  </si>
  <si>
    <t xml:space="preserve">purposes as set  out  in  the said Act.  </t>
  </si>
  <si>
    <t>Other Comprehensive Profit/(Loss)</t>
  </si>
  <si>
    <t xml:space="preserve">     Tax refund/(paid)</t>
  </si>
  <si>
    <t xml:space="preserve">     Redemption/(Investment) in short term investment </t>
  </si>
  <si>
    <t>1 Bonus Share for every 5 existing Farlim Shares.</t>
  </si>
  <si>
    <t>Bonus Shares issued on the Main Market of Bursa Securities.  The share capital account of RM169.042 million</t>
  </si>
  <si>
    <t>Profit/</t>
  </si>
  <si>
    <t>(Losses)</t>
  </si>
  <si>
    <t>TOTAL COMPREHENSIVE (LOSS)/INCOME</t>
  </si>
  <si>
    <t>(LOSS)/PROFIT ATTRIBUTABLE TO :</t>
  </si>
  <si>
    <t>On 22 June 2018 announcement was made on the approval by shareholders on the Bonus Shares of 28,065,220</t>
  </si>
  <si>
    <t>On 10 July 2018, the Bonus Issue had been completed following the listing of and quotation for 28,065,213</t>
  </si>
  <si>
    <t>(RESTATED)</t>
  </si>
  <si>
    <t>Effect on adoption of MFRS</t>
  </si>
  <si>
    <t xml:space="preserve">CONTRACT ASSETS - PROPERTY DEVELOPMENT COSTS </t>
  </si>
  <si>
    <t>As At 1 Oct 2017 (As restated)</t>
  </si>
  <si>
    <t>As At 1 Oct 2018 (As restated)</t>
  </si>
  <si>
    <t>An Extraordinary General Meeting was held on 21 June 2018 to seek shareholders' approval on the proposed</t>
  </si>
  <si>
    <t>Bonus Issue of 28,065,220 new ordinary shares in Farlim Group (Malaysia) Bhd (Farlim) on the basis of</t>
  </si>
  <si>
    <t xml:space="preserve">and that the Entitlement Date of the Bonus Issue would be 9 July 2018 at 5.00pm. </t>
  </si>
  <si>
    <t>remains unchanged after the issuance of the Bonus Shares of 28,065,213.</t>
  </si>
  <si>
    <t>Available</t>
  </si>
  <si>
    <t xml:space="preserve">For </t>
  </si>
  <si>
    <t>Sale</t>
  </si>
  <si>
    <t>CONTRACT LIABILITY</t>
  </si>
  <si>
    <t>INVENTORIES</t>
  </si>
  <si>
    <t xml:space="preserve">INVENTORIES </t>
  </si>
  <si>
    <t>FINANCE LEASE LIABILITIES</t>
  </si>
  <si>
    <t>Annual Financial Report for the financial year ended 31 December 2018.</t>
  </si>
  <si>
    <t>(Based on weighted average no of 168,391,313</t>
  </si>
  <si>
    <t>the Annual Financial Report for the financial year ended 31 December 2018.</t>
  </si>
  <si>
    <t>OPERATING LOSS BEFORE CHANGES IN WORKING CAPITAL</t>
  </si>
  <si>
    <t>NET CASH FROM INVESTING ACTIVITIES</t>
  </si>
  <si>
    <t>NET CASH USED IN FINANCING ACTIVITIES</t>
  </si>
  <si>
    <t>&lt;------- ATTRIBUTABLE TO ------- &gt;</t>
  </si>
  <si>
    <t xml:space="preserve">OWNERS OF </t>
  </si>
  <si>
    <t>THE COMPANY</t>
  </si>
  <si>
    <t xml:space="preserve">(Based on 168,391,313 (2018:168,391,313) ordinary shares)      </t>
  </si>
  <si>
    <t xml:space="preserve">Changes in ownership interests </t>
  </si>
  <si>
    <t xml:space="preserve">  in a subsidairy</t>
  </si>
  <si>
    <t xml:space="preserve">The Condensed Consolidated Statement of Changes In Equity should be read in conjunction with </t>
  </si>
  <si>
    <t>(2018: 168,391,313) Ordinary Shares)</t>
  </si>
  <si>
    <t xml:space="preserve">     Acquisition of investment in subsidiaries</t>
  </si>
  <si>
    <t>30 JUNE</t>
  </si>
  <si>
    <t>UNAUDITED RESULTS OF THE GROUP FOR THE SECOND QUARTER ENDED 30 JUNE 2019</t>
  </si>
  <si>
    <t>As At 1 Apr 2018</t>
  </si>
  <si>
    <t>As At 1 Apr 2019</t>
  </si>
  <si>
    <t>As At 30 June 2019</t>
  </si>
  <si>
    <t>As At 30 June 2018</t>
  </si>
  <si>
    <t>NET (DECREASE)/INCREASE IN CASH AND CASH EQUIVALENTS</t>
  </si>
  <si>
    <t>(LOSS)/EARNINGS PER SHARE ATTRIBUTABLE</t>
  </si>
  <si>
    <t xml:space="preserve">Basic (Loss)/Earnings Per Ordinary Share (Sen) </t>
  </si>
  <si>
    <t>Diluted (Loss)/Earnings Per Ordinary Share (Sen)</t>
  </si>
  <si>
    <t>Total comprehensive profit</t>
  </si>
  <si>
    <t>Total comprehensive loss</t>
  </si>
  <si>
    <t>(LOSS)/PROFIT FROM OPERATIONS</t>
  </si>
  <si>
    <t>(LOSS)/PROFIT BEFORE TAXATION</t>
  </si>
  <si>
    <t xml:space="preserve">(LOSS)/PROFIT FOR THE FINANCIAL PERIOD </t>
  </si>
</sst>
</file>

<file path=xl/styles.xml><?xml version="1.0" encoding="utf-8"?>
<styleSheet xmlns="http://schemas.openxmlformats.org/spreadsheetml/2006/main">
  <numFmts count="7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%"/>
    <numFmt numFmtId="179" formatCode="_(* #,##0.00000_);_(* \(#,##0.00000\);_(* &quot;-&quot;??_);_(@_)"/>
    <numFmt numFmtId="180" formatCode="_(* #,##0.000000_);_(* \(#,##0.000000\);_(* &quot;-&quot;??_);_(@_)"/>
    <numFmt numFmtId="181" formatCode="#,##0.00000_);\(#,##0.00000\)"/>
    <numFmt numFmtId="182" formatCode="_-* #,##0_-;\-* #,##0_-;_-* &quot;-&quot;??_-;_-@_-"/>
    <numFmt numFmtId="183" formatCode="_(* #,##0_);_(* \(#,##0\);_(* &quot;-&quot;????_);_(@_)"/>
    <numFmt numFmtId="184" formatCode="0.00_);\(0.00\)"/>
    <numFmt numFmtId="185" formatCode="_(* #,##0.0_);_(* \(#,##0.0\);_(* &quot;-&quot;?_);_(@_)"/>
    <numFmt numFmtId="186" formatCode="_(* #,##0_);_(* \(#,##0\);_(* &quot;-&quot;?_);_(@_)"/>
    <numFmt numFmtId="187" formatCode="_-* #,##0.0_-;\-* #,##0.0_-;_-* &quot;-&quot;??_-;_-@_-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0.000_);\(0.000\)"/>
    <numFmt numFmtId="192" formatCode="0.0000_);\(0.0000\)"/>
    <numFmt numFmtId="193" formatCode="0.0_);\(0.0\)"/>
    <numFmt numFmtId="194" formatCode="_(* #,##0.000_);_(* \(#,##0.000\);_(* &quot;-&quot;???_);_(@_)"/>
    <numFmt numFmtId="195" formatCode="_(* #,##0.00_);_(* \(#,##0.00\);_(* &quot;-&quot;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,000.00%"/>
    <numFmt numFmtId="201" formatCode="0,000.00%"/>
    <numFmt numFmtId="202" formatCode="#,##0.00%"/>
    <numFmt numFmtId="203" formatCode="_-* #,##0.000_-;\-* #,##0.000_-;_-* &quot;-&quot;??_-;_-@_-"/>
    <numFmt numFmtId="204" formatCode="_-* #,##0.0000_-;\-* #,##0.0000_-;_-* &quot;-&quot;??_-;_-@_-"/>
    <numFmt numFmtId="205" formatCode="_(* #,##0.000_);_(* \(#,##0.000\);_(* &quot;-&quot;?_);_(@_)"/>
    <numFmt numFmtId="206" formatCode="_(* #,##0.0000_);_(* \(#,##0.0000\);_(* &quot;-&quot;?_);_(@_)"/>
    <numFmt numFmtId="207" formatCode="_(* #,##0.00000_);_(* \(#,##0.00000\);_(* &quot;-&quot;?_);_(@_)"/>
    <numFmt numFmtId="208" formatCode="_(* #,##0.000000_);_(* \(#,##0.000000\);_(* &quot;-&quot;?_);_(@_)"/>
    <numFmt numFmtId="209" formatCode="_(* #,##0.0000000_);_(* \(#,##0.0000000\);_(* &quot;-&quot;?_);_(@_)"/>
    <numFmt numFmtId="210" formatCode="_(* #,##0.00000000_);_(* \(#,##0.00000000\);_(* &quot;-&quot;?_);_(@_)"/>
    <numFmt numFmtId="211" formatCode="0.000%"/>
    <numFmt numFmtId="212" formatCode="_(* #,##0.0_);_(* \(#,##0.0\);_(* &quot;-&quot;????_);_(@_)"/>
    <numFmt numFmtId="213" formatCode="_(* #,##0.00_);_(* \(#,##0.00\);_(* &quot;-&quot;????_);_(@_)"/>
    <numFmt numFmtId="214" formatCode="_(* #,##0.000_);_(* \(#,##0.000\);_(* &quot;-&quot;????_);_(@_)"/>
    <numFmt numFmtId="215" formatCode="_(* #,##0.0000_);_(* \(#,##0.0000\);_(* &quot;-&quot;????_);_(@_)"/>
    <numFmt numFmtId="216" formatCode="_(* #,##0.00000_);_(* \(#,##0.00000\);_(* &quot;-&quot;????_);_(@_)"/>
    <numFmt numFmtId="217" formatCode="_(* #,##0.000000_);_(* \(#,##0.000000\);_(* &quot;-&quot;????_);_(@_)"/>
    <numFmt numFmtId="218" formatCode="_-* #,##0.00000_-;\-* #,##0.00000_-;_-* &quot;-&quot;??_-;_-@_-"/>
    <numFmt numFmtId="219" formatCode="_-* #,##0.000000_-;\-* #,##0.000000_-;_-* &quot;-&quot;??_-;_-@_-"/>
    <numFmt numFmtId="220" formatCode="_-* #,##0.0000000_-;\-* #,##0.0000000_-;_-* &quot;-&quot;??_-;_-@_-"/>
    <numFmt numFmtId="221" formatCode="_(* #,##0.0000000_);_(* \(#,##0.0000000\);_(* &quot;-&quot;???????_);_(@_)"/>
    <numFmt numFmtId="222" formatCode="#,##0.0000_);\(#,##0.0000\)"/>
    <numFmt numFmtId="223" formatCode="#,##0.000_);\(#,##0.000\)"/>
    <numFmt numFmtId="224" formatCode="#,##0.0_);\(#,##0.0\)"/>
    <numFmt numFmtId="225" formatCode="_(* #,##0.00000_);_(* \(#,##0.00000\);_(* &quot;-&quot;?????_);_(@_)"/>
    <numFmt numFmtId="226" formatCode="0.0"/>
    <numFmt numFmtId="227" formatCode="0.0000000000000%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73" fontId="4" fillId="0" borderId="0" xfId="42" applyFont="1" applyAlignment="1">
      <alignment/>
    </xf>
    <xf numFmtId="175" fontId="4" fillId="0" borderId="0" xfId="42" applyNumberFormat="1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78" fontId="4" fillId="0" borderId="0" xfId="59" applyNumberFormat="1" applyFont="1" applyAlignment="1">
      <alignment horizontal="center"/>
    </xf>
    <xf numFmtId="175" fontId="0" fillId="0" borderId="0" xfId="0" applyNumberFormat="1" applyAlignment="1">
      <alignment/>
    </xf>
    <xf numFmtId="16" fontId="5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3" fontId="0" fillId="0" borderId="0" xfId="42" applyFont="1" applyAlignment="1">
      <alignment/>
    </xf>
    <xf numFmtId="0" fontId="9" fillId="0" borderId="0" xfId="0" applyFont="1" applyAlignment="1">
      <alignment horizontal="left"/>
    </xf>
    <xf numFmtId="16" fontId="5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0" fillId="33" borderId="0" xfId="0" applyFont="1" applyFill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6" fontId="10" fillId="0" borderId="0" xfId="0" applyNumberFormat="1" applyFont="1" applyAlignment="1" quotePrefix="1">
      <alignment horizontal="center"/>
    </xf>
    <xf numFmtId="175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175" fontId="9" fillId="0" borderId="0" xfId="42" applyNumberFormat="1" applyFont="1" applyAlignment="1">
      <alignment/>
    </xf>
    <xf numFmtId="175" fontId="9" fillId="0" borderId="10" xfId="0" applyNumberFormat="1" applyFont="1" applyBorder="1" applyAlignment="1">
      <alignment/>
    </xf>
    <xf numFmtId="175" fontId="9" fillId="0" borderId="10" xfId="42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175" fontId="9" fillId="0" borderId="0" xfId="0" applyNumberFormat="1" applyFont="1" applyAlignment="1">
      <alignment horizontal="center"/>
    </xf>
    <xf numFmtId="175" fontId="9" fillId="0" borderId="0" xfId="42" applyNumberFormat="1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11" xfId="42" applyNumberFormat="1" applyFont="1" applyBorder="1" applyAlignment="1">
      <alignment/>
    </xf>
    <xf numFmtId="175" fontId="9" fillId="0" borderId="12" xfId="0" applyNumberFormat="1" applyFont="1" applyBorder="1" applyAlignment="1">
      <alignment/>
    </xf>
    <xf numFmtId="182" fontId="9" fillId="0" borderId="0" xfId="42" applyNumberFormat="1" applyFont="1" applyAlignment="1">
      <alignment/>
    </xf>
    <xf numFmtId="0" fontId="9" fillId="0" borderId="10" xfId="0" applyFont="1" applyBorder="1" applyAlignment="1">
      <alignment/>
    </xf>
    <xf numFmtId="175" fontId="9" fillId="0" borderId="12" xfId="42" applyNumberFormat="1" applyFont="1" applyBorder="1" applyAlignment="1">
      <alignment/>
    </xf>
    <xf numFmtId="0" fontId="9" fillId="0" borderId="12" xfId="0" applyFont="1" applyBorder="1" applyAlignment="1">
      <alignment/>
    </xf>
    <xf numFmtId="173" fontId="9" fillId="0" borderId="0" xfId="42" applyFont="1" applyAlignment="1">
      <alignment/>
    </xf>
    <xf numFmtId="179" fontId="9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9" fillId="0" borderId="0" xfId="42" applyFont="1" applyAlignment="1">
      <alignment horizontal="right"/>
    </xf>
    <xf numFmtId="175" fontId="9" fillId="0" borderId="13" xfId="42" applyNumberFormat="1" applyFont="1" applyBorder="1" applyAlignment="1">
      <alignment/>
    </xf>
    <xf numFmtId="175" fontId="10" fillId="0" borderId="12" xfId="42" applyNumberFormat="1" applyFont="1" applyBorder="1" applyAlignment="1">
      <alignment/>
    </xf>
    <xf numFmtId="173" fontId="10" fillId="0" borderId="0" xfId="42" applyFont="1" applyAlignment="1">
      <alignment horizontal="center"/>
    </xf>
    <xf numFmtId="0" fontId="9" fillId="0" borderId="0" xfId="0" applyFont="1" applyAlignment="1">
      <alignment horizontal="center"/>
    </xf>
    <xf numFmtId="175" fontId="9" fillId="0" borderId="0" xfId="42" applyNumberFormat="1" applyFont="1" applyAlignment="1" applyProtection="1">
      <alignment/>
      <protection/>
    </xf>
    <xf numFmtId="16" fontId="10" fillId="0" borderId="0" xfId="0" applyNumberFormat="1" applyFont="1" applyAlignment="1">
      <alignment horizontal="center"/>
    </xf>
    <xf numFmtId="175" fontId="10" fillId="0" borderId="0" xfId="0" applyNumberFormat="1" applyFont="1" applyAlignment="1">
      <alignment/>
    </xf>
    <xf numFmtId="175" fontId="10" fillId="0" borderId="0" xfId="42" applyNumberFormat="1" applyFont="1" applyAlignment="1">
      <alignment/>
    </xf>
    <xf numFmtId="175" fontId="10" fillId="0" borderId="13" xfId="42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 quotePrefix="1">
      <alignment/>
    </xf>
    <xf numFmtId="175" fontId="10" fillId="0" borderId="12" xfId="0" applyNumberFormat="1" applyFont="1" applyBorder="1" applyAlignment="1">
      <alignment/>
    </xf>
    <xf numFmtId="183" fontId="9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184" fontId="9" fillId="0" borderId="0" xfId="42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42" applyNumberFormat="1" applyFont="1" applyAlignment="1">
      <alignment horizontal="right"/>
    </xf>
    <xf numFmtId="184" fontId="9" fillId="0" borderId="12" xfId="42" applyNumberFormat="1" applyFont="1" applyBorder="1" applyAlignment="1">
      <alignment horizontal="right"/>
    </xf>
    <xf numFmtId="184" fontId="9" fillId="0" borderId="12" xfId="42" applyNumberFormat="1" applyFont="1" applyBorder="1" applyAlignment="1">
      <alignment/>
    </xf>
    <xf numFmtId="184" fontId="9" fillId="0" borderId="12" xfId="0" applyNumberFormat="1" applyFont="1" applyBorder="1" applyAlignment="1">
      <alignment/>
    </xf>
    <xf numFmtId="182" fontId="9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86" fontId="9" fillId="0" borderId="0" xfId="42" applyNumberFormat="1" applyFont="1" applyAlignment="1">
      <alignment/>
    </xf>
    <xf numFmtId="0" fontId="0" fillId="0" borderId="0" xfId="0" applyFont="1" applyAlignment="1">
      <alignment/>
    </xf>
    <xf numFmtId="183" fontId="9" fillId="0" borderId="0" xfId="42" applyNumberFormat="1" applyFont="1" applyBorder="1" applyAlignment="1">
      <alignment/>
    </xf>
    <xf numFmtId="0" fontId="51" fillId="0" borderId="0" xfId="0" applyFont="1" applyAlignment="1">
      <alignment/>
    </xf>
    <xf numFmtId="0" fontId="9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June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ckie\AppData\Local\Microsoft\Windows\Temporary%20Internet%20Files\Content.Outlook\GANMK02H\LIMCL\consoCflowJune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  <sheetName val="Acq.MH Const"/>
      <sheetName val="Redemptn RPS"/>
      <sheetName val="KJ RPS "/>
    </sheetNames>
    <sheetDataSet>
      <sheetData sheetId="12"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71">
          <cell r="C71">
            <v>0</v>
          </cell>
          <cell r="F71">
            <v>0</v>
          </cell>
        </row>
        <row r="72">
          <cell r="C72">
            <v>0</v>
          </cell>
        </row>
        <row r="75">
          <cell r="C75">
            <v>0</v>
          </cell>
        </row>
        <row r="87">
          <cell r="F87">
            <v>0</v>
          </cell>
        </row>
        <row r="100">
          <cell r="C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tabSelected="1" zoomScalePageLayoutView="0" workbookViewId="0" topLeftCell="A1">
      <selection activeCell="B2" sqref="B2:J73"/>
    </sheetView>
  </sheetViews>
  <sheetFormatPr defaultColWidth="9.140625" defaultRowHeight="12.75"/>
  <cols>
    <col min="1" max="1" width="3.28125" style="0" customWidth="1"/>
    <col min="2" max="2" width="41.8515625" style="0" customWidth="1"/>
    <col min="3" max="3" width="13.8515625" style="0" customWidth="1"/>
    <col min="4" max="4" width="13.421875" style="0" customWidth="1"/>
    <col min="5" max="5" width="2.57421875" style="0" customWidth="1"/>
    <col min="6" max="6" width="18.140625" style="0" customWidth="1"/>
    <col min="7" max="7" width="4.8515625" style="0" customWidth="1"/>
    <col min="8" max="8" width="13.28125" style="0" customWidth="1"/>
    <col min="9" max="9" width="2.421875" style="0" customWidth="1"/>
    <col min="10" max="10" width="19.8515625" style="0" customWidth="1"/>
    <col min="12" max="12" width="14.8515625" style="0" bestFit="1" customWidth="1"/>
    <col min="13" max="13" width="18.57421875" style="0" bestFit="1" customWidth="1"/>
  </cols>
  <sheetData>
    <row r="2" spans="2:10" ht="16.5">
      <c r="B2" s="24" t="s">
        <v>2</v>
      </c>
      <c r="C2" s="25"/>
      <c r="D2" s="25"/>
      <c r="E2" s="25"/>
      <c r="F2" s="25"/>
      <c r="G2" s="25"/>
      <c r="H2" s="25"/>
      <c r="I2" s="25"/>
      <c r="J2" s="26"/>
    </row>
    <row r="3" spans="2:10" ht="16.5">
      <c r="B3" s="24" t="s">
        <v>3</v>
      </c>
      <c r="C3" s="25"/>
      <c r="D3" s="25"/>
      <c r="E3" s="25"/>
      <c r="F3" s="25"/>
      <c r="G3" s="25"/>
      <c r="H3" s="25"/>
      <c r="I3" s="25"/>
      <c r="J3" s="24"/>
    </row>
    <row r="4" spans="2:10" ht="16.5">
      <c r="B4" s="24" t="s">
        <v>0</v>
      </c>
      <c r="C4" s="25"/>
      <c r="D4" s="25"/>
      <c r="E4" s="25"/>
      <c r="F4" s="25"/>
      <c r="G4" s="25"/>
      <c r="H4" s="25" t="s">
        <v>0</v>
      </c>
      <c r="I4" s="25"/>
      <c r="J4" s="27"/>
    </row>
    <row r="5" spans="2:10" ht="16.5">
      <c r="B5" s="24" t="s">
        <v>195</v>
      </c>
      <c r="C5" s="25"/>
      <c r="D5" s="25"/>
      <c r="E5" s="25"/>
      <c r="F5" s="25"/>
      <c r="G5" s="25"/>
      <c r="H5" s="25"/>
      <c r="I5" s="25"/>
      <c r="J5" s="25"/>
    </row>
    <row r="6" spans="2:10" ht="16.5">
      <c r="B6" s="24" t="s">
        <v>88</v>
      </c>
      <c r="C6" s="25"/>
      <c r="D6" s="25"/>
      <c r="E6" s="25"/>
      <c r="F6" s="25"/>
      <c r="G6" s="25"/>
      <c r="H6" s="25"/>
      <c r="I6" s="25"/>
      <c r="J6" s="25"/>
    </row>
    <row r="7" spans="2:10" ht="16.5">
      <c r="B7" s="24"/>
      <c r="C7" s="25"/>
      <c r="D7" s="25"/>
      <c r="E7" s="25"/>
      <c r="F7" s="25"/>
      <c r="G7" s="25"/>
      <c r="H7" s="25"/>
      <c r="I7" s="25"/>
      <c r="J7" s="25"/>
    </row>
    <row r="8" spans="2:10" ht="16.5">
      <c r="B8" s="24"/>
      <c r="C8" s="25"/>
      <c r="D8" s="28" t="s">
        <v>6</v>
      </c>
      <c r="E8" s="28"/>
      <c r="F8" s="28"/>
      <c r="G8" s="19"/>
      <c r="H8" s="28" t="s">
        <v>7</v>
      </c>
      <c r="I8" s="28"/>
      <c r="J8" s="28"/>
    </row>
    <row r="9" spans="2:10" ht="16.5">
      <c r="B9" s="24"/>
      <c r="C9" s="25"/>
      <c r="D9" s="25"/>
      <c r="E9" s="25"/>
      <c r="F9" s="25"/>
      <c r="G9" s="25"/>
      <c r="H9" s="25"/>
      <c r="I9" s="25"/>
      <c r="J9" s="25"/>
    </row>
    <row r="10" spans="2:10" ht="16.5">
      <c r="B10" s="24"/>
      <c r="C10" s="25"/>
      <c r="D10" s="25"/>
      <c r="E10" s="25"/>
      <c r="F10" s="29" t="s">
        <v>22</v>
      </c>
      <c r="G10" s="25"/>
      <c r="H10" s="25"/>
      <c r="I10" s="25"/>
      <c r="J10" s="29" t="s">
        <v>22</v>
      </c>
    </row>
    <row r="11" spans="2:10" ht="16.5">
      <c r="B11" s="24" t="s">
        <v>0</v>
      </c>
      <c r="C11" s="25"/>
      <c r="D11" s="29" t="s">
        <v>8</v>
      </c>
      <c r="E11" s="29"/>
      <c r="F11" s="29" t="s">
        <v>9</v>
      </c>
      <c r="G11" s="25"/>
      <c r="H11" s="29" t="s">
        <v>8</v>
      </c>
      <c r="I11" s="29"/>
      <c r="J11" s="29" t="s">
        <v>9</v>
      </c>
    </row>
    <row r="12" spans="2:10" ht="16.5">
      <c r="B12" s="18"/>
      <c r="C12" s="18"/>
      <c r="D12" s="29" t="s">
        <v>9</v>
      </c>
      <c r="E12" s="29"/>
      <c r="F12" s="29" t="s">
        <v>11</v>
      </c>
      <c r="G12" s="30"/>
      <c r="H12" s="29" t="s">
        <v>9</v>
      </c>
      <c r="I12" s="29"/>
      <c r="J12" s="29" t="s">
        <v>11</v>
      </c>
    </row>
    <row r="13" spans="2:10" ht="16.5">
      <c r="B13" s="18"/>
      <c r="C13" s="18"/>
      <c r="D13" s="29" t="s">
        <v>10</v>
      </c>
      <c r="E13" s="29"/>
      <c r="F13" s="29" t="s">
        <v>10</v>
      </c>
      <c r="G13" s="30"/>
      <c r="H13" s="29" t="s">
        <v>12</v>
      </c>
      <c r="I13" s="29"/>
      <c r="J13" s="29" t="s">
        <v>13</v>
      </c>
    </row>
    <row r="14" spans="2:10" ht="16.5">
      <c r="B14" s="18"/>
      <c r="C14" s="18"/>
      <c r="D14" s="31" t="s">
        <v>194</v>
      </c>
      <c r="E14" s="29"/>
      <c r="F14" s="31" t="str">
        <f>D14</f>
        <v>30 JUNE</v>
      </c>
      <c r="G14" s="19"/>
      <c r="H14" s="31" t="str">
        <f>F14</f>
        <v>30 JUNE</v>
      </c>
      <c r="I14" s="29"/>
      <c r="J14" s="31" t="str">
        <f>H14</f>
        <v>30 JUNE</v>
      </c>
    </row>
    <row r="15" spans="2:10" ht="16.5">
      <c r="B15" s="18"/>
      <c r="C15" s="18"/>
      <c r="D15" s="29">
        <v>2019</v>
      </c>
      <c r="E15" s="29"/>
      <c r="F15" s="29">
        <v>2018</v>
      </c>
      <c r="G15" s="29"/>
      <c r="H15" s="29">
        <v>2019</v>
      </c>
      <c r="I15" s="29"/>
      <c r="J15" s="29">
        <v>2018</v>
      </c>
    </row>
    <row r="16" spans="2:10" ht="16.5">
      <c r="B16" s="18"/>
      <c r="C16" s="18"/>
      <c r="D16" s="29" t="s">
        <v>1</v>
      </c>
      <c r="E16" s="29"/>
      <c r="F16" s="29" t="s">
        <v>1</v>
      </c>
      <c r="G16" s="29"/>
      <c r="H16" s="29" t="s">
        <v>1</v>
      </c>
      <c r="I16" s="29"/>
      <c r="J16" s="29" t="s">
        <v>1</v>
      </c>
    </row>
    <row r="17" spans="2:10" ht="16.5">
      <c r="B17" s="19"/>
      <c r="C17" s="18"/>
      <c r="D17" s="18" t="s">
        <v>0</v>
      </c>
      <c r="E17" s="18"/>
      <c r="F17" s="3"/>
      <c r="G17" s="18"/>
      <c r="H17" s="18"/>
      <c r="I17" s="18"/>
      <c r="J17" s="3"/>
    </row>
    <row r="18" spans="2:10" ht="16.5">
      <c r="B18" s="19" t="s">
        <v>26</v>
      </c>
      <c r="C18" s="18"/>
      <c r="D18" s="32">
        <f>4425-1886</f>
        <v>2539</v>
      </c>
      <c r="E18" s="32"/>
      <c r="F18" s="32">
        <f>6557-1554</f>
        <v>5003</v>
      </c>
      <c r="G18" s="18"/>
      <c r="H18" s="32">
        <v>4424.52692</v>
      </c>
      <c r="I18" s="32"/>
      <c r="J18" s="33">
        <v>6557</v>
      </c>
    </row>
    <row r="19" spans="2:10" ht="16.5">
      <c r="B19" s="18"/>
      <c r="C19" s="18"/>
      <c r="D19" s="34"/>
      <c r="E19" s="34"/>
      <c r="F19" s="34"/>
      <c r="G19" s="18"/>
      <c r="H19" s="18"/>
      <c r="I19" s="34"/>
      <c r="J19" s="34"/>
    </row>
    <row r="20" spans="2:10" ht="16.5">
      <c r="B20" s="22" t="s">
        <v>42</v>
      </c>
      <c r="C20" s="18"/>
      <c r="D20" s="35">
        <f>-9227+4094</f>
        <v>-5133</v>
      </c>
      <c r="E20" s="18"/>
      <c r="F20" s="36">
        <f>-7190+3824</f>
        <v>-3366</v>
      </c>
      <c r="G20" s="18"/>
      <c r="H20" s="36">
        <v>-9226.703210000001</v>
      </c>
      <c r="I20" s="18"/>
      <c r="J20" s="36">
        <v>-7190</v>
      </c>
    </row>
    <row r="21" spans="2:10" ht="16.5">
      <c r="B21" s="18" t="s">
        <v>117</v>
      </c>
      <c r="C21" s="30"/>
      <c r="D21" s="35">
        <f>421-255</f>
        <v>166</v>
      </c>
      <c r="E21" s="35"/>
      <c r="F21" s="35">
        <f>336-154</f>
        <v>182</v>
      </c>
      <c r="G21" s="30"/>
      <c r="H21" s="35">
        <v>421.33558000000016</v>
      </c>
      <c r="I21" s="35"/>
      <c r="J21" s="36">
        <v>336</v>
      </c>
    </row>
    <row r="22" spans="2:10" ht="16.5">
      <c r="B22" s="18"/>
      <c r="C22" s="30"/>
      <c r="D22" s="37" t="s">
        <v>0</v>
      </c>
      <c r="E22" s="35"/>
      <c r="F22" s="38"/>
      <c r="G22" s="30"/>
      <c r="H22" s="37"/>
      <c r="I22" s="35"/>
      <c r="J22" s="39"/>
    </row>
    <row r="23" spans="2:10" ht="16.5">
      <c r="B23" s="19" t="s">
        <v>206</v>
      </c>
      <c r="C23" s="30" t="s">
        <v>0</v>
      </c>
      <c r="D23" s="35">
        <f>SUM(D18:D22)</f>
        <v>-2428</v>
      </c>
      <c r="E23" s="35"/>
      <c r="F23" s="36">
        <f>SUM(F18:F22)</f>
        <v>1819</v>
      </c>
      <c r="G23" s="30"/>
      <c r="H23" s="35">
        <f>SUM(H18:H22)</f>
        <v>-4380.840710000001</v>
      </c>
      <c r="I23" s="35"/>
      <c r="J23" s="35">
        <f>SUM(J18:J22)</f>
        <v>-297</v>
      </c>
    </row>
    <row r="24" spans="2:10" ht="16.5">
      <c r="B24" s="19"/>
      <c r="C24" s="30"/>
      <c r="D24" s="35"/>
      <c r="E24" s="35"/>
      <c r="F24" s="36"/>
      <c r="G24" s="30"/>
      <c r="H24" s="35" t="s">
        <v>0</v>
      </c>
      <c r="I24" s="35"/>
      <c r="J24" s="30"/>
    </row>
    <row r="25" spans="2:10" ht="16.5">
      <c r="B25" s="18" t="s">
        <v>46</v>
      </c>
      <c r="C25" s="30"/>
      <c r="D25" s="35">
        <f>42-22</f>
        <v>20</v>
      </c>
      <c r="E25" s="35"/>
      <c r="F25" s="36">
        <f>30-15</f>
        <v>15</v>
      </c>
      <c r="G25" s="30"/>
      <c r="H25" s="35">
        <v>41.746559999999995</v>
      </c>
      <c r="I25" s="35"/>
      <c r="J25" s="36">
        <v>30</v>
      </c>
    </row>
    <row r="26" spans="2:10" ht="16.5">
      <c r="B26" s="18" t="s">
        <v>47</v>
      </c>
      <c r="C26" s="30"/>
      <c r="D26" s="35">
        <f>-1+1</f>
        <v>0</v>
      </c>
      <c r="E26" s="35"/>
      <c r="F26" s="36">
        <f>-35+17</f>
        <v>-18</v>
      </c>
      <c r="G26" s="30"/>
      <c r="H26" s="35">
        <v>-1.3319700000000054</v>
      </c>
      <c r="I26" s="35"/>
      <c r="J26" s="36">
        <v>-35</v>
      </c>
    </row>
    <row r="27" spans="2:10" ht="16.5">
      <c r="B27" s="18" t="s">
        <v>43</v>
      </c>
      <c r="C27" s="30"/>
      <c r="D27" s="36">
        <f>1398-868</f>
        <v>530</v>
      </c>
      <c r="E27" s="35"/>
      <c r="F27" s="35">
        <f>1741-905</f>
        <v>836</v>
      </c>
      <c r="G27" s="30"/>
      <c r="H27" s="46">
        <v>1397.93685</v>
      </c>
      <c r="I27" s="35"/>
      <c r="J27" s="35">
        <f>1740+1</f>
        <v>1741</v>
      </c>
    </row>
    <row r="28" spans="2:10" ht="16.5">
      <c r="B28" s="18" t="s">
        <v>0</v>
      </c>
      <c r="C28" s="30"/>
      <c r="D28" s="37" t="s">
        <v>0</v>
      </c>
      <c r="E28" s="37"/>
      <c r="F28" s="38" t="s">
        <v>0</v>
      </c>
      <c r="G28" s="30"/>
      <c r="H28" s="37" t="s">
        <v>0</v>
      </c>
      <c r="I28" s="37"/>
      <c r="J28" s="38"/>
    </row>
    <row r="29" spans="2:10" ht="16.5">
      <c r="B29" s="40" t="s">
        <v>207</v>
      </c>
      <c r="C29" s="30"/>
      <c r="D29" s="36">
        <f>SUM(D23:D28)</f>
        <v>-1878</v>
      </c>
      <c r="E29" s="35"/>
      <c r="F29" s="35">
        <f>SUM(F23:F28)</f>
        <v>2652</v>
      </c>
      <c r="G29" s="30"/>
      <c r="H29" s="36">
        <f>SUM(H23:H28)</f>
        <v>-2942.489270000002</v>
      </c>
      <c r="I29" s="35"/>
      <c r="J29" s="35">
        <f>SUM(J23:J28)</f>
        <v>1439</v>
      </c>
    </row>
    <row r="30" spans="2:10" ht="16.5">
      <c r="B30" s="40" t="s">
        <v>0</v>
      </c>
      <c r="C30" s="30"/>
      <c r="D30" s="35"/>
      <c r="E30" s="35"/>
      <c r="F30" s="30"/>
      <c r="G30" s="30"/>
      <c r="H30" s="35" t="s">
        <v>0</v>
      </c>
      <c r="I30" s="35"/>
      <c r="J30" s="30"/>
    </row>
    <row r="31" spans="2:10" ht="16.5">
      <c r="B31" s="18" t="s">
        <v>28</v>
      </c>
      <c r="C31" s="18"/>
      <c r="D31" s="32">
        <f>-8+4</f>
        <v>-4</v>
      </c>
      <c r="E31" s="32"/>
      <c r="F31" s="41">
        <f>-18+9</f>
        <v>-9</v>
      </c>
      <c r="G31" s="18"/>
      <c r="H31" s="42">
        <v>-7.626</v>
      </c>
      <c r="I31" s="32"/>
      <c r="J31" s="41">
        <v>-18</v>
      </c>
    </row>
    <row r="32" spans="2:10" ht="16.5">
      <c r="B32" s="18" t="s">
        <v>0</v>
      </c>
      <c r="C32" s="18"/>
      <c r="D32" s="37" t="s">
        <v>0</v>
      </c>
      <c r="E32" s="37"/>
      <c r="F32" s="37" t="s">
        <v>0</v>
      </c>
      <c r="G32" s="18"/>
      <c r="H32" s="37" t="s">
        <v>0</v>
      </c>
      <c r="I32" s="37"/>
      <c r="J32" s="37" t="s">
        <v>0</v>
      </c>
    </row>
    <row r="33" spans="2:10" ht="16.5" hidden="1">
      <c r="B33" s="40" t="s">
        <v>82</v>
      </c>
      <c r="C33" s="30"/>
      <c r="D33" s="32">
        <f>SUM(D29:D32)</f>
        <v>-1882</v>
      </c>
      <c r="E33" s="32"/>
      <c r="F33" s="32">
        <f>SUM(F29:F32)</f>
        <v>2643</v>
      </c>
      <c r="G33" s="34"/>
      <c r="H33" s="32">
        <f>SUM(H29:H32)</f>
        <v>-2950.115270000002</v>
      </c>
      <c r="I33" s="32"/>
      <c r="J33" s="32">
        <f>SUM(J29:J32)</f>
        <v>1421</v>
      </c>
    </row>
    <row r="34" spans="2:10" ht="16.5" hidden="1">
      <c r="B34" s="40"/>
      <c r="C34" s="30"/>
      <c r="D34" s="35"/>
      <c r="E34" s="35"/>
      <c r="F34" s="35"/>
      <c r="G34" s="30"/>
      <c r="H34" s="35"/>
      <c r="I34" s="35"/>
      <c r="J34" s="35"/>
    </row>
    <row r="35" spans="2:10" ht="16.5" hidden="1">
      <c r="B35" s="40" t="s">
        <v>71</v>
      </c>
      <c r="C35" s="30"/>
      <c r="D35" s="35"/>
      <c r="E35" s="35"/>
      <c r="F35" s="35"/>
      <c r="G35" s="30"/>
      <c r="H35" s="35"/>
      <c r="I35" s="35"/>
      <c r="J35" s="35"/>
    </row>
    <row r="36" spans="2:10" ht="16.5" hidden="1">
      <c r="B36" s="40" t="s">
        <v>80</v>
      </c>
      <c r="C36" s="30"/>
      <c r="D36" s="35">
        <v>0</v>
      </c>
      <c r="E36" s="35"/>
      <c r="F36" s="35">
        <v>0</v>
      </c>
      <c r="G36" s="30"/>
      <c r="H36" s="35">
        <v>0</v>
      </c>
      <c r="I36" s="35"/>
      <c r="J36" s="35">
        <v>0</v>
      </c>
    </row>
    <row r="37" spans="2:10" ht="16.5" hidden="1">
      <c r="B37" s="40"/>
      <c r="C37" s="30"/>
      <c r="D37" s="35"/>
      <c r="E37" s="35"/>
      <c r="F37" s="35"/>
      <c r="G37" s="30"/>
      <c r="H37" s="35"/>
      <c r="I37" s="35"/>
      <c r="J37" s="35"/>
    </row>
    <row r="38" spans="2:10" ht="16.5">
      <c r="B38" s="40" t="s">
        <v>208</v>
      </c>
      <c r="C38" s="30"/>
      <c r="D38" s="43">
        <f>SUM(D33:D37)</f>
        <v>-1882</v>
      </c>
      <c r="E38" s="43"/>
      <c r="F38" s="43">
        <f>SUM(F33:F37)</f>
        <v>2643</v>
      </c>
      <c r="G38" s="30"/>
      <c r="H38" s="44">
        <f>SUM(H33:H37)</f>
        <v>-2950.115270000002</v>
      </c>
      <c r="I38" s="43"/>
      <c r="J38" s="43">
        <f>SUM(J33:J37)</f>
        <v>1421</v>
      </c>
    </row>
    <row r="39" spans="2:10" ht="16.5">
      <c r="B39" s="40"/>
      <c r="C39" s="30"/>
      <c r="D39" s="32"/>
      <c r="E39" s="32"/>
      <c r="F39" s="32"/>
      <c r="G39" s="30"/>
      <c r="H39" s="32"/>
      <c r="I39" s="32"/>
      <c r="J39" s="32"/>
    </row>
    <row r="40" spans="2:10" ht="16.5">
      <c r="B40" s="22" t="s">
        <v>152</v>
      </c>
      <c r="C40" s="30"/>
      <c r="D40" s="42">
        <v>0</v>
      </c>
      <c r="E40" s="32"/>
      <c r="F40" s="32">
        <v>0</v>
      </c>
      <c r="G40" s="30"/>
      <c r="H40" s="32">
        <v>0</v>
      </c>
      <c r="I40" s="32"/>
      <c r="J40" s="32">
        <v>0</v>
      </c>
    </row>
    <row r="41" spans="2:10" ht="10.5" customHeight="1">
      <c r="B41" s="40"/>
      <c r="C41" s="30"/>
      <c r="D41" s="32"/>
      <c r="E41" s="32"/>
      <c r="F41" s="32"/>
      <c r="G41" s="30"/>
      <c r="H41" s="32"/>
      <c r="I41" s="32"/>
      <c r="J41" s="32"/>
    </row>
    <row r="42" spans="2:10" ht="16.5">
      <c r="B42" s="40" t="s">
        <v>159</v>
      </c>
      <c r="C42" s="30"/>
      <c r="D42" s="32"/>
      <c r="E42" s="32"/>
      <c r="F42" s="32"/>
      <c r="G42" s="30"/>
      <c r="H42" s="32"/>
      <c r="I42" s="32"/>
      <c r="J42" s="32"/>
    </row>
    <row r="43" spans="2:10" ht="17.25" thickBot="1">
      <c r="B43" s="40" t="s">
        <v>89</v>
      </c>
      <c r="C43" s="30"/>
      <c r="D43" s="45">
        <f>SUM(D38:D42)</f>
        <v>-1882</v>
      </c>
      <c r="E43" s="45"/>
      <c r="F43" s="45">
        <f>SUM(F38:F42)</f>
        <v>2643</v>
      </c>
      <c r="G43" s="30"/>
      <c r="H43" s="45">
        <f>SUM(H38:H42)</f>
        <v>-2950.115270000002</v>
      </c>
      <c r="I43" s="45"/>
      <c r="J43" s="45">
        <f>SUM(J38:J42)</f>
        <v>1421</v>
      </c>
    </row>
    <row r="44" spans="2:10" ht="17.25" thickTop="1">
      <c r="B44" s="40"/>
      <c r="C44" s="30"/>
      <c r="D44" s="32"/>
      <c r="E44" s="32"/>
      <c r="F44" s="32"/>
      <c r="G44" s="30"/>
      <c r="H44" s="32"/>
      <c r="I44" s="32"/>
      <c r="J44" s="32"/>
    </row>
    <row r="45" spans="2:10" ht="16.5">
      <c r="B45" s="40" t="s">
        <v>160</v>
      </c>
      <c r="C45" s="30"/>
      <c r="D45" s="35"/>
      <c r="E45" s="35"/>
      <c r="F45" s="35"/>
      <c r="G45" s="30"/>
      <c r="H45" s="35"/>
      <c r="I45" s="35"/>
      <c r="J45" s="35"/>
    </row>
    <row r="46" spans="2:10" ht="16.5">
      <c r="B46" s="22" t="s">
        <v>120</v>
      </c>
      <c r="C46" s="30"/>
      <c r="D46" s="36">
        <f>-2979+1081</f>
        <v>-1898</v>
      </c>
      <c r="E46" s="35"/>
      <c r="F46" s="35">
        <f>1464+1196</f>
        <v>2660</v>
      </c>
      <c r="G46" s="30"/>
      <c r="H46" s="36">
        <f>H38-H47+0.5</f>
        <v>-2979.110529500002</v>
      </c>
      <c r="I46" s="35"/>
      <c r="J46" s="35">
        <v>1464</v>
      </c>
    </row>
    <row r="47" spans="2:10" ht="16.5">
      <c r="B47" s="18" t="s">
        <v>114</v>
      </c>
      <c r="C47" s="30"/>
      <c r="D47" s="76">
        <f>29-13</f>
        <v>16</v>
      </c>
      <c r="E47" s="35"/>
      <c r="F47" s="41">
        <f>-43+26</f>
        <v>-17</v>
      </c>
      <c r="G47" s="30"/>
      <c r="H47" s="76">
        <v>29.49525949999998</v>
      </c>
      <c r="I47" s="35"/>
      <c r="J47" s="41">
        <v>-43</v>
      </c>
    </row>
    <row r="48" spans="2:10" ht="16.5">
      <c r="B48" s="18"/>
      <c r="C48" s="18"/>
      <c r="D48" s="47"/>
      <c r="E48" s="47"/>
      <c r="F48" s="47"/>
      <c r="G48" s="18"/>
      <c r="H48" s="47"/>
      <c r="I48" s="47"/>
      <c r="J48" s="47"/>
    </row>
    <row r="49" spans="2:10" ht="17.25" thickBot="1">
      <c r="B49" s="40" t="s">
        <v>0</v>
      </c>
      <c r="C49" s="18"/>
      <c r="D49" s="48">
        <f>SUM(D46:D48)</f>
        <v>-1882</v>
      </c>
      <c r="E49" s="45"/>
      <c r="F49" s="45">
        <f>SUM(F46:F48)</f>
        <v>2643</v>
      </c>
      <c r="G49" s="18"/>
      <c r="H49" s="45">
        <f>SUM(H46:H48)</f>
        <v>-2949.615270000002</v>
      </c>
      <c r="I49" s="45"/>
      <c r="J49" s="45">
        <f>SUM(J46:J48)</f>
        <v>1421</v>
      </c>
    </row>
    <row r="50" spans="2:10" ht="17.25" thickTop="1">
      <c r="B50" s="18" t="s">
        <v>0</v>
      </c>
      <c r="C50" s="18"/>
      <c r="D50" s="18" t="s">
        <v>0</v>
      </c>
      <c r="E50" s="18"/>
      <c r="F50" s="18"/>
      <c r="G50" s="18"/>
      <c r="H50" s="18" t="s">
        <v>0</v>
      </c>
      <c r="I50" s="18"/>
      <c r="J50" s="18"/>
    </row>
    <row r="51" spans="2:10" ht="16.5">
      <c r="B51" s="40" t="s">
        <v>159</v>
      </c>
      <c r="C51" s="18"/>
      <c r="D51" s="18"/>
      <c r="E51" s="18"/>
      <c r="F51" s="18" t="s">
        <v>0</v>
      </c>
      <c r="G51" s="18"/>
      <c r="H51" s="18" t="s">
        <v>0</v>
      </c>
      <c r="I51" s="18"/>
      <c r="J51" s="18"/>
    </row>
    <row r="52" spans="2:10" ht="16.5">
      <c r="B52" s="40" t="s">
        <v>55</v>
      </c>
      <c r="C52" s="18"/>
      <c r="D52" s="18"/>
      <c r="E52" s="18"/>
      <c r="F52" s="18"/>
      <c r="G52" s="18"/>
      <c r="H52" s="18"/>
      <c r="I52" s="18"/>
      <c r="J52" s="18"/>
    </row>
    <row r="53" spans="2:10" ht="16.5">
      <c r="B53" s="22" t="s">
        <v>120</v>
      </c>
      <c r="C53" s="18"/>
      <c r="D53" s="36">
        <f>D46</f>
        <v>-1898</v>
      </c>
      <c r="E53" s="18"/>
      <c r="F53" s="36">
        <f>1464+1196</f>
        <v>2660</v>
      </c>
      <c r="G53" s="18"/>
      <c r="H53" s="76">
        <f>H46</f>
        <v>-2979.110529500002</v>
      </c>
      <c r="I53" s="18"/>
      <c r="J53" s="35">
        <f>1464</f>
        <v>1464</v>
      </c>
    </row>
    <row r="54" spans="2:10" ht="16.5">
      <c r="B54" s="18" t="s">
        <v>114</v>
      </c>
      <c r="C54" s="18"/>
      <c r="D54" s="36">
        <f>D47</f>
        <v>16</v>
      </c>
      <c r="E54" s="18"/>
      <c r="F54" s="36">
        <f>-43+26</f>
        <v>-17</v>
      </c>
      <c r="G54" s="18"/>
      <c r="H54" s="76">
        <f>H47</f>
        <v>29.49525949999998</v>
      </c>
      <c r="I54" s="18"/>
      <c r="J54" s="35">
        <v>-43</v>
      </c>
    </row>
    <row r="55" spans="2:10" ht="17.25" thickBot="1">
      <c r="B55" s="18"/>
      <c r="C55" s="18"/>
      <c r="D55" s="45">
        <f>SUM(D53:D54)</f>
        <v>-1882</v>
      </c>
      <c r="E55" s="49"/>
      <c r="F55" s="45">
        <f>SUM(F53:F54)</f>
        <v>2643</v>
      </c>
      <c r="G55" s="18"/>
      <c r="H55" s="48">
        <f>SUM(H53:H54)</f>
        <v>-2949.615270000002</v>
      </c>
      <c r="I55" s="49"/>
      <c r="J55" s="48">
        <f>SUM(J53:J54)</f>
        <v>1421</v>
      </c>
    </row>
    <row r="56" spans="2:10" ht="17.25" thickTop="1">
      <c r="B56" s="19" t="s">
        <v>0</v>
      </c>
      <c r="C56" s="18"/>
      <c r="D56" s="35"/>
      <c r="E56" s="18"/>
      <c r="F56" s="18"/>
      <c r="G56" s="18"/>
      <c r="H56" s="18" t="s">
        <v>0</v>
      </c>
      <c r="I56" s="18"/>
      <c r="J56" s="18"/>
    </row>
    <row r="57" spans="2:10" ht="16.5">
      <c r="B57" s="19" t="s">
        <v>201</v>
      </c>
      <c r="C57" s="18"/>
      <c r="D57" s="50" t="s">
        <v>0</v>
      </c>
      <c r="E57" s="18"/>
      <c r="F57" s="18"/>
      <c r="G57" s="18"/>
      <c r="H57" s="18"/>
      <c r="I57" s="18"/>
      <c r="J57" s="18"/>
    </row>
    <row r="58" spans="2:10" ht="16.5">
      <c r="B58" s="19" t="s">
        <v>129</v>
      </c>
      <c r="C58" s="18"/>
      <c r="D58" s="51" t="s">
        <v>0</v>
      </c>
      <c r="E58" s="35"/>
      <c r="F58" s="18"/>
      <c r="G58" s="18"/>
      <c r="H58" s="18" t="s">
        <v>0</v>
      </c>
      <c r="I58" s="18"/>
      <c r="J58" s="18"/>
    </row>
    <row r="59" spans="2:10" ht="16.5">
      <c r="B59" s="19" t="s">
        <v>0</v>
      </c>
      <c r="C59" s="30"/>
      <c r="D59" s="30" t="s">
        <v>0</v>
      </c>
      <c r="E59" s="30"/>
      <c r="F59" s="30"/>
      <c r="G59" s="30"/>
      <c r="H59" s="30" t="s">
        <v>0</v>
      </c>
      <c r="I59" s="30"/>
      <c r="J59" s="30"/>
    </row>
    <row r="60" spans="2:10" ht="16.5">
      <c r="B60" s="19" t="s">
        <v>202</v>
      </c>
      <c r="C60" s="30"/>
      <c r="D60" s="68">
        <f>(D33+(-29+13)+(0+0))/168391.313*100</f>
        <v>-1.1271365287115496</v>
      </c>
      <c r="E60" s="68"/>
      <c r="F60" s="68">
        <f>F46/168391.313*100</f>
        <v>1.579653933810707</v>
      </c>
      <c r="G60" s="69"/>
      <c r="H60" s="68">
        <f>(H33-H47)/168391.313*100</f>
        <v>-1.7694562008076997</v>
      </c>
      <c r="I60" s="68"/>
      <c r="J60" s="68">
        <f>(J33-J47)/168391.313*100</f>
        <v>0.8694035184582236</v>
      </c>
    </row>
    <row r="61" spans="2:10" ht="16.5" hidden="1">
      <c r="B61" s="19"/>
      <c r="C61" s="30"/>
      <c r="D61" s="68"/>
      <c r="E61" s="68"/>
      <c r="F61" s="68"/>
      <c r="G61" s="69"/>
      <c r="H61" s="68"/>
      <c r="I61" s="68"/>
      <c r="J61" s="68"/>
    </row>
    <row r="62" spans="2:10" ht="16.5" hidden="1">
      <c r="B62" s="19" t="s">
        <v>56</v>
      </c>
      <c r="C62" s="30"/>
      <c r="D62" s="68"/>
      <c r="E62" s="68"/>
      <c r="F62" s="68"/>
      <c r="G62" s="69"/>
      <c r="H62" s="68"/>
      <c r="I62" s="68"/>
      <c r="J62" s="68"/>
    </row>
    <row r="63" spans="2:10" ht="16.5" hidden="1">
      <c r="B63" s="19" t="s">
        <v>72</v>
      </c>
      <c r="C63" s="30"/>
      <c r="D63" s="68">
        <f>(D36+(0-0))/120000*100</f>
        <v>0</v>
      </c>
      <c r="E63" s="68"/>
      <c r="F63" s="68">
        <f>(F36+(0-0))/120000*100</f>
        <v>0</v>
      </c>
      <c r="G63" s="69"/>
      <c r="H63" s="68">
        <v>0</v>
      </c>
      <c r="I63" s="68"/>
      <c r="J63" s="68">
        <v>0</v>
      </c>
    </row>
    <row r="64" spans="2:10" ht="16.5">
      <c r="B64" s="18" t="s">
        <v>180</v>
      </c>
      <c r="C64" s="30"/>
      <c r="D64" s="68" t="s">
        <v>0</v>
      </c>
      <c r="E64" s="68"/>
      <c r="F64" s="70" t="s">
        <v>0</v>
      </c>
      <c r="G64" s="69"/>
      <c r="H64" s="70" t="s">
        <v>0</v>
      </c>
      <c r="I64" s="68"/>
      <c r="J64" s="70"/>
    </row>
    <row r="65" spans="2:10" ht="17.25" thickBot="1">
      <c r="B65" s="18" t="s">
        <v>192</v>
      </c>
      <c r="C65" s="30"/>
      <c r="D65" s="71">
        <f>SUM(D60:D64)</f>
        <v>-1.1271365287115496</v>
      </c>
      <c r="E65" s="72"/>
      <c r="F65" s="71">
        <f>SUM(F60:F64)</f>
        <v>1.579653933810707</v>
      </c>
      <c r="G65" s="69"/>
      <c r="H65" s="71">
        <f>SUM(H60:H64)</f>
        <v>-1.7694562008076997</v>
      </c>
      <c r="I65" s="72"/>
      <c r="J65" s="71">
        <f>SUM(J60:J64)</f>
        <v>0.8694035184582236</v>
      </c>
    </row>
    <row r="66" spans="2:10" ht="17.25" thickTop="1">
      <c r="B66" s="18" t="s">
        <v>0</v>
      </c>
      <c r="C66" s="30"/>
      <c r="D66" s="68"/>
      <c r="E66" s="68"/>
      <c r="F66" s="68"/>
      <c r="G66" s="69"/>
      <c r="H66" s="68"/>
      <c r="I66" s="68"/>
      <c r="J66" s="68"/>
    </row>
    <row r="67" spans="2:10" ht="16.5">
      <c r="B67" s="19" t="s">
        <v>203</v>
      </c>
      <c r="C67" s="18"/>
      <c r="D67" s="68">
        <v>-1.1271365287115493</v>
      </c>
      <c r="E67" s="69"/>
      <c r="F67" s="70">
        <v>1.58</v>
      </c>
      <c r="G67" s="69"/>
      <c r="H67" s="70">
        <v>-1.7694562008076997</v>
      </c>
      <c r="I67" s="68"/>
      <c r="J67" s="70">
        <v>0.87</v>
      </c>
    </row>
    <row r="68" spans="2:10" ht="16.5">
      <c r="B68" s="18" t="s">
        <v>180</v>
      </c>
      <c r="C68" s="18"/>
      <c r="D68" s="68"/>
      <c r="E68" s="69"/>
      <c r="F68" s="70"/>
      <c r="G68" s="69"/>
      <c r="H68" s="70"/>
      <c r="I68" s="68"/>
      <c r="J68" s="70"/>
    </row>
    <row r="69" spans="2:10" ht="17.25" thickBot="1">
      <c r="B69" s="18" t="s">
        <v>192</v>
      </c>
      <c r="C69" s="18"/>
      <c r="D69" s="72">
        <f>SUM(D67:D68)</f>
        <v>-1.1271365287115493</v>
      </c>
      <c r="E69" s="73"/>
      <c r="F69" s="72">
        <f>SUM(F67:F68)</f>
        <v>1.58</v>
      </c>
      <c r="G69" s="69"/>
      <c r="H69" s="72">
        <f>SUM(H67:H68)</f>
        <v>-1.7694562008076997</v>
      </c>
      <c r="I69" s="73"/>
      <c r="J69" s="72">
        <f>SUM(J67:J68)</f>
        <v>0.87</v>
      </c>
    </row>
    <row r="70" spans="2:10" ht="17.25" thickTop="1">
      <c r="B70" s="18"/>
      <c r="C70" s="18"/>
      <c r="D70" s="50"/>
      <c r="E70" s="18"/>
      <c r="F70" s="53"/>
      <c r="G70" s="18"/>
      <c r="H70" s="53"/>
      <c r="I70" s="50"/>
      <c r="J70" s="53"/>
    </row>
    <row r="71" spans="2:10" ht="16.5">
      <c r="B71" s="19"/>
      <c r="C71" s="18"/>
      <c r="D71" s="50"/>
      <c r="E71" s="50"/>
      <c r="F71" s="50"/>
      <c r="G71" s="18"/>
      <c r="H71" s="18"/>
      <c r="I71" s="18"/>
      <c r="J71" s="18"/>
    </row>
    <row r="72" spans="2:10" ht="16.5">
      <c r="B72" s="19" t="s">
        <v>90</v>
      </c>
      <c r="C72" s="18"/>
      <c r="D72" s="50"/>
      <c r="E72" s="50"/>
      <c r="F72" s="50"/>
      <c r="G72" s="18"/>
      <c r="H72" s="18"/>
      <c r="I72" s="18"/>
      <c r="J72" s="18"/>
    </row>
    <row r="73" spans="2:10" ht="16.5">
      <c r="B73" s="19" t="s">
        <v>179</v>
      </c>
      <c r="C73" s="18"/>
      <c r="D73" s="50"/>
      <c r="E73" s="50"/>
      <c r="F73" s="50"/>
      <c r="G73" s="18"/>
      <c r="H73" s="18"/>
      <c r="I73" s="18"/>
      <c r="J73" s="18"/>
    </row>
    <row r="78" ht="16.5">
      <c r="B78" s="18"/>
    </row>
    <row r="79" ht="16.5">
      <c r="B79" s="18"/>
    </row>
    <row r="86" ht="16.5">
      <c r="B86" s="18"/>
    </row>
  </sheetData>
  <sheetProtection/>
  <printOptions horizontalCentered="1"/>
  <pageMargins left="0.31496062992125984" right="0.11811023622047245" top="0.5118110236220472" bottom="0.3937007874015748" header="0" footer="0"/>
  <pageSetup horizontalDpi="600" verticalDpi="600" orientation="portrait" paperSize="9" scale="72" r:id="rId1"/>
  <headerFooter alignWithMargins="0"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zoomScale="95" zoomScaleNormal="95" zoomScalePageLayoutView="0" workbookViewId="0" topLeftCell="A1">
      <selection activeCell="A1" sqref="A1:G82"/>
    </sheetView>
  </sheetViews>
  <sheetFormatPr defaultColWidth="9.140625" defaultRowHeight="12.75"/>
  <cols>
    <col min="1" max="1" width="67.57421875" style="0" customWidth="1"/>
    <col min="2" max="2" width="1.7109375" style="0" customWidth="1"/>
    <col min="3" max="3" width="14.140625" style="0" customWidth="1"/>
    <col min="4" max="4" width="2.57421875" style="0" customWidth="1"/>
    <col min="5" max="5" width="16.00390625" style="0" customWidth="1"/>
    <col min="6" max="6" width="2.57421875" style="0" hidden="1" customWidth="1"/>
    <col min="7" max="7" width="16.7109375" style="0" hidden="1" customWidth="1"/>
    <col min="9" max="9" width="11.00390625" style="0" bestFit="1" customWidth="1"/>
    <col min="11" max="11" width="10.421875" style="0" bestFit="1" customWidth="1"/>
    <col min="13" max="13" width="11.140625" style="0" bestFit="1" customWidth="1"/>
  </cols>
  <sheetData>
    <row r="1" spans="1:7" ht="15.75">
      <c r="A1" s="83" t="s">
        <v>2</v>
      </c>
      <c r="B1" s="83"/>
      <c r="C1" s="83"/>
      <c r="D1" s="83"/>
      <c r="E1" s="83"/>
      <c r="F1" s="83"/>
      <c r="G1" s="83"/>
    </row>
    <row r="2" spans="1:7" ht="15.75">
      <c r="A2" s="83" t="s">
        <v>3</v>
      </c>
      <c r="B2" s="83"/>
      <c r="C2" s="83"/>
      <c r="D2" s="83"/>
      <c r="E2" s="83"/>
      <c r="F2" s="83"/>
      <c r="G2" s="83"/>
    </row>
    <row r="3" spans="1:7" ht="15.75">
      <c r="A3" s="14" t="s">
        <v>0</v>
      </c>
      <c r="B3" s="8"/>
      <c r="C3" s="8"/>
      <c r="D3" s="8"/>
      <c r="E3" s="8"/>
      <c r="F3" s="8"/>
      <c r="G3" s="8" t="s">
        <v>0</v>
      </c>
    </row>
    <row r="4" spans="1:7" ht="15.75">
      <c r="A4" s="83" t="s">
        <v>195</v>
      </c>
      <c r="B4" s="83"/>
      <c r="C4" s="83"/>
      <c r="D4" s="83"/>
      <c r="E4" s="83"/>
      <c r="F4" s="83"/>
      <c r="G4" s="83"/>
    </row>
    <row r="5" spans="1:7" ht="15.75">
      <c r="A5" s="83" t="s">
        <v>87</v>
      </c>
      <c r="B5" s="83"/>
      <c r="C5" s="83"/>
      <c r="D5" s="83"/>
      <c r="E5" s="83"/>
      <c r="F5" s="83"/>
      <c r="G5" s="83"/>
    </row>
    <row r="6" spans="1:7" ht="15.75">
      <c r="A6" s="12"/>
      <c r="B6" s="1"/>
      <c r="C6" s="1"/>
      <c r="D6" s="1"/>
      <c r="E6" s="1"/>
      <c r="F6" s="1"/>
      <c r="G6" s="1"/>
    </row>
    <row r="7" spans="1:7" ht="15.75">
      <c r="A7" s="12"/>
      <c r="B7" s="1"/>
      <c r="C7" s="5" t="s">
        <v>14</v>
      </c>
      <c r="D7" s="1"/>
      <c r="E7" s="5" t="s">
        <v>16</v>
      </c>
      <c r="F7" s="1"/>
      <c r="G7" s="5" t="s">
        <v>16</v>
      </c>
    </row>
    <row r="8" spans="1:7" ht="15.75">
      <c r="A8" s="12"/>
      <c r="B8" s="1"/>
      <c r="C8" s="5" t="s">
        <v>15</v>
      </c>
      <c r="D8" s="1"/>
      <c r="E8" s="5" t="s">
        <v>22</v>
      </c>
      <c r="F8" s="1"/>
      <c r="G8" s="5" t="s">
        <v>22</v>
      </c>
    </row>
    <row r="9" spans="1:7" ht="15.75">
      <c r="A9" s="12"/>
      <c r="B9" s="1"/>
      <c r="C9" s="5" t="s">
        <v>8</v>
      </c>
      <c r="D9" s="1"/>
      <c r="E9" s="5" t="s">
        <v>17</v>
      </c>
      <c r="F9" s="1"/>
      <c r="G9" s="5" t="s">
        <v>17</v>
      </c>
    </row>
    <row r="10" spans="1:7" ht="15.75">
      <c r="A10" s="12"/>
      <c r="B10" s="1"/>
      <c r="C10" s="5" t="s">
        <v>10</v>
      </c>
      <c r="D10" s="1"/>
      <c r="E10" s="5" t="s">
        <v>18</v>
      </c>
      <c r="F10" s="1"/>
      <c r="G10" s="5" t="s">
        <v>18</v>
      </c>
    </row>
    <row r="11" spans="1:7" ht="15.75">
      <c r="A11" s="12"/>
      <c r="B11" s="1"/>
      <c r="C11" s="23" t="s">
        <v>194</v>
      </c>
      <c r="D11" s="1"/>
      <c r="E11" s="17" t="s">
        <v>52</v>
      </c>
      <c r="F11" s="1"/>
      <c r="G11" s="17" t="s">
        <v>52</v>
      </c>
    </row>
    <row r="12" spans="1:7" ht="15.75">
      <c r="A12" s="12"/>
      <c r="B12" s="1"/>
      <c r="C12" s="3">
        <v>2019</v>
      </c>
      <c r="D12" s="1"/>
      <c r="E12" s="3">
        <v>2018</v>
      </c>
      <c r="F12" s="1"/>
      <c r="G12" s="3">
        <v>2017</v>
      </c>
    </row>
    <row r="13" spans="1:7" ht="15.75">
      <c r="A13" s="12"/>
      <c r="B13" s="1"/>
      <c r="C13" s="3" t="s">
        <v>1</v>
      </c>
      <c r="D13" s="1"/>
      <c r="E13" s="3" t="s">
        <v>1</v>
      </c>
      <c r="F13" s="1"/>
      <c r="G13" s="3" t="s">
        <v>1</v>
      </c>
    </row>
    <row r="14" spans="1:7" ht="15.75">
      <c r="A14" s="12" t="s">
        <v>64</v>
      </c>
      <c r="B14" s="1"/>
      <c r="C14" s="1"/>
      <c r="D14" s="1"/>
      <c r="E14" s="3"/>
      <c r="F14" s="1"/>
      <c r="G14" s="3" t="s">
        <v>163</v>
      </c>
    </row>
    <row r="15" spans="1:7" ht="7.5" customHeight="1">
      <c r="A15" s="12"/>
      <c r="B15" s="1"/>
      <c r="C15" s="1" t="s">
        <v>0</v>
      </c>
      <c r="D15" s="1"/>
      <c r="E15" s="1"/>
      <c r="F15" s="1"/>
      <c r="G15" s="1"/>
    </row>
    <row r="16" spans="1:7" ht="15.75">
      <c r="A16" s="4" t="s">
        <v>62</v>
      </c>
      <c r="B16" s="1"/>
      <c r="C16" s="1"/>
      <c r="D16" s="1"/>
      <c r="E16" s="1"/>
      <c r="F16" s="1"/>
      <c r="G16" s="1"/>
    </row>
    <row r="17" spans="1:7" ht="16.5">
      <c r="A17" s="12" t="s">
        <v>30</v>
      </c>
      <c r="B17" s="1"/>
      <c r="C17" s="46">
        <v>4165.8007155000005</v>
      </c>
      <c r="D17" s="36"/>
      <c r="E17" s="36">
        <f>4537.447+0.5</f>
        <v>4537.947</v>
      </c>
      <c r="F17" s="36"/>
      <c r="G17" s="36">
        <v>5419.071</v>
      </c>
    </row>
    <row r="18" spans="1:7" ht="16.5">
      <c r="A18" s="12" t="s">
        <v>69</v>
      </c>
      <c r="B18" s="1"/>
      <c r="C18" s="46">
        <v>4595.524964499999</v>
      </c>
      <c r="D18" s="36"/>
      <c r="E18" s="36">
        <v>4588.948</v>
      </c>
      <c r="F18" s="36"/>
      <c r="G18" s="36">
        <v>4741.088</v>
      </c>
    </row>
    <row r="19" spans="1:7" ht="16.5">
      <c r="A19" s="12" t="s">
        <v>50</v>
      </c>
      <c r="B19" s="1"/>
      <c r="C19" s="46">
        <v>12766.16957</v>
      </c>
      <c r="D19" s="36"/>
      <c r="E19" s="36">
        <v>12365.954</v>
      </c>
      <c r="F19" s="36"/>
      <c r="G19" s="36">
        <v>11948.162</v>
      </c>
    </row>
    <row r="20" spans="1:7" ht="16.5">
      <c r="A20" s="2" t="s">
        <v>176</v>
      </c>
      <c r="B20" s="1"/>
      <c r="C20" s="46">
        <v>43658.15519</v>
      </c>
      <c r="D20" s="36"/>
      <c r="E20" s="36">
        <v>43539.295</v>
      </c>
      <c r="F20" s="36"/>
      <c r="G20" s="36">
        <v>48453.805</v>
      </c>
    </row>
    <row r="21" spans="1:7" ht="16.5">
      <c r="A21" s="12" t="s">
        <v>20</v>
      </c>
      <c r="B21" s="1"/>
      <c r="C21" s="46">
        <v>2970</v>
      </c>
      <c r="D21" s="36"/>
      <c r="E21" s="36">
        <v>2970</v>
      </c>
      <c r="F21" s="36"/>
      <c r="G21" s="36">
        <v>2970</v>
      </c>
    </row>
    <row r="22" spans="1:7" ht="7.5" customHeight="1">
      <c r="A22" s="12"/>
      <c r="B22" s="1"/>
      <c r="C22" s="36"/>
      <c r="D22" s="36"/>
      <c r="E22" s="36"/>
      <c r="F22" s="36"/>
      <c r="G22" s="36"/>
    </row>
    <row r="23" spans="1:7" ht="16.5">
      <c r="A23" s="12"/>
      <c r="B23" s="1"/>
      <c r="C23" s="54">
        <f>SUM(C17:C22)</f>
        <v>68155.65044</v>
      </c>
      <c r="D23" s="36"/>
      <c r="E23" s="54">
        <f>SUM(E17:E22)</f>
        <v>68002.144</v>
      </c>
      <c r="F23" s="36"/>
      <c r="G23" s="54">
        <f>SUM(G17:G22)</f>
        <v>73532.126</v>
      </c>
    </row>
    <row r="24" spans="1:7" ht="16.5">
      <c r="A24" s="4" t="s">
        <v>23</v>
      </c>
      <c r="B24" s="1"/>
      <c r="C24" s="52" t="s">
        <v>0</v>
      </c>
      <c r="D24" s="36"/>
      <c r="E24" s="36"/>
      <c r="F24" s="36"/>
      <c r="G24" s="36"/>
    </row>
    <row r="25" spans="1:7" ht="16.5" hidden="1">
      <c r="A25" s="2" t="s">
        <v>177</v>
      </c>
      <c r="B25" s="1"/>
      <c r="C25" s="46">
        <v>0</v>
      </c>
      <c r="D25" s="36"/>
      <c r="E25" s="42">
        <v>0</v>
      </c>
      <c r="F25" s="36"/>
      <c r="G25" s="42">
        <v>0</v>
      </c>
    </row>
    <row r="26" spans="1:9" ht="16.5">
      <c r="A26" s="2" t="s">
        <v>177</v>
      </c>
      <c r="B26" s="1"/>
      <c r="C26" s="42">
        <v>33307.0169</v>
      </c>
      <c r="D26" s="36"/>
      <c r="E26" s="42">
        <v>26946.984</v>
      </c>
      <c r="F26" s="36"/>
      <c r="G26" s="42">
        <v>13320.217</v>
      </c>
      <c r="I26" s="42"/>
    </row>
    <row r="27" spans="1:7" ht="16.5" hidden="1">
      <c r="A27" s="2" t="s">
        <v>165</v>
      </c>
      <c r="B27" s="1"/>
      <c r="C27" s="74">
        <v>0</v>
      </c>
      <c r="D27" s="36"/>
      <c r="E27" s="42">
        <v>0</v>
      </c>
      <c r="F27" s="36"/>
      <c r="G27" s="42">
        <v>0</v>
      </c>
    </row>
    <row r="28" spans="1:7" ht="16.5">
      <c r="A28" s="12" t="s">
        <v>50</v>
      </c>
      <c r="B28" s="1"/>
      <c r="C28" s="46">
        <v>69943.5675</v>
      </c>
      <c r="D28" s="36"/>
      <c r="E28" s="42">
        <v>79656.889</v>
      </c>
      <c r="F28" s="36"/>
      <c r="G28" s="42">
        <v>90215.633</v>
      </c>
    </row>
    <row r="29" spans="1:7" ht="16.5">
      <c r="A29" s="2" t="s">
        <v>134</v>
      </c>
      <c r="B29" s="1"/>
      <c r="C29" s="42">
        <v>4301.447700000001</v>
      </c>
      <c r="D29" s="36"/>
      <c r="E29" s="42">
        <v>4914.368</v>
      </c>
      <c r="F29" s="36"/>
      <c r="G29" s="42">
        <v>5045.467</v>
      </c>
    </row>
    <row r="30" spans="1:7" ht="16.5">
      <c r="A30" s="12" t="s">
        <v>105</v>
      </c>
      <c r="B30" s="1"/>
      <c r="C30" s="46">
        <v>16.243479999999998</v>
      </c>
      <c r="D30" s="36"/>
      <c r="E30" s="42">
        <v>100.232</v>
      </c>
      <c r="F30" s="36"/>
      <c r="G30" s="42">
        <f>98.77</f>
        <v>98.77</v>
      </c>
    </row>
    <row r="31" spans="1:7" ht="16.5">
      <c r="A31" s="12" t="s">
        <v>61</v>
      </c>
      <c r="B31" s="1"/>
      <c r="C31" s="46">
        <v>6.179809999999998</v>
      </c>
      <c r="D31" s="36"/>
      <c r="E31" s="42">
        <v>4.295</v>
      </c>
      <c r="F31" s="36"/>
      <c r="G31" s="42">
        <v>513.111</v>
      </c>
    </row>
    <row r="32" spans="1:7" ht="16.5">
      <c r="A32" s="2" t="s">
        <v>126</v>
      </c>
      <c r="B32" s="1"/>
      <c r="C32" s="42">
        <v>4487.025679999999</v>
      </c>
      <c r="D32" s="36"/>
      <c r="E32" s="42">
        <v>4962.999</v>
      </c>
      <c r="F32" s="36"/>
      <c r="G32" s="42">
        <v>3611.415</v>
      </c>
    </row>
    <row r="33" spans="1:7" ht="16.5">
      <c r="A33" s="12"/>
      <c r="B33" s="1"/>
      <c r="C33" s="54">
        <f>SUM(C25:C32)</f>
        <v>112061.48107000001</v>
      </c>
      <c r="D33" s="36"/>
      <c r="E33" s="54">
        <f>SUM(E25:E32)-0.5</f>
        <v>116585.26699999999</v>
      </c>
      <c r="F33" s="36"/>
      <c r="G33" s="54">
        <f>SUM(G25:G32)</f>
        <v>112804.61300000001</v>
      </c>
    </row>
    <row r="34" spans="1:7" ht="10.5" customHeight="1" hidden="1">
      <c r="A34" s="12"/>
      <c r="B34" s="1"/>
      <c r="C34" s="42"/>
      <c r="D34" s="36"/>
      <c r="E34" s="42"/>
      <c r="F34" s="36"/>
      <c r="G34" s="42"/>
    </row>
    <row r="35" spans="1:13" ht="16.5" hidden="1">
      <c r="A35" s="12" t="s">
        <v>83</v>
      </c>
      <c r="B35" s="1"/>
      <c r="C35" s="42">
        <v>0</v>
      </c>
      <c r="D35" s="36"/>
      <c r="E35" s="42">
        <v>0</v>
      </c>
      <c r="F35" s="36"/>
      <c r="G35" s="42">
        <v>0</v>
      </c>
      <c r="M35" s="20"/>
    </row>
    <row r="36" spans="1:13" ht="9" customHeight="1">
      <c r="A36" s="12"/>
      <c r="B36" s="1"/>
      <c r="C36" s="36" t="s">
        <v>0</v>
      </c>
      <c r="D36" s="36"/>
      <c r="E36" s="36" t="s">
        <v>0</v>
      </c>
      <c r="F36" s="36"/>
      <c r="G36" s="36" t="s">
        <v>0</v>
      </c>
      <c r="M36" s="20"/>
    </row>
    <row r="37" spans="1:10" ht="17.25" thickBot="1">
      <c r="A37" s="12" t="s">
        <v>57</v>
      </c>
      <c r="B37" s="1"/>
      <c r="C37" s="55">
        <f>+C33+C23+C35</f>
        <v>180217.13151</v>
      </c>
      <c r="D37" s="36"/>
      <c r="E37" s="55">
        <f>+E33+E23+E35</f>
        <v>184587.411</v>
      </c>
      <c r="F37" s="36"/>
      <c r="G37" s="55">
        <f>+G33+G23+G35</f>
        <v>186336.739</v>
      </c>
      <c r="J37" s="16"/>
    </row>
    <row r="38" spans="1:10" ht="16.5" thickTop="1">
      <c r="A38" s="12"/>
      <c r="B38" s="1"/>
      <c r="C38" s="7"/>
      <c r="D38" s="7"/>
      <c r="E38" s="7"/>
      <c r="F38" s="7"/>
      <c r="G38" s="7"/>
      <c r="I38" s="67"/>
      <c r="J38" s="16"/>
    </row>
    <row r="39" spans="1:9" ht="15.75">
      <c r="A39" s="12" t="s">
        <v>63</v>
      </c>
      <c r="B39" s="1"/>
      <c r="C39" s="7"/>
      <c r="D39" s="7"/>
      <c r="E39" s="7"/>
      <c r="F39" s="7"/>
      <c r="G39" s="7"/>
      <c r="I39" s="75"/>
    </row>
    <row r="40" spans="1:7" ht="9.75" customHeight="1">
      <c r="A40" s="12"/>
      <c r="B40" s="1"/>
      <c r="C40" s="7"/>
      <c r="D40" s="7"/>
      <c r="E40" s="7"/>
      <c r="F40" s="7"/>
      <c r="G40" s="7"/>
    </row>
    <row r="41" spans="1:7" ht="15.75">
      <c r="A41" s="4" t="s">
        <v>115</v>
      </c>
      <c r="B41" s="1"/>
      <c r="C41" s="7"/>
      <c r="D41" s="7"/>
      <c r="E41" s="7"/>
      <c r="F41" s="7"/>
      <c r="G41" s="7"/>
    </row>
    <row r="42" spans="1:13" ht="16.5">
      <c r="A42" s="12" t="s">
        <v>4</v>
      </c>
      <c r="B42" s="1"/>
      <c r="C42" s="46">
        <v>169041.54731</v>
      </c>
      <c r="D42" s="36"/>
      <c r="E42" s="36">
        <v>169041.548</v>
      </c>
      <c r="F42" s="36"/>
      <c r="G42" s="36">
        <v>169041.548</v>
      </c>
      <c r="I42" s="81"/>
      <c r="J42" s="82"/>
      <c r="K42" s="81"/>
      <c r="L42" s="77"/>
      <c r="M42" s="75"/>
    </row>
    <row r="43" spans="1:7" ht="16.5" hidden="1">
      <c r="A43" s="12" t="s">
        <v>65</v>
      </c>
      <c r="B43" s="1"/>
      <c r="C43" s="36">
        <v>0</v>
      </c>
      <c r="D43" s="36"/>
      <c r="E43" s="36">
        <v>0</v>
      </c>
      <c r="F43" s="36"/>
      <c r="G43" s="36">
        <v>0</v>
      </c>
    </row>
    <row r="44" spans="1:7" ht="16.5" hidden="1">
      <c r="A44" s="12" t="s">
        <v>118</v>
      </c>
      <c r="B44" s="1"/>
      <c r="C44" s="46">
        <v>0</v>
      </c>
      <c r="D44" s="36"/>
      <c r="E44" s="36">
        <v>0</v>
      </c>
      <c r="F44" s="36"/>
      <c r="G44" s="36">
        <v>0</v>
      </c>
    </row>
    <row r="45" spans="1:7" ht="16.5" hidden="1">
      <c r="A45" s="12" t="s">
        <v>84</v>
      </c>
      <c r="B45" s="1"/>
      <c r="C45" s="36"/>
      <c r="D45" s="36"/>
      <c r="E45" s="36"/>
      <c r="F45" s="36"/>
      <c r="G45" s="36"/>
    </row>
    <row r="46" spans="1:7" ht="16.5" hidden="1">
      <c r="A46" s="12" t="s">
        <v>85</v>
      </c>
      <c r="B46" s="1"/>
      <c r="C46" s="36">
        <v>0</v>
      </c>
      <c r="D46" s="36"/>
      <c r="E46" s="36">
        <v>0</v>
      </c>
      <c r="F46" s="36"/>
      <c r="G46" s="36">
        <v>0</v>
      </c>
    </row>
    <row r="47" spans="1:7" ht="16.5">
      <c r="A47" s="2" t="s">
        <v>149</v>
      </c>
      <c r="B47" s="1"/>
      <c r="C47" s="46">
        <v>141.23883444770368</v>
      </c>
      <c r="D47" s="36"/>
      <c r="E47" s="36">
        <v>2147.909</v>
      </c>
      <c r="F47" s="36"/>
      <c r="G47" s="36">
        <v>2835.222</v>
      </c>
    </row>
    <row r="48" spans="1:7" ht="16.5" hidden="1">
      <c r="A48" s="12" t="s">
        <v>76</v>
      </c>
      <c r="B48" s="1"/>
      <c r="C48" s="36"/>
      <c r="D48" s="36"/>
      <c r="E48" s="36"/>
      <c r="F48" s="36"/>
      <c r="G48" s="36"/>
    </row>
    <row r="49" spans="1:7" ht="16.5" hidden="1">
      <c r="A49" s="12" t="s">
        <v>73</v>
      </c>
      <c r="B49" s="1"/>
      <c r="C49" s="36">
        <v>0</v>
      </c>
      <c r="D49" s="36"/>
      <c r="E49" s="36">
        <v>0</v>
      </c>
      <c r="F49" s="36"/>
      <c r="G49" s="36">
        <v>0</v>
      </c>
    </row>
    <row r="50" spans="1:7" ht="6" customHeight="1">
      <c r="A50" s="12"/>
      <c r="B50" s="1"/>
      <c r="C50" s="38"/>
      <c r="D50" s="36"/>
      <c r="E50" s="38"/>
      <c r="F50" s="36"/>
      <c r="G50" s="38"/>
    </row>
    <row r="51" spans="1:7" ht="16.5">
      <c r="A51" s="12" t="s">
        <v>0</v>
      </c>
      <c r="B51" s="1"/>
      <c r="C51" s="36">
        <f>SUM(C42:C50)+0.5</f>
        <v>169183.2861444477</v>
      </c>
      <c r="D51" s="36"/>
      <c r="E51" s="46">
        <f>SUM(E42:E50)+0.5</f>
        <v>171189.95700000002</v>
      </c>
      <c r="F51" s="36"/>
      <c r="G51" s="46">
        <f>SUM(G42:G50)+0.5</f>
        <v>171877.27000000002</v>
      </c>
    </row>
    <row r="52" spans="1:7" ht="16.5">
      <c r="A52" s="12" t="s">
        <v>113</v>
      </c>
      <c r="B52" s="1"/>
      <c r="C52" s="46">
        <v>676.3460875999983</v>
      </c>
      <c r="D52" s="36"/>
      <c r="E52" s="36">
        <v>1819.795</v>
      </c>
      <c r="F52" s="36"/>
      <c r="G52" s="36">
        <v>1876.941</v>
      </c>
    </row>
    <row r="53" spans="1:7" ht="9.75" customHeight="1">
      <c r="A53" s="12"/>
      <c r="B53" s="1"/>
      <c r="C53" s="38"/>
      <c r="D53" s="36"/>
      <c r="E53" s="38"/>
      <c r="F53" s="36"/>
      <c r="G53" s="38"/>
    </row>
    <row r="54" spans="1:7" ht="16.5">
      <c r="A54" s="12" t="s">
        <v>54</v>
      </c>
      <c r="B54" s="1"/>
      <c r="C54" s="54">
        <f>SUM(C51:C53)-0.5</f>
        <v>169859.13223204768</v>
      </c>
      <c r="D54" s="36"/>
      <c r="E54" s="54">
        <f>SUM(E51:E53)</f>
        <v>173009.75200000004</v>
      </c>
      <c r="F54" s="36"/>
      <c r="G54" s="54">
        <f>SUM(G51:G53)-0.5</f>
        <v>173753.711</v>
      </c>
    </row>
    <row r="55" spans="1:7" ht="12" customHeight="1">
      <c r="A55" s="12"/>
      <c r="B55" s="1"/>
      <c r="C55" s="36"/>
      <c r="D55" s="36"/>
      <c r="E55" s="36"/>
      <c r="F55" s="36"/>
      <c r="G55" s="36"/>
    </row>
    <row r="56" spans="1:7" ht="16.5">
      <c r="A56" s="4" t="s">
        <v>58</v>
      </c>
      <c r="B56" s="1"/>
      <c r="C56" s="36"/>
      <c r="D56" s="36"/>
      <c r="E56" s="36"/>
      <c r="F56" s="36"/>
      <c r="G56" s="36"/>
    </row>
    <row r="57" spans="1:7" ht="16.5" hidden="1">
      <c r="A57" s="12" t="s">
        <v>51</v>
      </c>
      <c r="B57" s="1"/>
      <c r="C57" s="36">
        <f>'[1]Conso'!$Z106/1000</f>
        <v>0</v>
      </c>
      <c r="D57" s="36"/>
      <c r="E57" s="36">
        <v>0</v>
      </c>
      <c r="F57" s="36"/>
      <c r="G57" s="36">
        <v>0</v>
      </c>
    </row>
    <row r="58" spans="1:10" ht="16.5" hidden="1">
      <c r="A58" s="2" t="s">
        <v>178</v>
      </c>
      <c r="B58" s="1"/>
      <c r="C58" s="46">
        <f>SUM('[1]Conso'!Z104:Z105)/1000</f>
        <v>0</v>
      </c>
      <c r="D58" s="36"/>
      <c r="E58" s="36">
        <v>0</v>
      </c>
      <c r="F58" s="36"/>
      <c r="G58" s="36">
        <v>230.573</v>
      </c>
      <c r="J58" s="16"/>
    </row>
    <row r="59" spans="1:7" ht="16.5">
      <c r="A59" s="12" t="s">
        <v>21</v>
      </c>
      <c r="B59" s="1"/>
      <c r="C59" s="46">
        <v>36.309</v>
      </c>
      <c r="D59" s="36"/>
      <c r="E59" s="36">
        <v>36.309</v>
      </c>
      <c r="F59" s="36"/>
      <c r="G59" s="36">
        <v>44.917</v>
      </c>
    </row>
    <row r="60" spans="1:7" ht="16.5">
      <c r="A60" s="12"/>
      <c r="B60" s="1"/>
      <c r="C60" s="54">
        <f>SUM(C57:C59)</f>
        <v>36.309</v>
      </c>
      <c r="D60" s="36"/>
      <c r="E60" s="54">
        <f>SUM(E57:E59)</f>
        <v>36.309</v>
      </c>
      <c r="F60" s="36"/>
      <c r="G60" s="54">
        <f>SUM(G57:G59)</f>
        <v>275.49</v>
      </c>
    </row>
    <row r="61" spans="1:7" ht="7.5" customHeight="1">
      <c r="A61" s="12"/>
      <c r="B61" s="1"/>
      <c r="C61" s="36"/>
      <c r="D61" s="36"/>
      <c r="E61" s="36"/>
      <c r="F61" s="36"/>
      <c r="G61" s="36"/>
    </row>
    <row r="62" spans="1:7" ht="16.5">
      <c r="A62" s="4" t="s">
        <v>19</v>
      </c>
      <c r="B62" s="1"/>
      <c r="C62" s="36" t="s">
        <v>0</v>
      </c>
      <c r="D62" s="36"/>
      <c r="E62" s="36"/>
      <c r="F62" s="36"/>
      <c r="G62" s="36"/>
    </row>
    <row r="63" spans="1:7" ht="16.5">
      <c r="A63" s="12" t="s">
        <v>106</v>
      </c>
      <c r="B63" s="1"/>
      <c r="C63" s="42">
        <v>5005.244479999999</v>
      </c>
      <c r="D63" s="36"/>
      <c r="E63" s="42">
        <v>5727.427</v>
      </c>
      <c r="F63" s="36"/>
      <c r="G63" s="42">
        <v>4364.635</v>
      </c>
    </row>
    <row r="64" spans="1:9" ht="16.5">
      <c r="A64" s="2" t="s">
        <v>175</v>
      </c>
      <c r="B64" s="1"/>
      <c r="C64" s="42">
        <v>0</v>
      </c>
      <c r="D64" s="36"/>
      <c r="E64" s="42">
        <v>165.35</v>
      </c>
      <c r="F64" s="36"/>
      <c r="G64" s="42">
        <v>0</v>
      </c>
      <c r="I64" s="42"/>
    </row>
    <row r="65" spans="1:10" ht="16.5">
      <c r="A65" s="12" t="s">
        <v>66</v>
      </c>
      <c r="B65" s="1"/>
      <c r="C65" s="46">
        <v>5231.61643</v>
      </c>
      <c r="D65" s="36"/>
      <c r="E65" s="42">
        <v>5496.791</v>
      </c>
      <c r="F65" s="36"/>
      <c r="G65" s="42">
        <v>7712.074</v>
      </c>
      <c r="J65" s="16"/>
    </row>
    <row r="66" spans="1:11" ht="16.5">
      <c r="A66" s="2" t="s">
        <v>178</v>
      </c>
      <c r="B66" s="1"/>
      <c r="C66" s="46">
        <v>27.920099999999998</v>
      </c>
      <c r="D66" s="36"/>
      <c r="E66" s="42">
        <v>82.838</v>
      </c>
      <c r="F66" s="36"/>
      <c r="G66" s="42">
        <v>158.614</v>
      </c>
      <c r="K66" s="16"/>
    </row>
    <row r="67" spans="1:7" ht="16.5">
      <c r="A67" s="12" t="s">
        <v>67</v>
      </c>
      <c r="B67" s="1"/>
      <c r="C67" s="46">
        <v>57.40912</v>
      </c>
      <c r="D67" s="36"/>
      <c r="E67" s="42">
        <v>69.444</v>
      </c>
      <c r="F67" s="36"/>
      <c r="G67" s="42">
        <v>72.215</v>
      </c>
    </row>
    <row r="68" spans="1:7" ht="16.5">
      <c r="A68" s="12"/>
      <c r="B68" s="1"/>
      <c r="C68" s="54">
        <f>SUM(C63:C67)</f>
        <v>10322.190129999999</v>
      </c>
      <c r="D68" s="36"/>
      <c r="E68" s="54">
        <f>SUM(E63:E67)-0.5</f>
        <v>11541.349999999999</v>
      </c>
      <c r="F68" s="36"/>
      <c r="G68" s="54">
        <f>SUM(G63:G67)</f>
        <v>12307.537999999999</v>
      </c>
    </row>
    <row r="69" spans="1:7" ht="16.5" customHeight="1" hidden="1">
      <c r="A69" s="12"/>
      <c r="B69" s="1"/>
      <c r="C69" s="44"/>
      <c r="D69" s="42"/>
      <c r="E69" s="44"/>
      <c r="F69" s="42"/>
      <c r="G69" s="44"/>
    </row>
    <row r="70" spans="1:7" ht="16.5" customHeight="1" hidden="1">
      <c r="A70" s="12" t="s">
        <v>75</v>
      </c>
      <c r="B70" s="1"/>
      <c r="C70" s="42"/>
      <c r="D70" s="42"/>
      <c r="E70" s="42"/>
      <c r="F70" s="42"/>
      <c r="G70" s="42"/>
    </row>
    <row r="71" spans="1:7" ht="16.5" customHeight="1" hidden="1">
      <c r="A71" s="12" t="s">
        <v>74</v>
      </c>
      <c r="B71" s="1"/>
      <c r="C71" s="42">
        <v>0</v>
      </c>
      <c r="D71" s="42"/>
      <c r="E71" s="42">
        <v>0</v>
      </c>
      <c r="F71" s="42"/>
      <c r="G71" s="42">
        <v>0</v>
      </c>
    </row>
    <row r="72" spans="1:7" ht="9" customHeight="1">
      <c r="A72" s="12"/>
      <c r="B72" s="1"/>
      <c r="C72" s="42"/>
      <c r="D72" s="36"/>
      <c r="E72" s="42"/>
      <c r="F72" s="36"/>
      <c r="G72" s="42"/>
    </row>
    <row r="73" spans="1:7" ht="17.25" thickBot="1">
      <c r="A73" s="12" t="s">
        <v>59</v>
      </c>
      <c r="B73" s="1"/>
      <c r="C73" s="48">
        <f>C68+C60+C71</f>
        <v>10358.499129999998</v>
      </c>
      <c r="D73" s="36"/>
      <c r="E73" s="48">
        <f>E68+E60+E71-0.5</f>
        <v>11577.158999999998</v>
      </c>
      <c r="F73" s="36"/>
      <c r="G73" s="48">
        <f>G68+G60+G71</f>
        <v>12583.027999999998</v>
      </c>
    </row>
    <row r="74" spans="1:7" ht="10.5" customHeight="1" thickTop="1">
      <c r="A74" s="12"/>
      <c r="B74" s="1"/>
      <c r="C74" s="36"/>
      <c r="D74" s="36"/>
      <c r="E74" s="36"/>
      <c r="F74" s="36"/>
      <c r="G74" s="36"/>
    </row>
    <row r="75" spans="1:9" ht="17.25" thickBot="1">
      <c r="A75" s="12" t="s">
        <v>60</v>
      </c>
      <c r="B75" s="1"/>
      <c r="C75" s="55">
        <f>C68+C60+C54+C71-0.5</f>
        <v>180217.1313620477</v>
      </c>
      <c r="D75" s="36"/>
      <c r="E75" s="55">
        <f>E68+E60+E54+E71</f>
        <v>184587.41100000002</v>
      </c>
      <c r="F75" s="36"/>
      <c r="G75" s="55">
        <f>G68+G60+G54+G71+0.5</f>
        <v>186337.239</v>
      </c>
      <c r="I75" s="16"/>
    </row>
    <row r="76" spans="1:9" ht="12.75" customHeight="1" thickTop="1">
      <c r="A76" s="12"/>
      <c r="B76" s="1"/>
      <c r="C76" s="36" t="s">
        <v>0</v>
      </c>
      <c r="D76" s="36"/>
      <c r="E76" s="36"/>
      <c r="F76" s="36"/>
      <c r="G76" s="36"/>
      <c r="I76" s="16"/>
    </row>
    <row r="77" spans="1:10" ht="16.5">
      <c r="A77" s="2" t="s">
        <v>68</v>
      </c>
      <c r="B77" s="1"/>
      <c r="C77" s="32" t="s">
        <v>0</v>
      </c>
      <c r="D77" s="18"/>
      <c r="E77" s="34"/>
      <c r="F77" s="18"/>
      <c r="G77" s="34"/>
      <c r="J77" s="16"/>
    </row>
    <row r="78" spans="1:7" ht="16.5">
      <c r="A78" s="2" t="s">
        <v>116</v>
      </c>
      <c r="B78" s="6"/>
      <c r="C78" s="50">
        <f>(C54)/168391.313</f>
        <v>1.0087167158798012</v>
      </c>
      <c r="D78" s="18"/>
      <c r="E78" s="50">
        <f>(E54)/168391.313</f>
        <v>1.0274268245654694</v>
      </c>
      <c r="F78" s="18"/>
      <c r="G78" s="50">
        <f>(G54)/168391.313</f>
        <v>1.031844861260747</v>
      </c>
    </row>
    <row r="79" spans="1:7" ht="15.75" customHeight="1">
      <c r="A79" s="18" t="s">
        <v>188</v>
      </c>
      <c r="B79" s="15"/>
      <c r="C79" s="11" t="s">
        <v>0</v>
      </c>
      <c r="D79" s="1"/>
      <c r="E79" s="1"/>
      <c r="F79" s="1"/>
      <c r="G79" s="1" t="s">
        <v>0</v>
      </c>
    </row>
    <row r="80" spans="1:7" ht="11.25" customHeight="1">
      <c r="A80" s="18" t="s">
        <v>0</v>
      </c>
      <c r="B80" s="15"/>
      <c r="C80" s="11" t="s">
        <v>0</v>
      </c>
      <c r="D80" s="1"/>
      <c r="E80" s="1"/>
      <c r="F80" s="1"/>
      <c r="G80" s="1" t="s">
        <v>0</v>
      </c>
    </row>
    <row r="81" spans="1:7" ht="16.5">
      <c r="A81" s="19" t="s">
        <v>128</v>
      </c>
      <c r="B81" s="13"/>
      <c r="C81" s="13"/>
      <c r="D81" s="1"/>
      <c r="E81" s="1"/>
      <c r="F81" s="1"/>
      <c r="G81" s="1"/>
    </row>
    <row r="82" spans="1:7" ht="16.5">
      <c r="A82" s="19" t="s">
        <v>181</v>
      </c>
      <c r="B82" s="13"/>
      <c r="C82" s="13"/>
      <c r="D82" s="13"/>
      <c r="E82" s="13"/>
      <c r="F82" s="13"/>
      <c r="G82" s="13"/>
    </row>
    <row r="83" spans="1:9" ht="16.5">
      <c r="A83" s="19" t="s">
        <v>0</v>
      </c>
      <c r="I83" s="16"/>
    </row>
    <row r="84" ht="16.5">
      <c r="A84" s="19" t="s">
        <v>0</v>
      </c>
    </row>
    <row r="85" ht="12.75">
      <c r="C85" s="16"/>
    </row>
    <row r="113" ht="16.5">
      <c r="A113" s="19"/>
    </row>
    <row r="114" ht="16.5">
      <c r="A114" s="19"/>
    </row>
    <row r="116" ht="12.75">
      <c r="H116" t="s">
        <v>0</v>
      </c>
    </row>
    <row r="117" ht="12.75">
      <c r="H117" t="s">
        <v>0</v>
      </c>
    </row>
  </sheetData>
  <sheetProtection/>
  <mergeCells count="4">
    <mergeCell ref="A1:G1"/>
    <mergeCell ref="A2:G2"/>
    <mergeCell ref="A4:G4"/>
    <mergeCell ref="A5:G5"/>
  </mergeCells>
  <printOptions horizontalCentered="1"/>
  <pageMargins left="0.5118110236220472" right="0.5118110236220472" top="0.2362204724409449" bottom="0.2362204724409449" header="0" footer="0"/>
  <pageSetup horizontalDpi="600" verticalDpi="600" orientation="portrait" paperSize="9" scale="76" r:id="rId1"/>
  <headerFooter alignWithMargins="0"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A1" sqref="A1:E79"/>
    </sheetView>
  </sheetViews>
  <sheetFormatPr defaultColWidth="9.140625" defaultRowHeight="12.75"/>
  <cols>
    <col min="1" max="1" width="77.00390625" style="0" customWidth="1"/>
    <col min="2" max="2" width="6.7109375" style="0" customWidth="1"/>
    <col min="3" max="3" width="15.8515625" style="0" customWidth="1"/>
    <col min="4" max="4" width="3.421875" style="0" customWidth="1"/>
    <col min="5" max="5" width="15.00390625" style="0" customWidth="1"/>
  </cols>
  <sheetData>
    <row r="1" spans="1:5" ht="16.5">
      <c r="A1" s="84" t="s">
        <v>2</v>
      </c>
      <c r="B1" s="84"/>
      <c r="C1" s="84"/>
      <c r="D1" s="84"/>
      <c r="E1" s="84"/>
    </row>
    <row r="2" spans="1:5" ht="16.5">
      <c r="A2" s="84" t="s">
        <v>3</v>
      </c>
      <c r="B2" s="84"/>
      <c r="C2" s="84"/>
      <c r="D2" s="84"/>
      <c r="E2" s="84"/>
    </row>
    <row r="3" spans="1:5" ht="16.5">
      <c r="A3" s="24"/>
      <c r="B3" s="25"/>
      <c r="C3" s="25"/>
      <c r="D3" s="25"/>
      <c r="E3" s="25"/>
    </row>
    <row r="4" spans="1:5" ht="16.5">
      <c r="A4" s="84" t="s">
        <v>195</v>
      </c>
      <c r="B4" s="84"/>
      <c r="C4" s="84"/>
      <c r="D4" s="84"/>
      <c r="E4" s="84"/>
    </row>
    <row r="5" spans="1:5" ht="16.5">
      <c r="A5" s="84" t="s">
        <v>121</v>
      </c>
      <c r="B5" s="84"/>
      <c r="C5" s="84"/>
      <c r="D5" s="84"/>
      <c r="E5" s="84"/>
    </row>
    <row r="6" spans="1:5" ht="16.5">
      <c r="A6" s="19"/>
      <c r="B6" s="18"/>
      <c r="C6" s="29" t="s">
        <v>0</v>
      </c>
      <c r="D6" s="18"/>
      <c r="E6" s="18"/>
    </row>
    <row r="7" spans="1:5" ht="16.5">
      <c r="A7" s="19"/>
      <c r="B7" s="18"/>
      <c r="C7" s="29" t="s">
        <v>8</v>
      </c>
      <c r="D7" s="18"/>
      <c r="E7" s="29" t="s">
        <v>22</v>
      </c>
    </row>
    <row r="8" spans="1:5" ht="16.5">
      <c r="A8" s="19"/>
      <c r="B8" s="18"/>
      <c r="C8" s="29" t="s">
        <v>24</v>
      </c>
      <c r="D8" s="18"/>
      <c r="E8" s="29" t="s">
        <v>24</v>
      </c>
    </row>
    <row r="9" spans="1:5" ht="16.5">
      <c r="A9" s="19"/>
      <c r="B9" s="18"/>
      <c r="C9" s="29" t="s">
        <v>45</v>
      </c>
      <c r="D9" s="18"/>
      <c r="E9" s="29" t="s">
        <v>45</v>
      </c>
    </row>
    <row r="10" spans="1:5" ht="16.5">
      <c r="A10" s="19"/>
      <c r="B10" s="18"/>
      <c r="C10" s="31" t="s">
        <v>194</v>
      </c>
      <c r="D10" s="59" t="s">
        <v>0</v>
      </c>
      <c r="E10" s="31" t="str">
        <f>C10</f>
        <v>30 JUNE</v>
      </c>
    </row>
    <row r="11" spans="1:5" ht="16.5">
      <c r="A11" s="19"/>
      <c r="B11" s="18"/>
      <c r="C11" s="29">
        <v>2019</v>
      </c>
      <c r="D11" s="18"/>
      <c r="E11" s="29">
        <v>2018</v>
      </c>
    </row>
    <row r="12" spans="1:5" ht="16.5">
      <c r="A12" s="19"/>
      <c r="B12" s="18"/>
      <c r="C12" s="29" t="s">
        <v>1</v>
      </c>
      <c r="D12" s="18"/>
      <c r="E12" s="29" t="s">
        <v>1</v>
      </c>
    </row>
    <row r="13" spans="1:5" ht="16.5">
      <c r="A13" s="19"/>
      <c r="B13" s="18"/>
      <c r="C13" s="18"/>
      <c r="D13" s="18"/>
      <c r="E13" s="18"/>
    </row>
    <row r="14" spans="1:5" ht="16.5">
      <c r="A14" s="19" t="s">
        <v>70</v>
      </c>
      <c r="B14" s="18"/>
      <c r="C14" s="60">
        <f>'P&amp;L'!H29</f>
        <v>-2942.489270000002</v>
      </c>
      <c r="D14" s="18"/>
      <c r="E14" s="61">
        <f>'P&amp;L'!J29</f>
        <v>1439</v>
      </c>
    </row>
    <row r="15" spans="1:8" ht="16.5" hidden="1">
      <c r="A15" s="19" t="s">
        <v>79</v>
      </c>
      <c r="B15" s="18"/>
      <c r="C15" s="60">
        <v>0</v>
      </c>
      <c r="D15" s="18"/>
      <c r="E15" s="61">
        <v>0</v>
      </c>
      <c r="H15" s="16"/>
    </row>
    <row r="16" spans="1:5" ht="10.5" customHeight="1">
      <c r="A16" s="18" t="s">
        <v>0</v>
      </c>
      <c r="B16" s="18"/>
      <c r="C16" s="18"/>
      <c r="D16" s="18"/>
      <c r="E16" s="18"/>
    </row>
    <row r="17" spans="1:5" ht="16.5">
      <c r="A17" s="18" t="s">
        <v>124</v>
      </c>
      <c r="B17" s="18"/>
      <c r="C17" s="18" t="s">
        <v>0</v>
      </c>
      <c r="D17" s="18"/>
      <c r="E17" s="18"/>
    </row>
    <row r="18" spans="1:5" ht="16.5">
      <c r="A18" s="18" t="s">
        <v>44</v>
      </c>
      <c r="B18" s="18"/>
      <c r="C18" s="36">
        <v>282.96836</v>
      </c>
      <c r="D18" s="36"/>
      <c r="E18" s="36">
        <v>456</v>
      </c>
    </row>
    <row r="19" spans="1:5" ht="16.5">
      <c r="A19" s="18" t="s">
        <v>35</v>
      </c>
      <c r="B19" s="18"/>
      <c r="C19" s="36">
        <v>-1438.34944</v>
      </c>
      <c r="D19" s="36"/>
      <c r="E19" s="36">
        <f>-1696-2</f>
        <v>-1698</v>
      </c>
    </row>
    <row r="20" spans="1:5" ht="9" customHeight="1">
      <c r="A20" s="18"/>
      <c r="B20" s="18"/>
      <c r="C20" s="38"/>
      <c r="D20" s="36"/>
      <c r="E20" s="38"/>
    </row>
    <row r="21" spans="1:5" ht="16.5">
      <c r="A21" s="19" t="s">
        <v>182</v>
      </c>
      <c r="B21" s="18"/>
      <c r="C21" s="61">
        <f>SUM(C14:C19)+0.5</f>
        <v>-4097.370350000002</v>
      </c>
      <c r="D21" s="36"/>
      <c r="E21" s="61">
        <f>SUM(E14:E19)</f>
        <v>197</v>
      </c>
    </row>
    <row r="22" spans="1:5" ht="11.25" customHeight="1">
      <c r="A22" s="19"/>
      <c r="B22" s="18"/>
      <c r="C22" s="36" t="s">
        <v>0</v>
      </c>
      <c r="D22" s="36"/>
      <c r="E22" s="36"/>
    </row>
    <row r="23" spans="1:5" ht="16.5">
      <c r="A23" s="18" t="s">
        <v>31</v>
      </c>
      <c r="B23" s="18"/>
      <c r="C23" s="36" t="s">
        <v>0</v>
      </c>
      <c r="D23" s="36"/>
      <c r="E23" s="36"/>
    </row>
    <row r="24" spans="1:5" ht="16.5">
      <c r="A24" s="18" t="s">
        <v>33</v>
      </c>
      <c r="B24" s="18"/>
      <c r="C24" s="36">
        <v>-5868.568900000005</v>
      </c>
      <c r="D24" s="36"/>
      <c r="E24" s="36">
        <v>-6360</v>
      </c>
    </row>
    <row r="25" spans="1:5" ht="16.5">
      <c r="A25" s="18" t="s">
        <v>34</v>
      </c>
      <c r="B25" s="18"/>
      <c r="C25" s="36">
        <v>-902.9351699999999</v>
      </c>
      <c r="D25" s="36"/>
      <c r="E25" s="36">
        <v>-795</v>
      </c>
    </row>
    <row r="26" spans="1:5" ht="16.5">
      <c r="A26" s="18" t="s">
        <v>38</v>
      </c>
      <c r="B26" s="18"/>
      <c r="C26" s="36">
        <v>41.746559999999995</v>
      </c>
      <c r="D26" s="36"/>
      <c r="E26" s="36">
        <v>30</v>
      </c>
    </row>
    <row r="27" spans="1:5" ht="16.5">
      <c r="A27" s="18" t="s">
        <v>37</v>
      </c>
      <c r="B27" s="18"/>
      <c r="C27" s="36">
        <v>0</v>
      </c>
      <c r="D27" s="36"/>
      <c r="E27" s="36">
        <v>-27</v>
      </c>
    </row>
    <row r="28" spans="1:5" ht="16.5" hidden="1">
      <c r="A28" s="18" t="s">
        <v>53</v>
      </c>
      <c r="B28" s="18"/>
      <c r="C28" s="36">
        <v>0</v>
      </c>
      <c r="D28" s="36"/>
      <c r="E28" s="36">
        <v>0</v>
      </c>
    </row>
    <row r="29" spans="1:5" ht="16.5">
      <c r="A29" s="18" t="s">
        <v>153</v>
      </c>
      <c r="B29" s="18"/>
      <c r="C29" s="36">
        <v>-21.545999999999992</v>
      </c>
      <c r="D29" s="36"/>
      <c r="E29" s="36">
        <v>494</v>
      </c>
    </row>
    <row r="30" spans="1:7" ht="16.5">
      <c r="A30" s="18" t="s">
        <v>125</v>
      </c>
      <c r="B30" s="18"/>
      <c r="C30" s="36">
        <v>-70.21440999999992</v>
      </c>
      <c r="D30" s="36"/>
      <c r="E30" s="36">
        <v>-538</v>
      </c>
      <c r="G30" s="16"/>
    </row>
    <row r="31" spans="1:5" ht="7.5" customHeight="1">
      <c r="A31" s="18" t="s">
        <v>0</v>
      </c>
      <c r="B31" s="18"/>
      <c r="C31" s="38"/>
      <c r="D31" s="36"/>
      <c r="E31" s="38" t="s">
        <v>0</v>
      </c>
    </row>
    <row r="32" spans="1:5" ht="16.5">
      <c r="A32" s="19" t="s">
        <v>150</v>
      </c>
      <c r="B32" s="18"/>
      <c r="C32" s="62">
        <f>SUM(C21:C30)</f>
        <v>-10918.888270000009</v>
      </c>
      <c r="D32" s="36"/>
      <c r="E32" s="62">
        <f>SUM(E21:E30)</f>
        <v>-6999</v>
      </c>
    </row>
    <row r="33" spans="1:5" ht="9" customHeight="1">
      <c r="A33" s="19"/>
      <c r="B33" s="18"/>
      <c r="C33" s="36" t="s">
        <v>0</v>
      </c>
      <c r="D33" s="36"/>
      <c r="E33" s="36"/>
    </row>
    <row r="34" spans="1:5" ht="16.5">
      <c r="A34" s="18" t="s">
        <v>32</v>
      </c>
      <c r="B34" s="18"/>
      <c r="C34" s="36" t="s">
        <v>0</v>
      </c>
      <c r="D34" s="36"/>
      <c r="E34" s="36"/>
    </row>
    <row r="35" spans="1:5" ht="16.5">
      <c r="A35" s="18" t="s">
        <v>130</v>
      </c>
      <c r="B35" s="18"/>
      <c r="C35" s="36">
        <v>997.7205799999999</v>
      </c>
      <c r="D35" s="36"/>
      <c r="E35" s="36">
        <v>1538</v>
      </c>
    </row>
    <row r="36" spans="1:5" ht="16.5" hidden="1">
      <c r="A36" s="18" t="s">
        <v>132</v>
      </c>
      <c r="B36" s="18"/>
      <c r="C36" s="36">
        <v>0</v>
      </c>
      <c r="D36" s="36"/>
      <c r="E36" s="46">
        <v>0</v>
      </c>
    </row>
    <row r="37" spans="1:5" ht="16.5" hidden="1">
      <c r="A37" s="18" t="s">
        <v>104</v>
      </c>
      <c r="B37" s="18"/>
      <c r="C37" s="76">
        <v>0</v>
      </c>
      <c r="D37" s="36"/>
      <c r="E37" s="46">
        <v>0</v>
      </c>
    </row>
    <row r="38" spans="1:5" ht="16.5">
      <c r="A38" s="18" t="s">
        <v>193</v>
      </c>
      <c r="B38" s="18"/>
      <c r="C38" s="36">
        <v>-200</v>
      </c>
      <c r="D38" s="36"/>
      <c r="E38" s="36">
        <f>'[2]SUMMARY'!F60</f>
        <v>0</v>
      </c>
    </row>
    <row r="39" spans="1:5" ht="16.5" hidden="1">
      <c r="A39" s="18" t="s">
        <v>108</v>
      </c>
      <c r="B39" s="18"/>
      <c r="C39" s="36">
        <v>0</v>
      </c>
      <c r="D39" s="36"/>
      <c r="E39" s="36">
        <f>'[2]SUMMARY'!F61</f>
        <v>0</v>
      </c>
    </row>
    <row r="40" spans="1:5" ht="16.5">
      <c r="A40" s="18" t="s">
        <v>135</v>
      </c>
      <c r="B40" s="18"/>
      <c r="C40" s="36">
        <v>0</v>
      </c>
      <c r="D40" s="36"/>
      <c r="E40" s="36">
        <v>181</v>
      </c>
    </row>
    <row r="41" spans="1:5" ht="16.5" hidden="1">
      <c r="A41" s="18" t="s">
        <v>137</v>
      </c>
      <c r="B41" s="18"/>
      <c r="C41" s="36">
        <v>0</v>
      </c>
      <c r="D41" s="36"/>
      <c r="E41" s="36">
        <f>'[2]SUMMARY'!F62</f>
        <v>0</v>
      </c>
    </row>
    <row r="42" spans="1:10" ht="15.75" customHeight="1">
      <c r="A42" s="18" t="s">
        <v>154</v>
      </c>
      <c r="B42" s="18"/>
      <c r="C42" s="36">
        <v>9713.322419999997</v>
      </c>
      <c r="D42" s="36"/>
      <c r="E42" s="36">
        <v>6282</v>
      </c>
      <c r="H42" s="36"/>
      <c r="J42" s="36"/>
    </row>
    <row r="43" spans="1:5" ht="15.75" customHeight="1">
      <c r="A43" s="18" t="s">
        <v>111</v>
      </c>
      <c r="B43" s="18"/>
      <c r="C43" s="36">
        <v>2.9012299999999995</v>
      </c>
      <c r="D43" s="36"/>
      <c r="E43" s="36">
        <v>2</v>
      </c>
    </row>
    <row r="44" spans="1:5" ht="16.5">
      <c r="A44" s="18" t="s">
        <v>136</v>
      </c>
      <c r="B44" s="18"/>
      <c r="C44" s="36">
        <v>-14.776999999999914</v>
      </c>
      <c r="D44" s="36"/>
      <c r="E44" s="36">
        <v>-42</v>
      </c>
    </row>
    <row r="45" spans="1:5" ht="16.5">
      <c r="A45" s="18" t="s">
        <v>139</v>
      </c>
      <c r="B45" s="18"/>
      <c r="C45" s="36">
        <v>-528.7205399999997</v>
      </c>
      <c r="D45" s="36"/>
      <c r="E45" s="36">
        <v>-48</v>
      </c>
    </row>
    <row r="46" spans="1:5" ht="16.5">
      <c r="A46" s="18" t="s">
        <v>0</v>
      </c>
      <c r="B46" s="18"/>
      <c r="C46" s="36" t="s">
        <v>0</v>
      </c>
      <c r="D46" s="36"/>
      <c r="E46" s="36"/>
    </row>
    <row r="47" spans="1:5" ht="16.5">
      <c r="A47" s="19" t="s">
        <v>183</v>
      </c>
      <c r="B47" s="18"/>
      <c r="C47" s="62">
        <f>SUM(C35:C46)</f>
        <v>9970.446689999995</v>
      </c>
      <c r="D47" s="36"/>
      <c r="E47" s="62">
        <f>SUM(E35:E46)</f>
        <v>7913</v>
      </c>
    </row>
    <row r="48" spans="1:5" ht="16.5">
      <c r="A48" s="18"/>
      <c r="B48" s="18"/>
      <c r="C48" s="36"/>
      <c r="D48" s="36"/>
      <c r="E48" s="36"/>
    </row>
    <row r="49" spans="1:5" ht="16.5">
      <c r="A49" s="18" t="s">
        <v>36</v>
      </c>
      <c r="B49" s="18"/>
      <c r="C49" s="36" t="s">
        <v>0</v>
      </c>
      <c r="D49" s="36"/>
      <c r="E49" s="36"/>
    </row>
    <row r="50" spans="1:5" ht="16.5" hidden="1">
      <c r="A50" s="18" t="s">
        <v>77</v>
      </c>
      <c r="B50" s="18"/>
      <c r="C50" s="36">
        <f>'[2]SUMMARY'!C71</f>
        <v>0</v>
      </c>
      <c r="D50" s="36"/>
      <c r="E50" s="36">
        <f>'[2]SUMMARY'!F71</f>
        <v>0</v>
      </c>
    </row>
    <row r="51" spans="1:5" ht="16.5" hidden="1">
      <c r="A51" s="18" t="s">
        <v>109</v>
      </c>
      <c r="B51" s="18"/>
      <c r="C51" s="36">
        <f>'[2]SUMMARY'!C72</f>
        <v>0</v>
      </c>
      <c r="D51" s="36"/>
      <c r="E51" s="36">
        <f>'[2]SUMMARY'!E72</f>
        <v>0</v>
      </c>
    </row>
    <row r="52" spans="1:5" ht="16.5" hidden="1">
      <c r="A52" s="18" t="s">
        <v>110</v>
      </c>
      <c r="B52" s="18"/>
      <c r="C52" s="36">
        <f>'[2]SUMMARY'!C75</f>
        <v>0</v>
      </c>
      <c r="D52" s="36"/>
      <c r="E52" s="36">
        <f>'[2]SUMMARY'!E75</f>
        <v>0</v>
      </c>
    </row>
    <row r="53" spans="1:5" ht="16.5">
      <c r="A53" s="18" t="s">
        <v>112</v>
      </c>
      <c r="B53" s="18"/>
      <c r="C53" s="36">
        <v>-54.91803000000001</v>
      </c>
      <c r="D53" s="36"/>
      <c r="E53" s="36">
        <v>-253</v>
      </c>
    </row>
    <row r="54" spans="1:5" ht="16.5">
      <c r="A54" s="18" t="s">
        <v>37</v>
      </c>
      <c r="B54" s="18"/>
      <c r="C54" s="36">
        <v>-1.3319700000000012</v>
      </c>
      <c r="D54" s="36"/>
      <c r="E54" s="36">
        <v>-8</v>
      </c>
    </row>
    <row r="55" spans="1:5" ht="16.5" hidden="1">
      <c r="A55" s="18" t="s">
        <v>133</v>
      </c>
      <c r="B55" s="18"/>
      <c r="C55" s="36">
        <v>0</v>
      </c>
      <c r="D55" s="36"/>
      <c r="E55" s="36">
        <v>0</v>
      </c>
    </row>
    <row r="56" spans="1:5" ht="12" customHeight="1">
      <c r="A56" s="18"/>
      <c r="B56" s="18"/>
      <c r="C56" s="36"/>
      <c r="D56" s="36"/>
      <c r="E56" s="36"/>
    </row>
    <row r="57" spans="1:5" ht="16.5">
      <c r="A57" s="19" t="s">
        <v>184</v>
      </c>
      <c r="B57" s="18"/>
      <c r="C57" s="62">
        <f>SUM(C50:C56)</f>
        <v>-56.25000000000001</v>
      </c>
      <c r="D57" s="61"/>
      <c r="E57" s="62">
        <f>SUM(E50:E56)+0.5</f>
        <v>-260.5</v>
      </c>
    </row>
    <row r="58" spans="1:5" ht="16.5">
      <c r="A58" s="19"/>
      <c r="B58" s="18"/>
      <c r="C58" s="63" t="s">
        <v>0</v>
      </c>
      <c r="D58" s="36"/>
      <c r="E58" s="36"/>
    </row>
    <row r="59" spans="1:5" ht="16.5">
      <c r="A59" s="19" t="s">
        <v>200</v>
      </c>
      <c r="B59" s="18"/>
      <c r="C59" s="61">
        <f>C32+C47+C57</f>
        <v>-1004.6915800000133</v>
      </c>
      <c r="D59" s="36"/>
      <c r="E59" s="61">
        <f>E32+E47+E57-0.5</f>
        <v>653</v>
      </c>
    </row>
    <row r="60" spans="1:5" ht="16.5">
      <c r="A60" s="18" t="s">
        <v>48</v>
      </c>
      <c r="B60" s="18"/>
      <c r="C60" s="18" t="s">
        <v>0</v>
      </c>
      <c r="D60" s="36"/>
      <c r="E60" s="36"/>
    </row>
    <row r="61" spans="1:5" ht="16.5">
      <c r="A61" s="64" t="s">
        <v>49</v>
      </c>
      <c r="B61" s="18"/>
      <c r="C61" s="36">
        <v>2104.783650000001</v>
      </c>
      <c r="D61" s="36"/>
      <c r="E61" s="36">
        <v>956.098</v>
      </c>
    </row>
    <row r="62" spans="1:5" ht="16.5" hidden="1">
      <c r="A62" s="64" t="s">
        <v>148</v>
      </c>
      <c r="B62" s="18"/>
      <c r="C62" s="36"/>
      <c r="D62" s="36"/>
      <c r="E62" s="36"/>
    </row>
    <row r="63" spans="1:5" ht="16.5" hidden="1">
      <c r="A63" s="18" t="s">
        <v>147</v>
      </c>
      <c r="B63" s="18"/>
      <c r="C63" s="36">
        <v>0</v>
      </c>
      <c r="D63" s="36"/>
      <c r="E63" s="36">
        <f>'[2]SUMMARY'!F87</f>
        <v>0</v>
      </c>
    </row>
    <row r="64" spans="1:5" ht="14.25" customHeight="1">
      <c r="A64" s="19"/>
      <c r="B64" s="18"/>
      <c r="C64" s="18"/>
      <c r="D64" s="36"/>
      <c r="E64" s="36"/>
    </row>
    <row r="65" spans="1:5" ht="17.25" thickBot="1">
      <c r="A65" s="19" t="s">
        <v>86</v>
      </c>
      <c r="B65" s="18"/>
      <c r="C65" s="65">
        <f>SUM(C59:C64)</f>
        <v>1100.0920699999879</v>
      </c>
      <c r="D65" s="36"/>
      <c r="E65" s="55">
        <f>SUM(E59:E64)</f>
        <v>1609.098</v>
      </c>
    </row>
    <row r="66" spans="1:5" ht="17.25" thickTop="1">
      <c r="A66" s="19"/>
      <c r="B66" s="18"/>
      <c r="C66" s="34"/>
      <c r="D66" s="36"/>
      <c r="E66" s="36"/>
    </row>
    <row r="67" spans="1:5" ht="16.5">
      <c r="A67" s="19" t="s">
        <v>40</v>
      </c>
      <c r="B67" s="18"/>
      <c r="C67" s="18"/>
      <c r="D67" s="36"/>
      <c r="E67" s="36"/>
    </row>
    <row r="68" spans="1:5" ht="16.5">
      <c r="A68" s="18" t="s">
        <v>41</v>
      </c>
      <c r="B68" s="18"/>
      <c r="C68" s="36">
        <v>4487.02568</v>
      </c>
      <c r="D68" s="36"/>
      <c r="E68" s="36">
        <v>4312</v>
      </c>
    </row>
    <row r="69" spans="1:5" ht="16.5" hidden="1">
      <c r="A69" s="18" t="s">
        <v>81</v>
      </c>
      <c r="B69" s="18"/>
      <c r="C69" s="36">
        <v>0</v>
      </c>
      <c r="D69" s="36"/>
      <c r="E69" s="36">
        <v>0</v>
      </c>
    </row>
    <row r="70" spans="1:5" ht="16.5" hidden="1">
      <c r="A70" s="18" t="s">
        <v>127</v>
      </c>
      <c r="B70" s="18"/>
      <c r="C70" s="36">
        <v>0</v>
      </c>
      <c r="D70" s="36"/>
      <c r="E70" s="36">
        <v>0</v>
      </c>
    </row>
    <row r="71" spans="1:5" ht="7.5" customHeight="1">
      <c r="A71" s="18" t="s">
        <v>0</v>
      </c>
      <c r="B71" s="18"/>
      <c r="C71" s="38" t="s">
        <v>0</v>
      </c>
      <c r="D71" s="36"/>
      <c r="E71" s="38" t="s">
        <v>0</v>
      </c>
    </row>
    <row r="72" spans="1:5" ht="16.5">
      <c r="A72" s="18"/>
      <c r="B72" s="18"/>
      <c r="C72" s="36">
        <f>SUM(C68:C71)</f>
        <v>4487.02568</v>
      </c>
      <c r="D72" s="36"/>
      <c r="E72" s="36">
        <f>SUM(E68:E71)</f>
        <v>4312</v>
      </c>
    </row>
    <row r="73" spans="1:5" ht="16.5">
      <c r="A73" s="18" t="s">
        <v>140</v>
      </c>
      <c r="B73" s="18"/>
      <c r="C73" s="36">
        <v>-3386.9339199999995</v>
      </c>
      <c r="D73" s="36"/>
      <c r="E73" s="36">
        <v>-2703</v>
      </c>
    </row>
    <row r="74" spans="1:5" ht="16.5" hidden="1">
      <c r="A74" s="18" t="s">
        <v>78</v>
      </c>
      <c r="B74" s="18"/>
      <c r="C74" s="36">
        <f>'[2]SUMMARY'!C100</f>
        <v>0</v>
      </c>
      <c r="D74" s="36"/>
      <c r="E74" s="36">
        <v>0</v>
      </c>
    </row>
    <row r="75" spans="1:5" ht="17.25" thickBot="1">
      <c r="A75" s="19" t="s">
        <v>48</v>
      </c>
      <c r="B75" s="18"/>
      <c r="C75" s="55">
        <f>SUM(C72:C74)</f>
        <v>1100.0917600000002</v>
      </c>
      <c r="D75" s="36"/>
      <c r="E75" s="55">
        <f>SUM(E72:E74)-0.5</f>
        <v>1608.5</v>
      </c>
    </row>
    <row r="76" spans="1:5" ht="17.25" thickTop="1">
      <c r="A76" s="19"/>
      <c r="B76" s="18"/>
      <c r="C76" s="18" t="s">
        <v>0</v>
      </c>
      <c r="D76" s="18"/>
      <c r="E76" s="18"/>
    </row>
    <row r="77" spans="1:5" ht="16.5">
      <c r="A77" s="19"/>
      <c r="B77" s="18"/>
      <c r="C77" s="35" t="s">
        <v>0</v>
      </c>
      <c r="D77" s="18"/>
      <c r="E77" s="35"/>
    </row>
    <row r="78" spans="1:5" ht="16.5">
      <c r="A78" s="19" t="s">
        <v>122</v>
      </c>
      <c r="B78" s="18"/>
      <c r="C78" s="18"/>
      <c r="D78" s="18"/>
      <c r="E78" s="18"/>
    </row>
    <row r="79" spans="1:5" ht="16.5">
      <c r="A79" s="19" t="s">
        <v>179</v>
      </c>
      <c r="B79" s="18"/>
      <c r="C79" s="18"/>
      <c r="D79" s="18"/>
      <c r="E79" s="18"/>
    </row>
    <row r="80" spans="1:5" ht="16.5">
      <c r="A80" s="30"/>
      <c r="B80" s="30"/>
      <c r="C80" s="30"/>
      <c r="D80" s="30"/>
      <c r="E80" s="30"/>
    </row>
    <row r="81" spans="1:5" ht="16.5">
      <c r="A81" s="30"/>
      <c r="B81" s="30"/>
      <c r="C81" s="30"/>
      <c r="D81" s="30"/>
      <c r="E81" s="30"/>
    </row>
    <row r="88" ht="16.5">
      <c r="A88" s="19"/>
    </row>
    <row r="89" ht="16.5">
      <c r="A89" s="19"/>
    </row>
    <row r="90" ht="16.5">
      <c r="A90" s="19"/>
    </row>
    <row r="91" ht="16.5">
      <c r="A91" s="19"/>
    </row>
    <row r="92" ht="16.5">
      <c r="A92" s="19"/>
    </row>
    <row r="99" ht="12.75">
      <c r="E99" s="21" t="s">
        <v>0</v>
      </c>
    </row>
    <row r="108" ht="12.75">
      <c r="C108" t="s">
        <v>0</v>
      </c>
    </row>
    <row r="109" ht="12.75">
      <c r="E109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118110236220472" right="0.2362204724409449" top="0.2362204724409449" bottom="0.2362204724409449" header="0.5118110236220472" footer="0"/>
  <pageSetup horizontalDpi="600" verticalDpi="600" orientation="portrait" paperSize="9" scale="75" r:id="rId1"/>
  <headerFooter alignWithMargins="0"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5">
      <selection activeCell="C16" sqref="C16"/>
    </sheetView>
  </sheetViews>
  <sheetFormatPr defaultColWidth="9.140625" defaultRowHeight="12.75"/>
  <cols>
    <col min="1" max="1" width="34.57421875" style="0" customWidth="1"/>
    <col min="2" max="2" width="0.71875" style="0" customWidth="1"/>
    <col min="3" max="3" width="13.421875" style="0" customWidth="1"/>
    <col min="4" max="4" width="11.28125" style="0" hidden="1" customWidth="1"/>
    <col min="5" max="5" width="17.28125" style="0" hidden="1" customWidth="1"/>
    <col min="6" max="6" width="13.7109375" style="0" hidden="1" customWidth="1"/>
    <col min="7" max="7" width="4.00390625" style="0" hidden="1" customWidth="1"/>
    <col min="8" max="8" width="16.7109375" style="0" customWidth="1"/>
    <col min="9" max="9" width="13.00390625" style="0" customWidth="1"/>
    <col min="10" max="10" width="14.7109375" style="0" customWidth="1"/>
    <col min="11" max="11" width="11.421875" style="0" customWidth="1"/>
  </cols>
  <sheetData>
    <row r="1" spans="1:11" ht="16.5">
      <c r="A1" s="84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6.5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0" ht="15.75">
      <c r="A3" s="14" t="s">
        <v>0</v>
      </c>
      <c r="B3" s="10"/>
      <c r="C3" s="10"/>
      <c r="D3" s="10"/>
      <c r="E3" s="10" t="s">
        <v>0</v>
      </c>
      <c r="F3" s="10"/>
      <c r="G3" s="10"/>
      <c r="H3" s="9"/>
      <c r="I3" s="9"/>
      <c r="J3" s="9"/>
    </row>
    <row r="4" spans="1:10" ht="15.75">
      <c r="A4" s="14"/>
      <c r="B4" s="10"/>
      <c r="C4" s="10"/>
      <c r="D4" s="10"/>
      <c r="E4" s="10"/>
      <c r="F4" s="10"/>
      <c r="G4" s="10"/>
      <c r="H4" s="9"/>
      <c r="I4" s="9"/>
      <c r="J4" s="9"/>
    </row>
    <row r="5" spans="1:11" ht="16.5">
      <c r="A5" s="84" t="s">
        <v>195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6.5">
      <c r="A6" s="84" t="s">
        <v>29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6.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6.5">
      <c r="A8" s="29"/>
      <c r="B8" s="29"/>
      <c r="C8" s="84" t="s">
        <v>185</v>
      </c>
      <c r="D8" s="84"/>
      <c r="E8" s="84"/>
      <c r="F8" s="84"/>
      <c r="G8" s="84"/>
      <c r="H8" s="84"/>
      <c r="I8" s="84"/>
      <c r="J8" s="29"/>
      <c r="K8" s="29"/>
    </row>
    <row r="9" spans="1:11" ht="16.5">
      <c r="A9" s="29"/>
      <c r="B9" s="29"/>
      <c r="C9" s="84" t="s">
        <v>186</v>
      </c>
      <c r="D9" s="84"/>
      <c r="E9" s="84"/>
      <c r="F9" s="84"/>
      <c r="G9" s="84"/>
      <c r="H9" s="84"/>
      <c r="I9" s="84"/>
      <c r="J9" s="29"/>
      <c r="K9" s="29"/>
    </row>
    <row r="10" spans="1:11" ht="16.5">
      <c r="A10" s="3"/>
      <c r="B10" s="3"/>
      <c r="C10" s="84" t="s">
        <v>187</v>
      </c>
      <c r="D10" s="84"/>
      <c r="E10" s="84"/>
      <c r="F10" s="84"/>
      <c r="G10" s="84"/>
      <c r="H10" s="84"/>
      <c r="I10" s="84"/>
      <c r="J10" s="3"/>
      <c r="K10" s="3"/>
    </row>
    <row r="11" spans="1:11" ht="16.5">
      <c r="A11" s="18"/>
      <c r="B11" s="18"/>
      <c r="C11" s="50"/>
      <c r="D11" s="50"/>
      <c r="E11" s="18"/>
      <c r="F11" s="29" t="s">
        <v>172</v>
      </c>
      <c r="G11" s="29" t="s">
        <v>95</v>
      </c>
      <c r="H11" s="29" t="s">
        <v>0</v>
      </c>
      <c r="I11" s="29"/>
      <c r="J11" s="29"/>
      <c r="K11" s="30"/>
    </row>
    <row r="12" spans="1:11" ht="16.5">
      <c r="A12" s="18" t="s">
        <v>0</v>
      </c>
      <c r="B12" s="18"/>
      <c r="C12" s="18"/>
      <c r="D12" s="29" t="s">
        <v>0</v>
      </c>
      <c r="E12" s="30"/>
      <c r="F12" s="29" t="s">
        <v>173</v>
      </c>
      <c r="G12" s="29" t="s">
        <v>96</v>
      </c>
      <c r="H12" s="56" t="s">
        <v>99</v>
      </c>
      <c r="I12" s="29"/>
      <c r="J12" s="29" t="s">
        <v>107</v>
      </c>
      <c r="K12" s="30"/>
    </row>
    <row r="13" spans="1:11" ht="16.5">
      <c r="A13" s="18"/>
      <c r="B13" s="18"/>
      <c r="C13" s="56" t="s">
        <v>92</v>
      </c>
      <c r="D13" s="29" t="s">
        <v>92</v>
      </c>
      <c r="E13" s="29" t="s">
        <v>39</v>
      </c>
      <c r="F13" s="29" t="s">
        <v>174</v>
      </c>
      <c r="G13" s="56" t="s">
        <v>97</v>
      </c>
      <c r="H13" s="56" t="s">
        <v>157</v>
      </c>
      <c r="I13" s="56"/>
      <c r="J13" s="56" t="s">
        <v>143</v>
      </c>
      <c r="K13" s="56" t="s">
        <v>100</v>
      </c>
    </row>
    <row r="14" spans="1:11" ht="16.5">
      <c r="A14" s="18" t="s">
        <v>0</v>
      </c>
      <c r="B14" s="18"/>
      <c r="C14" s="29" t="s">
        <v>93</v>
      </c>
      <c r="D14" s="29" t="s">
        <v>94</v>
      </c>
      <c r="E14" s="56" t="s">
        <v>5</v>
      </c>
      <c r="F14" s="29" t="s">
        <v>119</v>
      </c>
      <c r="G14" s="56" t="s">
        <v>98</v>
      </c>
      <c r="H14" s="56" t="s">
        <v>158</v>
      </c>
      <c r="I14" s="56" t="s">
        <v>100</v>
      </c>
      <c r="J14" s="56" t="s">
        <v>101</v>
      </c>
      <c r="K14" s="56" t="s">
        <v>102</v>
      </c>
    </row>
    <row r="15" spans="1:11" ht="16.5">
      <c r="A15" s="18" t="s">
        <v>25</v>
      </c>
      <c r="B15" s="18"/>
      <c r="C15" s="29" t="s">
        <v>1</v>
      </c>
      <c r="D15" s="29" t="s">
        <v>1</v>
      </c>
      <c r="E15" s="29" t="s">
        <v>27</v>
      </c>
      <c r="F15" s="29" t="s">
        <v>1</v>
      </c>
      <c r="G15" s="29" t="s">
        <v>27</v>
      </c>
      <c r="H15" s="29" t="s">
        <v>27</v>
      </c>
      <c r="I15" s="29" t="s">
        <v>27</v>
      </c>
      <c r="J15" s="29" t="s">
        <v>27</v>
      </c>
      <c r="K15" s="29" t="s">
        <v>27</v>
      </c>
    </row>
    <row r="16" spans="1:11" ht="16.5">
      <c r="A16" s="18" t="s">
        <v>0</v>
      </c>
      <c r="B16" s="18"/>
      <c r="C16" s="57" t="s">
        <v>0</v>
      </c>
      <c r="D16" s="18"/>
      <c r="E16" s="18"/>
      <c r="F16" s="18"/>
      <c r="G16" s="30"/>
      <c r="H16" s="30"/>
      <c r="I16" s="30"/>
      <c r="J16" s="30"/>
      <c r="K16" s="30"/>
    </row>
    <row r="17" spans="1:11" ht="16.5">
      <c r="A17" s="19" t="s">
        <v>196</v>
      </c>
      <c r="B17" s="18"/>
      <c r="C17" s="36">
        <v>169041.548</v>
      </c>
      <c r="D17" s="36">
        <v>0</v>
      </c>
      <c r="E17" s="36">
        <v>0</v>
      </c>
      <c r="F17" s="36">
        <v>0</v>
      </c>
      <c r="G17" s="36">
        <v>0</v>
      </c>
      <c r="H17" s="36">
        <f>1641+11-17.312*0.8</f>
        <v>1638.1504</v>
      </c>
      <c r="I17" s="36">
        <f>SUM(C17:H17)</f>
        <v>170679.69840000002</v>
      </c>
      <c r="J17" s="36">
        <f>1854-17.312*0.2</f>
        <v>1850.5376</v>
      </c>
      <c r="K17" s="36">
        <f>SUM(I17:J17)+0.5</f>
        <v>172530.73600000003</v>
      </c>
    </row>
    <row r="18" spans="1:11" ht="11.25" customHeight="1" hidden="1">
      <c r="A18" s="19"/>
      <c r="B18" s="18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6.5" hidden="1">
      <c r="A19" s="18" t="s">
        <v>164</v>
      </c>
      <c r="B19" s="18"/>
      <c r="C19" s="38">
        <f>-D19</f>
        <v>0</v>
      </c>
      <c r="D19" s="38">
        <f>-D17</f>
        <v>0</v>
      </c>
      <c r="E19" s="38"/>
      <c r="F19" s="38">
        <v>0</v>
      </c>
      <c r="G19" s="38">
        <f>-G17</f>
        <v>0</v>
      </c>
      <c r="H19" s="38">
        <f>-F19</f>
        <v>0</v>
      </c>
      <c r="I19" s="38">
        <f>SUM(C19:H19)</f>
        <v>0</v>
      </c>
      <c r="J19" s="38">
        <v>0</v>
      </c>
      <c r="K19" s="38">
        <f>SUM(I19:J19)</f>
        <v>0</v>
      </c>
    </row>
    <row r="20" spans="1:11" ht="15.75" customHeight="1" hidden="1">
      <c r="A20" s="19" t="s">
        <v>166</v>
      </c>
      <c r="B20" s="18"/>
      <c r="C20" s="36">
        <f>SUM(C17:C19)</f>
        <v>169041.548</v>
      </c>
      <c r="D20" s="36"/>
      <c r="E20" s="36"/>
      <c r="F20" s="36">
        <f aca="true" t="shared" si="0" ref="F20:K20">SUM(F17:F19)</f>
        <v>0</v>
      </c>
      <c r="G20" s="36">
        <f t="shared" si="0"/>
        <v>0</v>
      </c>
      <c r="H20" s="36">
        <f t="shared" si="0"/>
        <v>1638.1504</v>
      </c>
      <c r="I20" s="36">
        <f t="shared" si="0"/>
        <v>170679.69840000002</v>
      </c>
      <c r="J20" s="36">
        <f t="shared" si="0"/>
        <v>1850.5376</v>
      </c>
      <c r="K20" s="36">
        <f t="shared" si="0"/>
        <v>172530.73600000003</v>
      </c>
    </row>
    <row r="21" spans="1:11" ht="9" customHeight="1" hidden="1">
      <c r="A21" s="19" t="s">
        <v>0</v>
      </c>
      <c r="B21" s="18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7.25" customHeight="1" hidden="1">
      <c r="A22" s="18" t="s">
        <v>164</v>
      </c>
      <c r="B22" s="18"/>
      <c r="C22" s="36"/>
      <c r="D22" s="36"/>
      <c r="E22" s="36"/>
      <c r="F22" s="36"/>
      <c r="G22" s="36"/>
      <c r="H22" s="36">
        <v>0</v>
      </c>
      <c r="I22" s="36">
        <f>SUM(C22:H22)</f>
        <v>0</v>
      </c>
      <c r="J22" s="36"/>
      <c r="K22" s="36">
        <f>SUM(I22:J22)</f>
        <v>0</v>
      </c>
    </row>
    <row r="23" spans="1:11" ht="8.25" customHeight="1">
      <c r="A23" s="18"/>
      <c r="B23" s="18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6.5">
      <c r="A24" s="18" t="s">
        <v>204</v>
      </c>
      <c r="B24" s="18"/>
      <c r="C24" s="36"/>
      <c r="D24" s="36"/>
      <c r="E24" s="36"/>
      <c r="F24" s="36"/>
      <c r="G24" s="36"/>
      <c r="H24" s="36"/>
      <c r="I24" s="36"/>
      <c r="J24" s="36"/>
      <c r="K24" s="36"/>
    </row>
    <row r="25" spans="1:16" ht="16.5">
      <c r="A25" s="18" t="s">
        <v>123</v>
      </c>
      <c r="B25" s="18"/>
      <c r="C25" s="36">
        <v>0</v>
      </c>
      <c r="D25" s="36">
        <v>0</v>
      </c>
      <c r="E25" s="36">
        <v>0</v>
      </c>
      <c r="F25" s="32">
        <v>0</v>
      </c>
      <c r="G25" s="36">
        <v>0</v>
      </c>
      <c r="H25" s="36">
        <f>'P&amp;L'!F46</f>
        <v>2660</v>
      </c>
      <c r="I25" s="36">
        <f>SUM(C25:H25)</f>
        <v>2660</v>
      </c>
      <c r="J25" s="36">
        <f>'P&amp;L'!F54</f>
        <v>-17</v>
      </c>
      <c r="K25" s="36">
        <f>SUM(I25:J25)</f>
        <v>2643</v>
      </c>
      <c r="P25" s="32"/>
    </row>
    <row r="26" spans="1:11" ht="16.5" hidden="1">
      <c r="A26" s="18"/>
      <c r="B26" s="18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6.5" hidden="1">
      <c r="A27" s="18" t="s">
        <v>131</v>
      </c>
      <c r="B27" s="18"/>
      <c r="C27" s="36"/>
      <c r="D27" s="36"/>
      <c r="E27" s="36"/>
      <c r="F27" s="36"/>
      <c r="G27" s="36"/>
      <c r="H27" s="66">
        <v>0</v>
      </c>
      <c r="I27" s="36">
        <f>SUM(C27:H27)</f>
        <v>0</v>
      </c>
      <c r="J27" s="36">
        <v>0</v>
      </c>
      <c r="K27" s="36">
        <f>SUM(I27:J27)</f>
        <v>0</v>
      </c>
    </row>
    <row r="28" spans="1:11" ht="9.75" customHeight="1">
      <c r="A28" s="19"/>
      <c r="B28" s="18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7.25" thickBot="1">
      <c r="A29" s="19" t="s">
        <v>199</v>
      </c>
      <c r="B29" s="18"/>
      <c r="C29" s="48">
        <f>SUM(C20:C28)</f>
        <v>169041.548</v>
      </c>
      <c r="D29" s="48">
        <f>SUM(D17:D28)</f>
        <v>0</v>
      </c>
      <c r="E29" s="48">
        <f>SUM(E17:E28)</f>
        <v>0</v>
      </c>
      <c r="F29" s="48">
        <f aca="true" t="shared" si="1" ref="F29:K29">SUM(F20:F28)</f>
        <v>0</v>
      </c>
      <c r="G29" s="48">
        <f t="shared" si="1"/>
        <v>0</v>
      </c>
      <c r="H29" s="48">
        <f t="shared" si="1"/>
        <v>4298.1504</v>
      </c>
      <c r="I29" s="48">
        <f t="shared" si="1"/>
        <v>173339.69840000002</v>
      </c>
      <c r="J29" s="48">
        <f t="shared" si="1"/>
        <v>1833.5376</v>
      </c>
      <c r="K29" s="48">
        <f t="shared" si="1"/>
        <v>175173.73600000003</v>
      </c>
    </row>
    <row r="30" spans="1:11" ht="17.25" thickTop="1">
      <c r="A30" s="19"/>
      <c r="B30" s="18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6.5">
      <c r="A31" s="19" t="s">
        <v>197</v>
      </c>
      <c r="B31" s="18"/>
      <c r="C31" s="36">
        <v>169041.548</v>
      </c>
      <c r="D31" s="36">
        <v>0</v>
      </c>
      <c r="E31" s="36">
        <v>0</v>
      </c>
      <c r="F31" s="36">
        <v>0</v>
      </c>
      <c r="G31" s="36">
        <v>0</v>
      </c>
      <c r="H31" s="36">
        <f>2040.353-1.5</f>
        <v>2038.853</v>
      </c>
      <c r="I31" s="36">
        <f>SUM(C31:H31)+0.5</f>
        <v>171080.901</v>
      </c>
      <c r="J31" s="36">
        <v>659.8510000000001</v>
      </c>
      <c r="K31" s="36">
        <f>SUM(I31:J31)</f>
        <v>171740.752</v>
      </c>
    </row>
    <row r="32" spans="1:11" ht="16.5" hidden="1">
      <c r="A32" s="19"/>
      <c r="B32" s="18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6.5" hidden="1">
      <c r="A33" s="18" t="s">
        <v>91</v>
      </c>
      <c r="B33" s="18"/>
      <c r="C33" s="36"/>
      <c r="D33" s="36"/>
      <c r="E33" s="36"/>
      <c r="F33" s="36"/>
      <c r="G33" s="36"/>
      <c r="H33" s="58">
        <v>0</v>
      </c>
      <c r="I33" s="36">
        <f>SUM(C33:H33)</f>
        <v>0</v>
      </c>
      <c r="J33" s="36"/>
      <c r="K33" s="36">
        <f>SUM(I33:J33)</f>
        <v>0</v>
      </c>
    </row>
    <row r="34" spans="1:11" ht="16.5" hidden="1">
      <c r="A34" s="19"/>
      <c r="B34" s="1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6.5" hidden="1">
      <c r="A35" s="19" t="s">
        <v>103</v>
      </c>
      <c r="B35" s="18"/>
      <c r="C35" s="36">
        <f aca="true" t="shared" si="2" ref="C35:K35">SUM(C31:C34)</f>
        <v>169041.548</v>
      </c>
      <c r="D35" s="36">
        <f t="shared" si="2"/>
        <v>0</v>
      </c>
      <c r="E35" s="36">
        <f t="shared" si="2"/>
        <v>0</v>
      </c>
      <c r="F35" s="36">
        <f t="shared" si="2"/>
        <v>0</v>
      </c>
      <c r="G35" s="36">
        <f t="shared" si="2"/>
        <v>0</v>
      </c>
      <c r="H35" s="36">
        <f t="shared" si="2"/>
        <v>2038.853</v>
      </c>
      <c r="I35" s="36">
        <f t="shared" si="2"/>
        <v>171080.901</v>
      </c>
      <c r="J35" s="36">
        <f t="shared" si="2"/>
        <v>659.8510000000001</v>
      </c>
      <c r="K35" s="36">
        <f t="shared" si="2"/>
        <v>171740.752</v>
      </c>
    </row>
    <row r="36" spans="1:11" ht="9" customHeight="1" hidden="1">
      <c r="A36" s="19"/>
      <c r="B36" s="18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6.5" hidden="1">
      <c r="A37" s="79"/>
      <c r="B37" s="18"/>
      <c r="C37" s="36"/>
      <c r="D37" s="36"/>
      <c r="E37" s="36"/>
      <c r="F37" s="36"/>
      <c r="G37" s="36"/>
      <c r="H37" s="36"/>
      <c r="I37" s="36"/>
      <c r="J37" s="36"/>
      <c r="K37" s="36"/>
    </row>
    <row r="38" spans="1:13" ht="16.5" hidden="1">
      <c r="A38" s="18" t="s">
        <v>164</v>
      </c>
      <c r="B38" s="18"/>
      <c r="C38" s="38">
        <v>0</v>
      </c>
      <c r="D38" s="38">
        <v>0</v>
      </c>
      <c r="E38" s="38"/>
      <c r="F38" s="38">
        <f>-F31</f>
        <v>0</v>
      </c>
      <c r="G38" s="38">
        <v>0</v>
      </c>
      <c r="H38" s="38">
        <v>0</v>
      </c>
      <c r="I38" s="38">
        <f>SUM(C38:H38)</f>
        <v>0</v>
      </c>
      <c r="J38" s="38">
        <v>0</v>
      </c>
      <c r="K38" s="38">
        <f>SUM(I38:J38)</f>
        <v>0</v>
      </c>
      <c r="M38" s="16"/>
    </row>
    <row r="39" spans="1:13" ht="16.5" hidden="1">
      <c r="A39" s="19" t="s">
        <v>167</v>
      </c>
      <c r="B39" s="18"/>
      <c r="C39" s="36">
        <f>C31+C38</f>
        <v>169041.548</v>
      </c>
      <c r="D39" s="36"/>
      <c r="E39" s="36"/>
      <c r="F39" s="36">
        <f aca="true" t="shared" si="3" ref="F39:K39">F31+F38</f>
        <v>0</v>
      </c>
      <c r="G39" s="36">
        <f t="shared" si="3"/>
        <v>0</v>
      </c>
      <c r="H39" s="36">
        <f>H31+H38+0.5</f>
        <v>2039.353</v>
      </c>
      <c r="I39" s="36">
        <f>I31+I38+0.5</f>
        <v>171081.401</v>
      </c>
      <c r="J39" s="36">
        <f t="shared" si="3"/>
        <v>659.8510000000001</v>
      </c>
      <c r="K39" s="36">
        <f t="shared" si="3"/>
        <v>171740.752</v>
      </c>
      <c r="M39" s="16"/>
    </row>
    <row r="40" spans="1:13" ht="9" customHeight="1">
      <c r="A40" s="19"/>
      <c r="B40" s="18"/>
      <c r="C40" s="36"/>
      <c r="D40" s="36"/>
      <c r="E40" s="36"/>
      <c r="F40" s="36"/>
      <c r="G40" s="36"/>
      <c r="H40" s="36"/>
      <c r="I40" s="36"/>
      <c r="J40" s="36"/>
      <c r="K40" s="36"/>
      <c r="M40" s="16"/>
    </row>
    <row r="41" spans="1:13" ht="14.25" customHeight="1" hidden="1">
      <c r="A41" s="80" t="s">
        <v>189</v>
      </c>
      <c r="B41" s="18"/>
      <c r="C41" s="36"/>
      <c r="D41" s="36"/>
      <c r="E41" s="36"/>
      <c r="F41" s="36"/>
      <c r="G41" s="36"/>
      <c r="H41" s="36"/>
      <c r="I41" s="36"/>
      <c r="J41" s="36"/>
      <c r="K41" s="36"/>
      <c r="M41" s="16"/>
    </row>
    <row r="42" spans="1:20" ht="15.75" customHeight="1" hidden="1">
      <c r="A42" s="80" t="s">
        <v>190</v>
      </c>
      <c r="B42" s="18"/>
      <c r="C42" s="36">
        <v>0</v>
      </c>
      <c r="D42" s="36"/>
      <c r="E42" s="36"/>
      <c r="F42" s="36"/>
      <c r="G42" s="36"/>
      <c r="H42" s="36">
        <v>0</v>
      </c>
      <c r="I42" s="36">
        <f>SUM(C42:H42)</f>
        <v>0</v>
      </c>
      <c r="J42" s="36">
        <v>0</v>
      </c>
      <c r="K42" s="36">
        <f>SUM(I42:J42)</f>
        <v>0</v>
      </c>
      <c r="M42" s="16"/>
      <c r="Q42" s="36"/>
      <c r="R42" s="36">
        <f>SUM(L42:Q42)</f>
        <v>0</v>
      </c>
      <c r="S42" s="36">
        <v>-1172.944</v>
      </c>
      <c r="T42" s="36">
        <f>SUM(R42:S42)</f>
        <v>-1172.944</v>
      </c>
    </row>
    <row r="43" spans="1:13" ht="15" customHeight="1" hidden="1">
      <c r="A43" s="19"/>
      <c r="B43" s="18"/>
      <c r="C43" s="36"/>
      <c r="D43" s="36"/>
      <c r="E43" s="36"/>
      <c r="F43" s="36"/>
      <c r="G43" s="36"/>
      <c r="H43" s="36"/>
      <c r="I43" s="36"/>
      <c r="J43" s="36"/>
      <c r="K43" s="36"/>
      <c r="M43" s="16"/>
    </row>
    <row r="44" spans="1:13" ht="16.5">
      <c r="A44" s="18" t="s">
        <v>205</v>
      </c>
      <c r="B44" s="18"/>
      <c r="C44" s="36"/>
      <c r="D44" s="36"/>
      <c r="E44" s="36"/>
      <c r="F44" s="36"/>
      <c r="G44" s="36"/>
      <c r="H44" s="36"/>
      <c r="I44" s="36"/>
      <c r="J44" s="36"/>
      <c r="K44" s="36"/>
      <c r="M44" s="77"/>
    </row>
    <row r="45" spans="1:16" ht="16.5">
      <c r="A45" s="18" t="s">
        <v>138</v>
      </c>
      <c r="B45" s="18"/>
      <c r="C45" s="36">
        <v>0</v>
      </c>
      <c r="D45" s="36">
        <v>0</v>
      </c>
      <c r="E45" s="36">
        <v>0</v>
      </c>
      <c r="F45" s="78">
        <v>0</v>
      </c>
      <c r="G45" s="36">
        <v>0</v>
      </c>
      <c r="H45" s="66">
        <f>'P&amp;L'!D46</f>
        <v>-1898</v>
      </c>
      <c r="I45" s="36">
        <f>SUM(C45:H45)</f>
        <v>-1898</v>
      </c>
      <c r="J45" s="36">
        <f>'P&amp;L'!D54</f>
        <v>16</v>
      </c>
      <c r="K45" s="36">
        <f>SUM(I45:J45)</f>
        <v>-1882</v>
      </c>
      <c r="M45" s="16"/>
      <c r="P45" s="36"/>
    </row>
    <row r="46" spans="1:16" ht="16.5" hidden="1">
      <c r="A46" s="18"/>
      <c r="B46" s="18"/>
      <c r="C46" s="36"/>
      <c r="D46" s="36"/>
      <c r="E46" s="36"/>
      <c r="F46" s="66"/>
      <c r="G46" s="36"/>
      <c r="H46" s="66"/>
      <c r="I46" s="36"/>
      <c r="J46" s="36"/>
      <c r="K46" s="36"/>
      <c r="M46" s="16"/>
      <c r="P46" s="78"/>
    </row>
    <row r="47" spans="1:13" ht="16.5" hidden="1">
      <c r="A47" s="18" t="s">
        <v>131</v>
      </c>
      <c r="B47" s="18"/>
      <c r="C47" s="36"/>
      <c r="D47" s="36"/>
      <c r="E47" s="36"/>
      <c r="F47" s="66"/>
      <c r="G47" s="36"/>
      <c r="H47" s="66">
        <v>0</v>
      </c>
      <c r="I47" s="36">
        <f>SUM(C47:H47)</f>
        <v>0</v>
      </c>
      <c r="J47" s="36"/>
      <c r="K47" s="36">
        <f>SUM(I47:J47)</f>
        <v>0</v>
      </c>
      <c r="M47" s="16"/>
    </row>
    <row r="48" spans="1:11" ht="9.75" customHeight="1">
      <c r="A48" s="18"/>
      <c r="B48" s="18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7.25" thickBot="1">
      <c r="A49" s="19" t="s">
        <v>198</v>
      </c>
      <c r="B49" s="18"/>
      <c r="C49" s="48">
        <f>SUM(C39:C48)</f>
        <v>169041.548</v>
      </c>
      <c r="D49" s="48">
        <f>SUM(D35:D48)</f>
        <v>0</v>
      </c>
      <c r="E49" s="48">
        <f>SUM(E35:E48)</f>
        <v>0</v>
      </c>
      <c r="F49" s="48">
        <f aca="true" t="shared" si="4" ref="F49:K49">SUM(F39:F48)</f>
        <v>0</v>
      </c>
      <c r="G49" s="48">
        <f t="shared" si="4"/>
        <v>0</v>
      </c>
      <c r="H49" s="48">
        <f t="shared" si="4"/>
        <v>141.35300000000007</v>
      </c>
      <c r="I49" s="48">
        <f t="shared" si="4"/>
        <v>169183.401</v>
      </c>
      <c r="J49" s="48">
        <f t="shared" si="4"/>
        <v>675.8510000000001</v>
      </c>
      <c r="K49" s="48">
        <f t="shared" si="4"/>
        <v>169858.752</v>
      </c>
    </row>
    <row r="50" spans="1:13" ht="17.25" thickTop="1">
      <c r="A50" s="19"/>
      <c r="B50" s="18"/>
      <c r="C50" s="18"/>
      <c r="D50" s="18"/>
      <c r="E50" s="30"/>
      <c r="F50" s="30"/>
      <c r="G50" s="18"/>
      <c r="H50" s="30"/>
      <c r="I50" s="30"/>
      <c r="J50" s="30"/>
      <c r="K50" s="30" t="s">
        <v>0</v>
      </c>
      <c r="M50" s="16"/>
    </row>
    <row r="51" spans="1:11" ht="16.5" hidden="1">
      <c r="A51" s="18" t="s">
        <v>141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3" ht="16.5" hidden="1">
      <c r="A52" s="18" t="s">
        <v>144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M52" s="16"/>
    </row>
    <row r="53" spans="1:13" ht="16.5" hidden="1">
      <c r="A53" s="18" t="s">
        <v>145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6"/>
    </row>
    <row r="54" spans="1:11" ht="16.5" hidden="1">
      <c r="A54" s="18" t="s">
        <v>142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6.5" hidden="1">
      <c r="A55" s="18" t="s">
        <v>146</v>
      </c>
      <c r="B55" s="18"/>
      <c r="C55" s="18"/>
      <c r="D55" s="18"/>
      <c r="E55" s="18"/>
      <c r="F55" s="18"/>
      <c r="G55" s="18" t="s">
        <v>0</v>
      </c>
      <c r="H55" s="18"/>
      <c r="I55" s="18"/>
      <c r="J55" s="18"/>
      <c r="K55" s="18"/>
    </row>
    <row r="56" spans="1:11" ht="16.5" hidden="1">
      <c r="A56" s="18" t="s">
        <v>151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hidden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6.5" hidden="1">
      <c r="A58" s="18" t="s">
        <v>168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6.5" hidden="1">
      <c r="A59" s="18" t="s">
        <v>169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6.5" hidden="1">
      <c r="A60" s="18" t="s">
        <v>155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6.5" hidden="1">
      <c r="A61" s="18" t="s">
        <v>0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6.5" hidden="1">
      <c r="A62" s="18" t="s">
        <v>161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6.5" hidden="1">
      <c r="A63" s="18" t="s">
        <v>170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6.5" hidden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6.5" hidden="1">
      <c r="A65" s="18" t="s">
        <v>162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6.5" hidden="1">
      <c r="A66" s="18" t="s">
        <v>156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6.5" hidden="1">
      <c r="A67" s="18" t="s">
        <v>171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6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.5">
      <c r="A69" s="19" t="s">
        <v>191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6.5">
      <c r="A70" s="19" t="s">
        <v>181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6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6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6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6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6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6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ht="16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pans="1:11" ht="16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6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6.5">
      <c r="A80" s="18"/>
      <c r="B80" s="18"/>
      <c r="C80" s="18"/>
      <c r="D80" s="18"/>
      <c r="E80" s="18"/>
      <c r="F80" s="18"/>
      <c r="G80" s="18"/>
      <c r="H80" s="18"/>
      <c r="I80" s="18"/>
      <c r="J80" s="18" t="s">
        <v>0</v>
      </c>
      <c r="K80" s="18"/>
    </row>
    <row r="81" spans="1:11" ht="16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6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6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6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6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6.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6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6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</sheetData>
  <sheetProtection/>
  <mergeCells count="7">
    <mergeCell ref="C10:I10"/>
    <mergeCell ref="C8:I8"/>
    <mergeCell ref="C9:I9"/>
    <mergeCell ref="A1:K1"/>
    <mergeCell ref="A2:K2"/>
    <mergeCell ref="A5:K5"/>
    <mergeCell ref="A6:K6"/>
  </mergeCells>
  <printOptions horizontalCentered="1"/>
  <pageMargins left="0.5118110236220472" right="0.2362204724409449" top="0.7480314960629921" bottom="0.5118110236220472" header="0.2362204724409449" footer="0.2362204724409449"/>
  <pageSetup horizontalDpi="600" verticalDpi="600" orientation="portrait" paperSize="9" scale="85" r:id="rId1"/>
  <headerFooter alignWithMargins="0">
    <oddFooter>&amp;C&amp;12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wickie</cp:lastModifiedBy>
  <cp:lastPrinted>2019-08-22T07:52:07Z</cp:lastPrinted>
  <dcterms:created xsi:type="dcterms:W3CDTF">1998-03-21T00:09:32Z</dcterms:created>
  <dcterms:modified xsi:type="dcterms:W3CDTF">2019-08-22T07:52:14Z</dcterms:modified>
  <cp:category/>
  <cp:version/>
  <cp:contentType/>
  <cp:contentStatus/>
</cp:coreProperties>
</file>