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2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'BS'!$A$1:$E$86</definedName>
    <definedName name="_xlnm.Print_Area" localSheetId="2">'CFLOW'!$A$1:$E$78</definedName>
    <definedName name="_xlnm.Print_Area" localSheetId="3">'EQUITY'!$A$1:$K$60</definedName>
    <definedName name="_xlnm.Print_Area" localSheetId="0">'P&amp;L'!$A$2:$J$74</definedName>
  </definedNames>
  <calcPr fullCalcOnLoad="1"/>
</workbook>
</file>

<file path=xl/sharedStrings.xml><?xml version="1.0" encoding="utf-8"?>
<sst xmlns="http://schemas.openxmlformats.org/spreadsheetml/2006/main" count="349" uniqueCount="203">
  <si>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</si>
  <si>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</si>
  <si>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</si>
  <si>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</si>
  <si>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</si>
  <si>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</si>
  <si>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</si>
  <si>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</si>
  <si>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</si>
  <si>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</si>
  <si>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</si>
  <si>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</si>
  <si>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</si>
  <si>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</si>
  <si>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</si>
  <si>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</si>
  <si>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</si>
  <si>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</si>
  <si>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</si>
  <si>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</si>
  <si>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</si>
  <si>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</si>
  <si>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</si>
  <si>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</si>
  <si>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</si>
  <si>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</si>
  <si>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</si>
  <si>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</si>
  <si>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</si>
  <si>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</si>
  <si>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</si>
  <si>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</si>
  <si>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</si>
  <si>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</si>
  <si>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</si>
  <si>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</si>
  <si>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</si>
  <si>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</si>
  <si>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</si>
  <si>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</si>
  <si>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</si>
  <si>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</si>
  <si>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</si>
  <si>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</si>
  <si>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</si>
  <si>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</si>
  <si>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</si>
  <si>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</si>
  <si>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</si>
  <si>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</si>
  <si>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</si>
  <si>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</si>
  <si>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</si>
  <si>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</si>
  <si>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</si>
  <si>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</si>
  <si>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</si>
  <si>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</si>
  <si>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</si>
  <si>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</si>
  <si>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</si>
  <si>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</si>
  <si>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</si>
  <si>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</si>
  <si>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</si>
  <si>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</si>
  <si>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</si>
  <si>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</si>
  <si>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</si>
  <si>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</si>
  <si>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</si>
  <si>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</si>
  <si>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</si>
  <si>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</si>
  <si>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</si>
  <si>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</si>
  <si>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</si>
  <si>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</si>
  <si>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</si>
  <si>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</si>
  <si>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</si>
  <si>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</si>
  <si>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</si>
  <si>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</si>
  <si>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</si>
  <si>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REDEEMABLE CONVERTIBLE SECURED LOAN STOCKS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</si>
  <si>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</si>
  <si>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</si>
  <si>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</si>
  <si>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</si>
  <si>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</si>
  <si>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</si>
  <si>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</si>
  <si>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</si>
  <si>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</si>
  <si>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</si>
  <si>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</si>
  <si>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</si>
  <si>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</si>
  <si>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</si>
  <si>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</si>
  <si>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</si>
  <si>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</si>
  <si>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</si>
  <si>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</si>
  <si>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</si>
  <si>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</si>
  <si>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</si>
  <si>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</si>
  <si>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</si>
  <si>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</si>
  <si>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</si>
  <si>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</si>
  <si>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</si>
  <si>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</si>
  <si>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</si>
  <si>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</si>
  <si>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</si>
  <si>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</si>
  <si>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</si>
  <si>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</si>
  <si>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</si>
  <si>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</si>
  <si>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</si>
  <si>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</si>
  <si>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</si>
  <si>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</si>
  <si>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</si>
  <si>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</si>
  <si>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</si>
  <si>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</si>
  <si>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</si>
  <si>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</si>
  <si>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</si>
  <si>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</si>
  <si>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</si>
  <si>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</si>
  <si>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</si>
  <si>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</si>
  <si>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</si>
  <si>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</si>
  <si>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</si>
  <si>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</si>
  <si>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</si>
  <si>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 xml:space="preserve">The Condensed Consolidated Statement of Changes In Equity should be read in conjunction with the </t>
  </si>
  <si>
    <t>TO EQUITY OWNERS OF THE COMPANY :</t>
  </si>
  <si>
    <t xml:space="preserve">     Investment income received</t>
  </si>
  <si>
    <t>DEFERRED TAX</t>
  </si>
  <si>
    <t>Dividend paid</t>
  </si>
  <si>
    <t xml:space="preserve">     Dividend received</t>
  </si>
  <si>
    <t xml:space="preserve">     Exchange loss</t>
  </si>
  <si>
    <t>OPERATING PROFIT BEFORE CHANGES IN WORKING CAPITAL</t>
  </si>
  <si>
    <t>TRADE AND OTHER RECEIVABLES</t>
  </si>
  <si>
    <t>Total comprehensive income</t>
  </si>
  <si>
    <t xml:space="preserve">     Tax paid</t>
  </si>
  <si>
    <t xml:space="preserve">     Proceeds from disposal of property, plant and equipment</t>
  </si>
  <si>
    <t xml:space="preserve">     Purchase of property, plant and equipment</t>
  </si>
  <si>
    <t>&lt;------------   ATTRIBUTABLE TO OWNERS ----------- &gt;</t>
  </si>
  <si>
    <t xml:space="preserve">     Redemption in long term investment </t>
  </si>
  <si>
    <t>Annual Financial Report for the financial year ended 31 December 2016.</t>
  </si>
  <si>
    <t>the Annual Financial Report for the financial year ended 31 December 2016.</t>
  </si>
  <si>
    <t>(Based on 140,326,100 (2016:140,326,100)</t>
  </si>
  <si>
    <t xml:space="preserve">     Acquisition of investment/subsidiaries</t>
  </si>
  <si>
    <t xml:space="preserve"> for the financial period</t>
  </si>
  <si>
    <t>ACCUMULATED PROFIT/(LOSS)</t>
  </si>
  <si>
    <t xml:space="preserve">     (Investment)/Redemption in short term investment </t>
  </si>
  <si>
    <t xml:space="preserve">     Net change in cash held under HDA   </t>
  </si>
  <si>
    <t xml:space="preserve">Less : Cash held under HDA   </t>
  </si>
  <si>
    <t>NET CASH (USED IN)/FROM OPERATING ACTIVITIES</t>
  </si>
  <si>
    <t>NET CASH (USED IN)/FROM INVESTING ACTIVITIES</t>
  </si>
  <si>
    <t>NET (DECREASE)/INCREASE IN CASH AND CASH EQUIVALENTS</t>
  </si>
  <si>
    <t>Transition to no par value</t>
  </si>
  <si>
    <t xml:space="preserve"> regime under the </t>
  </si>
  <si>
    <t xml:space="preserve">(Based on 140,326,100 (2016:140,326,100) ordinary shares)      </t>
  </si>
  <si>
    <t xml:space="preserve"> Companies Act 2016</t>
  </si>
  <si>
    <t xml:space="preserve">The new Companies Act 2016 (the "Act"), which came into operation on 31 January 2017, abolished the concept </t>
  </si>
  <si>
    <t>transitional  provision  set out in  Section 618(2) of the Act.    Notwithstanding this provision,  the Company may</t>
  </si>
  <si>
    <t>Profit/(Losses)</t>
  </si>
  <si>
    <t>Controlling</t>
  </si>
  <si>
    <t xml:space="preserve">of authorised share capital and par value of share capital.   Consequently,  the amount standing to the credit of the </t>
  </si>
  <si>
    <t xml:space="preserve">share  premium  account  of   RM28.715 million  became  part  of  the  Company's  share  capital  pursuant  to  the </t>
  </si>
  <si>
    <t xml:space="preserve">within  24 months  from the commencement of the Act,  use  the  said  share  premium of  RM28.715 million for </t>
  </si>
  <si>
    <t>purposes as set  out  in  the said Act.   There is no impact on the number of ordinary shares in issue or the relative</t>
  </si>
  <si>
    <t>entitlement of any of the members as a result of this transition.</t>
  </si>
  <si>
    <t>UNAUDITED RESULTS OF THE GROUP FOR THE FOURTH QUARTER ENDED 31 DECEMBER 2017</t>
  </si>
  <si>
    <t xml:space="preserve">    CASH AND CASH EQUIVALENTS </t>
  </si>
  <si>
    <t xml:space="preserve">EFFECT OF EXCHANGE RATE CHANGES ON </t>
  </si>
  <si>
    <t>Balance At 1 Oct 2016</t>
  </si>
  <si>
    <t>Balance At 31 Dec 2016</t>
  </si>
  <si>
    <t>Balance At 1 Oct 2017</t>
  </si>
  <si>
    <t>Balance At 31 Dec 2017</t>
  </si>
  <si>
    <t>Total comprehensive loss</t>
  </si>
  <si>
    <t>(LOSS)/PROFIT FROM OPERATIONS</t>
  </si>
  <si>
    <t>(LOSS)/PROFIT BEFORE TAXATION</t>
  </si>
  <si>
    <t xml:space="preserve">(LOSS)/PROFIT FOR THE FINANCIAL PERIOD </t>
  </si>
  <si>
    <t>Other Comprehensive Loss</t>
  </si>
  <si>
    <t>TOTAL COMPREHENSIVE (LOSS)/INCOME</t>
  </si>
  <si>
    <t>(LOSS)/PROFIT ATTRIBUTABLE TO :</t>
  </si>
  <si>
    <t>(LOSS)/EARNINGS PER SHARE ATTRIBUTABLE</t>
  </si>
  <si>
    <t xml:space="preserve">Basic (Loss)/Earnings Per Ordinary Share (Sen) </t>
  </si>
  <si>
    <t>Diluted (Loss)/Earnings Per Ordinary Share (Sen)</t>
  </si>
  <si>
    <t>NET CASH FROM/(USED IN) FINANCING ACTIVITIES</t>
  </si>
  <si>
    <t>EQUITY OWNERS OF THE PARENT (RM)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</si>
</sst>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0.000_);\(0.000\)"/>
    <numFmt numFmtId="192" formatCode="0.0000_);\(0.0000\)"/>
    <numFmt numFmtId="193" formatCode="0.0_);\(0.0\)"/>
    <numFmt numFmtId="194" formatCode="_(* #,##0.000_);_(* \(#,##0.000\);_(* &quot;-&quot;???_);_(@_)"/>
    <numFmt numFmtId="195" formatCode="_(* #,##0.00_);_(* \(#,##0.00\);_(* &quot;-&quot;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,000.00%"/>
    <numFmt numFmtId="201" formatCode="0,000.00%"/>
    <numFmt numFmtId="202" formatCode="#,##0.00%"/>
    <numFmt numFmtId="203" formatCode="_-* #,##0.000_-;\-* #,##0.000_-;_-* &quot;-&quot;??_-;_-@_-"/>
    <numFmt numFmtId="204" formatCode="_-* #,##0.0000_-;\-* #,##0.0000_-;_-* &quot;-&quot;??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7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11" fillId="0" borderId="0" xfId="42" applyNumberFormat="1" applyFont="1" applyAlignment="1">
      <alignment/>
    </xf>
    <xf numFmtId="175" fontId="9" fillId="0" borderId="0" xfId="42" applyNumberFormat="1" applyFont="1" applyAlignment="1" applyProtection="1">
      <alignment/>
      <protection/>
    </xf>
    <xf numFmtId="182" fontId="9" fillId="0" borderId="12" xfId="42" applyNumberFormat="1" applyFont="1" applyBorder="1" applyAlignment="1">
      <alignment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2" fontId="9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86" fontId="9" fillId="0" borderId="0" xfId="42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204" fontId="9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Dec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CflowDec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Acq.MH Const"/>
    </sheetNames>
    <sheetDataSet>
      <sheetData sheetId="12">
        <row r="106">
          <cell r="Z1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6"/>
  <sheetViews>
    <sheetView zoomScalePageLayoutView="0" workbookViewId="0" topLeftCell="A1">
      <selection activeCell="A2" sqref="A2:J74"/>
    </sheetView>
  </sheetViews>
  <sheetFormatPr defaultColWidth="9.140625" defaultRowHeight="12.75"/>
  <cols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2.28125" style="0" customWidth="1"/>
    <col min="9" max="9" width="2.421875" style="0" customWidth="1"/>
    <col min="10" max="10" width="19.8515625" style="0" customWidth="1"/>
    <col min="12" max="12" width="14.57421875" style="0" bestFit="1" customWidth="1"/>
    <col min="13" max="13" width="12.00390625" style="0" bestFit="1" customWidth="1"/>
  </cols>
  <sheetData>
    <row r="2" spans="2:10" ht="16.5">
      <c r="B2" s="25" t="s">
        <v>2</v>
      </c>
      <c r="C2" s="26"/>
      <c r="D2" s="26"/>
      <c r="E2" s="26"/>
      <c r="F2" s="26"/>
      <c r="G2" s="26"/>
      <c r="H2" s="26"/>
      <c r="I2" s="26"/>
      <c r="J2" s="27"/>
    </row>
    <row r="3" spans="2:10" ht="16.5">
      <c r="B3" s="25" t="s">
        <v>3</v>
      </c>
      <c r="C3" s="26"/>
      <c r="D3" s="26"/>
      <c r="E3" s="26"/>
      <c r="F3" s="26"/>
      <c r="G3" s="26"/>
      <c r="H3" s="26"/>
      <c r="I3" s="26"/>
      <c r="J3" s="25"/>
    </row>
    <row r="4" spans="2:10" ht="16.5">
      <c r="B4" s="25" t="s">
        <v>0</v>
      </c>
      <c r="C4" s="26"/>
      <c r="D4" s="26"/>
      <c r="E4" s="26"/>
      <c r="F4" s="26"/>
      <c r="G4" s="26"/>
      <c r="H4" s="26" t="s">
        <v>0</v>
      </c>
      <c r="I4" s="26"/>
      <c r="J4" s="28"/>
    </row>
    <row r="5" spans="2:10" ht="16.5">
      <c r="B5" s="25" t="s">
        <v>184</v>
      </c>
      <c r="C5" s="26"/>
      <c r="D5" s="26"/>
      <c r="E5" s="26"/>
      <c r="F5" s="26"/>
      <c r="G5" s="26"/>
      <c r="H5" s="26"/>
      <c r="I5" s="26"/>
      <c r="J5" s="26"/>
    </row>
    <row r="6" spans="2:10" ht="16.5">
      <c r="B6" s="25" t="s">
        <v>92</v>
      </c>
      <c r="C6" s="26"/>
      <c r="D6" s="26"/>
      <c r="E6" s="26"/>
      <c r="F6" s="26"/>
      <c r="G6" s="26"/>
      <c r="H6" s="26"/>
      <c r="I6" s="26"/>
      <c r="J6" s="26"/>
    </row>
    <row r="7" spans="2:10" ht="16.5">
      <c r="B7" s="25"/>
      <c r="C7" s="26"/>
      <c r="D7" s="26"/>
      <c r="E7" s="26"/>
      <c r="F7" s="26"/>
      <c r="G7" s="26"/>
      <c r="H7" s="26"/>
      <c r="I7" s="26"/>
      <c r="J7" s="26"/>
    </row>
    <row r="8" spans="2:10" ht="16.5">
      <c r="B8" s="25"/>
      <c r="C8" s="26"/>
      <c r="D8" s="29" t="s">
        <v>6</v>
      </c>
      <c r="E8" s="29"/>
      <c r="F8" s="29"/>
      <c r="G8" s="19"/>
      <c r="H8" s="29" t="s">
        <v>7</v>
      </c>
      <c r="I8" s="29"/>
      <c r="J8" s="29"/>
    </row>
    <row r="9" spans="2:10" ht="16.5">
      <c r="B9" s="25"/>
      <c r="C9" s="26"/>
      <c r="D9" s="26"/>
      <c r="E9" s="26"/>
      <c r="F9" s="26"/>
      <c r="G9" s="26"/>
      <c r="H9" s="26"/>
      <c r="I9" s="26"/>
      <c r="J9" s="26"/>
    </row>
    <row r="10" spans="2:10" ht="16.5">
      <c r="B10" s="25"/>
      <c r="C10" s="26"/>
      <c r="D10" s="26"/>
      <c r="E10" s="26"/>
      <c r="F10" s="30" t="s">
        <v>22</v>
      </c>
      <c r="G10" s="26"/>
      <c r="H10" s="26"/>
      <c r="I10" s="26"/>
      <c r="J10" s="30" t="s">
        <v>22</v>
      </c>
    </row>
    <row r="11" spans="2:10" ht="16.5">
      <c r="B11" s="25" t="s">
        <v>0</v>
      </c>
      <c r="C11" s="26"/>
      <c r="D11" s="30" t="s">
        <v>8</v>
      </c>
      <c r="E11" s="30"/>
      <c r="F11" s="30" t="s">
        <v>9</v>
      </c>
      <c r="G11" s="26"/>
      <c r="H11" s="30" t="s">
        <v>8</v>
      </c>
      <c r="I11" s="30"/>
      <c r="J11" s="30" t="s">
        <v>9</v>
      </c>
    </row>
    <row r="12" spans="2:10" ht="16.5">
      <c r="B12" s="18"/>
      <c r="C12" s="18"/>
      <c r="D12" s="30" t="s">
        <v>9</v>
      </c>
      <c r="E12" s="30"/>
      <c r="F12" s="30" t="s">
        <v>11</v>
      </c>
      <c r="G12" s="31"/>
      <c r="H12" s="30" t="s">
        <v>9</v>
      </c>
      <c r="I12" s="30"/>
      <c r="J12" s="30" t="s">
        <v>11</v>
      </c>
    </row>
    <row r="13" spans="2:10" ht="16.5">
      <c r="B13" s="18"/>
      <c r="C13" s="18"/>
      <c r="D13" s="30" t="s">
        <v>10</v>
      </c>
      <c r="E13" s="30"/>
      <c r="F13" s="30" t="s">
        <v>10</v>
      </c>
      <c r="G13" s="31"/>
      <c r="H13" s="30" t="s">
        <v>12</v>
      </c>
      <c r="I13" s="30"/>
      <c r="J13" s="30" t="s">
        <v>13</v>
      </c>
    </row>
    <row r="14" spans="2:10" ht="16.5">
      <c r="B14" s="18"/>
      <c r="C14" s="18"/>
      <c r="D14" s="32" t="s">
        <v>53</v>
      </c>
      <c r="E14" s="30"/>
      <c r="F14" s="32" t="str">
        <f>D14</f>
        <v>31 DEC</v>
      </c>
      <c r="G14" s="19"/>
      <c r="H14" s="32" t="str">
        <f>F14</f>
        <v>31 DEC</v>
      </c>
      <c r="I14" s="30"/>
      <c r="J14" s="32" t="str">
        <f>H14</f>
        <v>31 DEC</v>
      </c>
    </row>
    <row r="15" spans="2:10" ht="16.5">
      <c r="B15" s="18"/>
      <c r="C15" s="18"/>
      <c r="D15" s="30">
        <v>2017</v>
      </c>
      <c r="E15" s="30"/>
      <c r="F15" s="30">
        <v>2016</v>
      </c>
      <c r="G15" s="30"/>
      <c r="H15" s="30">
        <v>2017</v>
      </c>
      <c r="I15" s="30"/>
      <c r="J15" s="30">
        <v>2016</v>
      </c>
    </row>
    <row r="16" spans="2:10" ht="16.5">
      <c r="B16" s="18"/>
      <c r="C16" s="18"/>
      <c r="D16" s="30" t="s">
        <v>1</v>
      </c>
      <c r="E16" s="30"/>
      <c r="F16" s="30" t="s">
        <v>1</v>
      </c>
      <c r="G16" s="30"/>
      <c r="H16" s="30" t="s">
        <v>1</v>
      </c>
      <c r="I16" s="30"/>
      <c r="J16" s="30" t="s">
        <v>1</v>
      </c>
    </row>
    <row r="17" spans="2:10" ht="16.5">
      <c r="B17" s="19"/>
      <c r="C17" s="18"/>
      <c r="D17" s="18" t="s">
        <v>0</v>
      </c>
      <c r="E17" s="18"/>
      <c r="F17" s="18"/>
      <c r="G17" s="18"/>
      <c r="H17" s="18"/>
      <c r="I17" s="18"/>
      <c r="J17" s="18"/>
    </row>
    <row r="18" spans="2:10" ht="16.5">
      <c r="B18" s="19" t="s">
        <v>27</v>
      </c>
      <c r="C18" s="18"/>
      <c r="D18" s="33">
        <f>26554-24195</f>
        <v>2359</v>
      </c>
      <c r="E18" s="33"/>
      <c r="F18" s="33">
        <f>41893.87-33236</f>
        <v>8657.870000000003</v>
      </c>
      <c r="G18" s="18"/>
      <c r="H18" s="33">
        <v>26554.466149999997</v>
      </c>
      <c r="I18" s="33"/>
      <c r="J18" s="34">
        <v>41893.87</v>
      </c>
    </row>
    <row r="19" spans="2:10" ht="16.5">
      <c r="B19" s="18"/>
      <c r="C19" s="18"/>
      <c r="D19" s="35"/>
      <c r="E19" s="35"/>
      <c r="F19" s="35"/>
      <c r="G19" s="18"/>
      <c r="H19" s="18"/>
      <c r="I19" s="35"/>
      <c r="J19" s="35"/>
    </row>
    <row r="20" spans="2:10" ht="16.5">
      <c r="B20" s="23" t="s">
        <v>43</v>
      </c>
      <c r="C20" s="18"/>
      <c r="D20" s="36">
        <f>-22091+18029</f>
        <v>-4062</v>
      </c>
      <c r="E20" s="18"/>
      <c r="F20" s="37">
        <f>-30175.501+22710</f>
        <v>-7465.501</v>
      </c>
      <c r="G20" s="18"/>
      <c r="H20" s="37">
        <v>-22091.078069999996</v>
      </c>
      <c r="I20" s="18"/>
      <c r="J20" s="37">
        <v>-30176.501</v>
      </c>
    </row>
    <row r="21" spans="2:10" ht="16.5">
      <c r="B21" s="18" t="s">
        <v>126</v>
      </c>
      <c r="C21" s="31"/>
      <c r="D21" s="36">
        <f>1164-505</f>
        <v>659</v>
      </c>
      <c r="E21" s="36"/>
      <c r="F21" s="36">
        <f>3861.7-2919</f>
        <v>942.6999999999998</v>
      </c>
      <c r="G21" s="31"/>
      <c r="H21" s="36">
        <v>1164.1571099999987</v>
      </c>
      <c r="I21" s="36"/>
      <c r="J21" s="37">
        <v>3861.7</v>
      </c>
    </row>
    <row r="22" spans="2:10" ht="16.5">
      <c r="B22" s="18"/>
      <c r="C22" s="31"/>
      <c r="D22" s="38" t="s">
        <v>0</v>
      </c>
      <c r="E22" s="36"/>
      <c r="F22" s="39"/>
      <c r="G22" s="31"/>
      <c r="H22" s="38"/>
      <c r="I22" s="36"/>
      <c r="J22" s="40"/>
    </row>
    <row r="23" spans="2:10" ht="16.5">
      <c r="B23" s="19" t="s">
        <v>192</v>
      </c>
      <c r="C23" s="31" t="s">
        <v>0</v>
      </c>
      <c r="D23" s="36">
        <f>SUM(D18:D22)</f>
        <v>-1044</v>
      </c>
      <c r="E23" s="36"/>
      <c r="F23" s="37">
        <f>SUM(F18:F22)</f>
        <v>2135.0690000000022</v>
      </c>
      <c r="G23" s="31"/>
      <c r="H23" s="36">
        <f>SUM(H18:H22)-0.5</f>
        <v>5627.045189999999</v>
      </c>
      <c r="I23" s="36"/>
      <c r="J23" s="36">
        <f>SUM(J18:J22)</f>
        <v>15579.069000000003</v>
      </c>
    </row>
    <row r="24" spans="2:10" ht="16.5">
      <c r="B24" s="19"/>
      <c r="C24" s="31"/>
      <c r="D24" s="36"/>
      <c r="E24" s="36"/>
      <c r="F24" s="37"/>
      <c r="G24" s="31"/>
      <c r="H24" s="36" t="s">
        <v>0</v>
      </c>
      <c r="I24" s="36"/>
      <c r="J24" s="31"/>
    </row>
    <row r="25" spans="2:10" ht="16.5">
      <c r="B25" s="18" t="s">
        <v>47</v>
      </c>
      <c r="C25" s="31"/>
      <c r="D25" s="36">
        <f>1935-1900</f>
        <v>35</v>
      </c>
      <c r="E25" s="36"/>
      <c r="F25" s="37">
        <f>223.447-185</f>
        <v>38.447</v>
      </c>
      <c r="G25" s="31"/>
      <c r="H25" s="36">
        <v>1934.52644</v>
      </c>
      <c r="I25" s="36"/>
      <c r="J25" s="37">
        <v>223.447</v>
      </c>
    </row>
    <row r="26" spans="2:10" ht="16.5">
      <c r="B26" s="18" t="s">
        <v>48</v>
      </c>
      <c r="C26" s="31"/>
      <c r="D26" s="36">
        <f>-22+17</f>
        <v>-5</v>
      </c>
      <c r="E26" s="36"/>
      <c r="F26" s="37">
        <f>-21.515+15-0.5</f>
        <v>-7.015000000000001</v>
      </c>
      <c r="G26" s="31"/>
      <c r="H26" s="36">
        <v>-22.181600000000017</v>
      </c>
      <c r="I26" s="36"/>
      <c r="J26" s="37">
        <f>-21.515-0.5</f>
        <v>-22.015</v>
      </c>
    </row>
    <row r="27" spans="2:12" ht="16.5">
      <c r="B27" s="18" t="s">
        <v>44</v>
      </c>
      <c r="C27" s="31"/>
      <c r="D27" s="37">
        <f>3255-2359</f>
        <v>896</v>
      </c>
      <c r="E27" s="36"/>
      <c r="F27" s="36">
        <f>2828.682-2440</f>
        <v>388.6819999999998</v>
      </c>
      <c r="G27" s="31"/>
      <c r="H27" s="37">
        <v>3255.26081</v>
      </c>
      <c r="I27" s="36"/>
      <c r="J27" s="36">
        <f>689.001+2139.681</f>
        <v>2828.682</v>
      </c>
      <c r="L27" s="86"/>
    </row>
    <row r="28" spans="2:10" ht="16.5">
      <c r="B28" s="18" t="s">
        <v>0</v>
      </c>
      <c r="C28" s="31"/>
      <c r="D28" s="38" t="s">
        <v>0</v>
      </c>
      <c r="E28" s="38"/>
      <c r="F28" s="39" t="s">
        <v>0</v>
      </c>
      <c r="G28" s="31"/>
      <c r="H28" s="38" t="s">
        <v>0</v>
      </c>
      <c r="I28" s="38"/>
      <c r="J28" s="39"/>
    </row>
    <row r="29" spans="2:10" ht="16.5">
      <c r="B29" s="41" t="s">
        <v>193</v>
      </c>
      <c r="C29" s="31"/>
      <c r="D29" s="37">
        <f>SUM(D23:D28)</f>
        <v>-118</v>
      </c>
      <c r="E29" s="36"/>
      <c r="F29" s="36">
        <f>SUM(F23:F28)</f>
        <v>2555.1830000000023</v>
      </c>
      <c r="G29" s="31"/>
      <c r="H29" s="37">
        <f>SUM(H23:H28)</f>
        <v>10794.650839999998</v>
      </c>
      <c r="I29" s="36"/>
      <c r="J29" s="36">
        <f>SUM(J23:J28)</f>
        <v>18609.183000000005</v>
      </c>
    </row>
    <row r="30" spans="2:13" ht="16.5">
      <c r="B30" s="41" t="s">
        <v>0</v>
      </c>
      <c r="C30" s="31"/>
      <c r="D30" s="36"/>
      <c r="E30" s="36"/>
      <c r="F30" s="31"/>
      <c r="G30" s="31"/>
      <c r="H30" s="36" t="s">
        <v>0</v>
      </c>
      <c r="I30" s="36"/>
      <c r="J30" s="31"/>
      <c r="M30" s="16"/>
    </row>
    <row r="31" spans="2:10" ht="16.5">
      <c r="B31" s="18" t="s">
        <v>29</v>
      </c>
      <c r="C31" s="18"/>
      <c r="D31" s="33">
        <f>-3090+3088</f>
        <v>-2</v>
      </c>
      <c r="E31" s="33"/>
      <c r="F31" s="42">
        <f>-4776.374+3337</f>
        <v>-1439.3739999999998</v>
      </c>
      <c r="G31" s="18"/>
      <c r="H31" s="43">
        <v>-3089.8595600000003</v>
      </c>
      <c r="I31" s="33"/>
      <c r="J31" s="42">
        <v>-4776.374</v>
      </c>
    </row>
    <row r="32" spans="2:10" ht="16.5">
      <c r="B32" s="18" t="s">
        <v>0</v>
      </c>
      <c r="C32" s="18"/>
      <c r="D32" s="38" t="s">
        <v>0</v>
      </c>
      <c r="E32" s="38"/>
      <c r="F32" s="38" t="s">
        <v>0</v>
      </c>
      <c r="G32" s="18"/>
      <c r="H32" s="38" t="s">
        <v>0</v>
      </c>
      <c r="I32" s="38"/>
      <c r="J32" s="38" t="s">
        <v>0</v>
      </c>
    </row>
    <row r="33" spans="2:10" ht="16.5" hidden="1">
      <c r="B33" s="41" t="s">
        <v>84</v>
      </c>
      <c r="C33" s="31"/>
      <c r="D33" s="33">
        <f>SUM(D29:D32)</f>
        <v>-120</v>
      </c>
      <c r="E33" s="33"/>
      <c r="F33" s="33">
        <f>SUM(F29:F32)</f>
        <v>1115.8090000000025</v>
      </c>
      <c r="G33" s="35"/>
      <c r="H33" s="33">
        <f>SUM(H29:H32)</f>
        <v>7704.791279999998</v>
      </c>
      <c r="I33" s="33"/>
      <c r="J33" s="33">
        <f>SUM(J29:J32)</f>
        <v>13832.809000000005</v>
      </c>
    </row>
    <row r="34" spans="2:10" ht="16.5" hidden="1">
      <c r="B34" s="41"/>
      <c r="C34" s="31"/>
      <c r="D34" s="36"/>
      <c r="E34" s="36"/>
      <c r="F34" s="36"/>
      <c r="G34" s="31"/>
      <c r="H34" s="36"/>
      <c r="I34" s="36"/>
      <c r="J34" s="36"/>
    </row>
    <row r="35" spans="2:10" ht="16.5" hidden="1">
      <c r="B35" s="41" t="s">
        <v>73</v>
      </c>
      <c r="C35" s="31"/>
      <c r="D35" s="36"/>
      <c r="E35" s="36"/>
      <c r="F35" s="36"/>
      <c r="G35" s="31"/>
      <c r="H35" s="36"/>
      <c r="I35" s="36"/>
      <c r="J35" s="36"/>
    </row>
    <row r="36" spans="2:10" ht="16.5" hidden="1">
      <c r="B36" s="41" t="s">
        <v>82</v>
      </c>
      <c r="C36" s="31"/>
      <c r="D36" s="36">
        <v>0</v>
      </c>
      <c r="E36" s="36"/>
      <c r="F36" s="36">
        <v>0</v>
      </c>
      <c r="G36" s="31"/>
      <c r="H36" s="36">
        <v>0</v>
      </c>
      <c r="I36" s="36"/>
      <c r="J36" s="36">
        <v>0</v>
      </c>
    </row>
    <row r="37" spans="2:10" ht="16.5" hidden="1">
      <c r="B37" s="41"/>
      <c r="C37" s="31"/>
      <c r="D37" s="36"/>
      <c r="E37" s="36"/>
      <c r="F37" s="36"/>
      <c r="G37" s="31"/>
      <c r="H37" s="36"/>
      <c r="I37" s="36"/>
      <c r="J37" s="36"/>
    </row>
    <row r="38" spans="2:22" ht="16.5">
      <c r="B38" s="41" t="s">
        <v>194</v>
      </c>
      <c r="C38" s="31"/>
      <c r="D38" s="44">
        <f>SUM(D33:D37)</f>
        <v>-120</v>
      </c>
      <c r="E38" s="44"/>
      <c r="F38" s="44">
        <f>SUM(F33:F37)</f>
        <v>1115.8090000000025</v>
      </c>
      <c r="G38" s="31"/>
      <c r="H38" s="45">
        <f>SUM(H33:H37)</f>
        <v>7704.791279999998</v>
      </c>
      <c r="I38" s="44"/>
      <c r="J38" s="44">
        <f>SUM(J33:J37)</f>
        <v>13832.809000000005</v>
      </c>
      <c r="R38" s="80"/>
      <c r="S38" s="80"/>
      <c r="T38" s="80"/>
      <c r="U38" s="82"/>
      <c r="V38" s="82"/>
    </row>
    <row r="39" spans="2:17" ht="16.5">
      <c r="B39" s="41"/>
      <c r="C39" s="31"/>
      <c r="D39" s="33"/>
      <c r="E39" s="33"/>
      <c r="F39" s="33"/>
      <c r="G39" s="31"/>
      <c r="H39" s="33"/>
      <c r="I39" s="33"/>
      <c r="J39" s="33"/>
      <c r="P39" s="81"/>
      <c r="Q39" s="80"/>
    </row>
    <row r="40" spans="2:16" ht="16.5">
      <c r="B40" s="23" t="s">
        <v>195</v>
      </c>
      <c r="C40" s="31"/>
      <c r="D40" s="33">
        <f>((2.70448-3.09083-4.63626-1.93177)+(2.24506+1.31583-0.73123+0.33954))-((2.70448-3.09083-4.63626)+(2.24506+1.31583-0.73123))</f>
        <v>-1.5922300000000003</v>
      </c>
      <c r="E40" s="33"/>
      <c r="F40" s="33">
        <f>((-0.77271-5.79533+2.31817-1.54542)+(3.33815))-((-0.77271-5.79533+2.31817)+(6.12776))</f>
        <v>-4.33503</v>
      </c>
      <c r="G40" s="31"/>
      <c r="H40" s="33">
        <f>(2.70448-3.09083-4.63626-1.93177)+(2.24506+1.31583-0.73123+0.33954)</f>
        <v>-3.7851800000000004</v>
      </c>
      <c r="I40" s="33"/>
      <c r="J40" s="33">
        <f>(-0.77271-5.79533+2.31817-1.54542)+(3.33815)</f>
        <v>-2.4571399999999994</v>
      </c>
      <c r="P40" s="81"/>
    </row>
    <row r="41" spans="2:10" ht="10.5" customHeight="1">
      <c r="B41" s="41"/>
      <c r="C41" s="31"/>
      <c r="D41" s="33"/>
      <c r="E41" s="33"/>
      <c r="F41" s="33"/>
      <c r="G41" s="31"/>
      <c r="H41" s="33"/>
      <c r="I41" s="33"/>
      <c r="J41" s="33"/>
    </row>
    <row r="42" spans="2:22" ht="16.5">
      <c r="B42" s="41" t="s">
        <v>196</v>
      </c>
      <c r="C42" s="31"/>
      <c r="D42" s="33"/>
      <c r="E42" s="33"/>
      <c r="F42" s="33"/>
      <c r="G42" s="31"/>
      <c r="H42" s="33"/>
      <c r="I42" s="33"/>
      <c r="J42" s="33"/>
      <c r="P42" s="80"/>
      <c r="R42" s="83"/>
      <c r="S42" s="83"/>
      <c r="T42" s="84"/>
      <c r="U42" s="83"/>
      <c r="V42" s="83"/>
    </row>
    <row r="43" spans="2:10" ht="17.25" thickBot="1">
      <c r="B43" s="41" t="s">
        <v>93</v>
      </c>
      <c r="C43" s="31"/>
      <c r="D43" s="46">
        <f>SUM(D38:D42)</f>
        <v>-121.59223</v>
      </c>
      <c r="E43" s="46"/>
      <c r="F43" s="46">
        <f>SUM(F38:F42)+0.5</f>
        <v>1111.9739700000025</v>
      </c>
      <c r="G43" s="31"/>
      <c r="H43" s="46">
        <f>SUM(H38:H42)</f>
        <v>7701.006099999998</v>
      </c>
      <c r="I43" s="46"/>
      <c r="J43" s="46">
        <f>SUM(J38:J42)+0.5</f>
        <v>13830.851860000004</v>
      </c>
    </row>
    <row r="44" spans="2:20" ht="17.25" thickTop="1">
      <c r="B44" s="41"/>
      <c r="C44" s="31"/>
      <c r="D44" s="33"/>
      <c r="E44" s="33"/>
      <c r="F44" s="33"/>
      <c r="G44" s="31"/>
      <c r="H44" s="33"/>
      <c r="I44" s="33"/>
      <c r="J44" s="33"/>
      <c r="R44" s="80"/>
      <c r="S44" s="80"/>
      <c r="T44" s="85"/>
    </row>
    <row r="45" spans="2:18" ht="16.5">
      <c r="B45" s="41" t="s">
        <v>197</v>
      </c>
      <c r="C45" s="31"/>
      <c r="D45" s="36"/>
      <c r="E45" s="36"/>
      <c r="F45" s="36"/>
      <c r="G45" s="31"/>
      <c r="H45" s="36"/>
      <c r="I45" s="36"/>
      <c r="J45" s="36"/>
      <c r="R45" s="82"/>
    </row>
    <row r="46" spans="2:18" ht="16.5">
      <c r="B46" s="23" t="s">
        <v>134</v>
      </c>
      <c r="C46" s="31"/>
      <c r="D46" s="37">
        <f>7875-7952</f>
        <v>-77</v>
      </c>
      <c r="E46" s="36"/>
      <c r="F46" s="36">
        <f>12527.402-11349</f>
        <v>1178.402</v>
      </c>
      <c r="G46" s="31"/>
      <c r="H46" s="37">
        <f>H38-H47</f>
        <v>7875.2424477999975</v>
      </c>
      <c r="I46" s="36"/>
      <c r="J46" s="36">
        <v>12527.402</v>
      </c>
      <c r="R46" s="82"/>
    </row>
    <row r="47" spans="2:10" ht="16.5">
      <c r="B47" s="18" t="s">
        <v>123</v>
      </c>
      <c r="C47" s="31"/>
      <c r="D47" s="79">
        <f>-170+127</f>
        <v>-43</v>
      </c>
      <c r="E47" s="36"/>
      <c r="F47" s="42">
        <f>1305.907-1368</f>
        <v>-62.093000000000075</v>
      </c>
      <c r="G47" s="31"/>
      <c r="H47" s="79">
        <v>-170.4511678</v>
      </c>
      <c r="I47" s="36"/>
      <c r="J47" s="42">
        <v>1305.907</v>
      </c>
    </row>
    <row r="48" spans="2:10" ht="16.5">
      <c r="B48" s="18"/>
      <c r="C48" s="18"/>
      <c r="D48" s="48"/>
      <c r="E48" s="48"/>
      <c r="F48" s="48"/>
      <c r="G48" s="18"/>
      <c r="H48" s="48"/>
      <c r="I48" s="48"/>
      <c r="J48" s="48"/>
    </row>
    <row r="49" spans="2:10" ht="17.25" thickBot="1">
      <c r="B49" s="41" t="s">
        <v>0</v>
      </c>
      <c r="C49" s="18"/>
      <c r="D49" s="49">
        <f>SUM(D46:D48)</f>
        <v>-120</v>
      </c>
      <c r="E49" s="46"/>
      <c r="F49" s="46">
        <f>SUM(F46:F48)</f>
        <v>1116.309</v>
      </c>
      <c r="G49" s="18"/>
      <c r="H49" s="46">
        <f>SUM(H46:H48)</f>
        <v>7704.791279999998</v>
      </c>
      <c r="I49" s="46"/>
      <c r="J49" s="46">
        <f>SUM(J46:J48)</f>
        <v>13833.309</v>
      </c>
    </row>
    <row r="50" spans="2:10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</row>
    <row r="51" spans="2:10" ht="16.5">
      <c r="B51" s="41" t="s">
        <v>196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1" t="s">
        <v>56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3" t="s">
        <v>134</v>
      </c>
      <c r="C53" s="18"/>
      <c r="D53" s="37">
        <f>D46+((2.70448-3.09083-4.63626-1.93177)-(2.70448-3.09083-4.63626))*0.51+((2.24506+1.31583-0.73123+0.33954)-(2.24506+1.31583-0.73123))</f>
        <v>-77.6456627</v>
      </c>
      <c r="E53" s="18"/>
      <c r="F53" s="37">
        <f>F46+((-0.77271-5.79533+2.31817-1.54542)-(-0.77271-5.79533+2.31817))*0.51+((3.33815)-(6.12776))+1</f>
        <v>1175.8242258</v>
      </c>
      <c r="G53" s="18"/>
      <c r="H53" s="47">
        <f>H46+((2.70448-3.09083-4.63626-1.93177)*0.51)+(2.24506+1.31583-0.73123+0.33954)</f>
        <v>7874.864913999998</v>
      </c>
      <c r="I53" s="18"/>
      <c r="J53" s="36">
        <v>12527.784</v>
      </c>
    </row>
    <row r="54" spans="2:10" ht="16.5">
      <c r="B54" s="18" t="s">
        <v>123</v>
      </c>
      <c r="C54" s="18"/>
      <c r="D54" s="37">
        <f>D47+((2.70448-3.09083-4.63626-1.93177)-(2.70448-3.09083-4.63626))*0.49</f>
        <v>-43.9465673</v>
      </c>
      <c r="E54" s="18"/>
      <c r="F54" s="37">
        <f>F47+((-0.77271-5.79533+2.31817-1.54542)-(-0.77271-5.79533+2.31817))*0.49</f>
        <v>-62.85025580000008</v>
      </c>
      <c r="G54" s="18"/>
      <c r="H54" s="79">
        <f>H47+((2.70448-3.09083-4.63626-1.93177)*0.49)</f>
        <v>-173.858814</v>
      </c>
      <c r="I54" s="18"/>
      <c r="J54" s="36">
        <v>1303.068</v>
      </c>
    </row>
    <row r="55" spans="2:10" ht="17.25" thickBot="1">
      <c r="B55" s="18"/>
      <c r="C55" s="18"/>
      <c r="D55" s="46">
        <f>SUM(D53:D54)</f>
        <v>-121.59223</v>
      </c>
      <c r="E55" s="50"/>
      <c r="F55" s="46">
        <f>SUM(F53:F54)</f>
        <v>1112.97397</v>
      </c>
      <c r="G55" s="18"/>
      <c r="H55" s="49">
        <f>SUM(H53:H54)</f>
        <v>7701.006099999998</v>
      </c>
      <c r="I55" s="50"/>
      <c r="J55" s="49">
        <f>SUM(J53:J54)</f>
        <v>13830.851999999999</v>
      </c>
    </row>
    <row r="56" spans="2:10" ht="17.25" thickTop="1">
      <c r="B56" s="19" t="s">
        <v>0</v>
      </c>
      <c r="C56" s="18"/>
      <c r="D56" s="36"/>
      <c r="E56" s="18"/>
      <c r="F56" s="18"/>
      <c r="G56" s="18"/>
      <c r="H56" s="18" t="s">
        <v>0</v>
      </c>
      <c r="I56" s="18"/>
      <c r="J56" s="18"/>
    </row>
    <row r="57" spans="2:13" ht="16.5">
      <c r="B57" s="19" t="s">
        <v>198</v>
      </c>
      <c r="C57" s="18"/>
      <c r="D57" s="51" t="s">
        <v>0</v>
      </c>
      <c r="E57" s="18"/>
      <c r="F57" s="18"/>
      <c r="G57" s="18"/>
      <c r="H57" s="18"/>
      <c r="I57" s="18"/>
      <c r="J57" s="18"/>
      <c r="M57" s="16"/>
    </row>
    <row r="58" spans="2:10" ht="16.5">
      <c r="B58" s="19" t="s">
        <v>145</v>
      </c>
      <c r="C58" s="18"/>
      <c r="D58" s="52" t="s">
        <v>0</v>
      </c>
      <c r="E58" s="36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1"/>
      <c r="D59" s="31" t="s">
        <v>0</v>
      </c>
      <c r="E59" s="31"/>
      <c r="F59" s="31"/>
      <c r="G59" s="31"/>
      <c r="H59" s="31" t="s">
        <v>0</v>
      </c>
      <c r="I59" s="31"/>
      <c r="J59" s="31"/>
    </row>
    <row r="60" spans="2:13" ht="16.5">
      <c r="B60" s="19" t="s">
        <v>199</v>
      </c>
      <c r="C60" s="31"/>
      <c r="D60" s="71">
        <f>(D33+(170-126)+(0+0))/140326.1*100</f>
        <v>-0.0541595611935342</v>
      </c>
      <c r="E60" s="71"/>
      <c r="F60" s="71">
        <f>F46/140326.1*100</f>
        <v>0.8397596740734617</v>
      </c>
      <c r="G60" s="72"/>
      <c r="H60" s="71">
        <f>(H33-H47)/140326.1*100</f>
        <v>5.61210099033608</v>
      </c>
      <c r="I60" s="71"/>
      <c r="J60" s="71">
        <v>8.93</v>
      </c>
      <c r="M60" s="6"/>
    </row>
    <row r="61" spans="2:10" ht="16.5" hidden="1">
      <c r="B61" s="19"/>
      <c r="C61" s="31"/>
      <c r="D61" s="71"/>
      <c r="E61" s="71"/>
      <c r="F61" s="71"/>
      <c r="G61" s="72"/>
      <c r="H61" s="71"/>
      <c r="I61" s="71"/>
      <c r="J61" s="71"/>
    </row>
    <row r="62" spans="2:10" ht="16.5" hidden="1">
      <c r="B62" s="19" t="s">
        <v>57</v>
      </c>
      <c r="C62" s="31"/>
      <c r="D62" s="71"/>
      <c r="E62" s="71"/>
      <c r="F62" s="71"/>
      <c r="G62" s="72"/>
      <c r="H62" s="71"/>
      <c r="I62" s="71"/>
      <c r="J62" s="71"/>
    </row>
    <row r="63" spans="2:13" ht="16.5" hidden="1">
      <c r="B63" s="19" t="s">
        <v>74</v>
      </c>
      <c r="C63" s="31"/>
      <c r="D63" s="71">
        <f>(D36+(0-0))/120000*100</f>
        <v>0</v>
      </c>
      <c r="E63" s="71"/>
      <c r="F63" s="71">
        <f>(F36+(0-0))/120000*100</f>
        <v>0</v>
      </c>
      <c r="G63" s="72"/>
      <c r="H63" s="71">
        <v>0</v>
      </c>
      <c r="I63" s="71"/>
      <c r="J63" s="71">
        <v>0</v>
      </c>
      <c r="M63" s="6"/>
    </row>
    <row r="64" spans="2:10" ht="16.5">
      <c r="B64" s="18" t="s">
        <v>161</v>
      </c>
      <c r="C64" s="31"/>
      <c r="D64" s="71" t="s">
        <v>0</v>
      </c>
      <c r="E64" s="71"/>
      <c r="F64" s="73" t="s">
        <v>0</v>
      </c>
      <c r="G64" s="72"/>
      <c r="H64" s="73" t="s">
        <v>0</v>
      </c>
      <c r="I64" s="71"/>
      <c r="J64" s="73"/>
    </row>
    <row r="65" spans="2:13" ht="17.25" thickBot="1">
      <c r="B65" s="18" t="s">
        <v>135</v>
      </c>
      <c r="C65" s="31"/>
      <c r="D65" s="74">
        <f>SUM(D60:D64)</f>
        <v>-0.0541595611935342</v>
      </c>
      <c r="E65" s="75"/>
      <c r="F65" s="74">
        <f>SUM(F60:F64)</f>
        <v>0.8397596740734617</v>
      </c>
      <c r="G65" s="72"/>
      <c r="H65" s="74">
        <f>SUM(H60:H64)</f>
        <v>5.61210099033608</v>
      </c>
      <c r="I65" s="75"/>
      <c r="J65" s="74">
        <f>SUM(J60:J64)</f>
        <v>8.93</v>
      </c>
      <c r="M65" s="20"/>
    </row>
    <row r="66" spans="2:10" ht="17.25" thickTop="1">
      <c r="B66" s="18" t="s">
        <v>0</v>
      </c>
      <c r="C66" s="31"/>
      <c r="D66" s="71"/>
      <c r="E66" s="71"/>
      <c r="F66" s="71"/>
      <c r="G66" s="72"/>
      <c r="H66" s="71"/>
      <c r="I66" s="71"/>
      <c r="J66" s="71"/>
    </row>
    <row r="67" spans="2:10" ht="16.5">
      <c r="B67" s="19" t="s">
        <v>200</v>
      </c>
      <c r="C67" s="18"/>
      <c r="D67" s="71">
        <v>-0.05487218699871229</v>
      </c>
      <c r="E67" s="72"/>
      <c r="F67" s="73">
        <v>0.84</v>
      </c>
      <c r="G67" s="72"/>
      <c r="H67" s="73">
        <v>5.61210099033608</v>
      </c>
      <c r="I67" s="71"/>
      <c r="J67" s="73">
        <v>8.93</v>
      </c>
    </row>
    <row r="68" spans="2:10" ht="16.5">
      <c r="B68" s="18" t="s">
        <v>161</v>
      </c>
      <c r="C68" s="18"/>
      <c r="D68" s="71"/>
      <c r="E68" s="72"/>
      <c r="F68" s="73"/>
      <c r="G68" s="72"/>
      <c r="H68" s="73"/>
      <c r="I68" s="71"/>
      <c r="J68" s="73"/>
    </row>
    <row r="69" spans="2:10" ht="17.25" thickBot="1">
      <c r="B69" s="18" t="s">
        <v>135</v>
      </c>
      <c r="C69" s="18"/>
      <c r="D69" s="75">
        <f>SUM(D67:D68)</f>
        <v>-0.05487218699871229</v>
      </c>
      <c r="E69" s="76"/>
      <c r="F69" s="75">
        <f>SUM(F67:F68)</f>
        <v>0.84</v>
      </c>
      <c r="G69" s="72"/>
      <c r="H69" s="75">
        <f>SUM(H67:H68)</f>
        <v>5.61210099033608</v>
      </c>
      <c r="I69" s="76"/>
      <c r="J69" s="75">
        <f>SUM(J67:J68)</f>
        <v>8.93</v>
      </c>
    </row>
    <row r="70" spans="2:10" ht="17.25" thickTop="1">
      <c r="B70" s="18"/>
      <c r="C70" s="18"/>
      <c r="D70" s="51"/>
      <c r="E70" s="18"/>
      <c r="F70" s="54"/>
      <c r="G70" s="18"/>
      <c r="H70" s="54"/>
      <c r="I70" s="51"/>
      <c r="J70" s="54"/>
    </row>
    <row r="71" spans="2:10" ht="16.5">
      <c r="B71" s="19"/>
      <c r="C71" s="18"/>
      <c r="D71" s="51"/>
      <c r="E71" s="51"/>
      <c r="F71" s="51"/>
      <c r="G71" s="18"/>
      <c r="H71" s="18"/>
      <c r="I71" s="18"/>
      <c r="J71" s="18"/>
    </row>
    <row r="72" spans="2:10" ht="16.5">
      <c r="B72" s="19" t="s">
        <v>94</v>
      </c>
      <c r="C72" s="18"/>
      <c r="D72" s="51"/>
      <c r="E72" s="51"/>
      <c r="F72" s="51"/>
      <c r="G72" s="18"/>
      <c r="H72" s="18"/>
      <c r="I72" s="18"/>
      <c r="J72" s="18"/>
    </row>
    <row r="73" spans="2:10" ht="16.5">
      <c r="B73" s="19" t="s">
        <v>159</v>
      </c>
      <c r="C73" s="18"/>
      <c r="D73" s="51"/>
      <c r="E73" s="51"/>
      <c r="F73" s="51"/>
      <c r="G73" s="18"/>
      <c r="H73" s="18"/>
      <c r="I73" s="18"/>
      <c r="J73" s="18"/>
    </row>
    <row r="78" ht="16.5">
      <c r="B78" s="18" t="s">
        <v>0</v>
      </c>
    </row>
    <row r="86" ht="16.5">
      <c r="B86" s="18"/>
    </row>
  </sheetData>
  <sheetProtection/>
  <printOptions horizontalCentered="1"/>
  <pageMargins left="0.31496062992125984" right="0.11811023622047245" top="0.5118110236220472" bottom="0.1968503937007874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="95" zoomScaleNormal="95" zoomScalePageLayoutView="0" workbookViewId="0" topLeftCell="A76">
      <selection activeCell="A18" sqref="A18"/>
    </sheetView>
  </sheetViews>
  <sheetFormatPr defaultColWidth="9.140625" defaultRowHeight="12.75"/>
  <cols>
    <col min="1" max="1" width="67.57421875" style="0" customWidth="1"/>
    <col min="2" max="2" width="4.28125" style="0" customWidth="1"/>
    <col min="3" max="3" width="15.28125" style="0" customWidth="1"/>
    <col min="4" max="4" width="4.57421875" style="0" customWidth="1"/>
    <col min="5" max="5" width="16.7109375" style="0" customWidth="1"/>
    <col min="7" max="7" width="11.00390625" style="0" bestFit="1" customWidth="1"/>
    <col min="11" max="11" width="11.140625" style="0" bestFit="1" customWidth="1"/>
  </cols>
  <sheetData>
    <row r="1" spans="1:5" ht="15.75">
      <c r="A1" s="87" t="s">
        <v>2</v>
      </c>
      <c r="B1" s="87"/>
      <c r="C1" s="87"/>
      <c r="D1" s="87"/>
      <c r="E1" s="87"/>
    </row>
    <row r="2" spans="1:5" ht="15.75">
      <c r="A2" s="87" t="s">
        <v>3</v>
      </c>
      <c r="B2" s="87"/>
      <c r="C2" s="87"/>
      <c r="D2" s="87"/>
      <c r="E2" s="87"/>
    </row>
    <row r="3" spans="1:5" ht="15.75">
      <c r="A3" s="14" t="s">
        <v>0</v>
      </c>
      <c r="B3" s="8"/>
      <c r="C3" s="8"/>
      <c r="D3" s="8"/>
      <c r="E3" s="8" t="s">
        <v>0</v>
      </c>
    </row>
    <row r="4" spans="1:5" ht="15.75">
      <c r="A4" s="87" t="s">
        <v>184</v>
      </c>
      <c r="B4" s="87"/>
      <c r="C4" s="87"/>
      <c r="D4" s="87"/>
      <c r="E4" s="87"/>
    </row>
    <row r="5" spans="1:5" ht="15.75">
      <c r="A5" s="87" t="s">
        <v>90</v>
      </c>
      <c r="B5" s="87"/>
      <c r="C5" s="87"/>
      <c r="D5" s="87"/>
      <c r="E5" s="87"/>
    </row>
    <row r="6" spans="1:5" ht="15.75">
      <c r="A6" s="12"/>
      <c r="B6" s="1"/>
      <c r="C6" s="1"/>
      <c r="D6" s="1"/>
      <c r="E6" s="1"/>
    </row>
    <row r="7" spans="1:5" ht="15.75">
      <c r="A7" s="12"/>
      <c r="B7" s="1"/>
      <c r="C7" s="5" t="s">
        <v>14</v>
      </c>
      <c r="D7" s="1"/>
      <c r="E7" s="5" t="s">
        <v>16</v>
      </c>
    </row>
    <row r="8" spans="1:5" ht="15.75">
      <c r="A8" s="12"/>
      <c r="B8" s="1"/>
      <c r="C8" s="5" t="s">
        <v>15</v>
      </c>
      <c r="D8" s="1"/>
      <c r="E8" s="5" t="s">
        <v>22</v>
      </c>
    </row>
    <row r="9" spans="1:5" ht="15.75">
      <c r="A9" s="12"/>
      <c r="B9" s="1"/>
      <c r="C9" s="5" t="s">
        <v>8</v>
      </c>
      <c r="D9" s="1"/>
      <c r="E9" s="5" t="s">
        <v>17</v>
      </c>
    </row>
    <row r="10" spans="1:5" ht="15.75">
      <c r="A10" s="12"/>
      <c r="B10" s="1"/>
      <c r="C10" s="5" t="s">
        <v>10</v>
      </c>
      <c r="D10" s="1"/>
      <c r="E10" s="5" t="s">
        <v>18</v>
      </c>
    </row>
    <row r="11" spans="1:5" ht="15.75">
      <c r="A11" s="12"/>
      <c r="B11" s="1"/>
      <c r="C11" s="24" t="s">
        <v>53</v>
      </c>
      <c r="D11" s="1"/>
      <c r="E11" s="17" t="s">
        <v>53</v>
      </c>
    </row>
    <row r="12" spans="1:5" ht="15.75">
      <c r="A12" s="12"/>
      <c r="B12" s="1"/>
      <c r="C12" s="3">
        <v>2017</v>
      </c>
      <c r="D12" s="1"/>
      <c r="E12" s="3">
        <v>2016</v>
      </c>
    </row>
    <row r="13" spans="1:5" ht="15.75">
      <c r="A13" s="12"/>
      <c r="B13" s="1"/>
      <c r="C13" s="3" t="s">
        <v>1</v>
      </c>
      <c r="D13" s="1"/>
      <c r="E13" s="3" t="s">
        <v>1</v>
      </c>
    </row>
    <row r="14" spans="1:5" ht="15.75">
      <c r="A14" s="12" t="s">
        <v>66</v>
      </c>
      <c r="B14" s="1"/>
      <c r="C14" s="1"/>
      <c r="D14" s="1"/>
      <c r="E14" s="1"/>
    </row>
    <row r="15" spans="1:5" ht="7.5" customHeight="1">
      <c r="A15" s="12"/>
      <c r="B15" s="1"/>
      <c r="C15" s="1" t="s">
        <v>0</v>
      </c>
      <c r="D15" s="1"/>
      <c r="E15" s="1"/>
    </row>
    <row r="16" spans="1:5" ht="15.75">
      <c r="A16" s="4" t="s">
        <v>64</v>
      </c>
      <c r="B16" s="1"/>
      <c r="C16" s="1"/>
      <c r="D16" s="1"/>
      <c r="E16" s="1"/>
    </row>
    <row r="17" spans="1:5" ht="16.5">
      <c r="A17" s="12" t="s">
        <v>31</v>
      </c>
      <c r="B17" s="1"/>
      <c r="C17" s="47">
        <v>5334.841409</v>
      </c>
      <c r="D17" s="37"/>
      <c r="E17" s="37">
        <v>5624.151</v>
      </c>
    </row>
    <row r="18" spans="1:5" ht="16.5">
      <c r="A18" s="12" t="s">
        <v>72</v>
      </c>
      <c r="B18" s="1"/>
      <c r="C18" s="47">
        <v>4741.091751000001</v>
      </c>
      <c r="D18" s="37"/>
      <c r="E18" s="37">
        <v>4893.23</v>
      </c>
    </row>
    <row r="19" spans="1:5" ht="16.5">
      <c r="A19" s="12" t="s">
        <v>115</v>
      </c>
      <c r="B19" s="1"/>
      <c r="C19" s="47">
        <v>84.21925000000002</v>
      </c>
      <c r="D19" s="37"/>
      <c r="E19" s="37">
        <v>85.271</v>
      </c>
    </row>
    <row r="20" spans="1:5" ht="16.5">
      <c r="A20" s="12" t="s">
        <v>51</v>
      </c>
      <c r="B20" s="1"/>
      <c r="C20" s="47">
        <v>11948.16238</v>
      </c>
      <c r="D20" s="37"/>
      <c r="E20" s="37">
        <f>11371.174-0.4</f>
        <v>11370.774000000001</v>
      </c>
    </row>
    <row r="21" spans="1:5" ht="16.5">
      <c r="A21" s="12" t="s">
        <v>125</v>
      </c>
      <c r="B21" s="1"/>
      <c r="C21" s="47">
        <v>53508.28801</v>
      </c>
      <c r="D21" s="37"/>
      <c r="E21" s="37">
        <f>30332.897</f>
        <v>30332.897</v>
      </c>
    </row>
    <row r="22" spans="1:5" ht="16.5" hidden="1">
      <c r="A22" s="12" t="s">
        <v>110</v>
      </c>
      <c r="B22" s="1"/>
      <c r="C22" s="37">
        <v>0</v>
      </c>
      <c r="D22" s="37"/>
      <c r="E22" s="37">
        <v>0</v>
      </c>
    </row>
    <row r="23" spans="1:5" ht="16.5">
      <c r="A23" s="12" t="s">
        <v>20</v>
      </c>
      <c r="B23" s="1"/>
      <c r="C23" s="47">
        <v>2970</v>
      </c>
      <c r="D23" s="37"/>
      <c r="E23" s="37">
        <v>2970</v>
      </c>
    </row>
    <row r="24" spans="1:5" ht="7.5" customHeight="1">
      <c r="A24" s="12"/>
      <c r="B24" s="1"/>
      <c r="C24" s="37"/>
      <c r="D24" s="37"/>
      <c r="E24" s="37"/>
    </row>
    <row r="25" spans="1:5" ht="16.5">
      <c r="A25" s="12"/>
      <c r="B25" s="1"/>
      <c r="C25" s="55">
        <f>SUM(C17:C24)-0.5</f>
        <v>78586.1028</v>
      </c>
      <c r="D25" s="37"/>
      <c r="E25" s="55">
        <f>SUM(E17:E24)</f>
        <v>55276.323000000004</v>
      </c>
    </row>
    <row r="26" spans="1:5" ht="16.5">
      <c r="A26" s="4" t="s">
        <v>23</v>
      </c>
      <c r="B26" s="1"/>
      <c r="C26" s="53" t="s">
        <v>0</v>
      </c>
      <c r="D26" s="37"/>
      <c r="E26" s="37"/>
    </row>
    <row r="27" spans="1:5" ht="16.5">
      <c r="A27" s="12" t="s">
        <v>62</v>
      </c>
      <c r="B27" s="1"/>
      <c r="C27" s="43">
        <v>1654.2986</v>
      </c>
      <c r="D27" s="37"/>
      <c r="E27" s="43">
        <v>812.806</v>
      </c>
    </row>
    <row r="28" spans="1:5" ht="16.5">
      <c r="A28" s="12" t="s">
        <v>95</v>
      </c>
      <c r="B28" s="1"/>
      <c r="C28" s="77">
        <v>6610.434159999996</v>
      </c>
      <c r="D28" s="37"/>
      <c r="E28" s="43">
        <f>13374.97-0.4</f>
        <v>13374.57</v>
      </c>
    </row>
    <row r="29" spans="1:5" ht="16.5">
      <c r="A29" s="12" t="s">
        <v>51</v>
      </c>
      <c r="B29" s="1"/>
      <c r="C29" s="77">
        <v>90215.63326999999</v>
      </c>
      <c r="D29" s="37"/>
      <c r="E29" s="43">
        <v>36063.095</v>
      </c>
    </row>
    <row r="30" spans="1:5" ht="16.5">
      <c r="A30" s="2" t="s">
        <v>152</v>
      </c>
      <c r="B30" s="1"/>
      <c r="C30" s="43">
        <v>5062.77934</v>
      </c>
      <c r="D30" s="37"/>
      <c r="E30" s="43">
        <v>8482.306</v>
      </c>
    </row>
    <row r="31" spans="1:5" ht="16.5">
      <c r="A31" s="12" t="s">
        <v>111</v>
      </c>
      <c r="B31" s="1"/>
      <c r="C31" s="43">
        <v>98.76982999999998</v>
      </c>
      <c r="D31" s="37"/>
      <c r="E31" s="43">
        <v>454.006</v>
      </c>
    </row>
    <row r="32" spans="1:5" ht="16.5">
      <c r="A32" s="12" t="s">
        <v>63</v>
      </c>
      <c r="B32" s="1"/>
      <c r="C32" s="43">
        <v>515.66162</v>
      </c>
      <c r="D32" s="37"/>
      <c r="E32" s="43">
        <v>811.438</v>
      </c>
    </row>
    <row r="33" spans="1:5" ht="16.5">
      <c r="A33" s="2" t="s">
        <v>141</v>
      </c>
      <c r="B33" s="1"/>
      <c r="C33" s="43">
        <v>3611.4154900000003</v>
      </c>
      <c r="D33" s="37"/>
      <c r="E33" s="43">
        <v>68240.995</v>
      </c>
    </row>
    <row r="34" spans="1:5" ht="16.5">
      <c r="A34" s="12"/>
      <c r="B34" s="1"/>
      <c r="C34" s="55">
        <f>SUM(C27:C33)</f>
        <v>107768.99230999999</v>
      </c>
      <c r="D34" s="37"/>
      <c r="E34" s="55">
        <f>SUM(E27:E33)</f>
        <v>128239.216</v>
      </c>
    </row>
    <row r="35" spans="1:5" ht="10.5" customHeight="1" hidden="1">
      <c r="A35" s="12"/>
      <c r="B35" s="1"/>
      <c r="C35" s="43"/>
      <c r="D35" s="37"/>
      <c r="E35" s="43"/>
    </row>
    <row r="36" spans="1:11" ht="16.5" hidden="1">
      <c r="A36" s="12" t="s">
        <v>86</v>
      </c>
      <c r="B36" s="1"/>
      <c r="C36" s="43">
        <v>0</v>
      </c>
      <c r="D36" s="37"/>
      <c r="E36" s="43">
        <v>0</v>
      </c>
      <c r="K36" s="21"/>
    </row>
    <row r="37" spans="1:11" ht="9" customHeight="1">
      <c r="A37" s="12"/>
      <c r="B37" s="1"/>
      <c r="C37" s="37" t="s">
        <v>0</v>
      </c>
      <c r="D37" s="37"/>
      <c r="E37" s="37" t="s">
        <v>0</v>
      </c>
      <c r="K37" s="21"/>
    </row>
    <row r="38" spans="1:8" ht="17.25" thickBot="1">
      <c r="A38" s="12" t="s">
        <v>58</v>
      </c>
      <c r="B38" s="1"/>
      <c r="C38" s="56">
        <f>+C34+C25+C36</f>
        <v>186355.09511</v>
      </c>
      <c r="D38" s="37"/>
      <c r="E38" s="56">
        <f>+E34+E25+E36</f>
        <v>183515.539</v>
      </c>
      <c r="H38" s="16"/>
    </row>
    <row r="39" spans="1:8" ht="16.5" thickTop="1">
      <c r="A39" s="12"/>
      <c r="B39" s="1"/>
      <c r="C39" s="7"/>
      <c r="D39" s="7"/>
      <c r="E39" s="7"/>
      <c r="G39" s="70"/>
      <c r="H39" s="16"/>
    </row>
    <row r="40" spans="1:7" ht="15.75">
      <c r="A40" s="12" t="s">
        <v>65</v>
      </c>
      <c r="B40" s="1"/>
      <c r="C40" s="7"/>
      <c r="D40" s="7"/>
      <c r="E40" s="7"/>
      <c r="G40" s="78"/>
    </row>
    <row r="41" spans="1:5" ht="9.75" customHeight="1">
      <c r="A41" s="12"/>
      <c r="B41" s="1"/>
      <c r="C41" s="7"/>
      <c r="D41" s="7"/>
      <c r="E41" s="7"/>
    </row>
    <row r="42" spans="1:5" ht="15.75">
      <c r="A42" s="4" t="s">
        <v>124</v>
      </c>
      <c r="B42" s="1"/>
      <c r="C42" s="7"/>
      <c r="D42" s="7"/>
      <c r="E42" s="7"/>
    </row>
    <row r="43" spans="1:5" ht="16.5">
      <c r="A43" s="12" t="s">
        <v>4</v>
      </c>
      <c r="B43" s="1"/>
      <c r="C43" s="37">
        <v>169041.04731</v>
      </c>
      <c r="D43" s="37"/>
      <c r="E43" s="37">
        <v>140326.1</v>
      </c>
    </row>
    <row r="44" spans="1:5" ht="16.5">
      <c r="A44" s="12" t="s">
        <v>67</v>
      </c>
      <c r="B44" s="1"/>
      <c r="C44" s="37">
        <v>0</v>
      </c>
      <c r="D44" s="37"/>
      <c r="E44" s="37">
        <v>28715.44755</v>
      </c>
    </row>
    <row r="45" spans="1:5" ht="16.5">
      <c r="A45" s="12" t="s">
        <v>128</v>
      </c>
      <c r="B45" s="1"/>
      <c r="C45" s="47">
        <v>11.130402800000002</v>
      </c>
      <c r="D45" s="37"/>
      <c r="E45" s="37">
        <v>12.008</v>
      </c>
    </row>
    <row r="46" spans="1:5" ht="16.5" hidden="1">
      <c r="A46" s="12" t="s">
        <v>87</v>
      </c>
      <c r="B46" s="1"/>
      <c r="C46" s="37"/>
      <c r="D46" s="37"/>
      <c r="E46" s="37"/>
    </row>
    <row r="47" spans="1:5" ht="16.5" hidden="1">
      <c r="A47" s="12" t="s">
        <v>88</v>
      </c>
      <c r="B47" s="1"/>
      <c r="C47" s="37">
        <v>0.00023999999463558198</v>
      </c>
      <c r="D47" s="37"/>
      <c r="E47" s="37">
        <v>0</v>
      </c>
    </row>
    <row r="48" spans="1:5" ht="16.5">
      <c r="A48" s="2" t="s">
        <v>164</v>
      </c>
      <c r="B48" s="1"/>
      <c r="C48" s="37">
        <v>2885.8827353477086</v>
      </c>
      <c r="D48" s="37"/>
      <c r="E48" s="37">
        <v>-2183.331</v>
      </c>
    </row>
    <row r="49" spans="1:5" ht="16.5" hidden="1">
      <c r="A49" s="12" t="s">
        <v>78</v>
      </c>
      <c r="B49" s="1"/>
      <c r="C49" s="37"/>
      <c r="D49" s="37"/>
      <c r="E49" s="37"/>
    </row>
    <row r="50" spans="1:5" ht="16.5" hidden="1">
      <c r="A50" s="12" t="s">
        <v>75</v>
      </c>
      <c r="B50" s="1"/>
      <c r="C50" s="37">
        <v>0</v>
      </c>
      <c r="D50" s="37"/>
      <c r="E50" s="37">
        <v>0</v>
      </c>
    </row>
    <row r="51" spans="1:5" ht="6" customHeight="1">
      <c r="A51" s="12"/>
      <c r="B51" s="1"/>
      <c r="C51" s="39"/>
      <c r="D51" s="37"/>
      <c r="E51" s="39"/>
    </row>
    <row r="52" spans="1:5" ht="16.5">
      <c r="A52" s="12" t="s">
        <v>0</v>
      </c>
      <c r="B52" s="1"/>
      <c r="C52" s="37">
        <f>SUM(C43:C51)</f>
        <v>171938.06068814767</v>
      </c>
      <c r="D52" s="37"/>
      <c r="E52" s="47">
        <f>SUM(E43:E51)</f>
        <v>166870.22455</v>
      </c>
    </row>
    <row r="53" spans="1:5" ht="16.5">
      <c r="A53" s="12" t="s">
        <v>122</v>
      </c>
      <c r="B53" s="1"/>
      <c r="C53" s="37">
        <v>1880.9031476000007</v>
      </c>
      <c r="D53" s="37"/>
      <c r="E53" s="37">
        <v>2054.262</v>
      </c>
    </row>
    <row r="54" spans="1:5" ht="9.75" customHeight="1">
      <c r="A54" s="12"/>
      <c r="B54" s="1"/>
      <c r="C54" s="39"/>
      <c r="D54" s="37"/>
      <c r="E54" s="39"/>
    </row>
    <row r="55" spans="1:5" ht="16.5">
      <c r="A55" s="12" t="s">
        <v>55</v>
      </c>
      <c r="B55" s="1"/>
      <c r="C55" s="55">
        <f>SUM(C52:C54)</f>
        <v>173818.96383574768</v>
      </c>
      <c r="D55" s="37"/>
      <c r="E55" s="55">
        <f>SUM(E52:E54)-0.5</f>
        <v>168923.98655</v>
      </c>
    </row>
    <row r="56" spans="1:5" ht="12" customHeight="1">
      <c r="A56" s="12"/>
      <c r="B56" s="1"/>
      <c r="C56" s="37"/>
      <c r="D56" s="37"/>
      <c r="E56" s="37"/>
    </row>
    <row r="57" spans="1:5" ht="16.5">
      <c r="A57" s="4" t="s">
        <v>59</v>
      </c>
      <c r="B57" s="1"/>
      <c r="C57" s="37"/>
      <c r="D57" s="37"/>
      <c r="E57" s="37"/>
    </row>
    <row r="58" spans="1:5" ht="16.5" hidden="1">
      <c r="A58" s="12" t="s">
        <v>52</v>
      </c>
      <c r="B58" s="1"/>
      <c r="C58" s="37">
        <f>'[1]Conso'!$Z106/1000</f>
        <v>0</v>
      </c>
      <c r="D58" s="37"/>
      <c r="E58" s="37">
        <v>0</v>
      </c>
    </row>
    <row r="59" spans="1:8" ht="16.5">
      <c r="A59" s="12" t="s">
        <v>114</v>
      </c>
      <c r="B59" s="1"/>
      <c r="C59" s="37">
        <v>230.57317999999998</v>
      </c>
      <c r="D59" s="37"/>
      <c r="E59" s="37">
        <v>389.187</v>
      </c>
      <c r="H59" s="16"/>
    </row>
    <row r="60" spans="1:5" ht="16.5">
      <c r="A60" s="12" t="s">
        <v>21</v>
      </c>
      <c r="B60" s="1"/>
      <c r="C60" s="37">
        <v>2.06</v>
      </c>
      <c r="D60" s="37"/>
      <c r="E60" s="37">
        <v>134.507</v>
      </c>
    </row>
    <row r="61" spans="1:5" ht="16.5">
      <c r="A61" s="12"/>
      <c r="B61" s="1"/>
      <c r="C61" s="55">
        <f>SUM(C58:C60)</f>
        <v>232.63317999999998</v>
      </c>
      <c r="D61" s="37"/>
      <c r="E61" s="55">
        <f>SUM(E58:E60)</f>
        <v>523.694</v>
      </c>
    </row>
    <row r="62" spans="1:5" ht="7.5" customHeight="1">
      <c r="A62" s="12"/>
      <c r="B62" s="1"/>
      <c r="C62" s="37"/>
      <c r="D62" s="37"/>
      <c r="E62" s="37"/>
    </row>
    <row r="63" spans="1:5" ht="16.5">
      <c r="A63" s="4" t="s">
        <v>19</v>
      </c>
      <c r="B63" s="1"/>
      <c r="C63" s="37" t="s">
        <v>0</v>
      </c>
      <c r="D63" s="37"/>
      <c r="E63" s="37"/>
    </row>
    <row r="64" spans="1:5" ht="16.5">
      <c r="A64" s="12" t="s">
        <v>112</v>
      </c>
      <c r="B64" s="1"/>
      <c r="C64" s="43">
        <v>4363.480829999999</v>
      </c>
      <c r="D64" s="37"/>
      <c r="E64" s="43">
        <v>5873.02</v>
      </c>
    </row>
    <row r="65" spans="1:8" ht="16.5">
      <c r="A65" s="12" t="s">
        <v>68</v>
      </c>
      <c r="B65" s="1"/>
      <c r="C65" s="43">
        <v>7712.073939999999</v>
      </c>
      <c r="D65" s="37"/>
      <c r="E65" s="43">
        <v>7975.134</v>
      </c>
      <c r="H65" s="16"/>
    </row>
    <row r="66" spans="1:5" ht="16.5" hidden="1">
      <c r="A66" s="12" t="s">
        <v>69</v>
      </c>
      <c r="B66" s="1"/>
      <c r="C66" s="43">
        <v>0</v>
      </c>
      <c r="D66" s="37"/>
      <c r="E66" s="43">
        <v>0</v>
      </c>
    </row>
    <row r="67" spans="1:9" ht="16.5">
      <c r="A67" s="12" t="s">
        <v>113</v>
      </c>
      <c r="B67" s="1"/>
      <c r="C67" s="43">
        <v>158.61354999999998</v>
      </c>
      <c r="D67" s="37"/>
      <c r="E67" s="43">
        <v>151.05</v>
      </c>
      <c r="I67" s="16"/>
    </row>
    <row r="68" spans="1:5" ht="16.5" hidden="1">
      <c r="A68" s="12" t="s">
        <v>85</v>
      </c>
      <c r="B68" s="1"/>
      <c r="C68" s="43">
        <v>0</v>
      </c>
      <c r="D68" s="37"/>
      <c r="E68" s="43">
        <v>0</v>
      </c>
    </row>
    <row r="69" spans="1:5" ht="16.5" hidden="1">
      <c r="A69" s="12" t="s">
        <v>87</v>
      </c>
      <c r="B69" s="1"/>
      <c r="C69" s="43"/>
      <c r="D69" s="37"/>
      <c r="E69" s="43"/>
    </row>
    <row r="70" spans="1:5" ht="16.5" hidden="1">
      <c r="A70" s="2" t="s">
        <v>147</v>
      </c>
      <c r="B70" s="1"/>
      <c r="C70" s="37">
        <v>0</v>
      </c>
      <c r="D70" s="37"/>
      <c r="E70" s="43">
        <v>0</v>
      </c>
    </row>
    <row r="71" spans="1:5" ht="16.5">
      <c r="A71" s="12" t="s">
        <v>70</v>
      </c>
      <c r="B71" s="1"/>
      <c r="C71" s="43">
        <v>69.02986999999999</v>
      </c>
      <c r="D71" s="37"/>
      <c r="E71" s="43">
        <v>68.954</v>
      </c>
    </row>
    <row r="72" spans="1:5" ht="16.5">
      <c r="A72" s="12"/>
      <c r="B72" s="1"/>
      <c r="C72" s="55">
        <f>SUM(C64:C71)</f>
        <v>12303.19819</v>
      </c>
      <c r="D72" s="37"/>
      <c r="E72" s="55">
        <f>SUM(E64:E71)</f>
        <v>14068.158</v>
      </c>
    </row>
    <row r="73" spans="1:5" ht="16.5" customHeight="1" hidden="1">
      <c r="A73" s="12"/>
      <c r="B73" s="1"/>
      <c r="C73" s="45"/>
      <c r="D73" s="43"/>
      <c r="E73" s="45"/>
    </row>
    <row r="74" spans="1:5" ht="16.5" customHeight="1" hidden="1">
      <c r="A74" s="12" t="s">
        <v>77</v>
      </c>
      <c r="B74" s="1"/>
      <c r="C74" s="43"/>
      <c r="D74" s="43"/>
      <c r="E74" s="43"/>
    </row>
    <row r="75" spans="1:5" ht="16.5" customHeight="1" hidden="1">
      <c r="A75" s="12" t="s">
        <v>76</v>
      </c>
      <c r="B75" s="1"/>
      <c r="C75" s="43">
        <v>0</v>
      </c>
      <c r="D75" s="43"/>
      <c r="E75" s="43">
        <v>0</v>
      </c>
    </row>
    <row r="76" spans="1:5" ht="9" customHeight="1">
      <c r="A76" s="12"/>
      <c r="B76" s="1"/>
      <c r="C76" s="43"/>
      <c r="D76" s="37"/>
      <c r="E76" s="43"/>
    </row>
    <row r="77" spans="1:5" ht="17.25" thickBot="1">
      <c r="A77" s="12" t="s">
        <v>60</v>
      </c>
      <c r="B77" s="1"/>
      <c r="C77" s="49">
        <f>C72+C61+C75+0.5</f>
        <v>12536.33137</v>
      </c>
      <c r="D77" s="37"/>
      <c r="E77" s="49">
        <f>E72+E61+E75</f>
        <v>14591.851999999999</v>
      </c>
    </row>
    <row r="78" spans="1:5" ht="10.5" customHeight="1" thickTop="1">
      <c r="A78" s="12"/>
      <c r="B78" s="1"/>
      <c r="C78" s="37"/>
      <c r="D78" s="37"/>
      <c r="E78" s="37"/>
    </row>
    <row r="79" spans="1:7" ht="17.25" thickBot="1">
      <c r="A79" s="12" t="s">
        <v>61</v>
      </c>
      <c r="B79" s="1"/>
      <c r="C79" s="56">
        <f>C72+C61+C55+C75+0.5</f>
        <v>186355.29520574768</v>
      </c>
      <c r="D79" s="37"/>
      <c r="E79" s="56">
        <f>E72+E61+E55+E75</f>
        <v>183515.83855</v>
      </c>
      <c r="G79" s="16"/>
    </row>
    <row r="80" spans="1:5" ht="12.75" customHeight="1" thickTop="1">
      <c r="A80" s="12"/>
      <c r="B80" s="1"/>
      <c r="C80" s="37" t="s">
        <v>0</v>
      </c>
      <c r="D80" s="37"/>
      <c r="E80" s="37"/>
    </row>
    <row r="81" spans="1:8" ht="16.5">
      <c r="A81" s="2" t="s">
        <v>71</v>
      </c>
      <c r="B81" s="1"/>
      <c r="C81" s="33" t="s">
        <v>0</v>
      </c>
      <c r="D81" s="18"/>
      <c r="E81" s="35"/>
      <c r="H81" s="16"/>
    </row>
    <row r="82" spans="1:5" ht="16.5">
      <c r="A82" s="2" t="s">
        <v>202</v>
      </c>
      <c r="B82" s="6"/>
      <c r="C82" s="51">
        <f>(C55)/140326.1</f>
        <v>1.2386787905866954</v>
      </c>
      <c r="D82" s="18"/>
      <c r="E82" s="51">
        <f>(E55)/140326.1</f>
        <v>1.2037959192908518</v>
      </c>
    </row>
    <row r="83" spans="1:5" ht="15.75" customHeight="1">
      <c r="A83" s="18" t="s">
        <v>173</v>
      </c>
      <c r="B83" s="15"/>
      <c r="C83" s="11" t="s">
        <v>0</v>
      </c>
      <c r="D83" s="1"/>
      <c r="E83" s="1" t="s">
        <v>0</v>
      </c>
    </row>
    <row r="84" spans="1:5" ht="11.25" customHeight="1">
      <c r="A84" s="18" t="s">
        <v>0</v>
      </c>
      <c r="B84" s="15"/>
      <c r="C84" s="11" t="s">
        <v>0</v>
      </c>
      <c r="D84" s="1"/>
      <c r="E84" s="1" t="s">
        <v>0</v>
      </c>
    </row>
    <row r="85" spans="1:5" ht="16.5">
      <c r="A85" s="19" t="s">
        <v>143</v>
      </c>
      <c r="B85" s="13"/>
      <c r="C85" s="13"/>
      <c r="D85" s="1"/>
      <c r="E85" s="1"/>
    </row>
    <row r="86" spans="1:5" ht="16.5">
      <c r="A86" s="19" t="s">
        <v>160</v>
      </c>
      <c r="B86" s="13"/>
      <c r="C86" s="13"/>
      <c r="D86" s="13"/>
      <c r="E86" s="13"/>
    </row>
    <row r="87" spans="1:7" ht="16.5">
      <c r="A87" s="19" t="s">
        <v>0</v>
      </c>
      <c r="G87" s="16"/>
    </row>
    <row r="88" ht="16.5">
      <c r="A88" s="19" t="s">
        <v>0</v>
      </c>
    </row>
    <row r="89" ht="12.75">
      <c r="C89" s="16"/>
    </row>
    <row r="117" ht="16.5">
      <c r="A117" s="19"/>
    </row>
    <row r="118" ht="16.5">
      <c r="A118" s="19"/>
    </row>
    <row r="120" ht="12.75">
      <c r="F120" t="s">
        <v>0</v>
      </c>
    </row>
    <row r="121" ht="12.75">
      <c r="F121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1" sqref="A1:E78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8" t="s">
        <v>2</v>
      </c>
      <c r="B1" s="88"/>
      <c r="C1" s="88"/>
      <c r="D1" s="88"/>
      <c r="E1" s="88"/>
    </row>
    <row r="2" spans="1:5" ht="16.5">
      <c r="A2" s="88" t="s">
        <v>3</v>
      </c>
      <c r="B2" s="88"/>
      <c r="C2" s="88"/>
      <c r="D2" s="88"/>
      <c r="E2" s="88"/>
    </row>
    <row r="3" spans="1:5" ht="16.5">
      <c r="A3" s="25"/>
      <c r="B3" s="26"/>
      <c r="C3" s="26"/>
      <c r="D3" s="26"/>
      <c r="E3" s="26"/>
    </row>
    <row r="4" spans="1:5" ht="16.5">
      <c r="A4" s="88" t="s">
        <v>184</v>
      </c>
      <c r="B4" s="88"/>
      <c r="C4" s="88"/>
      <c r="D4" s="88"/>
      <c r="E4" s="88"/>
    </row>
    <row r="5" spans="1:5" ht="16.5">
      <c r="A5" s="88" t="s">
        <v>136</v>
      </c>
      <c r="B5" s="88"/>
      <c r="C5" s="88"/>
      <c r="D5" s="88"/>
      <c r="E5" s="88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46</v>
      </c>
      <c r="D9" s="18"/>
      <c r="E9" s="30" t="s">
        <v>46</v>
      </c>
    </row>
    <row r="10" spans="1:5" ht="16.5">
      <c r="A10" s="19"/>
      <c r="B10" s="18"/>
      <c r="C10" s="32" t="s">
        <v>53</v>
      </c>
      <c r="D10" s="62" t="s">
        <v>0</v>
      </c>
      <c r="E10" s="32" t="str">
        <f>C10</f>
        <v>31 DEC</v>
      </c>
    </row>
    <row r="11" spans="1:5" ht="16.5">
      <c r="A11" s="19"/>
      <c r="B11" s="18"/>
      <c r="C11" s="30">
        <v>2017</v>
      </c>
      <c r="D11" s="18"/>
      <c r="E11" s="30">
        <v>2016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26</v>
      </c>
      <c r="B14" s="18"/>
      <c r="C14" s="63">
        <f>'P&amp;L'!H29</f>
        <v>10794.650839999998</v>
      </c>
      <c r="D14" s="18"/>
      <c r="E14" s="64">
        <f>'P&amp;L'!J29</f>
        <v>18609.183000000005</v>
      </c>
    </row>
    <row r="15" spans="1:8" ht="16.5" hidden="1">
      <c r="A15" s="19" t="s">
        <v>81</v>
      </c>
      <c r="B15" s="18"/>
      <c r="C15" s="63">
        <v>0</v>
      </c>
      <c r="D15" s="18"/>
      <c r="E15" s="64">
        <v>0</v>
      </c>
      <c r="H15" s="16"/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139</v>
      </c>
      <c r="B17" s="18"/>
      <c r="C17" s="18" t="s">
        <v>0</v>
      </c>
      <c r="D17" s="18"/>
      <c r="E17" s="18"/>
    </row>
    <row r="18" spans="1:5" ht="16.5">
      <c r="A18" s="18" t="s">
        <v>45</v>
      </c>
      <c r="B18" s="18"/>
      <c r="C18" s="37">
        <v>613.72592</v>
      </c>
      <c r="D18" s="37"/>
      <c r="E18" s="37">
        <v>-1220.35531</v>
      </c>
    </row>
    <row r="19" spans="1:5" ht="16.5">
      <c r="A19" s="18" t="s">
        <v>36</v>
      </c>
      <c r="B19" s="18"/>
      <c r="C19" s="37">
        <v>-5199.82442</v>
      </c>
      <c r="D19" s="37"/>
      <c r="E19" s="37">
        <v>-3016.39486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151</v>
      </c>
      <c r="B21" s="18"/>
      <c r="C21" s="64">
        <f>SUM(C14:C19)+0.5</f>
        <v>6209.052339999999</v>
      </c>
      <c r="D21" s="37"/>
      <c r="E21" s="64">
        <f>SUM(E14:E19)+0.5</f>
        <v>14372.932830000005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32</v>
      </c>
      <c r="B23" s="18"/>
      <c r="C23" s="37" t="s">
        <v>0</v>
      </c>
      <c r="D23" s="37"/>
      <c r="E23" s="37"/>
    </row>
    <row r="24" spans="1:5" ht="16.5">
      <c r="A24" s="18" t="s">
        <v>34</v>
      </c>
      <c r="B24" s="18"/>
      <c r="C24" s="37">
        <v>4599.874870000003</v>
      </c>
      <c r="D24" s="37"/>
      <c r="E24" s="37">
        <v>7058.674789999997</v>
      </c>
    </row>
    <row r="25" spans="1:5" ht="16.5">
      <c r="A25" s="18" t="s">
        <v>35</v>
      </c>
      <c r="B25" s="18"/>
      <c r="C25" s="37">
        <v>-17493.36823</v>
      </c>
      <c r="D25" s="37"/>
      <c r="E25" s="37">
        <v>-3580.3851</v>
      </c>
    </row>
    <row r="26" spans="1:5" ht="16.5">
      <c r="A26" s="18" t="s">
        <v>39</v>
      </c>
      <c r="B26" s="18"/>
      <c r="C26" s="37">
        <v>1935.02644</v>
      </c>
      <c r="D26" s="37"/>
      <c r="E26" s="37">
        <v>223.44652999999997</v>
      </c>
    </row>
    <row r="27" spans="1:5" ht="16.5">
      <c r="A27" s="18" t="s">
        <v>54</v>
      </c>
      <c r="B27" s="18"/>
      <c r="C27" s="37">
        <v>-2806.522</v>
      </c>
      <c r="D27" s="37"/>
      <c r="E27" s="37">
        <v>-2806.522</v>
      </c>
    </row>
    <row r="28" spans="1:5" ht="16.5">
      <c r="A28" s="18" t="s">
        <v>140</v>
      </c>
      <c r="B28" s="18"/>
      <c r="C28" s="37">
        <v>-348.00393999999994</v>
      </c>
      <c r="D28" s="37"/>
      <c r="E28" s="37">
        <v>0</v>
      </c>
    </row>
    <row r="29" spans="1:7" ht="16.5">
      <c r="A29" s="18" t="s">
        <v>154</v>
      </c>
      <c r="B29" s="18"/>
      <c r="C29" s="37">
        <v>-2925.9547000000002</v>
      </c>
      <c r="D29" s="37"/>
      <c r="E29" s="37">
        <v>-5520.7575</v>
      </c>
      <c r="G29" s="16"/>
    </row>
    <row r="30" spans="1:5" ht="7.5" customHeight="1">
      <c r="A30" s="18"/>
      <c r="B30" s="18"/>
      <c r="C30" s="39"/>
      <c r="D30" s="37"/>
      <c r="E30" s="39" t="s">
        <v>0</v>
      </c>
    </row>
    <row r="31" spans="1:5" ht="16.5">
      <c r="A31" s="19" t="s">
        <v>168</v>
      </c>
      <c r="B31" s="18"/>
      <c r="C31" s="65">
        <f>SUM(C21:C29)</f>
        <v>-10829.895219999999</v>
      </c>
      <c r="D31" s="37"/>
      <c r="E31" s="65">
        <f>SUM(E21:E29)</f>
        <v>9747.389550000004</v>
      </c>
    </row>
    <row r="32" spans="1:5" ht="9" customHeight="1">
      <c r="A32" s="19"/>
      <c r="B32" s="18"/>
      <c r="C32" s="37" t="s">
        <v>0</v>
      </c>
      <c r="D32" s="37"/>
      <c r="E32" s="37"/>
    </row>
    <row r="33" spans="1:5" ht="16.5">
      <c r="A33" s="18" t="s">
        <v>33</v>
      </c>
      <c r="B33" s="18"/>
      <c r="C33" s="37" t="s">
        <v>0</v>
      </c>
      <c r="D33" s="37"/>
      <c r="E33" s="37"/>
    </row>
    <row r="34" spans="1:5" ht="16.5">
      <c r="A34" s="18" t="s">
        <v>146</v>
      </c>
      <c r="B34" s="18"/>
      <c r="C34" s="37">
        <v>2686.59654</v>
      </c>
      <c r="D34" s="37"/>
      <c r="E34" s="37">
        <v>2139.68089</v>
      </c>
    </row>
    <row r="35" spans="1:5" ht="16.5" hidden="1">
      <c r="A35" s="18" t="s">
        <v>149</v>
      </c>
      <c r="B35" s="18"/>
      <c r="C35" s="37">
        <v>0.24639</v>
      </c>
      <c r="D35" s="37"/>
      <c r="E35" s="47">
        <v>0.49356999999983237</v>
      </c>
    </row>
    <row r="36" spans="1:5" ht="16.5" hidden="1">
      <c r="A36" s="18" t="s">
        <v>109</v>
      </c>
      <c r="B36" s="18"/>
      <c r="C36" s="47">
        <v>0</v>
      </c>
      <c r="D36" s="37"/>
      <c r="E36" s="47">
        <v>0</v>
      </c>
    </row>
    <row r="37" spans="1:5" ht="16.5">
      <c r="A37" s="18" t="s">
        <v>162</v>
      </c>
      <c r="B37" s="18"/>
      <c r="C37" s="37">
        <v>-1765.32926</v>
      </c>
      <c r="D37" s="37"/>
      <c r="E37" s="37">
        <v>0</v>
      </c>
    </row>
    <row r="38" spans="1:5" ht="16.5" hidden="1">
      <c r="A38" s="18" t="s">
        <v>117</v>
      </c>
      <c r="B38" s="18"/>
      <c r="C38" s="37">
        <v>0</v>
      </c>
      <c r="D38" s="37"/>
      <c r="E38" s="37">
        <v>0</v>
      </c>
    </row>
    <row r="39" spans="1:5" ht="16.5">
      <c r="A39" s="18" t="s">
        <v>155</v>
      </c>
      <c r="B39" s="18"/>
      <c r="C39" s="47">
        <v>18.869924528301887</v>
      </c>
      <c r="D39" s="37"/>
      <c r="E39" s="47">
        <v>0.004</v>
      </c>
    </row>
    <row r="40" spans="1:5" ht="16.5">
      <c r="A40" s="18" t="s">
        <v>158</v>
      </c>
      <c r="B40" s="18"/>
      <c r="C40" s="37">
        <v>0</v>
      </c>
      <c r="D40" s="37"/>
      <c r="E40" s="37">
        <v>21168.07172</v>
      </c>
    </row>
    <row r="41" spans="1:10" ht="15.75" customHeight="1">
      <c r="A41" s="18" t="s">
        <v>165</v>
      </c>
      <c r="B41" s="18"/>
      <c r="C41" s="37">
        <v>-54152.53848</v>
      </c>
      <c r="D41" s="37"/>
      <c r="E41" s="37">
        <v>33025.95647999999</v>
      </c>
      <c r="H41" s="37"/>
      <c r="J41" s="37"/>
    </row>
    <row r="42" spans="1:5" ht="15.75" customHeight="1">
      <c r="A42" s="18" t="s">
        <v>120</v>
      </c>
      <c r="B42" s="18"/>
      <c r="C42" s="37">
        <v>4.147939999999998</v>
      </c>
      <c r="D42" s="37"/>
      <c r="E42" s="37">
        <v>5.246100000000002</v>
      </c>
    </row>
    <row r="43" spans="1:5" ht="16.5">
      <c r="A43" s="18" t="s">
        <v>156</v>
      </c>
      <c r="B43" s="18"/>
      <c r="C43" s="37">
        <v>-418.44617000000017</v>
      </c>
      <c r="D43" s="37"/>
      <c r="E43" s="37">
        <v>-3260.00428</v>
      </c>
    </row>
    <row r="44" spans="1:5" ht="16.5">
      <c r="A44" s="18" t="s">
        <v>166</v>
      </c>
      <c r="B44" s="18"/>
      <c r="C44" s="37">
        <v>-1426.7223700000002</v>
      </c>
      <c r="D44" s="37"/>
      <c r="E44" s="37">
        <v>394.804</v>
      </c>
    </row>
    <row r="45" spans="1:5" ht="16.5">
      <c r="A45" s="18" t="s">
        <v>0</v>
      </c>
      <c r="B45" s="18"/>
      <c r="C45" s="37" t="s">
        <v>0</v>
      </c>
      <c r="D45" s="37"/>
      <c r="E45" s="37"/>
    </row>
    <row r="46" spans="1:5" ht="16.5">
      <c r="A46" s="19" t="s">
        <v>169</v>
      </c>
      <c r="B46" s="18"/>
      <c r="C46" s="65">
        <f>SUM(C34:C45)</f>
        <v>-55053.17548547171</v>
      </c>
      <c r="D46" s="37"/>
      <c r="E46" s="65">
        <f>SUM(E34:E45)</f>
        <v>53474.25247999999</v>
      </c>
    </row>
    <row r="47" spans="1:5" ht="16.5">
      <c r="A47" s="18"/>
      <c r="B47" s="18"/>
      <c r="C47" s="37"/>
      <c r="D47" s="37"/>
      <c r="E47" s="37"/>
    </row>
    <row r="48" spans="1:5" ht="16.5">
      <c r="A48" s="18" t="s">
        <v>37</v>
      </c>
      <c r="B48" s="18"/>
      <c r="C48" s="37" t="s">
        <v>0</v>
      </c>
      <c r="D48" s="37"/>
      <c r="E48" s="37"/>
    </row>
    <row r="49" spans="1:5" ht="16.5">
      <c r="A49" s="18" t="s">
        <v>79</v>
      </c>
      <c r="B49" s="18"/>
      <c r="C49" s="37">
        <v>858.51016</v>
      </c>
      <c r="D49" s="37"/>
      <c r="E49" s="37">
        <v>-27.14116000000003</v>
      </c>
    </row>
    <row r="50" spans="1:5" ht="16.5" hidden="1">
      <c r="A50" s="18" t="s">
        <v>118</v>
      </c>
      <c r="B50" s="18"/>
      <c r="C50" s="37">
        <v>0</v>
      </c>
      <c r="D50" s="37"/>
      <c r="E50" s="37">
        <v>0</v>
      </c>
    </row>
    <row r="51" spans="1:5" ht="16.5" hidden="1">
      <c r="A51" s="18" t="s">
        <v>119</v>
      </c>
      <c r="B51" s="18"/>
      <c r="C51" s="37">
        <v>0</v>
      </c>
      <c r="D51" s="37"/>
      <c r="E51" s="37">
        <v>0</v>
      </c>
    </row>
    <row r="52" spans="1:5" ht="16.5">
      <c r="A52" s="18" t="s">
        <v>121</v>
      </c>
      <c r="B52" s="18"/>
      <c r="C52" s="37">
        <v>-151.05040000000002</v>
      </c>
      <c r="D52" s="37"/>
      <c r="E52" s="37">
        <v>-116.28951</v>
      </c>
    </row>
    <row r="53" spans="1:5" ht="16.5">
      <c r="A53" s="18" t="s">
        <v>38</v>
      </c>
      <c r="B53" s="18"/>
      <c r="C53" s="37">
        <v>-22.181599999999992</v>
      </c>
      <c r="D53" s="37"/>
      <c r="E53" s="37">
        <v>-21.51548999999999</v>
      </c>
    </row>
    <row r="54" spans="1:5" ht="16.5" hidden="1">
      <c r="A54" s="18" t="s">
        <v>150</v>
      </c>
      <c r="B54" s="18"/>
      <c r="C54" s="37">
        <v>0</v>
      </c>
      <c r="D54" s="37"/>
      <c r="E54" s="37">
        <v>0</v>
      </c>
    </row>
    <row r="55" spans="1:5" ht="12" customHeight="1">
      <c r="A55" s="18"/>
      <c r="B55" s="18"/>
      <c r="C55" s="37"/>
      <c r="D55" s="37"/>
      <c r="E55" s="37"/>
    </row>
    <row r="56" spans="1:5" ht="16.5">
      <c r="A56" s="19" t="s">
        <v>201</v>
      </c>
      <c r="B56" s="18"/>
      <c r="C56" s="65">
        <f>SUM(C49:C55)+0.5</f>
        <v>685.77816</v>
      </c>
      <c r="D56" s="64"/>
      <c r="E56" s="65">
        <f>SUM(E49:E55)</f>
        <v>-164.94616000000005</v>
      </c>
    </row>
    <row r="57" spans="1:5" ht="16.5">
      <c r="A57" s="19"/>
      <c r="B57" s="18"/>
      <c r="C57" s="66" t="s">
        <v>0</v>
      </c>
      <c r="D57" s="37"/>
      <c r="E57" s="37"/>
    </row>
    <row r="58" spans="1:5" ht="16.5">
      <c r="A58" s="19" t="s">
        <v>170</v>
      </c>
      <c r="B58" s="18"/>
      <c r="C58" s="64">
        <f>C31+C46+C56</f>
        <v>-65197.292545471704</v>
      </c>
      <c r="D58" s="37"/>
      <c r="E58" s="64">
        <f>E31+E46+E56-0.5</f>
        <v>63056.19586999999</v>
      </c>
    </row>
    <row r="59" spans="1:5" ht="16.5">
      <c r="A59" s="18" t="s">
        <v>49</v>
      </c>
      <c r="B59" s="18"/>
      <c r="C59" s="18" t="s">
        <v>0</v>
      </c>
      <c r="D59" s="37"/>
      <c r="E59" s="37"/>
    </row>
    <row r="60" spans="1:5" ht="16.5">
      <c r="A60" s="67" t="s">
        <v>50</v>
      </c>
      <c r="B60" s="18"/>
      <c r="C60" s="37">
        <v>66153.89088</v>
      </c>
      <c r="D60" s="37"/>
      <c r="E60" s="37">
        <v>2435.7797599999994</v>
      </c>
    </row>
    <row r="61" spans="1:5" ht="16.5">
      <c r="A61" s="67" t="s">
        <v>186</v>
      </c>
      <c r="B61" s="18"/>
      <c r="C61" s="37"/>
      <c r="D61" s="37"/>
      <c r="E61" s="37"/>
    </row>
    <row r="62" spans="1:5" ht="16.5">
      <c r="A62" s="18" t="s">
        <v>185</v>
      </c>
      <c r="B62" s="18"/>
      <c r="C62" s="37">
        <v>0</v>
      </c>
      <c r="D62" s="37"/>
      <c r="E62" s="37">
        <v>661.916</v>
      </c>
    </row>
    <row r="63" spans="1:5" ht="14.25" customHeight="1">
      <c r="A63" s="19"/>
      <c r="B63" s="18"/>
      <c r="C63" s="18"/>
      <c r="D63" s="37"/>
      <c r="E63" s="37"/>
    </row>
    <row r="64" spans="1:5" ht="17.25" thickBot="1">
      <c r="A64" s="19" t="s">
        <v>89</v>
      </c>
      <c r="B64" s="18"/>
      <c r="C64" s="68">
        <f>SUM(C58:C63)</f>
        <v>956.5983345283021</v>
      </c>
      <c r="D64" s="37"/>
      <c r="E64" s="56">
        <f>SUM(E58:E63)+0.5</f>
        <v>66154.39162999998</v>
      </c>
    </row>
    <row r="65" spans="1:5" ht="17.25" thickTop="1">
      <c r="A65" s="19"/>
      <c r="B65" s="18"/>
      <c r="C65" s="35"/>
      <c r="D65" s="37"/>
      <c r="E65" s="37"/>
    </row>
    <row r="66" spans="1:5" ht="16.5">
      <c r="A66" s="19" t="s">
        <v>41</v>
      </c>
      <c r="B66" s="18"/>
      <c r="C66" s="18"/>
      <c r="D66" s="37"/>
      <c r="E66" s="37"/>
    </row>
    <row r="67" spans="1:5" ht="16.5">
      <c r="A67" s="18" t="s">
        <v>42</v>
      </c>
      <c r="B67" s="18"/>
      <c r="C67" s="37">
        <v>3582.3220100000003</v>
      </c>
      <c r="D67" s="37"/>
      <c r="E67" s="37">
        <v>20888.63871</v>
      </c>
    </row>
    <row r="68" spans="1:5" ht="16.5">
      <c r="A68" s="18" t="s">
        <v>83</v>
      </c>
      <c r="B68" s="18"/>
      <c r="C68" s="37">
        <v>29.09398</v>
      </c>
      <c r="D68" s="37"/>
      <c r="E68" s="37">
        <v>47352.856889999995</v>
      </c>
    </row>
    <row r="69" spans="1:5" ht="16.5" hidden="1">
      <c r="A69" s="18" t="s">
        <v>142</v>
      </c>
      <c r="B69" s="18"/>
      <c r="C69" s="37">
        <f>'[2]SUMMARY'!C96</f>
        <v>0</v>
      </c>
      <c r="D69" s="37"/>
      <c r="E69" s="37">
        <v>0</v>
      </c>
    </row>
    <row r="70" spans="1:5" ht="7.5" customHeight="1">
      <c r="A70" s="18" t="s">
        <v>0</v>
      </c>
      <c r="B70" s="18"/>
      <c r="C70" s="39" t="s">
        <v>0</v>
      </c>
      <c r="D70" s="37"/>
      <c r="E70" s="39" t="s">
        <v>0</v>
      </c>
    </row>
    <row r="71" spans="1:5" ht="16.5">
      <c r="A71" s="18"/>
      <c r="B71" s="18"/>
      <c r="C71" s="37">
        <f>SUM(C67:C70)</f>
        <v>3611.4159900000004</v>
      </c>
      <c r="D71" s="37"/>
      <c r="E71" s="37">
        <f>SUM(E67:E70)+0.5</f>
        <v>68241.9956</v>
      </c>
    </row>
    <row r="72" spans="1:5" ht="16.5">
      <c r="A72" s="18" t="s">
        <v>167</v>
      </c>
      <c r="B72" s="18"/>
      <c r="C72" s="37">
        <v>-2654.3168200000005</v>
      </c>
      <c r="D72" s="37"/>
      <c r="E72" s="37">
        <v>-1228.593</v>
      </c>
    </row>
    <row r="73" spans="1:5" ht="16.5">
      <c r="A73" s="18" t="s">
        <v>80</v>
      </c>
      <c r="B73" s="18"/>
      <c r="C73" s="37">
        <v>0</v>
      </c>
      <c r="D73" s="37"/>
      <c r="E73" s="37">
        <v>-858.51016</v>
      </c>
    </row>
    <row r="74" spans="1:5" ht="17.25" thickBot="1">
      <c r="A74" s="19" t="s">
        <v>49</v>
      </c>
      <c r="B74" s="18"/>
      <c r="C74" s="56">
        <f>SUM(C71:C73)</f>
        <v>957.09917</v>
      </c>
      <c r="D74" s="37"/>
      <c r="E74" s="56">
        <f>SUM(E71:E73)-0.5</f>
        <v>66154.39244</v>
      </c>
    </row>
    <row r="75" spans="1:5" ht="17.25" thickTop="1">
      <c r="A75" s="19"/>
      <c r="B75" s="18"/>
      <c r="C75" s="18" t="s">
        <v>0</v>
      </c>
      <c r="D75" s="18"/>
      <c r="E75" s="18"/>
    </row>
    <row r="76" spans="1:5" ht="16.5">
      <c r="A76" s="19"/>
      <c r="B76" s="18"/>
      <c r="C76" s="36" t="s">
        <v>0</v>
      </c>
      <c r="D76" s="18"/>
      <c r="E76" s="36"/>
    </row>
    <row r="77" spans="1:5" ht="16.5">
      <c r="A77" s="19" t="s">
        <v>137</v>
      </c>
      <c r="B77" s="18"/>
      <c r="C77" s="18"/>
      <c r="D77" s="18"/>
      <c r="E77" s="18"/>
    </row>
    <row r="78" spans="1:5" ht="16.5">
      <c r="A78" s="19" t="s">
        <v>159</v>
      </c>
      <c r="B78" s="18"/>
      <c r="C78" s="18"/>
      <c r="D78" s="18"/>
      <c r="E78" s="18"/>
    </row>
    <row r="79" spans="1:5" ht="16.5">
      <c r="A79" s="31"/>
      <c r="B79" s="31"/>
      <c r="C79" s="31"/>
      <c r="D79" s="31"/>
      <c r="E79" s="31"/>
    </row>
    <row r="80" spans="1:5" ht="16.5">
      <c r="A80" s="31"/>
      <c r="B80" s="31"/>
      <c r="C80" s="31"/>
      <c r="D80" s="31"/>
      <c r="E80" s="31"/>
    </row>
    <row r="87" ht="16.5">
      <c r="A87" s="19"/>
    </row>
    <row r="88" ht="16.5">
      <c r="A88" s="19"/>
    </row>
    <row r="89" ht="16.5">
      <c r="A89" s="19"/>
    </row>
    <row r="90" ht="16.5">
      <c r="A90" s="19"/>
    </row>
    <row r="91" ht="16.5">
      <c r="A91" s="19"/>
    </row>
    <row r="98" ht="12.75">
      <c r="E98" s="22" t="s">
        <v>0</v>
      </c>
    </row>
    <row r="107" ht="12.75">
      <c r="C107" t="s">
        <v>0</v>
      </c>
    </row>
    <row r="108" ht="12.75">
      <c r="E108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75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7.140625" style="0" customWidth="1"/>
    <col min="2" max="2" width="2.421875" style="0" customWidth="1"/>
    <col min="3" max="3" width="11.140625" style="0" customWidth="1"/>
    <col min="4" max="4" width="11.2812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6.5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6.5">
      <c r="A2" s="88" t="s">
        <v>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8" t="s">
        <v>184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6.5">
      <c r="A6" s="88" t="s">
        <v>30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88" t="s">
        <v>157</v>
      </c>
      <c r="D8" s="88"/>
      <c r="E8" s="88"/>
      <c r="F8" s="88"/>
      <c r="G8" s="88"/>
      <c r="H8" s="88"/>
      <c r="I8" s="88"/>
      <c r="J8" s="30"/>
      <c r="K8" s="30"/>
    </row>
    <row r="9" spans="1:11" ht="16.5">
      <c r="A9" s="30"/>
      <c r="B9" s="30"/>
      <c r="C9" s="88" t="s">
        <v>91</v>
      </c>
      <c r="D9" s="88"/>
      <c r="E9" s="88"/>
      <c r="F9" s="88"/>
      <c r="G9" s="88"/>
      <c r="H9" s="88"/>
      <c r="I9" s="88"/>
      <c r="J9" s="30"/>
      <c r="K9" s="30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18"/>
      <c r="B11" s="18"/>
      <c r="C11" s="51"/>
      <c r="D11" s="51"/>
      <c r="E11" s="18"/>
      <c r="F11" s="30" t="s">
        <v>129</v>
      </c>
      <c r="G11" s="30" t="s">
        <v>100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130</v>
      </c>
      <c r="G12" s="30" t="s">
        <v>101</v>
      </c>
      <c r="H12" s="30" t="s">
        <v>0</v>
      </c>
      <c r="I12" s="30"/>
      <c r="J12" s="30" t="s">
        <v>116</v>
      </c>
      <c r="K12" s="31"/>
    </row>
    <row r="13" spans="1:11" ht="16.5">
      <c r="A13" s="18"/>
      <c r="B13" s="18"/>
      <c r="C13" s="57" t="s">
        <v>97</v>
      </c>
      <c r="D13" s="30" t="s">
        <v>97</v>
      </c>
      <c r="E13" s="30" t="s">
        <v>40</v>
      </c>
      <c r="F13" s="30" t="s">
        <v>131</v>
      </c>
      <c r="G13" s="57" t="s">
        <v>102</v>
      </c>
      <c r="H13" s="57" t="s">
        <v>104</v>
      </c>
      <c r="I13" s="57"/>
      <c r="J13" s="57" t="s">
        <v>178</v>
      </c>
      <c r="K13" s="57" t="s">
        <v>105</v>
      </c>
    </row>
    <row r="14" spans="1:11" ht="16.5">
      <c r="A14" s="18" t="s">
        <v>0</v>
      </c>
      <c r="B14" s="18"/>
      <c r="C14" s="30" t="s">
        <v>98</v>
      </c>
      <c r="D14" s="30" t="s">
        <v>99</v>
      </c>
      <c r="E14" s="57" t="s">
        <v>5</v>
      </c>
      <c r="F14" s="30" t="s">
        <v>132</v>
      </c>
      <c r="G14" s="57" t="s">
        <v>103</v>
      </c>
      <c r="H14" s="57" t="s">
        <v>177</v>
      </c>
      <c r="I14" s="57" t="s">
        <v>105</v>
      </c>
      <c r="J14" s="57" t="s">
        <v>106</v>
      </c>
      <c r="K14" s="57" t="s">
        <v>107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28</v>
      </c>
      <c r="F15" s="30" t="s">
        <v>1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187</v>
      </c>
      <c r="B17" s="18"/>
      <c r="C17" s="37">
        <v>140326.1</v>
      </c>
      <c r="D17" s="37">
        <v>28715.448</v>
      </c>
      <c r="E17" s="37">
        <v>0</v>
      </c>
      <c r="F17" s="37">
        <v>15.0863263</v>
      </c>
      <c r="G17" s="37">
        <v>0</v>
      </c>
      <c r="H17" s="37">
        <f>-3361.733+0.5</f>
        <v>-3361.233</v>
      </c>
      <c r="I17" s="37">
        <f>SUM(C17:H17)</f>
        <v>165695.4013263</v>
      </c>
      <c r="J17" s="37">
        <f>2118.1115637-1</f>
        <v>2117.1115637</v>
      </c>
      <c r="K17" s="37">
        <f>SUM(I17:J17)-0.5</f>
        <v>167812.01288999998</v>
      </c>
    </row>
    <row r="18" spans="1:11" ht="16.5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127</v>
      </c>
      <c r="B19" s="18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6.5" hidden="1">
      <c r="A20" s="18" t="s">
        <v>133</v>
      </c>
      <c r="B20" s="18"/>
      <c r="C20" s="37">
        <v>0</v>
      </c>
      <c r="D20" s="37">
        <v>0</v>
      </c>
      <c r="E20" s="37"/>
      <c r="F20" s="37">
        <v>0</v>
      </c>
      <c r="G20" s="37">
        <f>-G17</f>
        <v>0</v>
      </c>
      <c r="H20" s="37">
        <v>0</v>
      </c>
      <c r="I20" s="37">
        <f>SUM(C20:H20)</f>
        <v>0</v>
      </c>
      <c r="J20" s="37">
        <v>0</v>
      </c>
      <c r="K20" s="37">
        <f>SUM(I20:J20)</f>
        <v>0</v>
      </c>
    </row>
    <row r="21" spans="1:11" ht="11.25" customHeight="1">
      <c r="A21" s="18"/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6.5">
      <c r="A22" s="18" t="s">
        <v>153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6.5">
      <c r="A23" s="18" t="s">
        <v>138</v>
      </c>
      <c r="B23" s="18"/>
      <c r="C23" s="37">
        <v>0</v>
      </c>
      <c r="D23" s="37">
        <v>0</v>
      </c>
      <c r="E23" s="37">
        <v>0</v>
      </c>
      <c r="F23" s="37">
        <f>((-0.77271-5.79533+2.31817-1.54542)-(-0.77271-5.79533+2.31817))*0.51+(3.33815-6.12776)+0.5</f>
        <v>-3.0777742000000003</v>
      </c>
      <c r="G23" s="37">
        <v>0</v>
      </c>
      <c r="H23" s="37">
        <f>'P&amp;L'!F46-EQUITY!H20</f>
        <v>1178.402</v>
      </c>
      <c r="I23" s="37">
        <f>SUM(C23:H23)</f>
        <v>1175.3242258</v>
      </c>
      <c r="J23" s="37">
        <f>'P&amp;L'!F54</f>
        <v>-62.85025580000008</v>
      </c>
      <c r="K23" s="37">
        <f>SUM(I23:J23)</f>
        <v>1112.47397</v>
      </c>
    </row>
    <row r="24" spans="1:11" ht="16.5" hidden="1">
      <c r="A24" s="18"/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6.5" hidden="1">
      <c r="A25" s="18" t="s">
        <v>148</v>
      </c>
      <c r="B25" s="18"/>
      <c r="C25" s="37"/>
      <c r="D25" s="37"/>
      <c r="E25" s="37"/>
      <c r="F25" s="37"/>
      <c r="G25" s="37"/>
      <c r="H25" s="69">
        <v>0</v>
      </c>
      <c r="I25" s="37">
        <f>SUM(C25:H25)</f>
        <v>0</v>
      </c>
      <c r="J25" s="37"/>
      <c r="K25" s="37">
        <f>SUM(I25:J25)</f>
        <v>0</v>
      </c>
    </row>
    <row r="26" spans="1:11" ht="9.75" customHeight="1">
      <c r="A26" s="19"/>
      <c r="B26" s="18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7.25" thickBot="1">
      <c r="A27" s="19" t="s">
        <v>188</v>
      </c>
      <c r="B27" s="18"/>
      <c r="C27" s="49">
        <f aca="true" t="shared" si="0" ref="C27:J27">SUM(C17:C26)</f>
        <v>140326.1</v>
      </c>
      <c r="D27" s="49">
        <f t="shared" si="0"/>
        <v>28715.448</v>
      </c>
      <c r="E27" s="49">
        <f t="shared" si="0"/>
        <v>0</v>
      </c>
      <c r="F27" s="49">
        <f>SUM(F17:F26)</f>
        <v>12.0085521</v>
      </c>
      <c r="G27" s="49">
        <f t="shared" si="0"/>
        <v>0</v>
      </c>
      <c r="H27" s="49">
        <f t="shared" si="0"/>
        <v>-2182.831</v>
      </c>
      <c r="I27" s="49">
        <f>SUM(I17:I26)-0.5</f>
        <v>166870.2255521</v>
      </c>
      <c r="J27" s="49">
        <f t="shared" si="0"/>
        <v>2054.2613079</v>
      </c>
      <c r="K27" s="49">
        <f>SUM(K17:K26)</f>
        <v>168924.48685999998</v>
      </c>
    </row>
    <row r="28" spans="1:11" ht="17.25" thickTop="1">
      <c r="A28" s="19"/>
      <c r="B28" s="18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9.75" customHeight="1">
      <c r="A29" s="19"/>
      <c r="B29" s="18"/>
      <c r="C29" s="37"/>
      <c r="D29" s="37"/>
      <c r="E29" s="37"/>
      <c r="F29" s="37"/>
      <c r="G29" s="59"/>
      <c r="H29" s="59"/>
      <c r="I29" s="59"/>
      <c r="J29" s="59" t="s">
        <v>0</v>
      </c>
      <c r="K29" s="59"/>
    </row>
    <row r="30" spans="1:11" ht="16.5">
      <c r="A30" s="19" t="s">
        <v>189</v>
      </c>
      <c r="B30" s="18"/>
      <c r="C30" s="37">
        <v>169040.548</v>
      </c>
      <c r="D30" s="37">
        <v>0</v>
      </c>
      <c r="E30" s="37">
        <v>0</v>
      </c>
      <c r="F30" s="37">
        <v>12.2761289</v>
      </c>
      <c r="G30" s="37">
        <v>0</v>
      </c>
      <c r="H30" s="37">
        <v>2963.147</v>
      </c>
      <c r="I30" s="37">
        <f>SUM(C30:H30)</f>
        <v>172015.9711289</v>
      </c>
      <c r="J30" s="37">
        <v>1924.9009211</v>
      </c>
      <c r="K30" s="37">
        <f>SUM(I30:J30)</f>
        <v>173940.87205</v>
      </c>
    </row>
    <row r="31" spans="1:11" ht="16.5" hidden="1">
      <c r="A31" s="19"/>
      <c r="B31" s="18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6.5" hidden="1">
      <c r="A32" s="18" t="s">
        <v>96</v>
      </c>
      <c r="B32" s="18"/>
      <c r="C32" s="37"/>
      <c r="D32" s="37"/>
      <c r="E32" s="37"/>
      <c r="F32" s="37"/>
      <c r="G32" s="37"/>
      <c r="H32" s="60">
        <v>0</v>
      </c>
      <c r="I32" s="37">
        <f>SUM(C32:H32)</f>
        <v>0</v>
      </c>
      <c r="J32" s="37"/>
      <c r="K32" s="37">
        <f>SUM(I32:J32)</f>
        <v>0</v>
      </c>
    </row>
    <row r="33" spans="1:11" ht="16.5" hidden="1">
      <c r="A33" s="19"/>
      <c r="B33" s="18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6.5" hidden="1">
      <c r="A34" s="19" t="s">
        <v>108</v>
      </c>
      <c r="B34" s="18"/>
      <c r="C34" s="37">
        <f aca="true" t="shared" si="1" ref="C34:K34">SUM(C30:C33)</f>
        <v>169040.548</v>
      </c>
      <c r="D34" s="37">
        <f t="shared" si="1"/>
        <v>0</v>
      </c>
      <c r="E34" s="37">
        <f t="shared" si="1"/>
        <v>0</v>
      </c>
      <c r="F34" s="37">
        <f t="shared" si="1"/>
        <v>12.2761289</v>
      </c>
      <c r="G34" s="37">
        <f t="shared" si="1"/>
        <v>0</v>
      </c>
      <c r="H34" s="37">
        <f t="shared" si="1"/>
        <v>2963.147</v>
      </c>
      <c r="I34" s="37">
        <f t="shared" si="1"/>
        <v>172015.9711289</v>
      </c>
      <c r="J34" s="37">
        <f t="shared" si="1"/>
        <v>1924.9009211</v>
      </c>
      <c r="K34" s="37">
        <f t="shared" si="1"/>
        <v>173940.87205</v>
      </c>
    </row>
    <row r="35" spans="1:11" ht="9" customHeight="1">
      <c r="A35" s="19"/>
      <c r="B35" s="18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6.5" hidden="1">
      <c r="A36" s="18" t="s">
        <v>127</v>
      </c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3" ht="16.5" hidden="1">
      <c r="A37" s="18" t="s">
        <v>133</v>
      </c>
      <c r="B37" s="18"/>
      <c r="C37" s="37">
        <v>0</v>
      </c>
      <c r="D37" s="37">
        <v>0</v>
      </c>
      <c r="E37" s="37"/>
      <c r="F37" s="37">
        <v>0</v>
      </c>
      <c r="G37" s="37">
        <v>0</v>
      </c>
      <c r="H37" s="37">
        <v>0</v>
      </c>
      <c r="I37" s="37">
        <f>SUM(C37:H37)</f>
        <v>0</v>
      </c>
      <c r="J37" s="37">
        <v>0</v>
      </c>
      <c r="K37" s="37">
        <f>SUM(I37:J37)</f>
        <v>0</v>
      </c>
      <c r="M37" s="16"/>
    </row>
    <row r="38" spans="1:13" ht="16.5" hidden="1">
      <c r="A38" s="18" t="s">
        <v>171</v>
      </c>
      <c r="B38" s="18"/>
      <c r="C38" s="37"/>
      <c r="D38" s="37"/>
      <c r="E38" s="37"/>
      <c r="F38" s="37"/>
      <c r="G38" s="37"/>
      <c r="H38" s="37"/>
      <c r="I38" s="37"/>
      <c r="J38" s="37"/>
      <c r="K38" s="37"/>
      <c r="M38" s="16"/>
    </row>
    <row r="39" spans="1:13" ht="16.5" hidden="1">
      <c r="A39" s="18" t="s">
        <v>172</v>
      </c>
      <c r="B39" s="18"/>
      <c r="C39" s="37"/>
      <c r="D39" s="37"/>
      <c r="E39" s="37"/>
      <c r="F39" s="37"/>
      <c r="G39" s="37"/>
      <c r="H39" s="37"/>
      <c r="I39" s="37"/>
      <c r="J39" s="37"/>
      <c r="K39" s="37"/>
      <c r="M39" s="16"/>
    </row>
    <row r="40" spans="1:13" ht="16.5" hidden="1">
      <c r="A40" s="18" t="s">
        <v>174</v>
      </c>
      <c r="B40" s="18"/>
      <c r="C40" s="37">
        <f>-D40</f>
        <v>0</v>
      </c>
      <c r="D40" s="37">
        <f>-D30</f>
        <v>0</v>
      </c>
      <c r="E40" s="37"/>
      <c r="F40" s="37"/>
      <c r="G40" s="37"/>
      <c r="H40" s="37"/>
      <c r="I40" s="37">
        <f>SUM(C40:H40)</f>
        <v>0</v>
      </c>
      <c r="J40" s="37"/>
      <c r="K40" s="37">
        <f>SUM(I40:J40)</f>
        <v>0</v>
      </c>
      <c r="M40" s="16"/>
    </row>
    <row r="41" spans="1:13" ht="16.5" hidden="1">
      <c r="A41" s="18"/>
      <c r="B41" s="18"/>
      <c r="C41" s="37"/>
      <c r="D41" s="37"/>
      <c r="E41" s="37"/>
      <c r="F41" s="37"/>
      <c r="G41" s="37"/>
      <c r="H41" s="37"/>
      <c r="I41" s="37"/>
      <c r="J41" s="37"/>
      <c r="K41" s="37"/>
      <c r="M41" s="16"/>
    </row>
    <row r="42" spans="1:13" ht="16.5">
      <c r="A42" s="18" t="s">
        <v>191</v>
      </c>
      <c r="B42" s="18"/>
      <c r="C42" s="37"/>
      <c r="D42" s="37"/>
      <c r="E42" s="37"/>
      <c r="F42" s="37"/>
      <c r="G42" s="37"/>
      <c r="H42" s="37"/>
      <c r="I42" s="37"/>
      <c r="J42" s="37"/>
      <c r="K42" s="37"/>
      <c r="M42" s="80"/>
    </row>
    <row r="43" spans="1:16" ht="16.5">
      <c r="A43" s="18" t="s">
        <v>163</v>
      </c>
      <c r="B43" s="18"/>
      <c r="C43" s="37">
        <v>0</v>
      </c>
      <c r="D43" s="37">
        <v>0</v>
      </c>
      <c r="E43" s="37">
        <v>0</v>
      </c>
      <c r="F43" s="33">
        <f>((2.70448-3.09083-4.63626-1.93177)*0.51+(2.24506+1.31583-0.73123))-((2.70448-3.09083-4.63626)*0.51+(2.24506+1.31583-0.73123))</f>
        <v>-0.9852026999999999</v>
      </c>
      <c r="G43" s="37">
        <v>0</v>
      </c>
      <c r="H43" s="69">
        <f>'P&amp;L'!D46</f>
        <v>-77</v>
      </c>
      <c r="I43" s="37">
        <f>SUM(C43:H43)</f>
        <v>-77.9852027</v>
      </c>
      <c r="J43" s="37">
        <f>'P&amp;L'!D54</f>
        <v>-43.9465673</v>
      </c>
      <c r="K43" s="37">
        <f>SUM(I43:J43)</f>
        <v>-121.93177</v>
      </c>
      <c r="M43" s="16"/>
      <c r="P43" s="37"/>
    </row>
    <row r="44" spans="1:13" ht="16.5" hidden="1">
      <c r="A44" s="18"/>
      <c r="B44" s="18"/>
      <c r="C44" s="37"/>
      <c r="D44" s="37"/>
      <c r="E44" s="37"/>
      <c r="F44" s="69"/>
      <c r="G44" s="37"/>
      <c r="H44" s="69"/>
      <c r="I44" s="37"/>
      <c r="J44" s="37"/>
      <c r="K44" s="37"/>
      <c r="M44" s="16"/>
    </row>
    <row r="45" spans="1:13" ht="16.5" hidden="1">
      <c r="A45" s="18" t="s">
        <v>148</v>
      </c>
      <c r="B45" s="18"/>
      <c r="C45" s="37"/>
      <c r="D45" s="37"/>
      <c r="E45" s="37"/>
      <c r="F45" s="69"/>
      <c r="G45" s="37"/>
      <c r="H45" s="69">
        <v>0</v>
      </c>
      <c r="I45" s="37">
        <f>SUM(C45:H45)</f>
        <v>0</v>
      </c>
      <c r="J45" s="37"/>
      <c r="K45" s="37">
        <f>SUM(I45:J45)</f>
        <v>0</v>
      </c>
      <c r="M45" s="16"/>
    </row>
    <row r="46" spans="1:11" ht="9.75" customHeight="1">
      <c r="A46" s="18"/>
      <c r="B46" s="18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17.25" thickBot="1">
      <c r="A47" s="19" t="s">
        <v>190</v>
      </c>
      <c r="B47" s="18"/>
      <c r="C47" s="49">
        <f>SUM(C34:C46)</f>
        <v>169040.548</v>
      </c>
      <c r="D47" s="49">
        <f aca="true" t="shared" si="2" ref="D47:K47">SUM(D34:D46)</f>
        <v>0</v>
      </c>
      <c r="E47" s="49">
        <f t="shared" si="2"/>
        <v>0</v>
      </c>
      <c r="F47" s="61">
        <f t="shared" si="2"/>
        <v>11.2909262</v>
      </c>
      <c r="G47" s="49">
        <f t="shared" si="2"/>
        <v>0</v>
      </c>
      <c r="H47" s="49">
        <f t="shared" si="2"/>
        <v>2886.147</v>
      </c>
      <c r="I47" s="49">
        <f t="shared" si="2"/>
        <v>171937.98592620002</v>
      </c>
      <c r="J47" s="49">
        <f t="shared" si="2"/>
        <v>1880.9543538</v>
      </c>
      <c r="K47" s="49">
        <f t="shared" si="2"/>
        <v>173818.94028</v>
      </c>
    </row>
    <row r="48" spans="1:13" ht="17.25" thickTop="1">
      <c r="A48" s="19"/>
      <c r="B48" s="18"/>
      <c r="C48" s="18"/>
      <c r="D48" s="18"/>
      <c r="E48" s="31"/>
      <c r="F48" s="31"/>
      <c r="G48" s="18"/>
      <c r="H48" s="31"/>
      <c r="I48" s="31"/>
      <c r="J48" s="31"/>
      <c r="K48" s="31" t="s">
        <v>0</v>
      </c>
      <c r="M48" s="16"/>
    </row>
    <row r="49" spans="1:11" ht="16.5">
      <c r="A49" s="18" t="s">
        <v>175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3" ht="16.5">
      <c r="A50" s="18" t="s">
        <v>179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M50" s="16"/>
    </row>
    <row r="51" spans="1:13" ht="16.5">
      <c r="A51" s="18" t="s">
        <v>180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M51" s="16"/>
    </row>
    <row r="52" spans="1:11" ht="16.5">
      <c r="A52" s="18" t="s">
        <v>176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6.5">
      <c r="A53" s="18" t="s">
        <v>181</v>
      </c>
      <c r="B53" s="18"/>
      <c r="C53" s="18"/>
      <c r="D53" s="18"/>
      <c r="E53" s="18"/>
      <c r="F53" s="18"/>
      <c r="G53" s="18" t="s">
        <v>0</v>
      </c>
      <c r="H53" s="18"/>
      <c r="I53" s="18"/>
      <c r="J53" s="18"/>
      <c r="K53" s="18"/>
    </row>
    <row r="54" spans="1:11" ht="16.5">
      <c r="A54" s="18" t="s">
        <v>182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6.5">
      <c r="A55" s="18" t="s">
        <v>183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6.5">
      <c r="A59" s="19" t="s">
        <v>144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6.5">
      <c r="A60" s="19" t="s">
        <v>159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 t="s">
        <v>0</v>
      </c>
      <c r="K70" s="18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5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2018-02-27T08:03:45Z</cp:lastPrinted>
  <dcterms:created xsi:type="dcterms:W3CDTF">1998-03-21T00:09:32Z</dcterms:created>
  <dcterms:modified xsi:type="dcterms:W3CDTF">2018-02-27T08:22:30Z</dcterms:modified>
  <cp:category/>
  <cp:version/>
  <cp:contentType/>
  <cp:contentStatus/>
</cp:coreProperties>
</file>