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'BS'!$A$1:$E$86</definedName>
    <definedName name="_xlnm.Print_Area" localSheetId="2">'CFLOW'!$A$1:$E$76</definedName>
    <definedName name="_xlnm.Print_Area" localSheetId="3">'EQUITY'!$A$1:$K$60</definedName>
    <definedName name="_xlnm.Print_Area" localSheetId="0">'P&amp;L'!$B$1:$J$73</definedName>
  </definedNames>
  <calcPr fullCalcOnLoad="1"/>
</workbook>
</file>

<file path=xl/sharedStrings.xml><?xml version="1.0" encoding="utf-8"?>
<sst xmlns="http://schemas.openxmlformats.org/spreadsheetml/2006/main" count="347" uniqueCount="200">
  <si>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</si>
  <si>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</si>
  <si>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</si>
  <si>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</si>
  <si>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</si>
  <si>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</si>
  <si>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</si>
  <si>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</si>
  <si>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</si>
  <si>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</si>
  <si>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</si>
  <si>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</si>
  <si>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</si>
  <si>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</si>
  <si>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</si>
  <si>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</si>
  <si>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</si>
  <si>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</si>
  <si>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</si>
  <si>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</si>
  <si>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</si>
  <si>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</si>
  <si>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</si>
  <si>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</si>
  <si>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</si>
  <si>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</si>
  <si>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</si>
  <si>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</si>
  <si>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</si>
  <si>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</si>
  <si>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</si>
  <si>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</si>
  <si>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</si>
  <si>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</si>
  <si>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</si>
  <si>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</si>
  <si>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</si>
  <si>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</si>
  <si>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</si>
  <si>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</si>
  <si>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</si>
  <si>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</si>
  <si>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</si>
  <si>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</si>
  <si>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</si>
  <si>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</si>
  <si>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</si>
  <si>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</si>
  <si>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</si>
  <si>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</si>
  <si>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</si>
  <si>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</si>
  <si>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</si>
  <si>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</si>
  <si>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</si>
  <si>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TOTAL EQUITY</t>
  </si>
  <si>
    <t>ATTRIBUTABLE TO :</t>
  </si>
  <si>
    <t>Diluted Earnings Per Ordinary Share (Sen)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</si>
  <si>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</si>
  <si>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</si>
  <si>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</si>
  <si>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</si>
  <si>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</si>
  <si>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</si>
  <si>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</si>
  <si>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</si>
  <si>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</si>
  <si>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</si>
  <si>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</si>
  <si>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</si>
  <si>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</si>
  <si>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</si>
  <si>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</si>
  <si>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</si>
  <si>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</si>
  <si>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</si>
  <si>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</si>
  <si>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</si>
  <si>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</si>
  <si>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</si>
  <si>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</si>
  <si>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</si>
  <si>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</si>
  <si>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</si>
  <si>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</si>
  <si>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</si>
  <si>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</si>
  <si>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</si>
  <si>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</si>
  <si>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</si>
  <si>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</si>
  <si>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</si>
  <si>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</si>
  <si>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</si>
  <si>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</si>
  <si>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</si>
  <si>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</si>
  <si>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</si>
  <si>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</si>
  <si>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</si>
  <si>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</si>
  <si>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</si>
  <si>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</si>
  <si>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</si>
  <si>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</si>
  <si>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</si>
  <si>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</si>
  <si>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</si>
  <si>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</si>
  <si>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</si>
  <si>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</si>
  <si>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</si>
  <si>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</si>
  <si>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</si>
  <si>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</si>
  <si>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</si>
  <si>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</si>
  <si>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</si>
  <si>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</si>
  <si>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</si>
  <si>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</si>
  <si>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</si>
  <si>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</si>
  <si>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</si>
  <si>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</si>
  <si>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</si>
  <si>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</si>
  <si>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</si>
  <si>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</si>
  <si>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</si>
  <si>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</si>
  <si>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</si>
  <si>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</si>
  <si>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</si>
  <si>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</si>
  <si>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</si>
  <si>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</si>
  <si>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</si>
  <si>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</si>
  <si>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</si>
  <si>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</si>
  <si>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</si>
  <si>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</si>
  <si>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</si>
  <si>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</si>
  <si>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</si>
  <si>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</si>
  <si>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TO EQUITY OWNERS OF THE COMPANY :</t>
  </si>
  <si>
    <t>NET CASH USED IN FINANCING ACTIVITIES</t>
  </si>
  <si>
    <t xml:space="preserve">     Investment income received</t>
  </si>
  <si>
    <t>DEFERRED TAX</t>
  </si>
  <si>
    <t>Dividend paid</t>
  </si>
  <si>
    <t xml:space="preserve">     Dividend received</t>
  </si>
  <si>
    <t xml:space="preserve">     Exchange loss</t>
  </si>
  <si>
    <t xml:space="preserve">PROFIT FOR THE FINANCIAL PERIOD </t>
  </si>
  <si>
    <t>PROFIT ATTRIBUTABLE TO :</t>
  </si>
  <si>
    <t>EARNINGS PER SHARE ATTRIBUTABLE</t>
  </si>
  <si>
    <t xml:space="preserve">Basic Earnings Per Ordinary Share (Sen) </t>
  </si>
  <si>
    <t>OPERATING PROFIT BEFORE CHANGES IN WORKING CAPITAL</t>
  </si>
  <si>
    <t>TOTAL COMPREHENSIVE INCOME</t>
  </si>
  <si>
    <t>TRADE AND OTHER RECEIVABLES</t>
  </si>
  <si>
    <t>Total comprehensive income</t>
  </si>
  <si>
    <t xml:space="preserve">     Tax paid</t>
  </si>
  <si>
    <t xml:space="preserve">     Proceeds from disposal of property, plant and equipment</t>
  </si>
  <si>
    <t xml:space="preserve">     Purchase of property, plant and equipment</t>
  </si>
  <si>
    <t>&lt;------------   ATTRIBUTABLE TO OWNERS ----------- &gt;</t>
  </si>
  <si>
    <t>PROFIT FROM OPERATIONS</t>
  </si>
  <si>
    <t xml:space="preserve">     Redemption in long term investment </t>
  </si>
  <si>
    <t>Annual Financial Report for the financial year ended 31 December 2016.</t>
  </si>
  <si>
    <t>the Annual Financial Report for the financial year ended 31 December 2016.</t>
  </si>
  <si>
    <t>(Based on 140,326,100 (2016:140,326,100)</t>
  </si>
  <si>
    <t xml:space="preserve">     Acquisition of investment/subsidiaries</t>
  </si>
  <si>
    <t xml:space="preserve"> for the financial period</t>
  </si>
  <si>
    <t>ACCUMULATED PROFIT/(LOSS)</t>
  </si>
  <si>
    <t xml:space="preserve">     (Investment)/Redemption in short term investment </t>
  </si>
  <si>
    <t xml:space="preserve">     Net change in cash held under HDA   </t>
  </si>
  <si>
    <t xml:space="preserve">Less : Cash held under HDA   </t>
  </si>
  <si>
    <t>NET CASH (USED IN)/FROM OPERATING ACTIVITIES</t>
  </si>
  <si>
    <t>NET CASH (USED IN)/FROM INVESTING ACTIVITIES</t>
  </si>
  <si>
    <t>NET (DECREASE)/INCREASE IN CASH AND CASH EQUIVALENTS</t>
  </si>
  <si>
    <t>Transition to no par value</t>
  </si>
  <si>
    <t xml:space="preserve"> regime under the </t>
  </si>
  <si>
    <t>Other Comprehensive Income/(Loss)</t>
  </si>
  <si>
    <t xml:space="preserve">(Based on 140,326,100 (2016:140,326,100) ordinary shares)      </t>
  </si>
  <si>
    <t xml:space="preserve"> Companies Act 2016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</si>
  <si>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</si>
  <si>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</si>
  <si>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Profit/(Losses)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</si>
  <si>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</si>
  <si>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</si>
  <si>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</si>
  <si>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>UNAUDITED RESULTS OF THE GROUP FOR THE THIRD QUARTER ENDED 30 SEPTEMBER 2017</t>
  </si>
  <si>
    <t>30 SEPT</t>
  </si>
  <si>
    <t>Balance At 1 July 2016</t>
  </si>
  <si>
    <t>Balance At 30 Sept 2016</t>
  </si>
  <si>
    <t>Balance At 1 July 2017</t>
  </si>
  <si>
    <t>Balance At 30 Sept 2017</t>
  </si>
  <si>
    <t xml:space="preserve">within  24 months  from the commencement of the Act,  use  the  said  share  premium of  RM28.715 million for </t>
  </si>
  <si>
    <t>purposes as set  out  in  the said Act.   There is no impact on the number of ordinary shares in issue or the relative</t>
  </si>
  <si>
    <t>entitlement of any of the members as a result of this transition.</t>
  </si>
</sst>
</file>

<file path=xl/styles.xml><?xml version="1.0" encoding="utf-8"?>
<styleSheet xmlns="http://schemas.openxmlformats.org/spreadsheetml/2006/main">
  <numFmts count="4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0.000_);\(0.000\)"/>
    <numFmt numFmtId="192" formatCode="0.0000_);\(0.0000\)"/>
    <numFmt numFmtId="193" formatCode="0.0_);\(0.0\)"/>
    <numFmt numFmtId="194" formatCode="_(* #,##0.000_);_(* \(#,##0.000\);_(* &quot;-&quot;???_);_(@_)"/>
    <numFmt numFmtId="195" formatCode="_(* #,##0.00_);_(* \(#,##0.00\);_(* &quot;-&quot;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,000.00%"/>
    <numFmt numFmtId="201" formatCode="0,000.00%"/>
    <numFmt numFmtId="202" formatCode="#,##0.0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6" fontId="9" fillId="0" borderId="0" xfId="42" applyNumberFormat="1" applyFont="1" applyAlignment="1">
      <alignment/>
    </xf>
    <xf numFmtId="174" fontId="9" fillId="0" borderId="0" xfId="42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Sept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Sept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</sheetNames>
    <sheetDataSet>
      <sheetData sheetId="12">
        <row r="106">
          <cell r="Z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F48">
            <v>0</v>
          </cell>
        </row>
        <row r="60">
          <cell r="F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6"/>
  <sheetViews>
    <sheetView zoomScalePageLayoutView="0" workbookViewId="0" topLeftCell="A1">
      <selection activeCell="B1" sqref="B1:J73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191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93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192</v>
      </c>
      <c r="E14" s="30"/>
      <c r="F14" s="32" t="str">
        <f>D14</f>
        <v>30 SEPT</v>
      </c>
      <c r="G14" s="19"/>
      <c r="H14" s="32" t="str">
        <f>F14</f>
        <v>30 SEPT</v>
      </c>
      <c r="I14" s="30"/>
      <c r="J14" s="32" t="str">
        <f>H14</f>
        <v>30 SEPT</v>
      </c>
    </row>
    <row r="15" spans="2:10" ht="16.5">
      <c r="B15" s="18"/>
      <c r="C15" s="18"/>
      <c r="D15" s="30">
        <v>2017</v>
      </c>
      <c r="E15" s="30"/>
      <c r="F15" s="30">
        <v>2016</v>
      </c>
      <c r="G15" s="30"/>
      <c r="H15" s="30">
        <v>2017</v>
      </c>
      <c r="I15" s="30"/>
      <c r="J15" s="30">
        <v>2016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24195-13577</f>
        <v>10618</v>
      </c>
      <c r="E18" s="33"/>
      <c r="F18" s="33">
        <f>33236-33080</f>
        <v>156</v>
      </c>
      <c r="G18" s="18"/>
      <c r="H18" s="33">
        <v>24195.273579999997</v>
      </c>
      <c r="I18" s="33"/>
      <c r="J18" s="34">
        <v>33236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43</v>
      </c>
      <c r="C20" s="18"/>
      <c r="D20" s="36">
        <f>-18029+11326</f>
        <v>-6703</v>
      </c>
      <c r="E20" s="18"/>
      <c r="F20" s="37">
        <f>-22710+22312</f>
        <v>-398</v>
      </c>
      <c r="G20" s="18"/>
      <c r="H20" s="37">
        <v>-18028.821740000003</v>
      </c>
      <c r="I20" s="18"/>
      <c r="J20" s="37">
        <v>-22710</v>
      </c>
    </row>
    <row r="21" spans="2:10" ht="16.5">
      <c r="B21" s="18" t="s">
        <v>128</v>
      </c>
      <c r="C21" s="31"/>
      <c r="D21" s="36">
        <f>505-343</f>
        <v>162</v>
      </c>
      <c r="E21" s="36"/>
      <c r="F21" s="36">
        <f>2919-245</f>
        <v>2674</v>
      </c>
      <c r="G21" s="31"/>
      <c r="H21" s="36">
        <v>504.6652999999992</v>
      </c>
      <c r="I21" s="36"/>
      <c r="J21" s="37">
        <v>2919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166</v>
      </c>
      <c r="C23" s="31" t="s">
        <v>0</v>
      </c>
      <c r="D23" s="36">
        <f>SUM(D18:D22)</f>
        <v>4077</v>
      </c>
      <c r="E23" s="36"/>
      <c r="F23" s="37">
        <f>SUM(F18:F22)</f>
        <v>2432</v>
      </c>
      <c r="G23" s="31"/>
      <c r="H23" s="36">
        <f>SUM(H18:H22)</f>
        <v>6671.117139999993</v>
      </c>
      <c r="I23" s="36"/>
      <c r="J23" s="36">
        <f>SUM(J18:J22)</f>
        <v>13445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47</v>
      </c>
      <c r="C25" s="31"/>
      <c r="D25" s="36">
        <f>1900-1874</f>
        <v>26</v>
      </c>
      <c r="E25" s="36"/>
      <c r="F25" s="37">
        <f>185-151</f>
        <v>34</v>
      </c>
      <c r="G25" s="31"/>
      <c r="H25" s="36">
        <v>1900.35384</v>
      </c>
      <c r="I25" s="36"/>
      <c r="J25" s="37">
        <v>185</v>
      </c>
    </row>
    <row r="26" spans="2:10" ht="16.5">
      <c r="B26" s="18" t="s">
        <v>48</v>
      </c>
      <c r="C26" s="31"/>
      <c r="D26" s="36">
        <f>-17+12</f>
        <v>-5</v>
      </c>
      <c r="E26" s="36"/>
      <c r="F26" s="37">
        <f>-15+9</f>
        <v>-6</v>
      </c>
      <c r="G26" s="31"/>
      <c r="H26" s="36">
        <v>-17.345240000000004</v>
      </c>
      <c r="I26" s="36"/>
      <c r="J26" s="37">
        <v>-15</v>
      </c>
    </row>
    <row r="27" spans="2:10" ht="16.5">
      <c r="B27" s="18" t="s">
        <v>44</v>
      </c>
      <c r="C27" s="31"/>
      <c r="D27" s="37">
        <f>2359-1438</f>
        <v>921</v>
      </c>
      <c r="E27" s="36"/>
      <c r="F27" s="36">
        <f>2440-1672</f>
        <v>768</v>
      </c>
      <c r="G27" s="31"/>
      <c r="H27" s="37">
        <v>2358.52536</v>
      </c>
      <c r="I27" s="36"/>
      <c r="J27" s="36">
        <v>2440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26</v>
      </c>
      <c r="C29" s="31"/>
      <c r="D29" s="37">
        <f>SUM(D23:D28)</f>
        <v>5019</v>
      </c>
      <c r="E29" s="36"/>
      <c r="F29" s="36">
        <f>SUM(F23:F28)</f>
        <v>3228</v>
      </c>
      <c r="G29" s="31"/>
      <c r="H29" s="37">
        <f>SUM(H23:H28)</f>
        <v>10912.651099999992</v>
      </c>
      <c r="I29" s="36"/>
      <c r="J29" s="36">
        <f>SUM(J23:J28)</f>
        <v>16055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-3088+1790</f>
        <v>-1298</v>
      </c>
      <c r="E31" s="33"/>
      <c r="F31" s="42">
        <f>-3337+1961</f>
        <v>-1376</v>
      </c>
      <c r="G31" s="18"/>
      <c r="H31" s="43">
        <v>-3088.38256</v>
      </c>
      <c r="I31" s="33"/>
      <c r="J31" s="42">
        <v>-3337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85</v>
      </c>
      <c r="C33" s="31"/>
      <c r="D33" s="33">
        <f>SUM(D29:D32)</f>
        <v>3721</v>
      </c>
      <c r="E33" s="33"/>
      <c r="F33" s="33">
        <f>SUM(F29:F32)</f>
        <v>1852</v>
      </c>
      <c r="G33" s="35"/>
      <c r="H33" s="33">
        <f>SUM(H29:H32)</f>
        <v>7824.268539999992</v>
      </c>
      <c r="I33" s="33"/>
      <c r="J33" s="33">
        <f>SUM(J29:J32)</f>
        <v>12718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74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83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22" ht="16.5">
      <c r="B38" s="41" t="s">
        <v>154</v>
      </c>
      <c r="C38" s="31"/>
      <c r="D38" s="44">
        <f>SUM(D33:D37)</f>
        <v>3721</v>
      </c>
      <c r="E38" s="44"/>
      <c r="F38" s="44">
        <f>SUM(F33:F37)</f>
        <v>1852</v>
      </c>
      <c r="G38" s="31"/>
      <c r="H38" s="45">
        <f>SUM(H33:H37)+0.5</f>
        <v>7824.768539999992</v>
      </c>
      <c r="I38" s="44"/>
      <c r="J38" s="44">
        <f>SUM(J33:J37)</f>
        <v>12718</v>
      </c>
      <c r="R38" s="81"/>
      <c r="S38" s="81"/>
      <c r="T38" s="81"/>
      <c r="U38" s="83"/>
      <c r="V38" s="83"/>
    </row>
    <row r="39" spans="2:17" ht="16.5">
      <c r="B39" s="41"/>
      <c r="C39" s="31"/>
      <c r="D39" s="33"/>
      <c r="E39" s="33"/>
      <c r="F39" s="33"/>
      <c r="G39" s="31"/>
      <c r="H39" s="33"/>
      <c r="I39" s="33"/>
      <c r="J39" s="33"/>
      <c r="P39" s="82"/>
      <c r="Q39" s="81"/>
    </row>
    <row r="40" spans="2:16" ht="16.5">
      <c r="B40" s="23" t="s">
        <v>182</v>
      </c>
      <c r="C40" s="31"/>
      <c r="D40" s="33">
        <f>((2.70448-3.09083-4.63626)+(2.24506+1.31583-0.73123))-((2.70448-3.09083)+(2.24506+1.31583))</f>
        <v>-5.36749</v>
      </c>
      <c r="E40" s="33"/>
      <c r="F40" s="33">
        <f>((-0.77271-5.79533+2.31817)+(6.12776))-(-0.77271-5.79533)</f>
        <v>8.44593</v>
      </c>
      <c r="G40" s="31"/>
      <c r="H40" s="33">
        <f>(2.70448-3.09083-4.63626)+(2.24506+1.31583-0.73123)</f>
        <v>-2.19295</v>
      </c>
      <c r="I40" s="33"/>
      <c r="J40" s="33">
        <f>(-0.77271-5.79533+2.31817)+(6.12776)</f>
        <v>1.8778900000000007</v>
      </c>
      <c r="P40" s="82"/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22" ht="16.5">
      <c r="B42" s="41" t="s">
        <v>159</v>
      </c>
      <c r="C42" s="31"/>
      <c r="D42" s="33"/>
      <c r="E42" s="33"/>
      <c r="F42" s="33"/>
      <c r="G42" s="31"/>
      <c r="H42" s="33"/>
      <c r="I42" s="33"/>
      <c r="J42" s="33"/>
      <c r="P42" s="81"/>
      <c r="R42" s="84"/>
      <c r="S42" s="84"/>
      <c r="T42" s="85"/>
      <c r="U42" s="84"/>
      <c r="V42" s="84"/>
    </row>
    <row r="43" spans="2:10" ht="17.25" thickBot="1">
      <c r="B43" s="41" t="s">
        <v>94</v>
      </c>
      <c r="C43" s="31"/>
      <c r="D43" s="46">
        <f>SUM(D38:D42)</f>
        <v>3715.63251</v>
      </c>
      <c r="E43" s="46"/>
      <c r="F43" s="46">
        <f>SUM(F38:F42)</f>
        <v>1860.44593</v>
      </c>
      <c r="G43" s="31"/>
      <c r="H43" s="46">
        <f>SUM(H38:H42)+0.5</f>
        <v>7823.075589999992</v>
      </c>
      <c r="I43" s="46"/>
      <c r="J43" s="46">
        <f>SUM(J38:J42)</f>
        <v>12719.87789</v>
      </c>
    </row>
    <row r="44" spans="2:20" ht="17.25" thickTop="1">
      <c r="B44" s="41"/>
      <c r="C44" s="31"/>
      <c r="D44" s="33"/>
      <c r="E44" s="33"/>
      <c r="F44" s="33"/>
      <c r="G44" s="31"/>
      <c r="H44" s="33"/>
      <c r="I44" s="33"/>
      <c r="J44" s="33"/>
      <c r="R44" s="81"/>
      <c r="S44" s="81"/>
      <c r="T44" s="86"/>
    </row>
    <row r="45" spans="2:18" ht="16.5">
      <c r="B45" s="41" t="s">
        <v>155</v>
      </c>
      <c r="C45" s="31"/>
      <c r="D45" s="36"/>
      <c r="E45" s="36"/>
      <c r="F45" s="36"/>
      <c r="G45" s="31"/>
      <c r="H45" s="36"/>
      <c r="I45" s="36"/>
      <c r="J45" s="36"/>
      <c r="R45" s="83"/>
    </row>
    <row r="46" spans="2:18" ht="16.5">
      <c r="B46" s="23" t="s">
        <v>136</v>
      </c>
      <c r="C46" s="31"/>
      <c r="D46" s="37">
        <f>7952-4193</f>
        <v>3759</v>
      </c>
      <c r="E46" s="36"/>
      <c r="F46" s="36">
        <f>11350-9758</f>
        <v>1592</v>
      </c>
      <c r="G46" s="31"/>
      <c r="H46" s="37">
        <f>H38-H47</f>
        <v>7951.926280199992</v>
      </c>
      <c r="I46" s="36"/>
      <c r="J46" s="36">
        <v>11350</v>
      </c>
      <c r="R46" s="83"/>
    </row>
    <row r="47" spans="2:10" ht="16.5">
      <c r="B47" s="18" t="s">
        <v>124</v>
      </c>
      <c r="C47" s="31"/>
      <c r="D47" s="79">
        <f>-127+89</f>
        <v>-38</v>
      </c>
      <c r="E47" s="36"/>
      <c r="F47" s="42">
        <f>1368-1108</f>
        <v>260</v>
      </c>
      <c r="G47" s="31"/>
      <c r="H47" s="79">
        <v>-127.1577402</v>
      </c>
      <c r="I47" s="36"/>
      <c r="J47" s="42">
        <v>1368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3721</v>
      </c>
      <c r="E49" s="46"/>
      <c r="F49" s="46">
        <f>SUM(F46:F48)</f>
        <v>1852</v>
      </c>
      <c r="G49" s="18"/>
      <c r="H49" s="46">
        <f>SUM(H46:H48)</f>
        <v>7824.768539999992</v>
      </c>
      <c r="I49" s="46"/>
      <c r="J49" s="46">
        <f>SUM(J46:J48)</f>
        <v>12718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159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56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136</v>
      </c>
      <c r="C53" s="18"/>
      <c r="D53" s="37">
        <f>D46+((2.70448-3.09083-4.63626)-(2.70448-3.09083))*0.51+((2.24506+1.31583-0.73123)-(2.24506+1.31583))</f>
        <v>3755.9042774</v>
      </c>
      <c r="E53" s="18"/>
      <c r="F53" s="37">
        <f>F46+((-0.77271-5.79533+2.31817)-(-0.77271-5.79533))*0.51+(6.12776)</f>
        <v>1599.3100267</v>
      </c>
      <c r="G53" s="18"/>
      <c r="H53" s="47">
        <f>H46+((2.70448-3.09083-4.63626)*0.51)+(2.24506+1.31583-0.73123)+0.5</f>
        <v>7952.694409099992</v>
      </c>
      <c r="I53" s="18"/>
      <c r="J53" s="36">
        <v>11354</v>
      </c>
    </row>
    <row r="54" spans="2:10" ht="16.5">
      <c r="B54" s="18" t="s">
        <v>124</v>
      </c>
      <c r="C54" s="18"/>
      <c r="D54" s="37">
        <f>D47+((2.70448-3.09083-4.63626)-(2.70448-3.09083))*0.49</f>
        <v>-40.2717674</v>
      </c>
      <c r="E54" s="18"/>
      <c r="F54" s="37">
        <f>F47+((-0.77271-5.79533+2.31817)-(-0.77271-5.79533))*0.49</f>
        <v>261.1359033</v>
      </c>
      <c r="G54" s="18"/>
      <c r="H54" s="79">
        <f>H47+((2.70448-3.09083-4.63626)*0.49)</f>
        <v>-129.6188191</v>
      </c>
      <c r="I54" s="18"/>
      <c r="J54" s="36">
        <v>1366</v>
      </c>
    </row>
    <row r="55" spans="2:10" ht="17.25" thickBot="1">
      <c r="B55" s="18"/>
      <c r="C55" s="18"/>
      <c r="D55" s="46">
        <f>SUM(D53:D54)</f>
        <v>3715.63251</v>
      </c>
      <c r="E55" s="50"/>
      <c r="F55" s="46">
        <f>SUM(F53:F54)</f>
        <v>1860.4459299999999</v>
      </c>
      <c r="G55" s="18"/>
      <c r="H55" s="49">
        <f>SUM(H53:H54)</f>
        <v>7823.075589999992</v>
      </c>
      <c r="I55" s="50"/>
      <c r="J55" s="49">
        <f>SUM(J53:J54)</f>
        <v>12720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156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147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157</v>
      </c>
      <c r="C60" s="31"/>
      <c r="D60" s="71">
        <f>(D33+(126-88)+(0+0))/140326.1*100</f>
        <v>2.678760401664409</v>
      </c>
      <c r="E60" s="71"/>
      <c r="F60" s="71">
        <f>F46/140326.1*100</f>
        <v>1.134500281843506</v>
      </c>
      <c r="G60" s="72"/>
      <c r="H60" s="71">
        <f>(H33-H47)/140326.1*100</f>
        <v>5.6663915552416775</v>
      </c>
      <c r="I60" s="71"/>
      <c r="J60" s="71">
        <v>8.09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58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75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6"/>
    </row>
    <row r="64" spans="2:10" ht="16.5">
      <c r="B64" s="18" t="s">
        <v>170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137</v>
      </c>
      <c r="C65" s="31"/>
      <c r="D65" s="74">
        <f>SUM(D60:D64)</f>
        <v>2.678760401664409</v>
      </c>
      <c r="E65" s="75"/>
      <c r="F65" s="74">
        <f>SUM(F60:F64)</f>
        <v>1.134500281843506</v>
      </c>
      <c r="G65" s="72"/>
      <c r="H65" s="74">
        <f>SUM(H60:H64)</f>
        <v>5.6663915552416775</v>
      </c>
      <c r="I65" s="75"/>
      <c r="J65" s="74">
        <f>SUM(J60:J64)</f>
        <v>8.09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57</v>
      </c>
      <c r="C67" s="18"/>
      <c r="D67" s="71">
        <v>2.678760401664409</v>
      </c>
      <c r="E67" s="72"/>
      <c r="F67" s="73">
        <v>1.13</v>
      </c>
      <c r="G67" s="72"/>
      <c r="H67" s="73">
        <v>5.6663915552416775</v>
      </c>
      <c r="I67" s="71"/>
      <c r="J67" s="73">
        <v>8.09</v>
      </c>
    </row>
    <row r="68" spans="2:10" ht="16.5">
      <c r="B68" s="18" t="s">
        <v>170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137</v>
      </c>
      <c r="C69" s="18"/>
      <c r="D69" s="75">
        <f>SUM(D67:D68)</f>
        <v>2.678760401664409</v>
      </c>
      <c r="E69" s="76"/>
      <c r="F69" s="75">
        <f>SUM(F67:F68)</f>
        <v>1.13</v>
      </c>
      <c r="G69" s="72"/>
      <c r="H69" s="75">
        <f>SUM(H67:H68)</f>
        <v>5.6663915552416775</v>
      </c>
      <c r="I69" s="76"/>
      <c r="J69" s="75">
        <f>SUM(J67:J68)</f>
        <v>8.09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95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168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/>
    </row>
  </sheetData>
  <sheetProtection/>
  <printOptions horizontalCentered="1"/>
  <pageMargins left="0.5118110236220472" right="0.5118110236220472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="95" zoomScaleNormal="95" zoomScalePageLayoutView="0" workbookViewId="0" topLeftCell="A1">
      <selection activeCell="A1" sqref="A1:E86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87" t="s">
        <v>2</v>
      </c>
      <c r="B1" s="87"/>
      <c r="C1" s="87"/>
      <c r="D1" s="87"/>
      <c r="E1" s="87"/>
    </row>
    <row r="2" spans="1:5" ht="15.75">
      <c r="A2" s="87" t="s">
        <v>3</v>
      </c>
      <c r="B2" s="87"/>
      <c r="C2" s="87"/>
      <c r="D2" s="87"/>
      <c r="E2" s="87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87" t="s">
        <v>191</v>
      </c>
      <c r="B4" s="87"/>
      <c r="C4" s="87"/>
      <c r="D4" s="87"/>
      <c r="E4" s="87"/>
    </row>
    <row r="5" spans="1:5" ht="15.75">
      <c r="A5" s="87" t="s">
        <v>91</v>
      </c>
      <c r="B5" s="87"/>
      <c r="C5" s="87"/>
      <c r="D5" s="87"/>
      <c r="E5" s="87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192</v>
      </c>
      <c r="D11" s="1"/>
      <c r="E11" s="17" t="s">
        <v>53</v>
      </c>
    </row>
    <row r="12" spans="1:5" ht="15.75">
      <c r="A12" s="12"/>
      <c r="B12" s="1"/>
      <c r="C12" s="3">
        <v>2017</v>
      </c>
      <c r="D12" s="1"/>
      <c r="E12" s="3">
        <v>2016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67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65</v>
      </c>
      <c r="B16" s="1"/>
      <c r="C16" s="1"/>
      <c r="D16" s="1"/>
      <c r="E16" s="1"/>
    </row>
    <row r="17" spans="1:5" ht="16.5">
      <c r="A17" s="12" t="s">
        <v>31</v>
      </c>
      <c r="B17" s="1"/>
      <c r="C17" s="47">
        <v>5177.752311249999</v>
      </c>
      <c r="D17" s="37"/>
      <c r="E17" s="37">
        <v>5624.151</v>
      </c>
    </row>
    <row r="18" spans="1:5" ht="16.5">
      <c r="A18" s="12" t="s">
        <v>73</v>
      </c>
      <c r="B18" s="1"/>
      <c r="C18" s="47">
        <v>4779.127001250001</v>
      </c>
      <c r="D18" s="37"/>
      <c r="E18" s="37">
        <v>4893.23</v>
      </c>
    </row>
    <row r="19" spans="1:5" ht="16.5">
      <c r="A19" s="12" t="s">
        <v>116</v>
      </c>
      <c r="B19" s="1"/>
      <c r="C19" s="47">
        <v>84.48168750000002</v>
      </c>
      <c r="D19" s="37"/>
      <c r="E19" s="37">
        <v>85.271</v>
      </c>
    </row>
    <row r="20" spans="1:5" ht="16.5">
      <c r="A20" s="12" t="s">
        <v>51</v>
      </c>
      <c r="B20" s="1"/>
      <c r="C20" s="47">
        <v>11852.87241</v>
      </c>
      <c r="D20" s="37"/>
      <c r="E20" s="37">
        <f>11371.174-0.4</f>
        <v>11370.774000000001</v>
      </c>
    </row>
    <row r="21" spans="1:5" ht="16.5">
      <c r="A21" s="12" t="s">
        <v>127</v>
      </c>
      <c r="B21" s="1"/>
      <c r="C21" s="47">
        <v>53455.783090000004</v>
      </c>
      <c r="D21" s="37"/>
      <c r="E21" s="37">
        <f>30332.897</f>
        <v>30332.897</v>
      </c>
    </row>
    <row r="22" spans="1:5" ht="16.5" hidden="1">
      <c r="A22" s="12" t="s">
        <v>111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</f>
        <v>78320.0165</v>
      </c>
      <c r="D25" s="37"/>
      <c r="E25" s="55">
        <f>SUM(E17:E24)</f>
        <v>55276.323000000004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63</v>
      </c>
      <c r="B27" s="1"/>
      <c r="C27" s="43">
        <v>812.8056000000001</v>
      </c>
      <c r="D27" s="37"/>
      <c r="E27" s="43">
        <v>812.806</v>
      </c>
    </row>
    <row r="28" spans="1:5" ht="16.5">
      <c r="A28" s="12" t="s">
        <v>96</v>
      </c>
      <c r="B28" s="1"/>
      <c r="C28" s="77">
        <v>6585.28618</v>
      </c>
      <c r="D28" s="37"/>
      <c r="E28" s="43">
        <f>13374.97-0.4</f>
        <v>13374.57</v>
      </c>
    </row>
    <row r="29" spans="1:5" ht="16.5">
      <c r="A29" s="12" t="s">
        <v>51</v>
      </c>
      <c r="B29" s="1"/>
      <c r="C29" s="77">
        <v>88210.03459000001</v>
      </c>
      <c r="D29" s="37"/>
      <c r="E29" s="43">
        <v>36063.095</v>
      </c>
    </row>
    <row r="30" spans="1:5" ht="16.5">
      <c r="A30" s="2" t="s">
        <v>160</v>
      </c>
      <c r="B30" s="1"/>
      <c r="C30" s="43">
        <v>5117.894480000001</v>
      </c>
      <c r="D30" s="37"/>
      <c r="E30" s="43">
        <v>8482.306</v>
      </c>
    </row>
    <row r="31" spans="1:5" ht="16.5">
      <c r="A31" s="12" t="s">
        <v>112</v>
      </c>
      <c r="B31" s="1"/>
      <c r="C31" s="43">
        <v>1040.24862</v>
      </c>
      <c r="D31" s="37"/>
      <c r="E31" s="43">
        <v>454.006</v>
      </c>
    </row>
    <row r="32" spans="1:5" ht="16.5">
      <c r="A32" s="12" t="s">
        <v>64</v>
      </c>
      <c r="B32" s="1"/>
      <c r="C32" s="43">
        <v>513.065</v>
      </c>
      <c r="D32" s="37"/>
      <c r="E32" s="43">
        <v>811.438</v>
      </c>
    </row>
    <row r="33" spans="1:5" ht="16.5">
      <c r="A33" s="2" t="s">
        <v>143</v>
      </c>
      <c r="B33" s="1"/>
      <c r="C33" s="43">
        <v>7545.01584</v>
      </c>
      <c r="D33" s="37"/>
      <c r="E33" s="43">
        <v>68240.995</v>
      </c>
    </row>
    <row r="34" spans="1:5" ht="16.5">
      <c r="A34" s="12"/>
      <c r="B34" s="1"/>
      <c r="C34" s="55">
        <f>SUM(C27:C33)</f>
        <v>109824.35031000001</v>
      </c>
      <c r="D34" s="37"/>
      <c r="E34" s="55">
        <f>SUM(E27:E33)</f>
        <v>128239.216</v>
      </c>
    </row>
    <row r="35" spans="1:5" ht="10.5" customHeight="1" hidden="1">
      <c r="A35" s="12"/>
      <c r="B35" s="1"/>
      <c r="C35" s="43"/>
      <c r="D35" s="37"/>
      <c r="E35" s="43"/>
    </row>
    <row r="36" spans="1:11" ht="16.5" hidden="1">
      <c r="A36" s="12" t="s">
        <v>87</v>
      </c>
      <c r="B36" s="1"/>
      <c r="C36" s="43">
        <v>0</v>
      </c>
      <c r="D36" s="37"/>
      <c r="E36" s="43">
        <v>0</v>
      </c>
      <c r="K36" s="21"/>
    </row>
    <row r="37" spans="1:11" ht="9" customHeight="1">
      <c r="A37" s="12"/>
      <c r="B37" s="1"/>
      <c r="C37" s="37" t="s">
        <v>0</v>
      </c>
      <c r="D37" s="37"/>
      <c r="E37" s="37" t="s">
        <v>0</v>
      </c>
      <c r="K37" s="21"/>
    </row>
    <row r="38" spans="1:8" ht="17.25" thickBot="1">
      <c r="A38" s="12" t="s">
        <v>59</v>
      </c>
      <c r="B38" s="1"/>
      <c r="C38" s="56">
        <f>+C34+C25+C36</f>
        <v>188144.36681</v>
      </c>
      <c r="D38" s="37"/>
      <c r="E38" s="56">
        <f>+E34+E25+E36</f>
        <v>183515.539</v>
      </c>
      <c r="H38" s="16"/>
    </row>
    <row r="39" spans="1:8" ht="16.5" thickTop="1">
      <c r="A39" s="12"/>
      <c r="B39" s="1"/>
      <c r="C39" s="7"/>
      <c r="D39" s="7"/>
      <c r="E39" s="7"/>
      <c r="G39" s="70"/>
      <c r="H39" s="16"/>
    </row>
    <row r="40" spans="1:7" ht="15.75">
      <c r="A40" s="12" t="s">
        <v>66</v>
      </c>
      <c r="B40" s="1"/>
      <c r="C40" s="7"/>
      <c r="D40" s="7"/>
      <c r="E40" s="7"/>
      <c r="G40" s="78"/>
    </row>
    <row r="41" spans="1:5" ht="9.75" customHeight="1">
      <c r="A41" s="12"/>
      <c r="B41" s="1"/>
      <c r="C41" s="7"/>
      <c r="D41" s="7"/>
      <c r="E41" s="7"/>
    </row>
    <row r="42" spans="1:5" ht="15.75">
      <c r="A42" s="4" t="s">
        <v>125</v>
      </c>
      <c r="B42" s="1"/>
      <c r="C42" s="7"/>
      <c r="D42" s="7"/>
      <c r="E42" s="7"/>
    </row>
    <row r="43" spans="1:5" ht="16.5">
      <c r="A43" s="12" t="s">
        <v>4</v>
      </c>
      <c r="B43" s="1"/>
      <c r="C43" s="37">
        <v>169041.04731</v>
      </c>
      <c r="D43" s="37"/>
      <c r="E43" s="37">
        <v>140326.1</v>
      </c>
    </row>
    <row r="44" spans="1:5" ht="16.5">
      <c r="A44" s="12" t="s">
        <v>68</v>
      </c>
      <c r="B44" s="1"/>
      <c r="C44" s="37">
        <v>0</v>
      </c>
      <c r="D44" s="37"/>
      <c r="E44" s="37">
        <v>28715.44755</v>
      </c>
    </row>
    <row r="45" spans="1:5" ht="16.5">
      <c r="A45" s="12" t="s">
        <v>130</v>
      </c>
      <c r="B45" s="1"/>
      <c r="C45" s="47">
        <v>12.276065500000001</v>
      </c>
      <c r="D45" s="37"/>
      <c r="E45" s="37">
        <v>12.008</v>
      </c>
    </row>
    <row r="46" spans="1:5" ht="16.5" hidden="1">
      <c r="A46" s="12" t="s">
        <v>88</v>
      </c>
      <c r="B46" s="1"/>
      <c r="C46" s="37"/>
      <c r="D46" s="37"/>
      <c r="E46" s="37"/>
    </row>
    <row r="47" spans="1:5" ht="16.5" hidden="1">
      <c r="A47" s="12" t="s">
        <v>89</v>
      </c>
      <c r="B47" s="1"/>
      <c r="C47" s="37">
        <v>0.00024000000208616257</v>
      </c>
      <c r="D47" s="37"/>
      <c r="E47" s="37">
        <v>0</v>
      </c>
    </row>
    <row r="48" spans="1:5" ht="16.5">
      <c r="A48" s="2" t="s">
        <v>173</v>
      </c>
      <c r="B48" s="1"/>
      <c r="C48" s="37">
        <v>2962.566567747703</v>
      </c>
      <c r="D48" s="37"/>
      <c r="E48" s="37">
        <v>-2183.331</v>
      </c>
    </row>
    <row r="49" spans="1:5" ht="16.5" hidden="1">
      <c r="A49" s="12" t="s">
        <v>79</v>
      </c>
      <c r="B49" s="1"/>
      <c r="C49" s="37"/>
      <c r="D49" s="37"/>
      <c r="E49" s="37"/>
    </row>
    <row r="50" spans="1:5" ht="16.5" hidden="1">
      <c r="A50" s="12" t="s">
        <v>76</v>
      </c>
      <c r="B50" s="1"/>
      <c r="C50" s="37">
        <v>0</v>
      </c>
      <c r="D50" s="37"/>
      <c r="E50" s="37">
        <v>0</v>
      </c>
    </row>
    <row r="51" spans="1:5" ht="6" customHeight="1">
      <c r="A51" s="12"/>
      <c r="B51" s="1"/>
      <c r="C51" s="39"/>
      <c r="D51" s="37"/>
      <c r="E51" s="39"/>
    </row>
    <row r="52" spans="1:5" ht="16.5">
      <c r="A52" s="12" t="s">
        <v>0</v>
      </c>
      <c r="B52" s="1"/>
      <c r="C52" s="37">
        <f>SUM(C43:C51)</f>
        <v>172015.89018324768</v>
      </c>
      <c r="D52" s="37"/>
      <c r="E52" s="47">
        <f>SUM(E43:E51)</f>
        <v>166870.22455</v>
      </c>
    </row>
    <row r="53" spans="1:5" ht="16.5">
      <c r="A53" s="12" t="s">
        <v>123</v>
      </c>
      <c r="B53" s="1"/>
      <c r="C53" s="37">
        <v>1924.6431349</v>
      </c>
      <c r="D53" s="37"/>
      <c r="E53" s="37">
        <v>2054.262</v>
      </c>
    </row>
    <row r="54" spans="1:5" ht="9.75" customHeight="1">
      <c r="A54" s="12"/>
      <c r="B54" s="1"/>
      <c r="C54" s="39"/>
      <c r="D54" s="37"/>
      <c r="E54" s="39"/>
    </row>
    <row r="55" spans="1:5" ht="16.5">
      <c r="A55" s="12" t="s">
        <v>55</v>
      </c>
      <c r="B55" s="1"/>
      <c r="C55" s="55">
        <f>SUM(C52:C54)</f>
        <v>173940.53331814767</v>
      </c>
      <c r="D55" s="37"/>
      <c r="E55" s="55">
        <f>SUM(E52:E54)-0.5</f>
        <v>168923.98655</v>
      </c>
    </row>
    <row r="56" spans="1:5" ht="12" customHeight="1">
      <c r="A56" s="12"/>
      <c r="B56" s="1"/>
      <c r="C56" s="37"/>
      <c r="D56" s="37"/>
      <c r="E56" s="37"/>
    </row>
    <row r="57" spans="1:5" ht="16.5">
      <c r="A57" s="4" t="s">
        <v>60</v>
      </c>
      <c r="B57" s="1"/>
      <c r="C57" s="37"/>
      <c r="D57" s="37"/>
      <c r="E57" s="37"/>
    </row>
    <row r="58" spans="1:5" ht="16.5" hidden="1">
      <c r="A58" s="12" t="s">
        <v>52</v>
      </c>
      <c r="B58" s="1"/>
      <c r="C58" s="37">
        <f>'[1]Conso'!$Z106/1000</f>
        <v>0</v>
      </c>
      <c r="D58" s="37"/>
      <c r="E58" s="37">
        <v>0</v>
      </c>
    </row>
    <row r="59" spans="1:8" ht="16.5">
      <c r="A59" s="12" t="s">
        <v>115</v>
      </c>
      <c r="B59" s="1"/>
      <c r="C59" s="37">
        <v>276.60799</v>
      </c>
      <c r="D59" s="37"/>
      <c r="E59" s="37">
        <v>389.187</v>
      </c>
      <c r="H59" s="16"/>
    </row>
    <row r="60" spans="1:5" ht="16.5">
      <c r="A60" s="12" t="s">
        <v>21</v>
      </c>
      <c r="B60" s="1"/>
      <c r="C60" s="37">
        <v>14.308</v>
      </c>
      <c r="D60" s="37"/>
      <c r="E60" s="37">
        <v>134.507</v>
      </c>
    </row>
    <row r="61" spans="1:5" ht="16.5">
      <c r="A61" s="12"/>
      <c r="B61" s="1"/>
      <c r="C61" s="55">
        <f>SUM(C58:C60)</f>
        <v>290.91598999999997</v>
      </c>
      <c r="D61" s="37"/>
      <c r="E61" s="55">
        <f>SUM(E58:E60)</f>
        <v>523.694</v>
      </c>
    </row>
    <row r="62" spans="1:5" ht="7.5" customHeight="1">
      <c r="A62" s="12"/>
      <c r="B62" s="1"/>
      <c r="C62" s="37"/>
      <c r="D62" s="37"/>
      <c r="E62" s="37"/>
    </row>
    <row r="63" spans="1:5" ht="16.5">
      <c r="A63" s="4" t="s">
        <v>19</v>
      </c>
      <c r="B63" s="1"/>
      <c r="C63" s="37" t="s">
        <v>0</v>
      </c>
      <c r="D63" s="37"/>
      <c r="E63" s="37"/>
    </row>
    <row r="64" spans="1:5" ht="16.5">
      <c r="A64" s="12" t="s">
        <v>113</v>
      </c>
      <c r="B64" s="1"/>
      <c r="C64" s="43">
        <v>4036.73379</v>
      </c>
      <c r="D64" s="37"/>
      <c r="E64" s="43">
        <v>5873.02</v>
      </c>
    </row>
    <row r="65" spans="1:8" ht="16.5">
      <c r="A65" s="12" t="s">
        <v>69</v>
      </c>
      <c r="B65" s="1"/>
      <c r="C65" s="43">
        <v>8578.19717</v>
      </c>
      <c r="D65" s="37"/>
      <c r="E65" s="43">
        <v>7975.134</v>
      </c>
      <c r="H65" s="16"/>
    </row>
    <row r="66" spans="1:5" ht="16.5" hidden="1">
      <c r="A66" s="12" t="s">
        <v>70</v>
      </c>
      <c r="B66" s="1"/>
      <c r="C66" s="43">
        <v>0</v>
      </c>
      <c r="D66" s="37"/>
      <c r="E66" s="43">
        <v>0</v>
      </c>
    </row>
    <row r="67" spans="1:9" ht="16.5">
      <c r="A67" s="12" t="s">
        <v>114</v>
      </c>
      <c r="B67" s="1"/>
      <c r="C67" s="43">
        <v>151.05038000000002</v>
      </c>
      <c r="D67" s="37"/>
      <c r="E67" s="43">
        <v>151.05</v>
      </c>
      <c r="I67" s="16"/>
    </row>
    <row r="68" spans="1:5" ht="16.5" hidden="1">
      <c r="A68" s="12" t="s">
        <v>86</v>
      </c>
      <c r="B68" s="1"/>
      <c r="C68" s="43">
        <v>0</v>
      </c>
      <c r="D68" s="37"/>
      <c r="E68" s="43">
        <v>0</v>
      </c>
    </row>
    <row r="69" spans="1:5" ht="16.5" hidden="1">
      <c r="A69" s="12" t="s">
        <v>88</v>
      </c>
      <c r="B69" s="1"/>
      <c r="C69" s="43"/>
      <c r="D69" s="37"/>
      <c r="E69" s="43"/>
    </row>
    <row r="70" spans="1:5" ht="16.5" hidden="1">
      <c r="A70" s="2" t="s">
        <v>150</v>
      </c>
      <c r="B70" s="1"/>
      <c r="C70" s="37">
        <v>0</v>
      </c>
      <c r="D70" s="37"/>
      <c r="E70" s="43">
        <v>0</v>
      </c>
    </row>
    <row r="71" spans="1:5" ht="16.5">
      <c r="A71" s="12" t="s">
        <v>71</v>
      </c>
      <c r="B71" s="1"/>
      <c r="C71" s="43">
        <v>1146.43625</v>
      </c>
      <c r="D71" s="37"/>
      <c r="E71" s="43">
        <v>68.954</v>
      </c>
    </row>
    <row r="72" spans="1:5" ht="16.5">
      <c r="A72" s="12"/>
      <c r="B72" s="1"/>
      <c r="C72" s="55">
        <f>SUM(C64:C71)</f>
        <v>13912.417590000001</v>
      </c>
      <c r="D72" s="37"/>
      <c r="E72" s="55">
        <f>SUM(E64:E71)</f>
        <v>14068.158</v>
      </c>
    </row>
    <row r="73" spans="1:5" ht="16.5" customHeight="1" hidden="1">
      <c r="A73" s="12"/>
      <c r="B73" s="1"/>
      <c r="C73" s="45"/>
      <c r="D73" s="43"/>
      <c r="E73" s="45"/>
    </row>
    <row r="74" spans="1:5" ht="16.5" customHeight="1" hidden="1">
      <c r="A74" s="12" t="s">
        <v>78</v>
      </c>
      <c r="B74" s="1"/>
      <c r="C74" s="43"/>
      <c r="D74" s="43"/>
      <c r="E74" s="43"/>
    </row>
    <row r="75" spans="1:5" ht="16.5" customHeight="1" hidden="1">
      <c r="A75" s="12" t="s">
        <v>77</v>
      </c>
      <c r="B75" s="1"/>
      <c r="C75" s="43">
        <v>0</v>
      </c>
      <c r="D75" s="43"/>
      <c r="E75" s="43">
        <v>0</v>
      </c>
    </row>
    <row r="76" spans="1:5" ht="9" customHeight="1">
      <c r="A76" s="12"/>
      <c r="B76" s="1"/>
      <c r="C76" s="43"/>
      <c r="D76" s="37"/>
      <c r="E76" s="43"/>
    </row>
    <row r="77" spans="1:5" ht="17.25" thickBot="1">
      <c r="A77" s="12" t="s">
        <v>61</v>
      </c>
      <c r="B77" s="1"/>
      <c r="C77" s="49">
        <f>C72+C61+C75</f>
        <v>14203.33358</v>
      </c>
      <c r="D77" s="37"/>
      <c r="E77" s="49">
        <f>E72+E61+E75</f>
        <v>14591.851999999999</v>
      </c>
    </row>
    <row r="78" spans="1:5" ht="10.5" customHeight="1" thickTop="1">
      <c r="A78" s="12"/>
      <c r="B78" s="1"/>
      <c r="C78" s="37"/>
      <c r="D78" s="37"/>
      <c r="E78" s="37"/>
    </row>
    <row r="79" spans="1:7" ht="17.25" thickBot="1">
      <c r="A79" s="12" t="s">
        <v>62</v>
      </c>
      <c r="B79" s="1"/>
      <c r="C79" s="56">
        <f>C72+C61+C55+C75</f>
        <v>188143.86689814768</v>
      </c>
      <c r="D79" s="37"/>
      <c r="E79" s="56">
        <f>E72+E61+E55+E75</f>
        <v>183515.83855</v>
      </c>
      <c r="G79" s="16"/>
    </row>
    <row r="80" spans="1:5" ht="12.75" customHeight="1" thickTop="1">
      <c r="A80" s="12"/>
      <c r="B80" s="1"/>
      <c r="C80" s="37" t="s">
        <v>0</v>
      </c>
      <c r="D80" s="37"/>
      <c r="E80" s="37"/>
    </row>
    <row r="81" spans="1:5" ht="16.5">
      <c r="A81" s="2" t="s">
        <v>72</v>
      </c>
      <c r="B81" s="1"/>
      <c r="C81" s="33" t="s">
        <v>0</v>
      </c>
      <c r="D81" s="18"/>
      <c r="E81" s="35"/>
    </row>
    <row r="82" spans="1:5" ht="16.5">
      <c r="A82" s="2" t="s">
        <v>126</v>
      </c>
      <c r="B82" s="6"/>
      <c r="C82" s="51">
        <f>(C55)/140326.1</f>
        <v>1.2395451260894992</v>
      </c>
      <c r="D82" s="18"/>
      <c r="E82" s="51">
        <f>(E55)/140326.1</f>
        <v>1.2037959192908518</v>
      </c>
    </row>
    <row r="83" spans="1:5" ht="15.75" customHeight="1">
      <c r="A83" s="18" t="s">
        <v>183</v>
      </c>
      <c r="B83" s="15"/>
      <c r="C83" s="11" t="s">
        <v>0</v>
      </c>
      <c r="D83" s="1"/>
      <c r="E83" s="1" t="s">
        <v>0</v>
      </c>
    </row>
    <row r="84" spans="1:5" ht="11.25" customHeight="1">
      <c r="A84" s="18" t="s">
        <v>0</v>
      </c>
      <c r="B84" s="15"/>
      <c r="C84" s="11" t="s">
        <v>0</v>
      </c>
      <c r="D84" s="1"/>
      <c r="E84" s="1" t="s">
        <v>0</v>
      </c>
    </row>
    <row r="85" spans="1:5" ht="16.5">
      <c r="A85" s="19" t="s">
        <v>145</v>
      </c>
      <c r="B85" s="13"/>
      <c r="C85" s="13"/>
      <c r="D85" s="1"/>
      <c r="E85" s="1"/>
    </row>
    <row r="86" spans="1:5" ht="16.5">
      <c r="A86" s="19" t="s">
        <v>169</v>
      </c>
      <c r="B86" s="13"/>
      <c r="C86" s="13"/>
      <c r="D86" s="13"/>
      <c r="E86" s="13"/>
    </row>
    <row r="87" spans="1:7" ht="16.5">
      <c r="A87" s="19" t="s">
        <v>0</v>
      </c>
      <c r="G87" s="16"/>
    </row>
    <row r="88" ht="16.5">
      <c r="A88" s="19" t="s">
        <v>0</v>
      </c>
    </row>
    <row r="89" ht="12.75">
      <c r="C89" s="16"/>
    </row>
    <row r="117" ht="16.5">
      <c r="A117" s="19"/>
    </row>
    <row r="118" ht="16.5">
      <c r="A118" s="19"/>
    </row>
    <row r="120" ht="12.75">
      <c r="F120" t="s">
        <v>0</v>
      </c>
    </row>
    <row r="121" ht="12.75">
      <c r="F121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1" sqref="A1:E76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8" t="s">
        <v>2</v>
      </c>
      <c r="B1" s="88"/>
      <c r="C1" s="88"/>
      <c r="D1" s="88"/>
      <c r="E1" s="88"/>
    </row>
    <row r="2" spans="1:5" ht="16.5">
      <c r="A2" s="88" t="s">
        <v>3</v>
      </c>
      <c r="B2" s="88"/>
      <c r="C2" s="88"/>
      <c r="D2" s="88"/>
      <c r="E2" s="88"/>
    </row>
    <row r="3" spans="1:5" ht="16.5">
      <c r="A3" s="25"/>
      <c r="B3" s="26"/>
      <c r="C3" s="26"/>
      <c r="D3" s="26"/>
      <c r="E3" s="26"/>
    </row>
    <row r="4" spans="1:5" ht="16.5">
      <c r="A4" s="88" t="s">
        <v>191</v>
      </c>
      <c r="B4" s="88"/>
      <c r="C4" s="88"/>
      <c r="D4" s="88"/>
      <c r="E4" s="88"/>
    </row>
    <row r="5" spans="1:5" ht="16.5">
      <c r="A5" s="88" t="s">
        <v>138</v>
      </c>
      <c r="B5" s="88"/>
      <c r="C5" s="88"/>
      <c r="D5" s="88"/>
      <c r="E5" s="88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192</v>
      </c>
      <c r="D10" s="62" t="s">
        <v>0</v>
      </c>
      <c r="E10" s="32" t="str">
        <f>C10</f>
        <v>30 SEPT</v>
      </c>
    </row>
    <row r="11" spans="1:5" ht="16.5">
      <c r="A11" s="19"/>
      <c r="B11" s="18"/>
      <c r="C11" s="30">
        <v>2017</v>
      </c>
      <c r="D11" s="18"/>
      <c r="E11" s="30">
        <v>2016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10912.651099999992</v>
      </c>
      <c r="D14" s="18"/>
      <c r="E14" s="64">
        <f>'P&amp;L'!J29</f>
        <v>16055</v>
      </c>
    </row>
    <row r="15" spans="1:8" ht="16.5" hidden="1">
      <c r="A15" s="19" t="s">
        <v>82</v>
      </c>
      <c r="B15" s="18"/>
      <c r="C15" s="63">
        <v>0</v>
      </c>
      <c r="D15" s="18"/>
      <c r="E15" s="64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141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37">
        <v>673.18958</v>
      </c>
      <c r="D18" s="37"/>
      <c r="E18" s="37">
        <v>85</v>
      </c>
    </row>
    <row r="19" spans="1:5" ht="16.5">
      <c r="A19" s="18" t="s">
        <v>36</v>
      </c>
      <c r="B19" s="18"/>
      <c r="C19" s="37">
        <v>-4242.033959999999</v>
      </c>
      <c r="D19" s="37"/>
      <c r="E19" s="37">
        <v>-2609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158</v>
      </c>
      <c r="B21" s="18"/>
      <c r="C21" s="64">
        <f>SUM(C14:C19)</f>
        <v>7343.806719999993</v>
      </c>
      <c r="D21" s="37"/>
      <c r="E21" s="64">
        <f>SUM(E14:E19)</f>
        <v>13531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4743.940649999997</v>
      </c>
      <c r="D24" s="37"/>
      <c r="E24" s="37">
        <v>5298</v>
      </c>
    </row>
    <row r="25" spans="1:5" ht="16.5">
      <c r="A25" s="18" t="s">
        <v>35</v>
      </c>
      <c r="B25" s="18"/>
      <c r="C25" s="37">
        <v>-17807.91527</v>
      </c>
      <c r="D25" s="37"/>
      <c r="E25" s="37">
        <v>-5524</v>
      </c>
    </row>
    <row r="26" spans="1:5" ht="16.5">
      <c r="A26" s="18" t="s">
        <v>39</v>
      </c>
      <c r="B26" s="18"/>
      <c r="C26" s="37">
        <v>1900.8538399999995</v>
      </c>
      <c r="D26" s="37"/>
      <c r="E26" s="37">
        <v>185</v>
      </c>
    </row>
    <row r="27" spans="1:5" ht="16.5">
      <c r="A27" s="18" t="s">
        <v>54</v>
      </c>
      <c r="B27" s="18"/>
      <c r="C27" s="37">
        <v>-2806.522</v>
      </c>
      <c r="D27" s="37"/>
      <c r="E27" s="37">
        <v>-2807</v>
      </c>
    </row>
    <row r="28" spans="1:5" ht="16.5" hidden="1">
      <c r="A28" s="18" t="s">
        <v>142</v>
      </c>
      <c r="B28" s="18"/>
      <c r="C28" s="37">
        <v>0</v>
      </c>
      <c r="D28" s="37"/>
      <c r="E28" s="80">
        <f>'[2]SUMMARY'!F48</f>
        <v>0</v>
      </c>
    </row>
    <row r="29" spans="1:7" ht="16.5">
      <c r="A29" s="18" t="s">
        <v>162</v>
      </c>
      <c r="B29" s="18"/>
      <c r="C29" s="37">
        <v>-1832.7267000000002</v>
      </c>
      <c r="D29" s="37"/>
      <c r="E29" s="37">
        <v>-3581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177</v>
      </c>
      <c r="B31" s="18"/>
      <c r="C31" s="65">
        <f>SUM(C21:C29)</f>
        <v>-8458.562760000012</v>
      </c>
      <c r="D31" s="37"/>
      <c r="E31" s="65">
        <f>SUM(E21:E29)</f>
        <v>7102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>
      <c r="A34" s="18" t="s">
        <v>149</v>
      </c>
      <c r="B34" s="18"/>
      <c r="C34" s="37">
        <v>1875.03471</v>
      </c>
      <c r="D34" s="37"/>
      <c r="E34" s="37">
        <v>1165</v>
      </c>
    </row>
    <row r="35" spans="1:5" ht="16.5" hidden="1">
      <c r="A35" s="18" t="s">
        <v>152</v>
      </c>
      <c r="B35" s="18"/>
      <c r="C35" s="37">
        <v>0</v>
      </c>
      <c r="D35" s="37"/>
      <c r="E35" s="37">
        <v>0</v>
      </c>
    </row>
    <row r="36" spans="1:5" ht="16.5" hidden="1">
      <c r="A36" s="18" t="s">
        <v>110</v>
      </c>
      <c r="B36" s="18"/>
      <c r="C36" s="47">
        <v>-1.1641532182693482E-13</v>
      </c>
      <c r="D36" s="37"/>
      <c r="E36" s="37">
        <f>'[2]SUMMARY'!E56</f>
        <v>0</v>
      </c>
    </row>
    <row r="37" spans="1:5" ht="16.5">
      <c r="A37" s="18" t="s">
        <v>171</v>
      </c>
      <c r="B37" s="18"/>
      <c r="C37" s="37">
        <v>-1765.32926</v>
      </c>
      <c r="D37" s="37"/>
      <c r="E37" s="37">
        <v>0</v>
      </c>
    </row>
    <row r="38" spans="1:5" ht="16.5" hidden="1">
      <c r="A38" s="18" t="s">
        <v>118</v>
      </c>
      <c r="B38" s="18"/>
      <c r="C38" s="37">
        <v>0</v>
      </c>
      <c r="D38" s="37"/>
      <c r="E38" s="37">
        <f>'[2]SUMMARY'!F60</f>
        <v>0</v>
      </c>
    </row>
    <row r="39" spans="1:5" ht="16.5" hidden="1">
      <c r="A39" s="18" t="s">
        <v>163</v>
      </c>
      <c r="B39" s="18"/>
      <c r="C39" s="52">
        <v>0</v>
      </c>
      <c r="D39" s="37"/>
      <c r="E39" s="37">
        <v>0</v>
      </c>
    </row>
    <row r="40" spans="1:5" ht="16.5" hidden="1">
      <c r="A40" s="18" t="s">
        <v>167</v>
      </c>
      <c r="B40" s="18"/>
      <c r="C40" s="37">
        <v>0</v>
      </c>
      <c r="D40" s="37"/>
      <c r="E40" s="37">
        <v>0</v>
      </c>
    </row>
    <row r="41" spans="1:10" ht="15.75" customHeight="1">
      <c r="A41" s="18" t="s">
        <v>174</v>
      </c>
      <c r="B41" s="18"/>
      <c r="C41" s="37">
        <v>-52146.93980000001</v>
      </c>
      <c r="D41" s="37"/>
      <c r="E41" s="37">
        <v>36785</v>
      </c>
      <c r="H41" s="37"/>
      <c r="J41" s="37"/>
    </row>
    <row r="42" spans="1:5" ht="15.75" customHeight="1">
      <c r="A42" s="18" t="s">
        <v>121</v>
      </c>
      <c r="B42" s="18"/>
      <c r="C42" s="37">
        <v>4.347939999999999</v>
      </c>
      <c r="D42" s="37"/>
      <c r="E42" s="37">
        <v>5</v>
      </c>
    </row>
    <row r="43" spans="1:5" ht="16.5">
      <c r="A43" s="18" t="s">
        <v>164</v>
      </c>
      <c r="B43" s="18"/>
      <c r="C43" s="37">
        <v>-74.40694</v>
      </c>
      <c r="D43" s="37"/>
      <c r="E43" s="37">
        <v>-272</v>
      </c>
    </row>
    <row r="44" spans="1:5" ht="16.5">
      <c r="A44" s="18" t="s">
        <v>175</v>
      </c>
      <c r="B44" s="18"/>
      <c r="C44" s="37">
        <v>-8.519910000000033</v>
      </c>
      <c r="D44" s="37"/>
      <c r="E44" s="37">
        <f>E70+1566.869</f>
        <v>345.33741999999984</v>
      </c>
    </row>
    <row r="45" spans="1:5" ht="16.5">
      <c r="A45" s="18" t="s">
        <v>0</v>
      </c>
      <c r="B45" s="18"/>
      <c r="C45" s="37" t="s">
        <v>0</v>
      </c>
      <c r="D45" s="37"/>
      <c r="E45" s="37"/>
    </row>
    <row r="46" spans="1:5" ht="16.5">
      <c r="A46" s="19" t="s">
        <v>178</v>
      </c>
      <c r="B46" s="18"/>
      <c r="C46" s="65">
        <f>SUM(C34:C45)</f>
        <v>-52115.81326000001</v>
      </c>
      <c r="D46" s="37"/>
      <c r="E46" s="65">
        <f>SUM(E34:E45)</f>
        <v>38028.337419999996</v>
      </c>
    </row>
    <row r="47" spans="1:5" ht="16.5">
      <c r="A47" s="18"/>
      <c r="B47" s="18"/>
      <c r="C47" s="37"/>
      <c r="D47" s="37"/>
      <c r="E47" s="37"/>
    </row>
    <row r="48" spans="1:5" ht="16.5">
      <c r="A48" s="18" t="s">
        <v>37</v>
      </c>
      <c r="B48" s="18"/>
      <c r="C48" s="37" t="s">
        <v>0</v>
      </c>
      <c r="D48" s="37"/>
      <c r="E48" s="37"/>
    </row>
    <row r="49" spans="1:5" ht="16.5">
      <c r="A49" s="18" t="s">
        <v>80</v>
      </c>
      <c r="B49" s="18"/>
      <c r="C49" s="37">
        <v>858.51016</v>
      </c>
      <c r="D49" s="37"/>
      <c r="E49" s="37">
        <v>-21</v>
      </c>
    </row>
    <row r="50" spans="1:5" ht="16.5" hidden="1">
      <c r="A50" s="18" t="s">
        <v>119</v>
      </c>
      <c r="B50" s="18"/>
      <c r="C50" s="37">
        <v>0</v>
      </c>
      <c r="D50" s="37"/>
      <c r="E50" s="37">
        <f>'[2]SUMMARY'!E71</f>
        <v>0</v>
      </c>
    </row>
    <row r="51" spans="1:5" ht="16.5" hidden="1">
      <c r="A51" s="18" t="s">
        <v>120</v>
      </c>
      <c r="B51" s="18"/>
      <c r="C51" s="37">
        <v>0</v>
      </c>
      <c r="D51" s="37"/>
      <c r="E51" s="37">
        <f>'[2]SUMMARY'!E74</f>
        <v>0</v>
      </c>
    </row>
    <row r="52" spans="1:5" ht="16.5">
      <c r="A52" s="18" t="s">
        <v>122</v>
      </c>
      <c r="B52" s="18"/>
      <c r="C52" s="37">
        <v>-112.57876</v>
      </c>
      <c r="D52" s="37"/>
      <c r="E52" s="37">
        <v>-80</v>
      </c>
    </row>
    <row r="53" spans="1:5" ht="16.5">
      <c r="A53" s="18" t="s">
        <v>38</v>
      </c>
      <c r="B53" s="18"/>
      <c r="C53" s="37">
        <v>-17.345240000000004</v>
      </c>
      <c r="D53" s="37"/>
      <c r="E53" s="37">
        <v>-15</v>
      </c>
    </row>
    <row r="54" spans="1:5" ht="16.5" hidden="1">
      <c r="A54" s="18" t="s">
        <v>153</v>
      </c>
      <c r="B54" s="18"/>
      <c r="C54" s="37">
        <v>0</v>
      </c>
      <c r="D54" s="37"/>
      <c r="E54" s="37">
        <v>0</v>
      </c>
    </row>
    <row r="55" spans="1:5" ht="12" customHeight="1">
      <c r="A55" s="18"/>
      <c r="B55" s="18"/>
      <c r="C55" s="37"/>
      <c r="D55" s="37"/>
      <c r="E55" s="37"/>
    </row>
    <row r="56" spans="1:5" ht="16.5">
      <c r="A56" s="19" t="s">
        <v>148</v>
      </c>
      <c r="B56" s="18"/>
      <c r="C56" s="65">
        <f>SUM(C49:C55)</f>
        <v>728.5861600000001</v>
      </c>
      <c r="D56" s="64"/>
      <c r="E56" s="65">
        <f>SUM(E49:E55)</f>
        <v>-116</v>
      </c>
    </row>
    <row r="57" spans="1:5" ht="16.5">
      <c r="A57" s="19"/>
      <c r="B57" s="18"/>
      <c r="C57" s="66" t="s">
        <v>0</v>
      </c>
      <c r="D57" s="37"/>
      <c r="E57" s="37"/>
    </row>
    <row r="58" spans="1:5" ht="16.5">
      <c r="A58" s="19" t="s">
        <v>179</v>
      </c>
      <c r="B58" s="18"/>
      <c r="C58" s="64">
        <f>C31+C46+C56</f>
        <v>-59845.789860000026</v>
      </c>
      <c r="D58" s="37"/>
      <c r="E58" s="64">
        <f>E31+E46+E56</f>
        <v>45014.337419999996</v>
      </c>
    </row>
    <row r="59" spans="1:5" ht="16.5">
      <c r="A59" s="18" t="s">
        <v>49</v>
      </c>
      <c r="B59" s="18"/>
      <c r="C59" s="18" t="s">
        <v>0</v>
      </c>
      <c r="D59" s="37"/>
      <c r="E59" s="37"/>
    </row>
    <row r="60" spans="1:5" ht="16.5">
      <c r="A60" s="67" t="s">
        <v>50</v>
      </c>
      <c r="B60" s="18"/>
      <c r="C60" s="37">
        <v>66153.89088</v>
      </c>
      <c r="D60" s="37"/>
      <c r="E60" s="37">
        <f>4059-1566.869</f>
        <v>2492.1310000000003</v>
      </c>
    </row>
    <row r="61" spans="1:5" ht="9" customHeight="1">
      <c r="A61" s="19"/>
      <c r="B61" s="18"/>
      <c r="C61" s="18"/>
      <c r="D61" s="37"/>
      <c r="E61" s="37"/>
    </row>
    <row r="62" spans="1:5" ht="17.25" thickBot="1">
      <c r="A62" s="19" t="s">
        <v>90</v>
      </c>
      <c r="B62" s="18"/>
      <c r="C62" s="68">
        <f>SUM(C58:C61)</f>
        <v>6308.10101999998</v>
      </c>
      <c r="D62" s="37"/>
      <c r="E62" s="56">
        <f>SUM(E58:E61)</f>
        <v>47506.46842</v>
      </c>
    </row>
    <row r="63" spans="1:5" ht="17.25" thickTop="1">
      <c r="A63" s="19"/>
      <c r="B63" s="18"/>
      <c r="C63" s="35"/>
      <c r="D63" s="37"/>
      <c r="E63" s="37"/>
    </row>
    <row r="64" spans="1:5" ht="16.5">
      <c r="A64" s="19" t="s">
        <v>41</v>
      </c>
      <c r="B64" s="18"/>
      <c r="C64" s="18"/>
      <c r="D64" s="37"/>
      <c r="E64" s="37"/>
    </row>
    <row r="65" spans="1:5" ht="16.5">
      <c r="A65" s="18" t="s">
        <v>42</v>
      </c>
      <c r="B65" s="18"/>
      <c r="C65" s="37">
        <v>5721.75896</v>
      </c>
      <c r="D65" s="37"/>
      <c r="E65" s="37">
        <v>2977</v>
      </c>
    </row>
    <row r="66" spans="1:5" ht="16.5">
      <c r="A66" s="18" t="s">
        <v>84</v>
      </c>
      <c r="B66" s="18"/>
      <c r="C66" s="37">
        <v>1823.2573799999998</v>
      </c>
      <c r="D66" s="37"/>
      <c r="E66" s="37">
        <v>46603</v>
      </c>
    </row>
    <row r="67" spans="1:5" ht="16.5" hidden="1">
      <c r="A67" s="18" t="s">
        <v>144</v>
      </c>
      <c r="B67" s="18"/>
      <c r="C67" s="37">
        <f>'[2]SUMMARY'!C96</f>
        <v>0</v>
      </c>
      <c r="D67" s="37"/>
      <c r="E67" s="37">
        <v>0</v>
      </c>
    </row>
    <row r="68" spans="1:5" ht="7.5" customHeight="1">
      <c r="A68" s="18" t="s">
        <v>0</v>
      </c>
      <c r="B68" s="18"/>
      <c r="C68" s="39" t="s">
        <v>0</v>
      </c>
      <c r="D68" s="37"/>
      <c r="E68" s="39" t="s">
        <v>0</v>
      </c>
    </row>
    <row r="69" spans="1:5" ht="16.5">
      <c r="A69" s="18"/>
      <c r="B69" s="18"/>
      <c r="C69" s="37">
        <f>SUM(C65:C68)</f>
        <v>7545.01634</v>
      </c>
      <c r="D69" s="37"/>
      <c r="E69" s="37">
        <f>SUM(E65:E68)</f>
        <v>49580</v>
      </c>
    </row>
    <row r="70" spans="1:5" ht="16.5">
      <c r="A70" s="18" t="s">
        <v>176</v>
      </c>
      <c r="B70" s="18"/>
      <c r="C70" s="37">
        <v>-1237.1143599999998</v>
      </c>
      <c r="D70" s="37"/>
      <c r="E70" s="37">
        <f>(-281.15564)-(5.31619+73.80116+0.35199+345.11761+515.78899)</f>
        <v>-1221.53158</v>
      </c>
    </row>
    <row r="71" spans="1:5" ht="16.5">
      <c r="A71" s="18" t="s">
        <v>81</v>
      </c>
      <c r="B71" s="18"/>
      <c r="C71" s="37">
        <v>0</v>
      </c>
      <c r="D71" s="37"/>
      <c r="E71" s="37">
        <v>-852</v>
      </c>
    </row>
    <row r="72" spans="1:5" ht="17.25" thickBot="1">
      <c r="A72" s="19" t="s">
        <v>49</v>
      </c>
      <c r="B72" s="18"/>
      <c r="C72" s="56">
        <f>SUM(C69:C71)</f>
        <v>6307.901980000001</v>
      </c>
      <c r="D72" s="37"/>
      <c r="E72" s="56">
        <f>SUM(E69:E71)</f>
        <v>47506.46842</v>
      </c>
    </row>
    <row r="73" spans="1:5" ht="17.25" thickTop="1">
      <c r="A73" s="19"/>
      <c r="B73" s="18"/>
      <c r="C73" s="18" t="s">
        <v>0</v>
      </c>
      <c r="D73" s="18"/>
      <c r="E73" s="18"/>
    </row>
    <row r="74" spans="1:5" ht="16.5">
      <c r="A74" s="19"/>
      <c r="B74" s="18"/>
      <c r="C74" s="36" t="s">
        <v>0</v>
      </c>
      <c r="D74" s="18"/>
      <c r="E74" s="36"/>
    </row>
    <row r="75" spans="1:5" ht="16.5">
      <c r="A75" s="19" t="s">
        <v>139</v>
      </c>
      <c r="B75" s="18"/>
      <c r="C75" s="18"/>
      <c r="D75" s="18"/>
      <c r="E75" s="18"/>
    </row>
    <row r="76" spans="1:5" ht="16.5">
      <c r="A76" s="19" t="s">
        <v>168</v>
      </c>
      <c r="B76" s="18"/>
      <c r="C76" s="18"/>
      <c r="D76" s="18"/>
      <c r="E76" s="18"/>
    </row>
    <row r="77" spans="1:5" ht="16.5">
      <c r="A77" s="31"/>
      <c r="B77" s="31"/>
      <c r="C77" s="31"/>
      <c r="D77" s="31"/>
      <c r="E77" s="31"/>
    </row>
    <row r="78" spans="1:5" ht="16.5">
      <c r="A78" s="31"/>
      <c r="B78" s="31"/>
      <c r="C78" s="31"/>
      <c r="D78" s="31"/>
      <c r="E78" s="31"/>
    </row>
    <row r="85" ht="16.5">
      <c r="A85" s="19"/>
    </row>
    <row r="86" ht="16.5">
      <c r="A86" s="19"/>
    </row>
    <row r="87" ht="16.5">
      <c r="A87" s="19"/>
    </row>
    <row r="88" ht="16.5">
      <c r="A88" s="19"/>
    </row>
    <row r="89" ht="16.5">
      <c r="A89" s="19"/>
    </row>
    <row r="96" ht="12.75">
      <c r="E96" s="22" t="s">
        <v>0</v>
      </c>
    </row>
    <row r="105" ht="12.75">
      <c r="C105" t="s">
        <v>0</v>
      </c>
    </row>
    <row r="106" ht="12.75">
      <c r="E106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:K60"/>
    </sheetView>
  </sheetViews>
  <sheetFormatPr defaultColWidth="9.140625" defaultRowHeight="12.75"/>
  <cols>
    <col min="1" max="1" width="27.140625" style="0" customWidth="1"/>
    <col min="2" max="2" width="2.421875" style="0" customWidth="1"/>
    <col min="3" max="3" width="11.140625" style="0" customWidth="1"/>
    <col min="4" max="4" width="11.2812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6.5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8" t="s">
        <v>191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5">
      <c r="A6" s="88" t="s">
        <v>30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8" t="s">
        <v>165</v>
      </c>
      <c r="D8" s="88"/>
      <c r="E8" s="88"/>
      <c r="F8" s="88"/>
      <c r="G8" s="88"/>
      <c r="H8" s="88"/>
      <c r="I8" s="88"/>
      <c r="J8" s="30"/>
      <c r="K8" s="30"/>
    </row>
    <row r="9" spans="1:11" ht="16.5">
      <c r="A9" s="30"/>
      <c r="B9" s="30"/>
      <c r="C9" s="88" t="s">
        <v>92</v>
      </c>
      <c r="D9" s="88"/>
      <c r="E9" s="88"/>
      <c r="F9" s="88"/>
      <c r="G9" s="88"/>
      <c r="H9" s="88"/>
      <c r="I9" s="88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131</v>
      </c>
      <c r="G11" s="30" t="s">
        <v>101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132</v>
      </c>
      <c r="G12" s="30" t="s">
        <v>102</v>
      </c>
      <c r="H12" s="30" t="s">
        <v>0</v>
      </c>
      <c r="I12" s="30"/>
      <c r="J12" s="30" t="s">
        <v>117</v>
      </c>
      <c r="K12" s="31"/>
    </row>
    <row r="13" spans="1:11" ht="16.5">
      <c r="A13" s="18"/>
      <c r="B13" s="18"/>
      <c r="C13" s="57" t="s">
        <v>98</v>
      </c>
      <c r="D13" s="30" t="s">
        <v>98</v>
      </c>
      <c r="E13" s="30" t="s">
        <v>40</v>
      </c>
      <c r="F13" s="30" t="s">
        <v>133</v>
      </c>
      <c r="G13" s="57" t="s">
        <v>103</v>
      </c>
      <c r="H13" s="57" t="s">
        <v>105</v>
      </c>
      <c r="I13" s="57"/>
      <c r="J13" s="57" t="s">
        <v>188</v>
      </c>
      <c r="K13" s="57" t="s">
        <v>106</v>
      </c>
    </row>
    <row r="14" spans="1:11" ht="16.5">
      <c r="A14" s="18" t="s">
        <v>0</v>
      </c>
      <c r="B14" s="18"/>
      <c r="C14" s="30" t="s">
        <v>99</v>
      </c>
      <c r="D14" s="30" t="s">
        <v>100</v>
      </c>
      <c r="E14" s="57" t="s">
        <v>5</v>
      </c>
      <c r="F14" s="30" t="s">
        <v>134</v>
      </c>
      <c r="G14" s="57" t="s">
        <v>104</v>
      </c>
      <c r="H14" s="57" t="s">
        <v>187</v>
      </c>
      <c r="I14" s="57" t="s">
        <v>106</v>
      </c>
      <c r="J14" s="57" t="s">
        <v>107</v>
      </c>
      <c r="K14" s="57" t="s">
        <v>108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193</v>
      </c>
      <c r="B17" s="18"/>
      <c r="C17" s="37">
        <v>140326</v>
      </c>
      <c r="D17" s="37">
        <v>28715</v>
      </c>
      <c r="E17" s="37">
        <v>0</v>
      </c>
      <c r="F17" s="37">
        <v>7.5600000000000005</v>
      </c>
      <c r="G17" s="37">
        <v>0</v>
      </c>
      <c r="H17" s="37">
        <v>-2147</v>
      </c>
      <c r="I17" s="37">
        <f>SUM(C17:H17)</f>
        <v>166901.56</v>
      </c>
      <c r="J17" s="37">
        <v>1857.06</v>
      </c>
      <c r="K17" s="37">
        <f>SUM(I17:J17)</f>
        <v>168758.62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129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135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161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140</v>
      </c>
      <c r="B23" s="18"/>
      <c r="C23" s="37">
        <v>0</v>
      </c>
      <c r="D23" s="37">
        <v>0</v>
      </c>
      <c r="E23" s="37">
        <v>0</v>
      </c>
      <c r="F23" s="37">
        <f>((-0.77271-5.79533+2.31817)-(-0.77271-5.79533))*0.51+(6.12776)</f>
        <v>7.310026700000001</v>
      </c>
      <c r="G23" s="37">
        <v>0</v>
      </c>
      <c r="H23" s="37">
        <f>'P&amp;L'!F46-EQUITY!H20</f>
        <v>1592</v>
      </c>
      <c r="I23" s="37">
        <f>SUM(C23:H23)</f>
        <v>1599.3100267</v>
      </c>
      <c r="J23" s="37">
        <f>'P&amp;L'!F54</f>
        <v>261.1359033</v>
      </c>
      <c r="K23" s="37">
        <f>SUM(I23:J23)</f>
        <v>1860.4459299999999</v>
      </c>
    </row>
    <row r="24" spans="1:11" ht="16.5">
      <c r="A24" s="18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6.5">
      <c r="A25" s="18" t="s">
        <v>151</v>
      </c>
      <c r="B25" s="18"/>
      <c r="C25" s="37"/>
      <c r="D25" s="37"/>
      <c r="E25" s="37"/>
      <c r="F25" s="37"/>
      <c r="G25" s="37"/>
      <c r="H25" s="69">
        <v>-2806.522</v>
      </c>
      <c r="I25" s="37">
        <f>SUM(C25:H25)</f>
        <v>-2806.522</v>
      </c>
      <c r="J25" s="37"/>
      <c r="K25" s="37">
        <f>SUM(I25:J25)</f>
        <v>-2806.522</v>
      </c>
    </row>
    <row r="26" spans="1:11" ht="9.75" customHeight="1">
      <c r="A26" s="19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thickBot="1">
      <c r="A27" s="19" t="s">
        <v>194</v>
      </c>
      <c r="B27" s="18"/>
      <c r="C27" s="49">
        <f aca="true" t="shared" si="0" ref="C27:J27">SUM(C17:C26)</f>
        <v>140326</v>
      </c>
      <c r="D27" s="49">
        <f t="shared" si="0"/>
        <v>28715</v>
      </c>
      <c r="E27" s="49">
        <f t="shared" si="0"/>
        <v>0</v>
      </c>
      <c r="F27" s="49">
        <f>SUM(F17:F26)</f>
        <v>14.8700267</v>
      </c>
      <c r="G27" s="49">
        <f t="shared" si="0"/>
        <v>0</v>
      </c>
      <c r="H27" s="49">
        <f t="shared" si="0"/>
        <v>-3361.522</v>
      </c>
      <c r="I27" s="49">
        <f>SUM(I17:I26)</f>
        <v>165694.3480267</v>
      </c>
      <c r="J27" s="49">
        <f t="shared" si="0"/>
        <v>2118.1959033</v>
      </c>
      <c r="K27" s="49">
        <f>SUM(K17:K26)-0.5</f>
        <v>167812.04392999999</v>
      </c>
    </row>
    <row r="28" spans="1:11" ht="17.25" thickTop="1">
      <c r="A28" s="19"/>
      <c r="B28" s="18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75" customHeight="1">
      <c r="A29" s="19"/>
      <c r="B29" s="18"/>
      <c r="C29" s="37"/>
      <c r="D29" s="37"/>
      <c r="E29" s="37"/>
      <c r="F29" s="37"/>
      <c r="G29" s="59"/>
      <c r="H29" s="59"/>
      <c r="I29" s="59"/>
      <c r="J29" s="59" t="s">
        <v>0</v>
      </c>
      <c r="K29" s="59"/>
    </row>
    <row r="30" spans="1:11" ht="16.5">
      <c r="A30" s="19" t="s">
        <v>195</v>
      </c>
      <c r="B30" s="18"/>
      <c r="C30" s="37">
        <v>169041.048</v>
      </c>
      <c r="D30" s="37">
        <v>0</v>
      </c>
      <c r="E30" s="37">
        <v>0</v>
      </c>
      <c r="F30" s="37">
        <f>14.8718515+0.5</f>
        <v>15.3718515</v>
      </c>
      <c r="G30" s="37">
        <v>0</v>
      </c>
      <c r="H30" s="37">
        <f>2010.669</f>
        <v>2010.669</v>
      </c>
      <c r="I30" s="37">
        <f>SUM(C30:H30)</f>
        <v>171067.0888515</v>
      </c>
      <c r="J30" s="37">
        <f>1964.6726885+0.5</f>
        <v>1965.1726885</v>
      </c>
      <c r="K30" s="37">
        <f>SUM(I30:J30)</f>
        <v>173032.26154</v>
      </c>
    </row>
    <row r="31" spans="1:11" ht="16.5" hidden="1">
      <c r="A31" s="19"/>
      <c r="B31" s="18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6.5" hidden="1">
      <c r="A32" s="18" t="s">
        <v>97</v>
      </c>
      <c r="B32" s="18"/>
      <c r="C32" s="37"/>
      <c r="D32" s="37"/>
      <c r="E32" s="37"/>
      <c r="F32" s="37"/>
      <c r="G32" s="37"/>
      <c r="H32" s="60">
        <v>0</v>
      </c>
      <c r="I32" s="37">
        <f>SUM(C32:H32)</f>
        <v>0</v>
      </c>
      <c r="J32" s="37"/>
      <c r="K32" s="37">
        <f>SUM(I32:J32)</f>
        <v>0</v>
      </c>
    </row>
    <row r="33" spans="1:11" ht="16.5" hidden="1">
      <c r="A33" s="19"/>
      <c r="B33" s="18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hidden="1">
      <c r="A34" s="19" t="s">
        <v>109</v>
      </c>
      <c r="B34" s="18"/>
      <c r="C34" s="37">
        <f aca="true" t="shared" si="1" ref="C34:K34">SUM(C30:C33)</f>
        <v>169041.048</v>
      </c>
      <c r="D34" s="37">
        <f t="shared" si="1"/>
        <v>0</v>
      </c>
      <c r="E34" s="37">
        <f t="shared" si="1"/>
        <v>0</v>
      </c>
      <c r="F34" s="37">
        <f t="shared" si="1"/>
        <v>15.3718515</v>
      </c>
      <c r="G34" s="37">
        <f t="shared" si="1"/>
        <v>0</v>
      </c>
      <c r="H34" s="37">
        <f t="shared" si="1"/>
        <v>2010.669</v>
      </c>
      <c r="I34" s="37">
        <f t="shared" si="1"/>
        <v>171067.0888515</v>
      </c>
      <c r="J34" s="37">
        <f t="shared" si="1"/>
        <v>1965.1726885</v>
      </c>
      <c r="K34" s="37">
        <f t="shared" si="1"/>
        <v>173032.26154</v>
      </c>
    </row>
    <row r="35" spans="1:11" ht="9" customHeight="1">
      <c r="A35" s="19"/>
      <c r="B35" s="18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6.5" hidden="1">
      <c r="A36" s="18" t="s">
        <v>129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 hidden="1">
      <c r="A37" s="18" t="s">
        <v>135</v>
      </c>
      <c r="B37" s="18"/>
      <c r="C37" s="37">
        <v>0</v>
      </c>
      <c r="D37" s="37">
        <v>0</v>
      </c>
      <c r="E37" s="37"/>
      <c r="F37" s="37">
        <v>0</v>
      </c>
      <c r="G37" s="37">
        <v>0</v>
      </c>
      <c r="H37" s="37">
        <v>0</v>
      </c>
      <c r="I37" s="37">
        <f>SUM(C37:H37)</f>
        <v>0</v>
      </c>
      <c r="J37" s="37">
        <v>0</v>
      </c>
      <c r="K37" s="37">
        <f>SUM(I37:J37)</f>
        <v>0</v>
      </c>
      <c r="M37" s="16"/>
    </row>
    <row r="38" spans="1:13" ht="16.5" hidden="1">
      <c r="A38" s="18" t="s">
        <v>180</v>
      </c>
      <c r="B38" s="18"/>
      <c r="C38" s="37"/>
      <c r="D38" s="37"/>
      <c r="E38" s="37"/>
      <c r="F38" s="37"/>
      <c r="G38" s="37"/>
      <c r="H38" s="37"/>
      <c r="I38" s="37"/>
      <c r="J38" s="37"/>
      <c r="K38" s="37"/>
      <c r="M38" s="16"/>
    </row>
    <row r="39" spans="1:13" ht="16.5" hidden="1">
      <c r="A39" s="18" t="s">
        <v>181</v>
      </c>
      <c r="B39" s="18"/>
      <c r="C39" s="37"/>
      <c r="D39" s="37"/>
      <c r="E39" s="37"/>
      <c r="F39" s="37"/>
      <c r="G39" s="37"/>
      <c r="H39" s="37"/>
      <c r="I39" s="37"/>
      <c r="J39" s="37"/>
      <c r="K39" s="37"/>
      <c r="M39" s="16"/>
    </row>
    <row r="40" spans="1:13" ht="16.5" hidden="1">
      <c r="A40" s="18" t="s">
        <v>184</v>
      </c>
      <c r="B40" s="18"/>
      <c r="C40" s="37">
        <f>-D40</f>
        <v>0</v>
      </c>
      <c r="D40" s="37">
        <f>-D30</f>
        <v>0</v>
      </c>
      <c r="E40" s="37"/>
      <c r="F40" s="37"/>
      <c r="G40" s="37"/>
      <c r="H40" s="37"/>
      <c r="I40" s="37">
        <f>SUM(C40:H40)</f>
        <v>0</v>
      </c>
      <c r="J40" s="37"/>
      <c r="K40" s="37">
        <f>SUM(I40:J40)</f>
        <v>0</v>
      </c>
      <c r="M40" s="16"/>
    </row>
    <row r="41" spans="1:13" ht="16.5" hidden="1">
      <c r="A41" s="18"/>
      <c r="B41" s="18"/>
      <c r="C41" s="37"/>
      <c r="D41" s="37"/>
      <c r="E41" s="37"/>
      <c r="F41" s="37"/>
      <c r="G41" s="37"/>
      <c r="H41" s="37"/>
      <c r="I41" s="37"/>
      <c r="J41" s="37"/>
      <c r="K41" s="37"/>
      <c r="M41" s="16"/>
    </row>
    <row r="42" spans="1:13" ht="16.5">
      <c r="A42" s="18" t="s">
        <v>161</v>
      </c>
      <c r="B42" s="18"/>
      <c r="C42" s="37"/>
      <c r="D42" s="37"/>
      <c r="E42" s="37"/>
      <c r="F42" s="37"/>
      <c r="G42" s="37"/>
      <c r="H42" s="37"/>
      <c r="I42" s="37"/>
      <c r="J42" s="37"/>
      <c r="K42" s="37"/>
      <c r="M42" s="81"/>
    </row>
    <row r="43" spans="1:16" ht="16.5">
      <c r="A43" s="18" t="s">
        <v>172</v>
      </c>
      <c r="B43" s="18"/>
      <c r="C43" s="37">
        <v>0</v>
      </c>
      <c r="D43" s="37">
        <v>0</v>
      </c>
      <c r="E43" s="37">
        <v>0</v>
      </c>
      <c r="F43" s="33">
        <f>((2.70448-3.09083-4.63626)*0.51+(2.24506+1.31583-0.73123))-((2.70448-3.09083)*0.51+(2.24506+1.31583))</f>
        <v>-3.0957226000000007</v>
      </c>
      <c r="G43" s="37">
        <v>0</v>
      </c>
      <c r="H43" s="69">
        <f>'P&amp;L'!D46</f>
        <v>3759</v>
      </c>
      <c r="I43" s="37">
        <f>SUM(C43:H43)</f>
        <v>3755.9042774</v>
      </c>
      <c r="J43" s="37">
        <f>'P&amp;L'!D54</f>
        <v>-40.2717674</v>
      </c>
      <c r="K43" s="37">
        <f>SUM(I43:J43)</f>
        <v>3715.63251</v>
      </c>
      <c r="M43" s="16"/>
      <c r="P43" s="37"/>
    </row>
    <row r="44" spans="1:13" ht="16.5">
      <c r="A44" s="18"/>
      <c r="B44" s="18"/>
      <c r="C44" s="37"/>
      <c r="D44" s="37"/>
      <c r="E44" s="37"/>
      <c r="F44" s="69"/>
      <c r="G44" s="37"/>
      <c r="H44" s="69"/>
      <c r="I44" s="37"/>
      <c r="J44" s="37"/>
      <c r="K44" s="37"/>
      <c r="M44" s="16"/>
    </row>
    <row r="45" spans="1:13" ht="16.5">
      <c r="A45" s="18" t="s">
        <v>151</v>
      </c>
      <c r="B45" s="18"/>
      <c r="C45" s="37"/>
      <c r="D45" s="37"/>
      <c r="E45" s="37"/>
      <c r="F45" s="69"/>
      <c r="G45" s="37"/>
      <c r="H45" s="69">
        <v>-2806.522</v>
      </c>
      <c r="I45" s="37">
        <f>SUM(C45:H45)</f>
        <v>-2806.522</v>
      </c>
      <c r="J45" s="37"/>
      <c r="K45" s="37">
        <f>SUM(I45:J45)</f>
        <v>-2806.522</v>
      </c>
      <c r="M45" s="16"/>
    </row>
    <row r="46" spans="1:11" ht="9.75" customHeight="1">
      <c r="A46" s="18"/>
      <c r="B46" s="18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7.25" thickBot="1">
      <c r="A47" s="19" t="s">
        <v>196</v>
      </c>
      <c r="B47" s="18"/>
      <c r="C47" s="49">
        <f>SUM(C34:C46)-0.5</f>
        <v>169040.548</v>
      </c>
      <c r="D47" s="49">
        <f aca="true" t="shared" si="2" ref="D47:K47">SUM(D34:D46)</f>
        <v>0</v>
      </c>
      <c r="E47" s="49">
        <f t="shared" si="2"/>
        <v>0</v>
      </c>
      <c r="F47" s="61">
        <f t="shared" si="2"/>
        <v>12.2761289</v>
      </c>
      <c r="G47" s="49">
        <f t="shared" si="2"/>
        <v>0</v>
      </c>
      <c r="H47" s="49">
        <f t="shared" si="2"/>
        <v>2963.147</v>
      </c>
      <c r="I47" s="49">
        <f t="shared" si="2"/>
        <v>172016.4711289</v>
      </c>
      <c r="J47" s="49">
        <f t="shared" si="2"/>
        <v>1924.9009211</v>
      </c>
      <c r="K47" s="49">
        <f t="shared" si="2"/>
        <v>173941.37205</v>
      </c>
    </row>
    <row r="48" spans="1:13" ht="17.25" thickTop="1">
      <c r="A48" s="19"/>
      <c r="B48" s="18"/>
      <c r="C48" s="18"/>
      <c r="D48" s="18"/>
      <c r="E48" s="31"/>
      <c r="F48" s="31"/>
      <c r="G48" s="18"/>
      <c r="H48" s="31"/>
      <c r="I48" s="31"/>
      <c r="J48" s="31"/>
      <c r="K48" s="31" t="s">
        <v>0</v>
      </c>
      <c r="M48" s="16"/>
    </row>
    <row r="49" spans="1:11" ht="16.5">
      <c r="A49" s="18" t="s">
        <v>185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3" ht="16.5">
      <c r="A50" s="18" t="s">
        <v>189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M50" s="16"/>
    </row>
    <row r="51" spans="1:13" ht="16.5">
      <c r="A51" s="18" t="s">
        <v>190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M51" s="16"/>
    </row>
    <row r="52" spans="1:11" ht="16.5">
      <c r="A52" s="18" t="s">
        <v>186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6.5">
      <c r="A53" s="18" t="s">
        <v>197</v>
      </c>
      <c r="B53" s="18"/>
      <c r="C53" s="18"/>
      <c r="D53" s="18"/>
      <c r="E53" s="18"/>
      <c r="F53" s="18"/>
      <c r="G53" s="18" t="s">
        <v>0</v>
      </c>
      <c r="H53" s="18"/>
      <c r="I53" s="18"/>
      <c r="J53" s="18"/>
      <c r="K53" s="18"/>
    </row>
    <row r="54" spans="1:11" ht="16.5">
      <c r="A54" s="18" t="s">
        <v>198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6.5">
      <c r="A55" s="18" t="s">
        <v>199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6.5">
      <c r="A59" s="19" t="s">
        <v>146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6.5">
      <c r="A60" s="19" t="s">
        <v>168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 t="s">
        <v>0</v>
      </c>
      <c r="K70" s="18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5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2017-11-21T08:55:56Z</cp:lastPrinted>
  <dcterms:created xsi:type="dcterms:W3CDTF">1998-03-21T00:09:32Z</dcterms:created>
  <dcterms:modified xsi:type="dcterms:W3CDTF">2017-11-21T08:55:58Z</dcterms:modified>
  <cp:category/>
  <cp:version/>
  <cp:contentType/>
  <cp:contentStatus/>
</cp:coreProperties>
</file>