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'BS'!$A$1:$E$86</definedName>
    <definedName name="_xlnm.Print_Area" localSheetId="2">'CFLOW'!$A$1:$E$74</definedName>
    <definedName name="_xlnm.Print_Area" localSheetId="0">'P&amp;L'!$A$1:$J$74</definedName>
  </definedNames>
  <calcPr fullCalcOnLoad="1"/>
</workbook>
</file>

<file path=xl/sharedStrings.xml><?xml version="1.0" encoding="utf-8"?>
<sst xmlns="http://schemas.openxmlformats.org/spreadsheetml/2006/main" count="343" uniqueCount="190">
  <si>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</si>
  <si>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</si>
  <si>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</si>
  <si>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</si>
  <si>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</si>
  <si>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</si>
  <si>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</si>
  <si>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</si>
  <si>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</si>
  <si>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</si>
  <si>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</si>
  <si>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</si>
  <si>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</si>
  <si>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</si>
  <si>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</si>
  <si>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</si>
  <si>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</si>
  <si>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</si>
  <si>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</si>
  <si>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</si>
  <si>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</si>
  <si>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</si>
  <si>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</si>
  <si>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</si>
  <si>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</si>
  <si>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</si>
  <si>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</si>
  <si>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</si>
  <si>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</si>
  <si>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</si>
  <si>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</si>
  <si>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</si>
  <si>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</si>
  <si>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</si>
  <si>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</si>
  <si>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</si>
  <si>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</si>
  <si>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</si>
  <si>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</si>
  <si>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</si>
  <si>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</si>
  <si>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</si>
  <si>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</si>
  <si>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</si>
  <si>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</si>
  <si>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</si>
  <si>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</si>
  <si>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</si>
  <si>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</si>
  <si>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</si>
  <si>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</si>
  <si>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</si>
  <si>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</si>
  <si>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</si>
  <si>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</si>
  <si>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TOTAL EQUITY</t>
  </si>
  <si>
    <t>ATTRIBUTABLE TO :</t>
  </si>
  <si>
    <t>Diluted Earnings Per Ordinary Share (Sen)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</si>
  <si>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</si>
  <si>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</si>
  <si>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</si>
  <si>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</si>
  <si>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</si>
  <si>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</si>
  <si>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</si>
  <si>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</si>
  <si>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</si>
  <si>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</si>
  <si>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</si>
  <si>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</si>
  <si>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</si>
  <si>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</si>
  <si>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</si>
  <si>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</si>
  <si>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</si>
  <si>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</si>
  <si>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</si>
  <si>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</si>
  <si>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</si>
  <si>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</si>
  <si>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</si>
  <si>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</si>
  <si>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</si>
  <si>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</si>
  <si>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</si>
  <si>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</si>
  <si>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</si>
  <si>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</si>
  <si>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</si>
  <si>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</si>
  <si>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 xml:space="preserve">     Proceeds from disposal of investment/subsidiaries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</si>
  <si>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</si>
  <si>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</si>
  <si>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</si>
  <si>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</si>
  <si>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</si>
  <si>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</si>
  <si>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</si>
  <si>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</si>
  <si>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</si>
  <si>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</si>
  <si>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</si>
  <si>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</si>
  <si>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</si>
  <si>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</si>
  <si>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</si>
  <si>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</si>
  <si>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</si>
  <si>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</si>
  <si>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</si>
  <si>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</si>
  <si>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</si>
  <si>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</si>
  <si>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</si>
  <si>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</si>
  <si>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</si>
  <si>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</si>
  <si>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</si>
  <si>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</si>
  <si>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</si>
  <si>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</si>
  <si>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</si>
  <si>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</si>
  <si>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</si>
  <si>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</si>
  <si>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</si>
  <si>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</si>
  <si>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</si>
  <si>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</si>
  <si>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</si>
  <si>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</si>
  <si>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</si>
  <si>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</si>
  <si>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</si>
  <si>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</si>
  <si>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</si>
  <si>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</si>
  <si>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</si>
  <si>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</si>
  <si>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</si>
  <si>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</si>
  <si>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</si>
  <si>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</si>
  <si>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</si>
  <si>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</si>
  <si>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</si>
  <si>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</si>
  <si>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</si>
  <si>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</si>
  <si>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</si>
  <si>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</si>
  <si>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</si>
  <si>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</si>
  <si>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TO EQUITY OWNERS OF THE COMPANY :</t>
  </si>
  <si>
    <t>NET CASH USED IN FINANCING ACTIVITIES</t>
  </si>
  <si>
    <t xml:space="preserve">     Investment income received</t>
  </si>
  <si>
    <t>DEFERRED TAX</t>
  </si>
  <si>
    <t>Dividend paid</t>
  </si>
  <si>
    <t>the Annual Financial Report for the financial year ended 31 December 2015.</t>
  </si>
  <si>
    <t>Annual Financial Report for the financial year ended 31 December 2015.</t>
  </si>
  <si>
    <t>(Based on 140,326,100 (2015:140,326,100)</t>
  </si>
  <si>
    <t xml:space="preserve">     Dividend received</t>
  </si>
  <si>
    <t xml:space="preserve">     Exchange loss</t>
  </si>
  <si>
    <t xml:space="preserve">PROFIT FOR THE FINANCIAL PERIOD </t>
  </si>
  <si>
    <t>PROFIT ATTRIBUTABLE TO :</t>
  </si>
  <si>
    <t>EARNINGS PER SHARE ATTRIBUTABLE</t>
  </si>
  <si>
    <t xml:space="preserve">Basic Earnings Per Ordinary Share (Sen) </t>
  </si>
  <si>
    <t>OPERATING PROFIT BEFORE CHANGES IN WORKING CAPITAL</t>
  </si>
  <si>
    <t>NET CASH FROM INVESTING ACTIVITIES</t>
  </si>
  <si>
    <t>TOTAL COMPREHENSIVE INCOME</t>
  </si>
  <si>
    <t>TRADE AND OTHER RECEIVABLES</t>
  </si>
  <si>
    <t>Total comprehensive income</t>
  </si>
  <si>
    <t xml:space="preserve">     Tax paid</t>
  </si>
  <si>
    <t xml:space="preserve">     Proceeds from disposal of property, plant and equipment</t>
  </si>
  <si>
    <t xml:space="preserve">     Redemption in short term investment </t>
  </si>
  <si>
    <t xml:space="preserve">     Purchase of property, plant and equipment</t>
  </si>
  <si>
    <t>&lt;------------   ATTRIBUTABLE TO OWNERS ----------- &gt;</t>
  </si>
  <si>
    <t>PROFIT FROM OPERATIONS</t>
  </si>
  <si>
    <t>NET INCREASE IN CASH AND CASH EQUIVALENTS</t>
  </si>
  <si>
    <t>UNAUDITED RESULTS OF THE GROUP FOR THE FOURTH QUARTER ENDED 31 DECEMBER 2016</t>
  </si>
  <si>
    <t>Balance At 1 Oct 2016</t>
  </si>
  <si>
    <t>Balance At 31 Dec 2016</t>
  </si>
  <si>
    <t>Balance At 31 Dec 2015</t>
  </si>
  <si>
    <t>Balance At 1 Oct 2015</t>
  </si>
  <si>
    <t xml:space="preserve">     Redemption in long term investment </t>
  </si>
  <si>
    <t>NET CASH USED IN OPERATING ACTIVITIES</t>
  </si>
  <si>
    <t>Total comprehensive income/</t>
  </si>
  <si>
    <t>(loss) for the financial period</t>
  </si>
  <si>
    <t>Other Comprehensive (Loss)/Income</t>
  </si>
  <si>
    <t>TOTAL COMPREHENSIVE INCOME/(LOSS)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</si>
</sst>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0.000_);\(0.000\)"/>
    <numFmt numFmtId="192" formatCode="0.0000_);\(0.0000\)"/>
    <numFmt numFmtId="193" formatCode="0.0_);\(0.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6" fontId="9" fillId="0" borderId="0" xfId="42" applyNumberFormat="1" applyFont="1" applyAlignment="1">
      <alignment/>
    </xf>
    <xf numFmtId="177" fontId="9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Dec16(Actu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Dec16(Act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</sheetNames>
    <sheetDataSet>
      <sheetData sheetId="12">
        <row r="105">
          <cell r="Z10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22">
          <cell r="F22">
            <v>1732.789</v>
          </cell>
        </row>
        <row r="32">
          <cell r="F32">
            <v>-4015.6569999999997</v>
          </cell>
        </row>
        <row r="41">
          <cell r="F41">
            <v>-28457.575999999997</v>
          </cell>
        </row>
        <row r="43">
          <cell r="F43">
            <v>1159.668</v>
          </cell>
        </row>
        <row r="45">
          <cell r="F45">
            <v>148.476</v>
          </cell>
        </row>
        <row r="46">
          <cell r="F46">
            <v>-7016.305</v>
          </cell>
        </row>
        <row r="47">
          <cell r="F47">
            <v>-5864.016</v>
          </cell>
        </row>
        <row r="48">
          <cell r="F48">
            <v>-0.379</v>
          </cell>
        </row>
        <row r="55">
          <cell r="F55">
            <v>0</v>
          </cell>
        </row>
        <row r="57">
          <cell r="F57">
            <v>2521.324</v>
          </cell>
        </row>
        <row r="58">
          <cell r="F58">
            <v>47.3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20830.776</v>
          </cell>
        </row>
        <row r="62">
          <cell r="F62">
            <v>-1158.48</v>
          </cell>
        </row>
        <row r="68">
          <cell r="F68">
            <v>-26.951</v>
          </cell>
        </row>
        <row r="70">
          <cell r="F70">
            <v>-21.907</v>
          </cell>
        </row>
        <row r="71">
          <cell r="F71">
            <v>0</v>
          </cell>
        </row>
        <row r="73">
          <cell r="F73">
            <v>-145.373</v>
          </cell>
        </row>
        <row r="82">
          <cell r="F82">
            <v>6091.379</v>
          </cell>
        </row>
        <row r="92">
          <cell r="F92">
            <v>3175.09</v>
          </cell>
        </row>
        <row r="93">
          <cell r="F93">
            <v>1715.458</v>
          </cell>
        </row>
        <row r="94">
          <cell r="C94">
            <v>0</v>
          </cell>
        </row>
        <row r="97">
          <cell r="F97">
            <v>-831.369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70">
      <selection activeCell="A1" sqref="A1:J74"/>
    </sheetView>
  </sheetViews>
  <sheetFormatPr defaultColWidth="9.140625" defaultRowHeight="12.75"/>
  <cols>
    <col min="1" max="1" width="41.8515625" style="0" customWidth="1"/>
    <col min="2" max="2" width="13.8515625" style="0" customWidth="1"/>
    <col min="3" max="3" width="13.421875" style="0" customWidth="1"/>
    <col min="4" max="4" width="2.57421875" style="0" customWidth="1"/>
    <col min="5" max="5" width="18.140625" style="0" customWidth="1"/>
    <col min="6" max="6" width="4.8515625" style="0" customWidth="1"/>
    <col min="7" max="7" width="12.28125" style="0" customWidth="1"/>
    <col min="8" max="8" width="2.421875" style="0" customWidth="1"/>
    <col min="9" max="9" width="19.8515625" style="0" customWidth="1"/>
    <col min="11" max="12" width="12.00390625" style="0" bestFit="1" customWidth="1"/>
  </cols>
  <sheetData>
    <row r="2" spans="1:9" ht="16.5">
      <c r="A2" s="25" t="s">
        <v>2</v>
      </c>
      <c r="B2" s="26"/>
      <c r="C2" s="26"/>
      <c r="D2" s="26"/>
      <c r="E2" s="26"/>
      <c r="F2" s="26"/>
      <c r="G2" s="26"/>
      <c r="H2" s="26"/>
      <c r="I2" s="27"/>
    </row>
    <row r="3" spans="1:9" ht="16.5">
      <c r="A3" s="25" t="s">
        <v>3</v>
      </c>
      <c r="B3" s="26"/>
      <c r="C3" s="26"/>
      <c r="D3" s="26"/>
      <c r="E3" s="26"/>
      <c r="F3" s="26"/>
      <c r="G3" s="26"/>
      <c r="H3" s="26"/>
      <c r="I3" s="25"/>
    </row>
    <row r="4" spans="1:9" ht="16.5">
      <c r="A4" s="25" t="s">
        <v>0</v>
      </c>
      <c r="B4" s="26"/>
      <c r="C4" s="26"/>
      <c r="D4" s="26"/>
      <c r="E4" s="26"/>
      <c r="F4" s="26"/>
      <c r="G4" s="26" t="s">
        <v>0</v>
      </c>
      <c r="H4" s="26"/>
      <c r="I4" s="28"/>
    </row>
    <row r="5" spans="1:9" ht="16.5">
      <c r="A5" s="25" t="s">
        <v>179</v>
      </c>
      <c r="B5" s="26"/>
      <c r="C5" s="26"/>
      <c r="D5" s="26"/>
      <c r="E5" s="26"/>
      <c r="F5" s="26"/>
      <c r="G5" s="26"/>
      <c r="H5" s="26"/>
      <c r="I5" s="26"/>
    </row>
    <row r="6" spans="1:9" ht="16.5">
      <c r="A6" s="25" t="s">
        <v>97</v>
      </c>
      <c r="B6" s="26"/>
      <c r="C6" s="26"/>
      <c r="D6" s="26"/>
      <c r="E6" s="26"/>
      <c r="F6" s="26"/>
      <c r="G6" s="26"/>
      <c r="H6" s="26"/>
      <c r="I6" s="26"/>
    </row>
    <row r="7" spans="1:9" ht="16.5">
      <c r="A7" s="25"/>
      <c r="B7" s="26"/>
      <c r="C7" s="26"/>
      <c r="D7" s="26"/>
      <c r="E7" s="26"/>
      <c r="F7" s="26"/>
      <c r="G7" s="26"/>
      <c r="H7" s="26"/>
      <c r="I7" s="26"/>
    </row>
    <row r="8" spans="1:9" ht="16.5">
      <c r="A8" s="25"/>
      <c r="B8" s="26"/>
      <c r="C8" s="29" t="s">
        <v>6</v>
      </c>
      <c r="D8" s="29"/>
      <c r="E8" s="29"/>
      <c r="F8" s="19"/>
      <c r="G8" s="29" t="s">
        <v>7</v>
      </c>
      <c r="H8" s="29"/>
      <c r="I8" s="29"/>
    </row>
    <row r="9" spans="1:9" ht="16.5">
      <c r="A9" s="25"/>
      <c r="B9" s="26"/>
      <c r="C9" s="26"/>
      <c r="D9" s="26"/>
      <c r="E9" s="26"/>
      <c r="F9" s="26"/>
      <c r="G9" s="26"/>
      <c r="H9" s="26"/>
      <c r="I9" s="26"/>
    </row>
    <row r="10" spans="1:9" ht="16.5">
      <c r="A10" s="25"/>
      <c r="B10" s="26"/>
      <c r="C10" s="26"/>
      <c r="D10" s="26"/>
      <c r="E10" s="30" t="s">
        <v>22</v>
      </c>
      <c r="F10" s="26"/>
      <c r="G10" s="26"/>
      <c r="H10" s="26"/>
      <c r="I10" s="30" t="s">
        <v>22</v>
      </c>
    </row>
    <row r="11" spans="1:9" ht="16.5">
      <c r="A11" s="25" t="s">
        <v>0</v>
      </c>
      <c r="B11" s="26"/>
      <c r="C11" s="30" t="s">
        <v>8</v>
      </c>
      <c r="D11" s="30"/>
      <c r="E11" s="30" t="s">
        <v>9</v>
      </c>
      <c r="F11" s="26"/>
      <c r="G11" s="30" t="s">
        <v>8</v>
      </c>
      <c r="H11" s="30"/>
      <c r="I11" s="30" t="s">
        <v>9</v>
      </c>
    </row>
    <row r="12" spans="1:9" ht="16.5">
      <c r="A12" s="18"/>
      <c r="B12" s="18"/>
      <c r="C12" s="30" t="s">
        <v>9</v>
      </c>
      <c r="D12" s="30"/>
      <c r="E12" s="30" t="s">
        <v>11</v>
      </c>
      <c r="F12" s="31"/>
      <c r="G12" s="30" t="s">
        <v>9</v>
      </c>
      <c r="H12" s="30"/>
      <c r="I12" s="30" t="s">
        <v>11</v>
      </c>
    </row>
    <row r="13" spans="1:9" ht="16.5">
      <c r="A13" s="18"/>
      <c r="B13" s="18"/>
      <c r="C13" s="30" t="s">
        <v>10</v>
      </c>
      <c r="D13" s="30"/>
      <c r="E13" s="30" t="s">
        <v>10</v>
      </c>
      <c r="F13" s="31"/>
      <c r="G13" s="30" t="s">
        <v>12</v>
      </c>
      <c r="H13" s="30"/>
      <c r="I13" s="30" t="s">
        <v>13</v>
      </c>
    </row>
    <row r="14" spans="1:9" ht="16.5">
      <c r="A14" s="18"/>
      <c r="B14" s="18"/>
      <c r="C14" s="32" t="s">
        <v>53</v>
      </c>
      <c r="D14" s="30"/>
      <c r="E14" s="32" t="str">
        <f>C14</f>
        <v>31 DEC</v>
      </c>
      <c r="F14" s="19"/>
      <c r="G14" s="32" t="str">
        <f>E14</f>
        <v>31 DEC</v>
      </c>
      <c r="H14" s="30"/>
      <c r="I14" s="32" t="str">
        <f>G14</f>
        <v>31 DEC</v>
      </c>
    </row>
    <row r="15" spans="1:9" ht="16.5">
      <c r="A15" s="18"/>
      <c r="B15" s="18"/>
      <c r="C15" s="30">
        <v>2016</v>
      </c>
      <c r="D15" s="30"/>
      <c r="E15" s="30">
        <v>2015</v>
      </c>
      <c r="F15" s="30"/>
      <c r="G15" s="30">
        <v>2016</v>
      </c>
      <c r="H15" s="30"/>
      <c r="I15" s="30">
        <v>2015</v>
      </c>
    </row>
    <row r="16" spans="1:9" ht="16.5">
      <c r="A16" s="18"/>
      <c r="B16" s="18"/>
      <c r="C16" s="30" t="s">
        <v>1</v>
      </c>
      <c r="D16" s="30"/>
      <c r="E16" s="30" t="s">
        <v>1</v>
      </c>
      <c r="F16" s="30"/>
      <c r="G16" s="30" t="s">
        <v>1</v>
      </c>
      <c r="H16" s="30"/>
      <c r="I16" s="30" t="s">
        <v>1</v>
      </c>
    </row>
    <row r="17" spans="1:9" ht="16.5">
      <c r="A17" s="19"/>
      <c r="B17" s="18"/>
      <c r="C17" s="18" t="s">
        <v>0</v>
      </c>
      <c r="D17" s="18"/>
      <c r="E17" s="18"/>
      <c r="F17" s="18"/>
      <c r="G17" s="18"/>
      <c r="H17" s="18"/>
      <c r="I17" s="18"/>
    </row>
    <row r="18" spans="1:9" ht="16.5">
      <c r="A18" s="19" t="s">
        <v>27</v>
      </c>
      <c r="B18" s="18"/>
      <c r="C18" s="33">
        <v>8658</v>
      </c>
      <c r="D18" s="33"/>
      <c r="E18" s="33">
        <f>46391-18716</f>
        <v>27675</v>
      </c>
      <c r="F18" s="18"/>
      <c r="G18" s="33">
        <v>41893.86981</v>
      </c>
      <c r="H18" s="33"/>
      <c r="I18" s="34">
        <v>46391</v>
      </c>
    </row>
    <row r="19" spans="1:9" ht="16.5">
      <c r="A19" s="18"/>
      <c r="B19" s="18"/>
      <c r="C19" s="35"/>
      <c r="D19" s="35"/>
      <c r="E19" s="35"/>
      <c r="F19" s="18"/>
      <c r="G19" s="18"/>
      <c r="H19" s="35"/>
      <c r="I19" s="35"/>
    </row>
    <row r="20" spans="1:9" ht="16.5">
      <c r="A20" s="23" t="s">
        <v>43</v>
      </c>
      <c r="B20" s="18"/>
      <c r="C20" s="36">
        <v>-7464</v>
      </c>
      <c r="D20" s="18"/>
      <c r="E20" s="37">
        <f>-32861+16847</f>
        <v>-16014</v>
      </c>
      <c r="F20" s="18"/>
      <c r="G20" s="37">
        <v>-30174.50157</v>
      </c>
      <c r="H20" s="18"/>
      <c r="I20" s="37">
        <v>-32861</v>
      </c>
    </row>
    <row r="21" spans="1:9" ht="16.5">
      <c r="A21" s="18" t="s">
        <v>134</v>
      </c>
      <c r="B21" s="31"/>
      <c r="C21" s="36">
        <v>943</v>
      </c>
      <c r="D21" s="36"/>
      <c r="E21" s="36">
        <f>1500-(3842-2759)</f>
        <v>417</v>
      </c>
      <c r="F21" s="31"/>
      <c r="G21" s="36">
        <v>3861.699619999997</v>
      </c>
      <c r="H21" s="36"/>
      <c r="I21" s="37">
        <f>4664-3842</f>
        <v>822</v>
      </c>
    </row>
    <row r="22" spans="1:9" ht="16.5">
      <c r="A22" s="18"/>
      <c r="B22" s="31"/>
      <c r="C22" s="38" t="s">
        <v>0</v>
      </c>
      <c r="D22" s="36"/>
      <c r="E22" s="39"/>
      <c r="F22" s="31"/>
      <c r="G22" s="38"/>
      <c r="H22" s="36"/>
      <c r="I22" s="40"/>
    </row>
    <row r="23" spans="1:9" ht="16.5">
      <c r="A23" s="19" t="s">
        <v>177</v>
      </c>
      <c r="B23" s="31" t="s">
        <v>0</v>
      </c>
      <c r="C23" s="36">
        <f>SUM(C18:C22)</f>
        <v>2137</v>
      </c>
      <c r="D23" s="36"/>
      <c r="E23" s="37">
        <f>SUM(E18:E22)</f>
        <v>12078</v>
      </c>
      <c r="F23" s="31"/>
      <c r="G23" s="36">
        <f>SUM(G18:G22)</f>
        <v>15581.067859999994</v>
      </c>
      <c r="H23" s="36"/>
      <c r="I23" s="36">
        <f>SUM(I18:I22)</f>
        <v>14352</v>
      </c>
    </row>
    <row r="24" spans="1:9" ht="16.5">
      <c r="A24" s="19"/>
      <c r="B24" s="31"/>
      <c r="C24" s="36"/>
      <c r="D24" s="36"/>
      <c r="E24" s="37"/>
      <c r="F24" s="31"/>
      <c r="G24" s="36" t="s">
        <v>0</v>
      </c>
      <c r="H24" s="36"/>
      <c r="I24" s="31"/>
    </row>
    <row r="25" spans="1:9" ht="16.5">
      <c r="A25" s="18" t="s">
        <v>47</v>
      </c>
      <c r="B25" s="31"/>
      <c r="C25" s="36">
        <f>223-185</f>
        <v>38</v>
      </c>
      <c r="D25" s="36"/>
      <c r="E25" s="36">
        <f>148-103</f>
        <v>45</v>
      </c>
      <c r="F25" s="31"/>
      <c r="G25" s="36">
        <v>223.44652999999994</v>
      </c>
      <c r="H25" s="36"/>
      <c r="I25" s="37">
        <v>148</v>
      </c>
    </row>
    <row r="26" spans="1:9" ht="16.5">
      <c r="A26" s="18" t="s">
        <v>48</v>
      </c>
      <c r="B26" s="31"/>
      <c r="C26" s="36">
        <f>-22+15</f>
        <v>-7</v>
      </c>
      <c r="D26" s="36"/>
      <c r="E26" s="36">
        <f>-22+17</f>
        <v>-5</v>
      </c>
      <c r="F26" s="31"/>
      <c r="G26" s="36">
        <v>-21.51549</v>
      </c>
      <c r="H26" s="36"/>
      <c r="I26" s="37">
        <v>-22</v>
      </c>
    </row>
    <row r="27" spans="1:9" ht="16.5">
      <c r="A27" s="18" t="s">
        <v>44</v>
      </c>
      <c r="B27" s="31"/>
      <c r="C27" s="37">
        <f>2829-2440</f>
        <v>389</v>
      </c>
      <c r="D27" s="36"/>
      <c r="E27" s="36">
        <f>-87+(3842-2759)</f>
        <v>996</v>
      </c>
      <c r="F27" s="31"/>
      <c r="G27" s="37">
        <v>2828.68212</v>
      </c>
      <c r="H27" s="36"/>
      <c r="I27" s="36">
        <f>-87+3842</f>
        <v>3755</v>
      </c>
    </row>
    <row r="28" spans="1:9" ht="16.5">
      <c r="A28" s="18" t="s">
        <v>0</v>
      </c>
      <c r="B28" s="31"/>
      <c r="C28" s="38" t="s">
        <v>0</v>
      </c>
      <c r="D28" s="38"/>
      <c r="E28" s="39" t="s">
        <v>0</v>
      </c>
      <c r="F28" s="31"/>
      <c r="G28" s="38" t="s">
        <v>0</v>
      </c>
      <c r="H28" s="38"/>
      <c r="I28" s="39"/>
    </row>
    <row r="29" spans="1:9" ht="16.5">
      <c r="A29" s="41" t="s">
        <v>26</v>
      </c>
      <c r="B29" s="31"/>
      <c r="C29" s="37">
        <f>SUM(C23:C28)</f>
        <v>2557</v>
      </c>
      <c r="D29" s="36"/>
      <c r="E29" s="36">
        <f>SUM(E23:E28)</f>
        <v>13114</v>
      </c>
      <c r="F29" s="31"/>
      <c r="G29" s="37">
        <f>SUM(G23:G28)-1</f>
        <v>18610.681019999993</v>
      </c>
      <c r="H29" s="36"/>
      <c r="I29" s="36">
        <f>SUM(I23:I28)</f>
        <v>18233</v>
      </c>
    </row>
    <row r="30" spans="1:12" ht="16.5">
      <c r="A30" s="41" t="s">
        <v>0</v>
      </c>
      <c r="B30" s="31"/>
      <c r="C30" s="36"/>
      <c r="D30" s="36"/>
      <c r="E30" s="31"/>
      <c r="F30" s="31"/>
      <c r="G30" s="36" t="s">
        <v>0</v>
      </c>
      <c r="H30" s="36"/>
      <c r="I30" s="31"/>
      <c r="L30" s="16"/>
    </row>
    <row r="31" spans="1:9" ht="16.5">
      <c r="A31" s="18" t="s">
        <v>29</v>
      </c>
      <c r="B31" s="18"/>
      <c r="C31" s="33">
        <f>-4777+3337</f>
        <v>-1440</v>
      </c>
      <c r="D31" s="33"/>
      <c r="E31" s="42">
        <v>-3320</v>
      </c>
      <c r="F31" s="18"/>
      <c r="G31" s="43">
        <v>-4776.874000000001</v>
      </c>
      <c r="H31" s="33"/>
      <c r="I31" s="42">
        <v>-5277</v>
      </c>
    </row>
    <row r="32" spans="1:9" ht="16.5">
      <c r="A32" s="18" t="s">
        <v>0</v>
      </c>
      <c r="B32" s="18"/>
      <c r="C32" s="38" t="s">
        <v>0</v>
      </c>
      <c r="D32" s="38"/>
      <c r="E32" s="38" t="s">
        <v>0</v>
      </c>
      <c r="F32" s="18"/>
      <c r="G32" s="38" t="s">
        <v>0</v>
      </c>
      <c r="H32" s="38"/>
      <c r="I32" s="38" t="s">
        <v>0</v>
      </c>
    </row>
    <row r="33" spans="1:9" ht="16.5" hidden="1">
      <c r="A33" s="41" t="s">
        <v>88</v>
      </c>
      <c r="B33" s="31"/>
      <c r="C33" s="33">
        <f>SUM(C29:C32)</f>
        <v>1117</v>
      </c>
      <c r="D33" s="33"/>
      <c r="E33" s="33">
        <f>SUM(E29:E32)</f>
        <v>9794</v>
      </c>
      <c r="F33" s="35"/>
      <c r="G33" s="33">
        <f>SUM(G29:G32)</f>
        <v>13833.807019999993</v>
      </c>
      <c r="H33" s="33"/>
      <c r="I33" s="33">
        <f>SUM(I29:I32)</f>
        <v>12956</v>
      </c>
    </row>
    <row r="34" spans="1:9" ht="16.5" hidden="1">
      <c r="A34" s="41"/>
      <c r="B34" s="31"/>
      <c r="C34" s="36"/>
      <c r="D34" s="36"/>
      <c r="E34" s="36"/>
      <c r="F34" s="31"/>
      <c r="G34" s="36"/>
      <c r="H34" s="36"/>
      <c r="I34" s="36"/>
    </row>
    <row r="35" spans="1:9" ht="16.5" hidden="1">
      <c r="A35" s="41" t="s">
        <v>76</v>
      </c>
      <c r="B35" s="31"/>
      <c r="C35" s="36"/>
      <c r="D35" s="36"/>
      <c r="E35" s="36"/>
      <c r="F35" s="31"/>
      <c r="G35" s="36"/>
      <c r="H35" s="36"/>
      <c r="I35" s="36"/>
    </row>
    <row r="36" spans="1:9" ht="16.5" hidden="1">
      <c r="A36" s="41" t="s">
        <v>86</v>
      </c>
      <c r="B36" s="31"/>
      <c r="C36" s="36">
        <v>0</v>
      </c>
      <c r="D36" s="36"/>
      <c r="E36" s="36">
        <v>0</v>
      </c>
      <c r="F36" s="31"/>
      <c r="G36" s="36">
        <v>0</v>
      </c>
      <c r="H36" s="36"/>
      <c r="I36" s="36">
        <v>0</v>
      </c>
    </row>
    <row r="37" spans="1:9" ht="16.5" hidden="1">
      <c r="A37" s="41"/>
      <c r="B37" s="31"/>
      <c r="C37" s="36"/>
      <c r="D37" s="36"/>
      <c r="E37" s="36"/>
      <c r="F37" s="31"/>
      <c r="G37" s="36"/>
      <c r="H37" s="36"/>
      <c r="I37" s="36"/>
    </row>
    <row r="38" spans="1:9" ht="16.5">
      <c r="A38" s="41" t="s">
        <v>163</v>
      </c>
      <c r="B38" s="31"/>
      <c r="C38" s="44">
        <f>SUM(C33:C37)</f>
        <v>1117</v>
      </c>
      <c r="D38" s="44"/>
      <c r="E38" s="44">
        <f>SUM(E33:E37)</f>
        <v>9794</v>
      </c>
      <c r="F38" s="31"/>
      <c r="G38" s="45">
        <f>SUM(G33:G37)</f>
        <v>13833.807019999993</v>
      </c>
      <c r="H38" s="44"/>
      <c r="I38" s="44">
        <f>SUM(I33:I37)</f>
        <v>12956</v>
      </c>
    </row>
    <row r="39" spans="1:9" ht="16.5">
      <c r="A39" s="41"/>
      <c r="B39" s="31"/>
      <c r="C39" s="33"/>
      <c r="D39" s="33"/>
      <c r="E39" s="33"/>
      <c r="F39" s="31"/>
      <c r="G39" s="33"/>
      <c r="H39" s="33"/>
      <c r="I39" s="33"/>
    </row>
    <row r="40" spans="1:9" ht="16.5">
      <c r="A40" s="23" t="s">
        <v>188</v>
      </c>
      <c r="B40" s="31"/>
      <c r="C40" s="33">
        <f>((-0.77271-5.79533+2.31817-1.54542)+(3.33815))-((-0.77271-5.79533+2.31817)+(6.12776))</f>
        <v>-4.33503</v>
      </c>
      <c r="D40" s="33"/>
      <c r="E40" s="33">
        <v>3</v>
      </c>
      <c r="F40" s="31"/>
      <c r="G40" s="33">
        <f>(-0.77271-5.79533+2.31817-1.54542)+(3.33815)</f>
        <v>-2.4571399999999994</v>
      </c>
      <c r="H40" s="33"/>
      <c r="I40" s="33">
        <v>7</v>
      </c>
    </row>
    <row r="41" spans="1:9" ht="10.5" customHeight="1">
      <c r="A41" s="41"/>
      <c r="B41" s="31"/>
      <c r="C41" s="33"/>
      <c r="D41" s="33"/>
      <c r="E41" s="33"/>
      <c r="F41" s="31"/>
      <c r="G41" s="33"/>
      <c r="H41" s="33"/>
      <c r="I41" s="33"/>
    </row>
    <row r="42" spans="1:9" ht="16.5">
      <c r="A42" s="41" t="s">
        <v>169</v>
      </c>
      <c r="B42" s="31"/>
      <c r="C42" s="33"/>
      <c r="D42" s="33"/>
      <c r="E42" s="33"/>
      <c r="F42" s="31"/>
      <c r="G42" s="33"/>
      <c r="H42" s="33"/>
      <c r="I42" s="33"/>
    </row>
    <row r="43" spans="1:9" ht="17.25" thickBot="1">
      <c r="A43" s="41" t="s">
        <v>98</v>
      </c>
      <c r="B43" s="31"/>
      <c r="C43" s="46">
        <f>SUM(C38:C42)</f>
        <v>1112.66497</v>
      </c>
      <c r="D43" s="46"/>
      <c r="E43" s="46">
        <f>SUM(E38:E42)</f>
        <v>9797</v>
      </c>
      <c r="F43" s="31"/>
      <c r="G43" s="46">
        <f>SUM(G38:G42)+0.5</f>
        <v>13831.849879999992</v>
      </c>
      <c r="H43" s="46"/>
      <c r="I43" s="46">
        <f>SUM(I38:I42)</f>
        <v>12963</v>
      </c>
    </row>
    <row r="44" spans="1:9" ht="17.25" thickTop="1">
      <c r="A44" s="41"/>
      <c r="B44" s="31"/>
      <c r="C44" s="33"/>
      <c r="D44" s="33"/>
      <c r="E44" s="33"/>
      <c r="F44" s="31"/>
      <c r="G44" s="33"/>
      <c r="H44" s="33"/>
      <c r="I44" s="33"/>
    </row>
    <row r="45" spans="1:9" ht="16.5">
      <c r="A45" s="41" t="s">
        <v>164</v>
      </c>
      <c r="B45" s="31"/>
      <c r="C45" s="36"/>
      <c r="D45" s="36"/>
      <c r="E45" s="36"/>
      <c r="F45" s="31"/>
      <c r="G45" s="36"/>
      <c r="H45" s="36"/>
      <c r="I45" s="36"/>
    </row>
    <row r="46" spans="1:9" ht="16.5">
      <c r="A46" s="23" t="s">
        <v>142</v>
      </c>
      <c r="B46" s="31"/>
      <c r="C46" s="37">
        <f>12528-11349</f>
        <v>1179</v>
      </c>
      <c r="D46" s="36"/>
      <c r="E46" s="36">
        <f>12704-3031</f>
        <v>9673</v>
      </c>
      <c r="F46" s="31"/>
      <c r="G46" s="37">
        <f>G38-G47</f>
        <v>12527.900831199993</v>
      </c>
      <c r="H46" s="36"/>
      <c r="I46" s="36">
        <v>12704</v>
      </c>
    </row>
    <row r="47" spans="1:9" ht="16.5">
      <c r="A47" s="18" t="s">
        <v>130</v>
      </c>
      <c r="B47" s="31"/>
      <c r="C47" s="79">
        <f>1306-1368</f>
        <v>-62</v>
      </c>
      <c r="D47" s="36"/>
      <c r="E47" s="42">
        <f>252-131</f>
        <v>121</v>
      </c>
      <c r="F47" s="31"/>
      <c r="G47" s="47">
        <v>1305.9061888000003</v>
      </c>
      <c r="H47" s="36"/>
      <c r="I47" s="42">
        <v>252</v>
      </c>
    </row>
    <row r="48" spans="1:9" ht="16.5">
      <c r="A48" s="18"/>
      <c r="B48" s="18"/>
      <c r="C48" s="48"/>
      <c r="D48" s="48"/>
      <c r="E48" s="48"/>
      <c r="F48" s="18"/>
      <c r="G48" s="48"/>
      <c r="H48" s="48"/>
      <c r="I48" s="48"/>
    </row>
    <row r="49" spans="1:9" ht="17.25" thickBot="1">
      <c r="A49" s="41" t="s">
        <v>0</v>
      </c>
      <c r="B49" s="18"/>
      <c r="C49" s="49">
        <f>SUM(C46:C48)</f>
        <v>1117</v>
      </c>
      <c r="D49" s="46"/>
      <c r="E49" s="46">
        <f>SUM(E46:E48)</f>
        <v>9794</v>
      </c>
      <c r="F49" s="18"/>
      <c r="G49" s="46">
        <f>SUM(G46:G48)</f>
        <v>13833.807019999993</v>
      </c>
      <c r="H49" s="46"/>
      <c r="I49" s="46">
        <f>SUM(I46:I48)</f>
        <v>12956</v>
      </c>
    </row>
    <row r="50" spans="1:9" ht="17.25" thickTop="1">
      <c r="A50" s="18" t="s">
        <v>0</v>
      </c>
      <c r="B50" s="18"/>
      <c r="C50" s="18" t="s">
        <v>0</v>
      </c>
      <c r="D50" s="18"/>
      <c r="E50" s="18"/>
      <c r="F50" s="18"/>
      <c r="G50" s="18" t="s">
        <v>0</v>
      </c>
      <c r="H50" s="18"/>
      <c r="I50" s="18"/>
    </row>
    <row r="51" spans="1:9" ht="16.5">
      <c r="A51" s="41" t="s">
        <v>189</v>
      </c>
      <c r="B51" s="18"/>
      <c r="C51" s="18"/>
      <c r="D51" s="18"/>
      <c r="E51" s="18" t="s">
        <v>0</v>
      </c>
      <c r="F51" s="18"/>
      <c r="G51" s="18" t="s">
        <v>0</v>
      </c>
      <c r="H51" s="18"/>
      <c r="I51" s="18"/>
    </row>
    <row r="52" spans="1:9" ht="16.5">
      <c r="A52" s="41" t="s">
        <v>56</v>
      </c>
      <c r="B52" s="18"/>
      <c r="C52" s="18"/>
      <c r="D52" s="18"/>
      <c r="E52" s="18"/>
      <c r="F52" s="18"/>
      <c r="G52" s="18"/>
      <c r="H52" s="18"/>
      <c r="I52" s="18"/>
    </row>
    <row r="53" spans="1:9" ht="16.5">
      <c r="A53" s="23" t="s">
        <v>142</v>
      </c>
      <c r="B53" s="18"/>
      <c r="C53" s="37">
        <f>C46+((-0.77271-5.79533+2.31817-1.54542)-(-0.77271-5.79533+2.31817))*0.51+((3.33815)-(6.12776))+0.5</f>
        <v>1175.9222258</v>
      </c>
      <c r="D53" s="18"/>
      <c r="E53" s="37">
        <f>E46+E40*0.51</f>
        <v>9674.53</v>
      </c>
      <c r="F53" s="18"/>
      <c r="G53" s="47">
        <f>G46+((-0.77271-5.79533+2.31817-1.54542)*0.51)+(3.33815)+0.5</f>
        <v>12528.783383299993</v>
      </c>
      <c r="H53" s="18"/>
      <c r="I53" s="36">
        <v>12708</v>
      </c>
    </row>
    <row r="54" spans="1:9" ht="16.5">
      <c r="A54" s="18" t="s">
        <v>130</v>
      </c>
      <c r="B54" s="18"/>
      <c r="C54" s="37">
        <f>C47+((-0.77271-5.79533+2.31817-1.54542)-(-0.77271-5.79533+2.31817))*0.49</f>
        <v>-62.7572558</v>
      </c>
      <c r="D54" s="18"/>
      <c r="E54" s="37">
        <f>E47+(E40*0.49)</f>
        <v>122.47</v>
      </c>
      <c r="F54" s="18"/>
      <c r="G54" s="47">
        <f>G47+((-0.77271-5.79533+2.31817-1.54542)*0.49)</f>
        <v>1303.0664967000002</v>
      </c>
      <c r="H54" s="18"/>
      <c r="I54" s="36">
        <v>255</v>
      </c>
    </row>
    <row r="55" spans="1:9" ht="17.25" thickBot="1">
      <c r="A55" s="18"/>
      <c r="B55" s="18"/>
      <c r="C55" s="46">
        <f>SUM(C53:C54)</f>
        <v>1113.16497</v>
      </c>
      <c r="D55" s="50"/>
      <c r="E55" s="46">
        <f>SUM(E53:E54)</f>
        <v>9797</v>
      </c>
      <c r="F55" s="18"/>
      <c r="G55" s="49">
        <f>SUM(G53:G54)</f>
        <v>13831.849879999994</v>
      </c>
      <c r="H55" s="50"/>
      <c r="I55" s="49">
        <f>SUM(I53:I54)</f>
        <v>12963</v>
      </c>
    </row>
    <row r="56" spans="1:9" ht="17.25" thickTop="1">
      <c r="A56" s="19" t="s">
        <v>0</v>
      </c>
      <c r="B56" s="18"/>
      <c r="C56" s="36"/>
      <c r="D56" s="18"/>
      <c r="E56" s="18"/>
      <c r="F56" s="18"/>
      <c r="G56" s="18" t="s">
        <v>0</v>
      </c>
      <c r="H56" s="18"/>
      <c r="I56" s="18"/>
    </row>
    <row r="57" spans="1:12" ht="16.5">
      <c r="A57" s="19" t="s">
        <v>165</v>
      </c>
      <c r="B57" s="18"/>
      <c r="C57" s="51" t="s">
        <v>0</v>
      </c>
      <c r="D57" s="18"/>
      <c r="E57" s="18"/>
      <c r="F57" s="18"/>
      <c r="G57" s="18"/>
      <c r="H57" s="18"/>
      <c r="I57" s="18"/>
      <c r="L57" s="16"/>
    </row>
    <row r="58" spans="1:9" ht="16.5">
      <c r="A58" s="19" t="s">
        <v>153</v>
      </c>
      <c r="B58" s="18"/>
      <c r="C58" s="52" t="s">
        <v>0</v>
      </c>
      <c r="D58" s="36"/>
      <c r="E58" s="18"/>
      <c r="F58" s="18"/>
      <c r="G58" s="18" t="s">
        <v>0</v>
      </c>
      <c r="H58" s="18"/>
      <c r="I58" s="18"/>
    </row>
    <row r="59" spans="1:9" ht="16.5">
      <c r="A59" s="19" t="s">
        <v>0</v>
      </c>
      <c r="B59" s="31"/>
      <c r="C59" s="31" t="s">
        <v>0</v>
      </c>
      <c r="D59" s="31"/>
      <c r="E59" s="31"/>
      <c r="F59" s="31"/>
      <c r="G59" s="31" t="s">
        <v>0</v>
      </c>
      <c r="H59" s="31"/>
      <c r="I59" s="31"/>
    </row>
    <row r="60" spans="1:12" ht="16.5">
      <c r="A60" s="19" t="s">
        <v>166</v>
      </c>
      <c r="B60" s="31"/>
      <c r="C60" s="71">
        <f>(C33+(-1306+1368+0)+(0+0))/140326.1*100</f>
        <v>0.8401858243049583</v>
      </c>
      <c r="D60" s="71"/>
      <c r="E60" s="71">
        <f>E46/140326.1*100</f>
        <v>6.893229413487584</v>
      </c>
      <c r="F60" s="72"/>
      <c r="G60" s="71">
        <f>(G33-G47)/140326.1*100</f>
        <v>8.927705417025052</v>
      </c>
      <c r="H60" s="71"/>
      <c r="I60" s="71">
        <v>9.05</v>
      </c>
      <c r="L60" s="6"/>
    </row>
    <row r="61" spans="1:9" ht="16.5" hidden="1">
      <c r="A61" s="19"/>
      <c r="B61" s="31"/>
      <c r="C61" s="71"/>
      <c r="D61" s="71"/>
      <c r="E61" s="71"/>
      <c r="F61" s="72"/>
      <c r="G61" s="71"/>
      <c r="H61" s="71"/>
      <c r="I61" s="71"/>
    </row>
    <row r="62" spans="1:9" ht="16.5" hidden="1">
      <c r="A62" s="19" t="s">
        <v>58</v>
      </c>
      <c r="B62" s="31"/>
      <c r="C62" s="71"/>
      <c r="D62" s="71"/>
      <c r="E62" s="71"/>
      <c r="F62" s="72"/>
      <c r="G62" s="71"/>
      <c r="H62" s="71"/>
      <c r="I62" s="71"/>
    </row>
    <row r="63" spans="1:12" ht="16.5" hidden="1">
      <c r="A63" s="19" t="s">
        <v>77</v>
      </c>
      <c r="B63" s="31"/>
      <c r="C63" s="71">
        <f>(C36+(0-0))/120000*100</f>
        <v>0</v>
      </c>
      <c r="D63" s="71"/>
      <c r="E63" s="71">
        <f>(E36+(0-0))/120000*100</f>
        <v>0</v>
      </c>
      <c r="F63" s="72"/>
      <c r="G63" s="71">
        <v>0</v>
      </c>
      <c r="H63" s="71"/>
      <c r="I63" s="71">
        <v>0</v>
      </c>
      <c r="L63" s="6"/>
    </row>
    <row r="64" spans="1:9" ht="16.5">
      <c r="A64" s="18" t="s">
        <v>160</v>
      </c>
      <c r="B64" s="31"/>
      <c r="C64" s="71" t="s">
        <v>0</v>
      </c>
      <c r="D64" s="71"/>
      <c r="E64" s="73" t="s">
        <v>0</v>
      </c>
      <c r="F64" s="72"/>
      <c r="G64" s="73" t="s">
        <v>0</v>
      </c>
      <c r="H64" s="71"/>
      <c r="I64" s="73"/>
    </row>
    <row r="65" spans="1:12" ht="17.25" thickBot="1">
      <c r="A65" s="18" t="s">
        <v>143</v>
      </c>
      <c r="B65" s="31"/>
      <c r="C65" s="74">
        <f>SUM(C60:C64)</f>
        <v>0.8401858243049583</v>
      </c>
      <c r="D65" s="75"/>
      <c r="E65" s="74">
        <f>SUM(E60:E64)</f>
        <v>6.893229413487584</v>
      </c>
      <c r="F65" s="72"/>
      <c r="G65" s="74">
        <f>SUM(G60:G64)</f>
        <v>8.927705417025052</v>
      </c>
      <c r="H65" s="75"/>
      <c r="I65" s="74">
        <f>SUM(I60:I64)</f>
        <v>9.05</v>
      </c>
      <c r="L65" s="20"/>
    </row>
    <row r="66" spans="1:9" ht="17.25" thickTop="1">
      <c r="A66" s="18" t="s">
        <v>0</v>
      </c>
      <c r="B66" s="31"/>
      <c r="C66" s="71"/>
      <c r="D66" s="71"/>
      <c r="E66" s="71"/>
      <c r="F66" s="72"/>
      <c r="G66" s="71"/>
      <c r="H66" s="71"/>
      <c r="I66" s="71"/>
    </row>
    <row r="67" spans="1:9" ht="16.5">
      <c r="A67" s="19" t="s">
        <v>57</v>
      </c>
      <c r="B67" s="18"/>
      <c r="C67" s="71">
        <v>0.8401858243049583</v>
      </c>
      <c r="D67" s="72"/>
      <c r="E67" s="73">
        <v>6.89</v>
      </c>
      <c r="F67" s="72"/>
      <c r="G67" s="73">
        <v>8.927705417025052</v>
      </c>
      <c r="H67" s="71"/>
      <c r="I67" s="73">
        <v>9.05</v>
      </c>
    </row>
    <row r="68" spans="1:9" ht="16.5">
      <c r="A68" s="18" t="s">
        <v>160</v>
      </c>
      <c r="B68" s="18"/>
      <c r="C68" s="71"/>
      <c r="D68" s="72"/>
      <c r="E68" s="73"/>
      <c r="F68" s="72"/>
      <c r="G68" s="73"/>
      <c r="H68" s="71"/>
      <c r="I68" s="73"/>
    </row>
    <row r="69" spans="1:9" ht="17.25" thickBot="1">
      <c r="A69" s="18" t="s">
        <v>143</v>
      </c>
      <c r="B69" s="18"/>
      <c r="C69" s="75">
        <f>SUM(C67:C68)</f>
        <v>0.8401858243049583</v>
      </c>
      <c r="D69" s="76"/>
      <c r="E69" s="75">
        <f>SUM(E67:E68)</f>
        <v>6.89</v>
      </c>
      <c r="F69" s="72"/>
      <c r="G69" s="75">
        <f>SUM(G67:G68)</f>
        <v>8.927705417025052</v>
      </c>
      <c r="H69" s="76"/>
      <c r="I69" s="75">
        <f>SUM(I67:I68)</f>
        <v>9.05</v>
      </c>
    </row>
    <row r="70" spans="1:9" ht="17.25" thickTop="1">
      <c r="A70" s="18"/>
      <c r="B70" s="18"/>
      <c r="C70" s="51"/>
      <c r="D70" s="18"/>
      <c r="E70" s="54"/>
      <c r="F70" s="18"/>
      <c r="G70" s="54"/>
      <c r="H70" s="51"/>
      <c r="I70" s="54"/>
    </row>
    <row r="71" spans="1:9" ht="16.5">
      <c r="A71" s="19"/>
      <c r="B71" s="18"/>
      <c r="C71" s="51"/>
      <c r="D71" s="51"/>
      <c r="E71" s="51"/>
      <c r="F71" s="18"/>
      <c r="G71" s="18"/>
      <c r="H71" s="18"/>
      <c r="I71" s="18"/>
    </row>
    <row r="72" spans="1:9" ht="16.5">
      <c r="A72" s="19" t="s">
        <v>99</v>
      </c>
      <c r="B72" s="18"/>
      <c r="C72" s="51"/>
      <c r="D72" s="51"/>
      <c r="E72" s="51"/>
      <c r="F72" s="18"/>
      <c r="G72" s="18"/>
      <c r="H72" s="18"/>
      <c r="I72" s="18"/>
    </row>
    <row r="73" spans="1:9" ht="16.5">
      <c r="A73" s="19" t="s">
        <v>159</v>
      </c>
      <c r="B73" s="18"/>
      <c r="C73" s="51"/>
      <c r="D73" s="51"/>
      <c r="E73" s="51"/>
      <c r="F73" s="18"/>
      <c r="G73" s="18"/>
      <c r="H73" s="18"/>
      <c r="I73" s="18"/>
    </row>
    <row r="78" ht="16.5">
      <c r="A78" s="18" t="s">
        <v>0</v>
      </c>
    </row>
    <row r="86" ht="16.5">
      <c r="A86" s="18" t="s">
        <v>0</v>
      </c>
    </row>
  </sheetData>
  <sheetProtection/>
  <printOptions horizontalCentered="1"/>
  <pageMargins left="0.31496062992125984" right="0.11811023622047245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63">
      <selection activeCell="A1" sqref="A1:E86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81" t="s">
        <v>2</v>
      </c>
      <c r="B1" s="81"/>
      <c r="C1" s="81"/>
      <c r="D1" s="81"/>
      <c r="E1" s="81"/>
    </row>
    <row r="2" spans="1:5" ht="15.75">
      <c r="A2" s="81" t="s">
        <v>3</v>
      </c>
      <c r="B2" s="81"/>
      <c r="C2" s="81"/>
      <c r="D2" s="81"/>
      <c r="E2" s="81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81" t="s">
        <v>179</v>
      </c>
      <c r="B4" s="81"/>
      <c r="C4" s="81"/>
      <c r="D4" s="81"/>
      <c r="E4" s="81"/>
    </row>
    <row r="5" spans="1:5" ht="15.75">
      <c r="A5" s="81" t="s">
        <v>95</v>
      </c>
      <c r="B5" s="81"/>
      <c r="C5" s="81"/>
      <c r="D5" s="81"/>
      <c r="E5" s="81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53</v>
      </c>
      <c r="D11" s="1"/>
      <c r="E11" s="17" t="s">
        <v>53</v>
      </c>
    </row>
    <row r="12" spans="1:5" ht="15.75">
      <c r="A12" s="12"/>
      <c r="B12" s="1"/>
      <c r="C12" s="3">
        <v>2016</v>
      </c>
      <c r="D12" s="1"/>
      <c r="E12" s="3">
        <v>2015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67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65</v>
      </c>
      <c r="B16" s="1"/>
      <c r="C16" s="1"/>
      <c r="D16" s="1"/>
      <c r="E16" s="1"/>
    </row>
    <row r="17" spans="1:5" ht="16.5">
      <c r="A17" s="12" t="s">
        <v>31</v>
      </c>
      <c r="B17" s="1"/>
      <c r="C17" s="47">
        <v>5610.9428880000005</v>
      </c>
      <c r="D17" s="37"/>
      <c r="E17" s="37">
        <f>5690.536-0.4</f>
        <v>5690.136</v>
      </c>
    </row>
    <row r="18" spans="1:5" ht="16.5">
      <c r="A18" s="12" t="s">
        <v>73</v>
      </c>
      <c r="B18" s="1"/>
      <c r="C18" s="47">
        <v>1969.0371520000003</v>
      </c>
      <c r="D18" s="37"/>
      <c r="E18" s="37">
        <v>2021.125</v>
      </c>
    </row>
    <row r="19" spans="1:5" ht="16.5">
      <c r="A19" s="12" t="s">
        <v>121</v>
      </c>
      <c r="B19" s="1"/>
      <c r="C19" s="47">
        <v>85.26900000000002</v>
      </c>
      <c r="D19" s="37"/>
      <c r="E19" s="37">
        <v>86.321</v>
      </c>
    </row>
    <row r="20" spans="1:5" ht="16.5">
      <c r="A20" s="12" t="s">
        <v>51</v>
      </c>
      <c r="B20" s="1"/>
      <c r="C20" s="47">
        <v>11371.174710000001</v>
      </c>
      <c r="D20" s="37"/>
      <c r="E20" s="37">
        <v>31852.702</v>
      </c>
    </row>
    <row r="21" spans="1:5" ht="16.5">
      <c r="A21" s="12" t="s">
        <v>133</v>
      </c>
      <c r="B21" s="1"/>
      <c r="C21" s="47">
        <v>30246.58803</v>
      </c>
      <c r="D21" s="37"/>
      <c r="E21" s="37">
        <v>25443.705</v>
      </c>
    </row>
    <row r="22" spans="1:5" ht="16.5" hidden="1">
      <c r="A22" s="12" t="s">
        <v>116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</f>
        <v>52253.01178</v>
      </c>
      <c r="D25" s="37"/>
      <c r="E25" s="55">
        <f>SUM(E17:E24)</f>
        <v>68063.989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63</v>
      </c>
      <c r="B27" s="1"/>
      <c r="C27" s="43">
        <v>3749.7012</v>
      </c>
      <c r="D27" s="37"/>
      <c r="E27" s="43">
        <v>3750.202</v>
      </c>
    </row>
    <row r="28" spans="1:5" ht="16.5">
      <c r="A28" s="12" t="s">
        <v>100</v>
      </c>
      <c r="B28" s="1"/>
      <c r="C28" s="77">
        <v>13460.779719999999</v>
      </c>
      <c r="D28" s="37"/>
      <c r="E28" s="43">
        <v>16442.194</v>
      </c>
    </row>
    <row r="29" spans="1:5" ht="16.5">
      <c r="A29" s="12" t="s">
        <v>51</v>
      </c>
      <c r="B29" s="1"/>
      <c r="C29" s="77">
        <v>36063.094789999996</v>
      </c>
      <c r="D29" s="37"/>
      <c r="E29" s="43">
        <v>69089.051</v>
      </c>
    </row>
    <row r="30" spans="1:5" ht="16.5">
      <c r="A30" s="2" t="s">
        <v>170</v>
      </c>
      <c r="B30" s="1"/>
      <c r="C30" s="43">
        <v>9144.221430000001</v>
      </c>
      <c r="D30" s="37"/>
      <c r="E30" s="43">
        <f>14746.536-0.5</f>
        <v>14746.036</v>
      </c>
    </row>
    <row r="31" spans="1:5" ht="16.5">
      <c r="A31" s="12" t="s">
        <v>117</v>
      </c>
      <c r="B31" s="1"/>
      <c r="C31" s="43">
        <v>454.0058899999999</v>
      </c>
      <c r="D31" s="37"/>
      <c r="E31" s="43">
        <v>251.946</v>
      </c>
    </row>
    <row r="32" spans="1:5" ht="16.5">
      <c r="A32" s="12" t="s">
        <v>64</v>
      </c>
      <c r="B32" s="1"/>
      <c r="C32" s="43">
        <v>811.43825</v>
      </c>
      <c r="D32" s="37"/>
      <c r="E32" s="43">
        <v>302.25</v>
      </c>
    </row>
    <row r="33" spans="1:5" ht="16.5">
      <c r="A33" s="2" t="s">
        <v>149</v>
      </c>
      <c r="B33" s="1"/>
      <c r="C33" s="43">
        <v>67579.07903000001</v>
      </c>
      <c r="D33" s="37"/>
      <c r="E33" s="43">
        <v>4890.548</v>
      </c>
    </row>
    <row r="34" spans="1:5" ht="16.5">
      <c r="A34" s="12"/>
      <c r="B34" s="1"/>
      <c r="C34" s="55">
        <f>SUM(C27:C33)</f>
        <v>131262.32031</v>
      </c>
      <c r="D34" s="37"/>
      <c r="E34" s="55">
        <f>SUM(E27:E33)</f>
        <v>109472.227</v>
      </c>
    </row>
    <row r="35" spans="1:5" ht="10.5" customHeight="1" hidden="1">
      <c r="A35" s="12"/>
      <c r="B35" s="1"/>
      <c r="C35" s="43"/>
      <c r="D35" s="37"/>
      <c r="E35" s="43"/>
    </row>
    <row r="36" spans="1:11" ht="16.5" hidden="1">
      <c r="A36" s="12" t="s">
        <v>91</v>
      </c>
      <c r="B36" s="1"/>
      <c r="C36" s="43">
        <v>0</v>
      </c>
      <c r="D36" s="37"/>
      <c r="E36" s="43">
        <v>0</v>
      </c>
      <c r="K36" s="21"/>
    </row>
    <row r="37" spans="1:11" ht="9" customHeight="1">
      <c r="A37" s="12"/>
      <c r="B37" s="1"/>
      <c r="C37" s="37" t="s">
        <v>0</v>
      </c>
      <c r="D37" s="37"/>
      <c r="E37" s="37" t="s">
        <v>0</v>
      </c>
      <c r="K37" s="21"/>
    </row>
    <row r="38" spans="1:8" ht="17.25" thickBot="1">
      <c r="A38" s="12" t="s">
        <v>59</v>
      </c>
      <c r="B38" s="1"/>
      <c r="C38" s="56">
        <f>+C34+C25+C36</f>
        <v>183515.33209</v>
      </c>
      <c r="D38" s="37"/>
      <c r="E38" s="56">
        <f>+E34+E25+E36</f>
        <v>177536.21600000001</v>
      </c>
      <c r="H38" s="16"/>
    </row>
    <row r="39" spans="1:8" ht="16.5" thickTop="1">
      <c r="A39" s="12"/>
      <c r="B39" s="1"/>
      <c r="C39" s="7"/>
      <c r="D39" s="7"/>
      <c r="E39" s="7"/>
      <c r="G39" s="70"/>
      <c r="H39" s="16"/>
    </row>
    <row r="40" spans="1:7" ht="15.75">
      <c r="A40" s="12" t="s">
        <v>66</v>
      </c>
      <c r="B40" s="1"/>
      <c r="C40" s="7"/>
      <c r="D40" s="7"/>
      <c r="E40" s="7"/>
      <c r="G40" s="78"/>
    </row>
    <row r="41" spans="1:5" ht="9.75" customHeight="1">
      <c r="A41" s="12"/>
      <c r="B41" s="1"/>
      <c r="C41" s="7"/>
      <c r="D41" s="7"/>
      <c r="E41" s="7"/>
    </row>
    <row r="42" spans="1:5" ht="15.75">
      <c r="A42" s="4" t="s">
        <v>131</v>
      </c>
      <c r="B42" s="1"/>
      <c r="C42" s="7"/>
      <c r="D42" s="7"/>
      <c r="E42" s="7"/>
    </row>
    <row r="43" spans="1:5" ht="16.5">
      <c r="A43" s="12" t="s">
        <v>4</v>
      </c>
      <c r="B43" s="1"/>
      <c r="C43" s="37">
        <v>140326.1</v>
      </c>
      <c r="D43" s="37"/>
      <c r="E43" s="37">
        <v>140326.1</v>
      </c>
    </row>
    <row r="44" spans="1:5" ht="16.5">
      <c r="A44" s="12" t="s">
        <v>68</v>
      </c>
      <c r="B44" s="1"/>
      <c r="C44" s="37">
        <v>28715.44755</v>
      </c>
      <c r="D44" s="37"/>
      <c r="E44" s="37">
        <v>28715.44755</v>
      </c>
    </row>
    <row r="45" spans="1:5" ht="16.5">
      <c r="A45" s="12" t="s">
        <v>136</v>
      </c>
      <c r="B45" s="1"/>
      <c r="C45" s="47">
        <v>11.507936600000003</v>
      </c>
      <c r="D45" s="37"/>
      <c r="E45" s="37">
        <v>11.626</v>
      </c>
    </row>
    <row r="46" spans="1:5" ht="16.5" hidden="1">
      <c r="A46" s="12" t="s">
        <v>92</v>
      </c>
      <c r="B46" s="1"/>
      <c r="C46" s="37"/>
      <c r="D46" s="37"/>
      <c r="E46" s="37"/>
    </row>
    <row r="47" spans="1:5" ht="16.5" hidden="1">
      <c r="A47" s="12" t="s">
        <v>93</v>
      </c>
      <c r="B47" s="1"/>
      <c r="C47" s="37">
        <v>0.00023999999999068676</v>
      </c>
      <c r="D47" s="37"/>
      <c r="E47" s="37">
        <v>0</v>
      </c>
    </row>
    <row r="48" spans="1:5" ht="16.5">
      <c r="A48" s="12" t="s">
        <v>82</v>
      </c>
      <c r="B48" s="1"/>
      <c r="C48" s="37">
        <v>-2183.8368256522976</v>
      </c>
      <c r="D48" s="37"/>
      <c r="E48" s="37">
        <f>-11904.211-0.5</f>
        <v>-11904.711</v>
      </c>
    </row>
    <row r="49" spans="1:5" ht="16.5" hidden="1">
      <c r="A49" s="12" t="s">
        <v>81</v>
      </c>
      <c r="B49" s="1"/>
      <c r="C49" s="37"/>
      <c r="D49" s="37"/>
      <c r="E49" s="37"/>
    </row>
    <row r="50" spans="1:5" ht="16.5" hidden="1">
      <c r="A50" s="12" t="s">
        <v>78</v>
      </c>
      <c r="B50" s="1"/>
      <c r="C50" s="37">
        <v>0</v>
      </c>
      <c r="D50" s="37"/>
      <c r="E50" s="37">
        <v>0</v>
      </c>
    </row>
    <row r="51" spans="1:5" ht="6" customHeight="1">
      <c r="A51" s="12"/>
      <c r="B51" s="1"/>
      <c r="C51" s="39"/>
      <c r="D51" s="37"/>
      <c r="E51" s="39"/>
    </row>
    <row r="52" spans="1:5" ht="16.5">
      <c r="A52" s="12" t="s">
        <v>0</v>
      </c>
      <c r="B52" s="1"/>
      <c r="C52" s="37">
        <f>SUM(C43:C51)</f>
        <v>166869.21890094772</v>
      </c>
      <c r="D52" s="37"/>
      <c r="E52" s="47">
        <f>SUM(E43:E51)</f>
        <v>157148.46255</v>
      </c>
    </row>
    <row r="53" spans="1:5" ht="16.5">
      <c r="A53" s="12" t="s">
        <v>129</v>
      </c>
      <c r="B53" s="1"/>
      <c r="C53" s="37">
        <v>2054.261963800002</v>
      </c>
      <c r="D53" s="37"/>
      <c r="E53" s="37">
        <v>751.194</v>
      </c>
    </row>
    <row r="54" spans="1:5" ht="9.75" customHeight="1">
      <c r="A54" s="12"/>
      <c r="B54" s="1"/>
      <c r="C54" s="39"/>
      <c r="D54" s="37"/>
      <c r="E54" s="39"/>
    </row>
    <row r="55" spans="1:5" ht="16.5">
      <c r="A55" s="12" t="s">
        <v>55</v>
      </c>
      <c r="B55" s="1"/>
      <c r="C55" s="55">
        <f>SUM(C52:C54)</f>
        <v>168923.48086474772</v>
      </c>
      <c r="D55" s="37"/>
      <c r="E55" s="55">
        <f>SUM(E52:E54)-0.5</f>
        <v>157899.15654999999</v>
      </c>
    </row>
    <row r="56" spans="1:5" ht="12" customHeight="1">
      <c r="A56" s="12"/>
      <c r="B56" s="1"/>
      <c r="C56" s="37"/>
      <c r="D56" s="37"/>
      <c r="E56" s="37"/>
    </row>
    <row r="57" spans="1:5" ht="16.5">
      <c r="A57" s="4" t="s">
        <v>60</v>
      </c>
      <c r="B57" s="1"/>
      <c r="C57" s="37"/>
      <c r="D57" s="37"/>
      <c r="E57" s="37"/>
    </row>
    <row r="58" spans="1:5" ht="16.5" hidden="1">
      <c r="A58" s="12" t="s">
        <v>52</v>
      </c>
      <c r="B58" s="1"/>
      <c r="C58" s="37">
        <f>'[1]Conso'!$Z105/1000</f>
        <v>0</v>
      </c>
      <c r="D58" s="37"/>
      <c r="E58" s="37">
        <v>0</v>
      </c>
    </row>
    <row r="59" spans="1:8" ht="16.5">
      <c r="A59" s="12" t="s">
        <v>120</v>
      </c>
      <c r="B59" s="1"/>
      <c r="C59" s="37">
        <v>389.18675</v>
      </c>
      <c r="D59" s="37"/>
      <c r="E59" s="37">
        <v>290.215</v>
      </c>
      <c r="H59" s="16"/>
    </row>
    <row r="60" spans="1:5" ht="16.5">
      <c r="A60" s="12" t="s">
        <v>21</v>
      </c>
      <c r="B60" s="1"/>
      <c r="C60" s="37">
        <v>134.507</v>
      </c>
      <c r="D60" s="37"/>
      <c r="E60" s="37">
        <f>368.302+0.5</f>
        <v>368.802</v>
      </c>
    </row>
    <row r="61" spans="1:5" ht="16.5">
      <c r="A61" s="12"/>
      <c r="B61" s="1"/>
      <c r="C61" s="55">
        <f>SUM(C58:C60)</f>
        <v>523.69375</v>
      </c>
      <c r="D61" s="37"/>
      <c r="E61" s="55">
        <f>SUM(E58:E60)</f>
        <v>659.017</v>
      </c>
    </row>
    <row r="62" spans="1:5" ht="7.5" customHeight="1">
      <c r="A62" s="12"/>
      <c r="B62" s="1"/>
      <c r="C62" s="37"/>
      <c r="D62" s="37"/>
      <c r="E62" s="37"/>
    </row>
    <row r="63" spans="1:5" ht="16.5">
      <c r="A63" s="4" t="s">
        <v>19</v>
      </c>
      <c r="B63" s="1"/>
      <c r="C63" s="37" t="s">
        <v>0</v>
      </c>
      <c r="D63" s="37"/>
      <c r="E63" s="37"/>
    </row>
    <row r="64" spans="1:5" ht="16.5">
      <c r="A64" s="12" t="s">
        <v>118</v>
      </c>
      <c r="B64" s="1"/>
      <c r="C64" s="43">
        <v>5439.981630000001</v>
      </c>
      <c r="D64" s="37"/>
      <c r="E64" s="43">
        <v>10847.659</v>
      </c>
    </row>
    <row r="65" spans="1:8" ht="16.5">
      <c r="A65" s="12" t="s">
        <v>69</v>
      </c>
      <c r="B65" s="1"/>
      <c r="C65" s="43">
        <v>8407.67093</v>
      </c>
      <c r="D65" s="37"/>
      <c r="E65" s="43">
        <v>7964.117</v>
      </c>
      <c r="H65" s="16"/>
    </row>
    <row r="66" spans="1:5" ht="16.5" hidden="1">
      <c r="A66" s="12" t="s">
        <v>70</v>
      </c>
      <c r="B66" s="1"/>
      <c r="C66" s="43">
        <v>0</v>
      </c>
      <c r="D66" s="37"/>
      <c r="E66" s="43">
        <v>0</v>
      </c>
    </row>
    <row r="67" spans="1:9" ht="16.5">
      <c r="A67" s="12" t="s">
        <v>119</v>
      </c>
      <c r="B67" s="1"/>
      <c r="C67" s="43">
        <v>151.05038000000002</v>
      </c>
      <c r="D67" s="37"/>
      <c r="E67" s="43">
        <v>96.311</v>
      </c>
      <c r="I67" s="16"/>
    </row>
    <row r="68" spans="1:5" ht="16.5" hidden="1">
      <c r="A68" s="12" t="s">
        <v>89</v>
      </c>
      <c r="B68" s="1"/>
      <c r="C68" s="43">
        <v>0</v>
      </c>
      <c r="D68" s="37"/>
      <c r="E68" s="43">
        <v>0</v>
      </c>
    </row>
    <row r="69" spans="1:5" ht="16.5" hidden="1">
      <c r="A69" s="12" t="s">
        <v>92</v>
      </c>
      <c r="B69" s="1"/>
      <c r="C69" s="43"/>
      <c r="D69" s="37"/>
      <c r="E69" s="43"/>
    </row>
    <row r="70" spans="1:5" ht="16.5" hidden="1">
      <c r="A70" s="2" t="s">
        <v>156</v>
      </c>
      <c r="B70" s="1"/>
      <c r="C70" s="37">
        <v>0</v>
      </c>
      <c r="D70" s="37"/>
      <c r="E70" s="43">
        <v>0</v>
      </c>
    </row>
    <row r="71" spans="1:5" ht="16.5">
      <c r="A71" s="12" t="s">
        <v>71</v>
      </c>
      <c r="B71" s="1"/>
      <c r="C71" s="43">
        <v>68.95487</v>
      </c>
      <c r="D71" s="37"/>
      <c r="E71" s="43">
        <v>70.355</v>
      </c>
    </row>
    <row r="72" spans="1:5" ht="16.5">
      <c r="A72" s="12"/>
      <c r="B72" s="1"/>
      <c r="C72" s="55">
        <f>SUM(C64:C71)</f>
        <v>14067.657810000002</v>
      </c>
      <c r="D72" s="37"/>
      <c r="E72" s="55">
        <f>SUM(E64:E71)</f>
        <v>18978.442</v>
      </c>
    </row>
    <row r="73" spans="1:5" ht="16.5" customHeight="1" hidden="1">
      <c r="A73" s="12"/>
      <c r="B73" s="1"/>
      <c r="C73" s="45"/>
      <c r="D73" s="43"/>
      <c r="E73" s="45"/>
    </row>
    <row r="74" spans="1:5" ht="16.5" customHeight="1" hidden="1">
      <c r="A74" s="12" t="s">
        <v>80</v>
      </c>
      <c r="B74" s="1"/>
      <c r="C74" s="43"/>
      <c r="D74" s="43"/>
      <c r="E74" s="43"/>
    </row>
    <row r="75" spans="1:5" ht="16.5" customHeight="1" hidden="1">
      <c r="A75" s="12" t="s">
        <v>79</v>
      </c>
      <c r="B75" s="1"/>
      <c r="C75" s="43">
        <v>0</v>
      </c>
      <c r="D75" s="43"/>
      <c r="E75" s="43">
        <v>0</v>
      </c>
    </row>
    <row r="76" spans="1:5" ht="9" customHeight="1">
      <c r="A76" s="12"/>
      <c r="B76" s="1"/>
      <c r="C76" s="43"/>
      <c r="D76" s="37"/>
      <c r="E76" s="43"/>
    </row>
    <row r="77" spans="1:5" ht="17.25" thickBot="1">
      <c r="A77" s="12" t="s">
        <v>61</v>
      </c>
      <c r="B77" s="1"/>
      <c r="C77" s="49">
        <f>C72+C61+C75+0.5</f>
        <v>14591.851560000003</v>
      </c>
      <c r="D77" s="37"/>
      <c r="E77" s="49">
        <f>E72+E61+E75</f>
        <v>19637.459</v>
      </c>
    </row>
    <row r="78" spans="1:5" ht="10.5" customHeight="1" thickTop="1">
      <c r="A78" s="12"/>
      <c r="B78" s="1"/>
      <c r="C78" s="37"/>
      <c r="D78" s="37"/>
      <c r="E78" s="37"/>
    </row>
    <row r="79" spans="1:7" ht="17.25" thickBot="1">
      <c r="A79" s="12" t="s">
        <v>62</v>
      </c>
      <c r="B79" s="1"/>
      <c r="C79" s="56">
        <f>C72+C61+C55+C75</f>
        <v>183514.83242474773</v>
      </c>
      <c r="D79" s="37"/>
      <c r="E79" s="56">
        <f>E72+E61+E55+E75-0.5</f>
        <v>177536.11555</v>
      </c>
      <c r="G79" s="16"/>
    </row>
    <row r="80" spans="1:5" ht="12.75" customHeight="1" thickTop="1">
      <c r="A80" s="12"/>
      <c r="B80" s="1"/>
      <c r="C80" s="37" t="s">
        <v>0</v>
      </c>
      <c r="D80" s="37"/>
      <c r="E80" s="37"/>
    </row>
    <row r="81" spans="1:5" ht="16.5">
      <c r="A81" s="2" t="s">
        <v>72</v>
      </c>
      <c r="B81" s="1"/>
      <c r="C81" s="33" t="s">
        <v>0</v>
      </c>
      <c r="D81" s="18"/>
      <c r="E81" s="35"/>
    </row>
    <row r="82" spans="1:5" ht="16.5">
      <c r="A82" s="2" t="s">
        <v>132</v>
      </c>
      <c r="B82" s="6"/>
      <c r="C82" s="51">
        <f>(C55)/C43</f>
        <v>1.203792315647251</v>
      </c>
      <c r="D82" s="18"/>
      <c r="E82" s="51">
        <f>(E55)/E43</f>
        <v>1.125230135733837</v>
      </c>
    </row>
    <row r="83" spans="1:5" ht="8.25" customHeight="1">
      <c r="A83" s="12" t="s">
        <v>0</v>
      </c>
      <c r="B83" s="15"/>
      <c r="C83" s="11" t="s">
        <v>0</v>
      </c>
      <c r="D83" s="1"/>
      <c r="E83" s="1" t="s">
        <v>0</v>
      </c>
    </row>
    <row r="84" spans="1:5" ht="11.25" customHeight="1">
      <c r="A84" s="12"/>
      <c r="B84" s="15"/>
      <c r="C84" s="11" t="s">
        <v>0</v>
      </c>
      <c r="D84" s="1"/>
      <c r="E84" s="1" t="s">
        <v>0</v>
      </c>
    </row>
    <row r="85" spans="1:5" ht="16.5">
      <c r="A85" s="19" t="s">
        <v>151</v>
      </c>
      <c r="B85" s="13"/>
      <c r="C85" s="13"/>
      <c r="D85" s="1"/>
      <c r="E85" s="1"/>
    </row>
    <row r="86" spans="1:5" ht="16.5">
      <c r="A86" s="19" t="s">
        <v>158</v>
      </c>
      <c r="B86" s="13"/>
      <c r="C86" s="13"/>
      <c r="D86" s="13"/>
      <c r="E86" s="13"/>
    </row>
    <row r="87" spans="1:7" ht="16.5">
      <c r="A87" s="19" t="s">
        <v>0</v>
      </c>
      <c r="G87" s="16"/>
    </row>
    <row r="88" ht="16.5">
      <c r="A88" s="19" t="s">
        <v>0</v>
      </c>
    </row>
    <row r="89" ht="12.75">
      <c r="C89" s="16"/>
    </row>
    <row r="117" ht="16.5">
      <c r="A117" s="19" t="s">
        <v>74</v>
      </c>
    </row>
    <row r="118" ht="16.5">
      <c r="A118" s="19" t="s">
        <v>75</v>
      </c>
    </row>
    <row r="120" ht="12.75">
      <c r="F120" t="s">
        <v>0</v>
      </c>
    </row>
    <row r="121" ht="12.75">
      <c r="F121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1" sqref="A1:E74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2" t="s">
        <v>2</v>
      </c>
      <c r="B1" s="82"/>
      <c r="C1" s="82"/>
      <c r="D1" s="82"/>
      <c r="E1" s="82"/>
    </row>
    <row r="2" spans="1:5" ht="16.5">
      <c r="A2" s="82" t="s">
        <v>3</v>
      </c>
      <c r="B2" s="82"/>
      <c r="C2" s="82"/>
      <c r="D2" s="82"/>
      <c r="E2" s="82"/>
    </row>
    <row r="3" spans="1:5" ht="16.5">
      <c r="A3" s="25"/>
      <c r="B3" s="26"/>
      <c r="C3" s="26"/>
      <c r="D3" s="26"/>
      <c r="E3" s="26"/>
    </row>
    <row r="4" spans="1:5" ht="16.5">
      <c r="A4" s="82" t="s">
        <v>179</v>
      </c>
      <c r="B4" s="82"/>
      <c r="C4" s="82"/>
      <c r="D4" s="82"/>
      <c r="E4" s="82"/>
    </row>
    <row r="5" spans="1:5" ht="16.5">
      <c r="A5" s="82" t="s">
        <v>144</v>
      </c>
      <c r="B5" s="82"/>
      <c r="C5" s="82"/>
      <c r="D5" s="82"/>
      <c r="E5" s="82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53</v>
      </c>
      <c r="D10" s="62" t="s">
        <v>0</v>
      </c>
      <c r="E10" s="32" t="str">
        <f>C10</f>
        <v>31 DEC</v>
      </c>
    </row>
    <row r="11" spans="1:5" ht="16.5">
      <c r="A11" s="19"/>
      <c r="B11" s="18"/>
      <c r="C11" s="30">
        <v>2016</v>
      </c>
      <c r="D11" s="18"/>
      <c r="E11" s="30">
        <v>2015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'P&amp;L'!G29</f>
        <v>18610.681019999993</v>
      </c>
      <c r="D14" s="18"/>
      <c r="E14" s="64">
        <f>'P&amp;L'!I29</f>
        <v>18233</v>
      </c>
    </row>
    <row r="15" spans="1:8" ht="16.5" hidden="1">
      <c r="A15" s="19" t="s">
        <v>85</v>
      </c>
      <c r="B15" s="18"/>
      <c r="C15" s="63">
        <v>0</v>
      </c>
      <c r="D15" s="18"/>
      <c r="E15" s="64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147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37">
        <v>-1338.79638</v>
      </c>
      <c r="D18" s="37"/>
      <c r="E18" s="37">
        <f>'[2]SUMMARY'!$F$22</f>
        <v>1732.789</v>
      </c>
    </row>
    <row r="19" spans="1:5" ht="16.5">
      <c r="A19" s="18" t="s">
        <v>36</v>
      </c>
      <c r="B19" s="18"/>
      <c r="C19" s="37">
        <v>-3017.39486</v>
      </c>
      <c r="D19" s="37"/>
      <c r="E19" s="37">
        <f>'[2]SUMMARY'!$F$32+0.5</f>
        <v>-4015.1569999999997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167</v>
      </c>
      <c r="B21" s="18"/>
      <c r="C21" s="64">
        <f>SUM(C14:C19)+0.5</f>
        <v>14254.989779999993</v>
      </c>
      <c r="D21" s="37"/>
      <c r="E21" s="64">
        <f>SUM(E14:E19)</f>
        <v>15950.632000000001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4633.757779999998</v>
      </c>
      <c r="D24" s="37"/>
      <c r="E24" s="37">
        <f>'[2]SUMMARY'!F41</f>
        <v>-28457.575999999997</v>
      </c>
    </row>
    <row r="25" spans="1:5" ht="16.5">
      <c r="A25" s="18" t="s">
        <v>35</v>
      </c>
      <c r="B25" s="18"/>
      <c r="C25" s="37">
        <v>-4012.421389999999</v>
      </c>
      <c r="D25" s="37"/>
      <c r="E25" s="37">
        <f>'[2]SUMMARY'!F43</f>
        <v>1159.668</v>
      </c>
    </row>
    <row r="26" spans="1:5" ht="16.5">
      <c r="A26" s="18" t="s">
        <v>39</v>
      </c>
      <c r="B26" s="18"/>
      <c r="C26" s="37">
        <v>223.44652999999997</v>
      </c>
      <c r="D26" s="37"/>
      <c r="E26" s="37">
        <f>'[2]SUMMARY'!F45</f>
        <v>148.476</v>
      </c>
    </row>
    <row r="27" spans="1:5" ht="16.5">
      <c r="A27" s="18" t="s">
        <v>54</v>
      </c>
      <c r="B27" s="18"/>
      <c r="C27" s="37">
        <v>-2806.522</v>
      </c>
      <c r="D27" s="37"/>
      <c r="E27" s="37">
        <f>'[2]SUMMARY'!F46</f>
        <v>-7016.305</v>
      </c>
    </row>
    <row r="28" spans="1:5" ht="16.5" hidden="1">
      <c r="A28" s="18" t="s">
        <v>148</v>
      </c>
      <c r="B28" s="18"/>
      <c r="C28" s="37">
        <v>0</v>
      </c>
      <c r="D28" s="37"/>
      <c r="E28" s="80">
        <f>'[2]SUMMARY'!F48+0.379</f>
        <v>0</v>
      </c>
    </row>
    <row r="29" spans="1:7" ht="16.5">
      <c r="A29" s="18" t="s">
        <v>172</v>
      </c>
      <c r="B29" s="18"/>
      <c r="C29" s="37">
        <v>-5520.7575</v>
      </c>
      <c r="D29" s="37"/>
      <c r="E29" s="37">
        <f>'[2]SUMMARY'!F47</f>
        <v>-5864.016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185</v>
      </c>
      <c r="B31" s="18"/>
      <c r="C31" s="65">
        <f>SUM(C21:C29)</f>
        <v>6772.49319999999</v>
      </c>
      <c r="D31" s="37"/>
      <c r="E31" s="65">
        <f>SUM(E21:E29)</f>
        <v>-24079.120999999996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>
      <c r="A34" s="18" t="s">
        <v>155</v>
      </c>
      <c r="B34" s="18"/>
      <c r="C34" s="37">
        <v>2139.68089</v>
      </c>
      <c r="D34" s="37"/>
      <c r="E34" s="37">
        <f>'[2]SUMMARY'!F57</f>
        <v>2521.324</v>
      </c>
    </row>
    <row r="35" spans="1:5" ht="16.5">
      <c r="A35" s="18" t="s">
        <v>161</v>
      </c>
      <c r="B35" s="18"/>
      <c r="C35" s="37">
        <v>0.7935699999998324</v>
      </c>
      <c r="D35" s="37"/>
      <c r="E35" s="37">
        <f>'[2]SUMMARY'!F55</f>
        <v>0</v>
      </c>
    </row>
    <row r="36" spans="1:5" ht="16.5" hidden="1">
      <c r="A36" s="18" t="s">
        <v>115</v>
      </c>
      <c r="B36" s="18"/>
      <c r="C36" s="37">
        <v>0</v>
      </c>
      <c r="D36" s="37"/>
      <c r="E36" s="37">
        <f>'[2]SUMMARY'!E56</f>
        <v>0</v>
      </c>
    </row>
    <row r="37" spans="1:5" ht="16.5" hidden="1">
      <c r="A37" s="18" t="s">
        <v>90</v>
      </c>
      <c r="B37" s="18"/>
      <c r="C37" s="37">
        <v>0</v>
      </c>
      <c r="D37" s="37"/>
      <c r="E37" s="37">
        <v>0</v>
      </c>
    </row>
    <row r="38" spans="1:5" ht="16.5">
      <c r="A38" s="18" t="s">
        <v>124</v>
      </c>
      <c r="B38" s="18"/>
      <c r="C38" s="37">
        <v>37.5</v>
      </c>
      <c r="D38" s="37"/>
      <c r="E38" s="37">
        <f>'[2]SUMMARY'!F59</f>
        <v>0</v>
      </c>
    </row>
    <row r="39" spans="1:5" ht="16.5">
      <c r="A39" s="18" t="s">
        <v>173</v>
      </c>
      <c r="B39" s="18"/>
      <c r="C39" s="52">
        <v>0</v>
      </c>
      <c r="D39" s="37"/>
      <c r="E39" s="37">
        <f>'[2]SUMMARY'!F58</f>
        <v>47.3</v>
      </c>
    </row>
    <row r="40" spans="1:5" ht="16.5">
      <c r="A40" s="18" t="s">
        <v>184</v>
      </c>
      <c r="B40" s="18"/>
      <c r="C40" s="37">
        <v>21168.07172</v>
      </c>
      <c r="D40" s="37"/>
      <c r="E40" s="37">
        <f>'[2]SUMMARY'!F60</f>
        <v>0</v>
      </c>
    </row>
    <row r="41" spans="1:10" ht="15.75" customHeight="1">
      <c r="A41" s="18" t="s">
        <v>174</v>
      </c>
      <c r="B41" s="18"/>
      <c r="C41" s="37">
        <v>33025.45647999999</v>
      </c>
      <c r="D41" s="37"/>
      <c r="E41" s="37">
        <f>'[2]SUMMARY'!F61</f>
        <v>20830.776</v>
      </c>
      <c r="H41" s="37"/>
      <c r="J41" s="37"/>
    </row>
    <row r="42" spans="1:5" ht="15.75" customHeight="1">
      <c r="A42" s="18" t="s">
        <v>127</v>
      </c>
      <c r="B42" s="18"/>
      <c r="C42" s="37">
        <v>5.246100000000002</v>
      </c>
      <c r="D42" s="37"/>
      <c r="E42" s="37">
        <f>'[2]SUMMARY'!F71</f>
        <v>0</v>
      </c>
    </row>
    <row r="43" spans="1:5" ht="16.5">
      <c r="A43" s="18" t="s">
        <v>175</v>
      </c>
      <c r="B43" s="18"/>
      <c r="C43" s="37">
        <v>-323.10828000000026</v>
      </c>
      <c r="D43" s="37"/>
      <c r="E43" s="37">
        <f>'[2]SUMMARY'!F62</f>
        <v>-1158.48</v>
      </c>
    </row>
    <row r="44" spans="1:5" ht="16.5">
      <c r="A44" s="18" t="s">
        <v>0</v>
      </c>
      <c r="B44" s="18"/>
      <c r="C44" s="37" t="s">
        <v>0</v>
      </c>
      <c r="D44" s="37"/>
      <c r="E44" s="37"/>
    </row>
    <row r="45" spans="1:5" ht="16.5">
      <c r="A45" s="19" t="s">
        <v>168</v>
      </c>
      <c r="B45" s="18"/>
      <c r="C45" s="65">
        <f>SUM(C34:C44)</f>
        <v>56053.640479999995</v>
      </c>
      <c r="D45" s="37"/>
      <c r="E45" s="65">
        <f>SUM(E34:E44)</f>
        <v>22240.920000000002</v>
      </c>
    </row>
    <row r="46" spans="1:5" ht="16.5">
      <c r="A46" s="18"/>
      <c r="B46" s="18"/>
      <c r="C46" s="37"/>
      <c r="D46" s="37"/>
      <c r="E46" s="37"/>
    </row>
    <row r="47" spans="1:5" ht="16.5">
      <c r="A47" s="18" t="s">
        <v>37</v>
      </c>
      <c r="B47" s="18"/>
      <c r="C47" s="37" t="s">
        <v>0</v>
      </c>
      <c r="D47" s="37"/>
      <c r="E47" s="37"/>
    </row>
    <row r="48" spans="1:5" ht="16.5">
      <c r="A48" s="18" t="s">
        <v>83</v>
      </c>
      <c r="B48" s="18"/>
      <c r="C48" s="37">
        <v>-27.14116000000003</v>
      </c>
      <c r="D48" s="37"/>
      <c r="E48" s="37">
        <f>'[2]SUMMARY'!F68</f>
        <v>-26.951</v>
      </c>
    </row>
    <row r="49" spans="1:5" ht="16.5" hidden="1">
      <c r="A49" s="18" t="s">
        <v>125</v>
      </c>
      <c r="B49" s="18"/>
      <c r="C49" s="37">
        <v>0</v>
      </c>
      <c r="D49" s="37"/>
      <c r="E49" s="37">
        <f>'[2]SUMMARY'!E69</f>
        <v>0</v>
      </c>
    </row>
    <row r="50" spans="1:5" ht="16.5" hidden="1">
      <c r="A50" s="18" t="s">
        <v>126</v>
      </c>
      <c r="B50" s="18"/>
      <c r="C50" s="37">
        <v>0</v>
      </c>
      <c r="D50" s="37"/>
      <c r="E50" s="37">
        <f>'[2]SUMMARY'!E72</f>
        <v>0</v>
      </c>
    </row>
    <row r="51" spans="1:5" ht="16.5">
      <c r="A51" s="18" t="s">
        <v>128</v>
      </c>
      <c r="B51" s="18"/>
      <c r="C51" s="37">
        <v>-116.28951</v>
      </c>
      <c r="D51" s="37"/>
      <c r="E51" s="37">
        <f>'[2]SUMMARY'!F73</f>
        <v>-145.373</v>
      </c>
    </row>
    <row r="52" spans="1:5" ht="16.5">
      <c r="A52" s="18" t="s">
        <v>38</v>
      </c>
      <c r="B52" s="18"/>
      <c r="C52" s="37">
        <v>-21.51548999999999</v>
      </c>
      <c r="D52" s="37"/>
      <c r="E52" s="37">
        <f>'[2]SUMMARY'!F70</f>
        <v>-21.907</v>
      </c>
    </row>
    <row r="53" spans="1:5" ht="16.5" hidden="1">
      <c r="A53" s="18" t="s">
        <v>162</v>
      </c>
      <c r="B53" s="18"/>
      <c r="C53" s="37">
        <v>0</v>
      </c>
      <c r="D53" s="37"/>
      <c r="E53" s="37">
        <v>0</v>
      </c>
    </row>
    <row r="54" spans="1:5" ht="12" customHeight="1">
      <c r="A54" s="18"/>
      <c r="B54" s="18"/>
      <c r="C54" s="37"/>
      <c r="D54" s="37"/>
      <c r="E54" s="37"/>
    </row>
    <row r="55" spans="1:5" ht="16.5">
      <c r="A55" s="19" t="s">
        <v>154</v>
      </c>
      <c r="B55" s="18"/>
      <c r="C55" s="65">
        <f>SUM(C48:C54)</f>
        <v>-164.94616000000005</v>
      </c>
      <c r="D55" s="64"/>
      <c r="E55" s="65">
        <f>SUM(E48:E54)</f>
        <v>-194.231</v>
      </c>
    </row>
    <row r="56" spans="1:5" ht="16.5">
      <c r="A56" s="19"/>
      <c r="B56" s="18"/>
      <c r="C56" s="66" t="s">
        <v>0</v>
      </c>
      <c r="D56" s="37"/>
      <c r="E56" s="37"/>
    </row>
    <row r="57" spans="1:5" ht="16.5">
      <c r="A57" s="19" t="s">
        <v>178</v>
      </c>
      <c r="B57" s="18"/>
      <c r="C57" s="64">
        <f>C31+C45+C55</f>
        <v>62661.187519999985</v>
      </c>
      <c r="D57" s="37"/>
      <c r="E57" s="64">
        <f>E31+E45+E55</f>
        <v>-2032.4319999999936</v>
      </c>
    </row>
    <row r="58" spans="1:5" ht="16.5">
      <c r="A58" s="18" t="s">
        <v>49</v>
      </c>
      <c r="B58" s="18"/>
      <c r="C58" s="18" t="s">
        <v>0</v>
      </c>
      <c r="D58" s="37"/>
      <c r="E58" s="37"/>
    </row>
    <row r="59" spans="1:5" ht="16.5">
      <c r="A59" s="67" t="s">
        <v>50</v>
      </c>
      <c r="B59" s="18"/>
      <c r="C59" s="37">
        <v>4059.1779100000003</v>
      </c>
      <c r="D59" s="37"/>
      <c r="E59" s="37">
        <f>'[2]SUMMARY'!F82</f>
        <v>6091.379</v>
      </c>
    </row>
    <row r="60" spans="1:5" ht="9" customHeight="1">
      <c r="A60" s="19"/>
      <c r="B60" s="18"/>
      <c r="C60" s="18"/>
      <c r="D60" s="37"/>
      <c r="E60" s="37"/>
    </row>
    <row r="61" spans="1:5" ht="17.25" thickBot="1">
      <c r="A61" s="19" t="s">
        <v>94</v>
      </c>
      <c r="B61" s="18"/>
      <c r="C61" s="68">
        <f>SUM(C57:C60)-0.5</f>
        <v>66719.86542999999</v>
      </c>
      <c r="D61" s="37"/>
      <c r="E61" s="56">
        <f>SUM(E57:E60)</f>
        <v>4058.9470000000065</v>
      </c>
    </row>
    <row r="62" spans="1:5" ht="17.25" thickTop="1">
      <c r="A62" s="19"/>
      <c r="B62" s="18"/>
      <c r="C62" s="35"/>
      <c r="D62" s="37"/>
      <c r="E62" s="37"/>
    </row>
    <row r="63" spans="1:5" ht="16.5">
      <c r="A63" s="19" t="s">
        <v>41</v>
      </c>
      <c r="B63" s="18"/>
      <c r="C63" s="18"/>
      <c r="D63" s="37"/>
      <c r="E63" s="37"/>
    </row>
    <row r="64" spans="1:5" ht="16.5">
      <c r="A64" s="18" t="s">
        <v>42</v>
      </c>
      <c r="B64" s="18"/>
      <c r="C64" s="37">
        <v>20888.63871</v>
      </c>
      <c r="D64" s="37"/>
      <c r="E64" s="37">
        <f>'[2]SUMMARY'!F92</f>
        <v>3175.09</v>
      </c>
    </row>
    <row r="65" spans="1:5" ht="16.5">
      <c r="A65" s="18" t="s">
        <v>87</v>
      </c>
      <c r="B65" s="18"/>
      <c r="C65" s="37">
        <v>46690.440819999996</v>
      </c>
      <c r="D65" s="37"/>
      <c r="E65" s="37">
        <f>'[2]SUMMARY'!F93</f>
        <v>1715.458</v>
      </c>
    </row>
    <row r="66" spans="1:5" ht="16.5" hidden="1">
      <c r="A66" s="18" t="s">
        <v>150</v>
      </c>
      <c r="B66" s="18"/>
      <c r="C66" s="37">
        <f>'[2]SUMMARY'!C94</f>
        <v>0</v>
      </c>
      <c r="D66" s="37"/>
      <c r="E66" s="37">
        <v>0</v>
      </c>
    </row>
    <row r="67" spans="1:5" ht="7.5" customHeight="1">
      <c r="A67" s="18" t="s">
        <v>0</v>
      </c>
      <c r="B67" s="18"/>
      <c r="C67" s="39" t="s">
        <v>0</v>
      </c>
      <c r="D67" s="37"/>
      <c r="E67" s="39" t="s">
        <v>0</v>
      </c>
    </row>
    <row r="68" spans="1:5" ht="16.5">
      <c r="A68" s="18"/>
      <c r="B68" s="18"/>
      <c r="C68" s="37">
        <f>SUM(C64:C67)</f>
        <v>67579.07952999999</v>
      </c>
      <c r="D68" s="37"/>
      <c r="E68" s="37">
        <f>SUM(E64:E67)-0.5</f>
        <v>4890.048000000001</v>
      </c>
    </row>
    <row r="69" spans="1:5" ht="16.5">
      <c r="A69" s="18" t="s">
        <v>84</v>
      </c>
      <c r="B69" s="18"/>
      <c r="C69" s="37">
        <v>-858.51016</v>
      </c>
      <c r="D69" s="37"/>
      <c r="E69" s="37">
        <f>'[2]SUMMARY'!F97</f>
        <v>-831.369</v>
      </c>
    </row>
    <row r="70" spans="1:5" ht="17.25" thickBot="1">
      <c r="A70" s="19" t="s">
        <v>49</v>
      </c>
      <c r="B70" s="18"/>
      <c r="C70" s="56">
        <f>SUM(C68:C69)-0.5</f>
        <v>66720.06936999998</v>
      </c>
      <c r="D70" s="37"/>
      <c r="E70" s="56">
        <f>SUM(E68:E69)</f>
        <v>4058.6790000000005</v>
      </c>
    </row>
    <row r="71" spans="1:5" ht="17.25" thickTop="1">
      <c r="A71" s="19"/>
      <c r="B71" s="18"/>
      <c r="C71" s="18" t="s">
        <v>0</v>
      </c>
      <c r="D71" s="18"/>
      <c r="E71" s="18"/>
    </row>
    <row r="72" spans="1:5" ht="16.5">
      <c r="A72" s="19"/>
      <c r="B72" s="18"/>
      <c r="C72" s="18" t="s">
        <v>0</v>
      </c>
      <c r="D72" s="18"/>
      <c r="E72" s="18"/>
    </row>
    <row r="73" spans="1:5" ht="16.5">
      <c r="A73" s="19" t="s">
        <v>145</v>
      </c>
      <c r="B73" s="18"/>
      <c r="C73" s="18"/>
      <c r="D73" s="18"/>
      <c r="E73" s="18"/>
    </row>
    <row r="74" spans="1:5" ht="16.5">
      <c r="A74" s="19" t="s">
        <v>159</v>
      </c>
      <c r="B74" s="18"/>
      <c r="C74" s="18"/>
      <c r="D74" s="18"/>
      <c r="E74" s="18"/>
    </row>
    <row r="75" spans="1:5" ht="16.5">
      <c r="A75" s="31"/>
      <c r="B75" s="31"/>
      <c r="C75" s="31"/>
      <c r="D75" s="31"/>
      <c r="E75" s="31"/>
    </row>
    <row r="76" spans="1:5" ht="16.5">
      <c r="A76" s="31"/>
      <c r="B76" s="31"/>
      <c r="C76" s="31"/>
      <c r="D76" s="31"/>
      <c r="E76" s="31"/>
    </row>
    <row r="83" ht="16.5">
      <c r="A83" s="19"/>
    </row>
    <row r="84" ht="16.5">
      <c r="A84" s="19"/>
    </row>
    <row r="85" ht="16.5">
      <c r="A85" s="19"/>
    </row>
    <row r="86" ht="16.5">
      <c r="A86" s="19"/>
    </row>
    <row r="87" ht="16.5">
      <c r="A87" s="19"/>
    </row>
    <row r="94" ht="12.75">
      <c r="E94" s="22" t="s">
        <v>0</v>
      </c>
    </row>
    <row r="103" ht="12.75">
      <c r="C103" t="s">
        <v>0</v>
      </c>
    </row>
    <row r="104" ht="12.75">
      <c r="E104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51">
      <selection activeCell="A1" sqref="A1:K1"/>
    </sheetView>
  </sheetViews>
  <sheetFormatPr defaultColWidth="9.140625" defaultRowHeight="12.75"/>
  <cols>
    <col min="1" max="1" width="27.140625" style="0" customWidth="1"/>
    <col min="2" max="2" width="2.421875" style="0" customWidth="1"/>
    <col min="3" max="3" width="11.140625" style="0" customWidth="1"/>
    <col min="4" max="4" width="10.42187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6.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2" t="s">
        <v>179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6.5">
      <c r="A6" s="82" t="s">
        <v>30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2" t="s">
        <v>176</v>
      </c>
      <c r="D8" s="82"/>
      <c r="E8" s="82"/>
      <c r="F8" s="82"/>
      <c r="G8" s="82"/>
      <c r="H8" s="82"/>
      <c r="I8" s="82"/>
      <c r="J8" s="30"/>
      <c r="K8" s="30"/>
    </row>
    <row r="9" spans="1:11" ht="16.5">
      <c r="A9" s="30"/>
      <c r="B9" s="30"/>
      <c r="C9" s="82" t="s">
        <v>96</v>
      </c>
      <c r="D9" s="82"/>
      <c r="E9" s="82"/>
      <c r="F9" s="82"/>
      <c r="G9" s="82"/>
      <c r="H9" s="82"/>
      <c r="I9" s="82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137</v>
      </c>
      <c r="G11" s="30" t="s">
        <v>105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138</v>
      </c>
      <c r="G12" s="30" t="s">
        <v>106</v>
      </c>
      <c r="H12" s="30" t="s">
        <v>0</v>
      </c>
      <c r="I12" s="30"/>
      <c r="J12" s="30" t="s">
        <v>122</v>
      </c>
      <c r="K12" s="31"/>
    </row>
    <row r="13" spans="1:11" ht="16.5">
      <c r="A13" s="18"/>
      <c r="B13" s="18"/>
      <c r="C13" s="57" t="s">
        <v>102</v>
      </c>
      <c r="D13" s="30" t="s">
        <v>102</v>
      </c>
      <c r="E13" s="30" t="s">
        <v>40</v>
      </c>
      <c r="F13" s="30" t="s">
        <v>139</v>
      </c>
      <c r="G13" s="57" t="s">
        <v>107</v>
      </c>
      <c r="H13" s="57" t="s">
        <v>109</v>
      </c>
      <c r="I13" s="57"/>
      <c r="J13" s="57" t="s">
        <v>123</v>
      </c>
      <c r="K13" s="57" t="s">
        <v>111</v>
      </c>
    </row>
    <row r="14" spans="1:11" ht="16.5">
      <c r="A14" s="18" t="s">
        <v>0</v>
      </c>
      <c r="B14" s="18"/>
      <c r="C14" s="30" t="s">
        <v>103</v>
      </c>
      <c r="D14" s="30" t="s">
        <v>104</v>
      </c>
      <c r="E14" s="57" t="s">
        <v>5</v>
      </c>
      <c r="F14" s="30" t="s">
        <v>140</v>
      </c>
      <c r="G14" s="57" t="s">
        <v>108</v>
      </c>
      <c r="H14" s="57" t="s">
        <v>110</v>
      </c>
      <c r="I14" s="57" t="s">
        <v>111</v>
      </c>
      <c r="J14" s="57" t="s">
        <v>112</v>
      </c>
      <c r="K14" s="57" t="s">
        <v>113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183</v>
      </c>
      <c r="B17" s="18"/>
      <c r="C17" s="37">
        <v>140326</v>
      </c>
      <c r="D17" s="37">
        <v>28715</v>
      </c>
      <c r="E17" s="37">
        <v>0</v>
      </c>
      <c r="F17" s="37">
        <v>11</v>
      </c>
      <c r="G17" s="37">
        <v>0</v>
      </c>
      <c r="H17" s="37">
        <v>-21578</v>
      </c>
      <c r="I17" s="37">
        <f>SUM(C17:H17)</f>
        <v>147474</v>
      </c>
      <c r="J17" s="37">
        <v>628</v>
      </c>
      <c r="K17" s="37">
        <f>SUM(I17:J17)</f>
        <v>148102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135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141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171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146</v>
      </c>
      <c r="B23" s="18"/>
      <c r="C23" s="37">
        <v>0</v>
      </c>
      <c r="D23" s="37">
        <v>0</v>
      </c>
      <c r="E23" s="37">
        <v>0</v>
      </c>
      <c r="F23" s="37">
        <f>'P&amp;L'!E40*0.49</f>
        <v>1.47</v>
      </c>
      <c r="G23" s="37">
        <v>0</v>
      </c>
      <c r="H23" s="37">
        <f>'P&amp;L'!E46-EQUITY!H20</f>
        <v>9673</v>
      </c>
      <c r="I23" s="37">
        <f>SUM(C23:H23)</f>
        <v>9674.47</v>
      </c>
      <c r="J23" s="37">
        <f>'P&amp;L'!E47+'P&amp;L'!E40*0.49+0.5</f>
        <v>122.97</v>
      </c>
      <c r="K23" s="37">
        <f>SUM(I23:J23)</f>
        <v>9797.439999999999</v>
      </c>
    </row>
    <row r="24" spans="1:11" ht="16.5" hidden="1">
      <c r="A24" s="18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6.5" hidden="1">
      <c r="A25" s="18" t="s">
        <v>157</v>
      </c>
      <c r="B25" s="18"/>
      <c r="C25" s="37"/>
      <c r="D25" s="37"/>
      <c r="E25" s="37"/>
      <c r="F25" s="37"/>
      <c r="G25" s="37"/>
      <c r="H25" s="37">
        <v>0</v>
      </c>
      <c r="I25" s="37">
        <f>SUM(C25:H25)</f>
        <v>0</v>
      </c>
      <c r="J25" s="37"/>
      <c r="K25" s="37">
        <f>SUM(I25:J25)</f>
        <v>0</v>
      </c>
    </row>
    <row r="26" spans="1:11" ht="9.75" customHeight="1">
      <c r="A26" s="19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thickBot="1">
      <c r="A27" s="19" t="s">
        <v>182</v>
      </c>
      <c r="B27" s="18"/>
      <c r="C27" s="49">
        <f aca="true" t="shared" si="0" ref="C27:J27">SUM(C17:C26)</f>
        <v>140326</v>
      </c>
      <c r="D27" s="49">
        <f t="shared" si="0"/>
        <v>28715</v>
      </c>
      <c r="E27" s="49">
        <f t="shared" si="0"/>
        <v>0</v>
      </c>
      <c r="F27" s="49">
        <f>SUM(F17:F26)</f>
        <v>12.47</v>
      </c>
      <c r="G27" s="49">
        <f t="shared" si="0"/>
        <v>0</v>
      </c>
      <c r="H27" s="49">
        <f t="shared" si="0"/>
        <v>-11905</v>
      </c>
      <c r="I27" s="49">
        <f>SUM(I17:I26)</f>
        <v>157148.47</v>
      </c>
      <c r="J27" s="49">
        <f t="shared" si="0"/>
        <v>750.97</v>
      </c>
      <c r="K27" s="49">
        <f>SUM(K17:K26)</f>
        <v>157899.44</v>
      </c>
    </row>
    <row r="28" spans="1:11" ht="17.25" thickTop="1">
      <c r="A28" s="19"/>
      <c r="B28" s="18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75" customHeight="1">
      <c r="A29" s="19"/>
      <c r="B29" s="18"/>
      <c r="C29" s="37"/>
      <c r="D29" s="37"/>
      <c r="E29" s="37"/>
      <c r="F29" s="37"/>
      <c r="G29" s="59"/>
      <c r="H29" s="59"/>
      <c r="I29" s="59"/>
      <c r="J29" s="59" t="s">
        <v>0</v>
      </c>
      <c r="K29" s="59"/>
    </row>
    <row r="30" spans="1:11" ht="16.5">
      <c r="A30" s="19" t="s">
        <v>180</v>
      </c>
      <c r="B30" s="18"/>
      <c r="C30" s="37">
        <v>140326.1</v>
      </c>
      <c r="D30" s="37">
        <v>28715.448</v>
      </c>
      <c r="E30" s="37">
        <v>0</v>
      </c>
      <c r="F30" s="37">
        <v>15.0863263</v>
      </c>
      <c r="G30" s="37">
        <v>0</v>
      </c>
      <c r="H30" s="37">
        <f>-3361.733-1</f>
        <v>-3362.733</v>
      </c>
      <c r="I30" s="37">
        <f>SUM(C30:H30)-0.5</f>
        <v>165693.4013263</v>
      </c>
      <c r="J30" s="37">
        <f>2118.1115637-1</f>
        <v>2117.1115637</v>
      </c>
      <c r="K30" s="37">
        <f>SUM(I30:J30)-0.5</f>
        <v>167810.01288999998</v>
      </c>
    </row>
    <row r="31" spans="1:11" ht="16.5" hidden="1">
      <c r="A31" s="19"/>
      <c r="B31" s="18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6.5" hidden="1">
      <c r="A32" s="18" t="s">
        <v>101</v>
      </c>
      <c r="B32" s="18"/>
      <c r="C32" s="37"/>
      <c r="D32" s="37"/>
      <c r="E32" s="37"/>
      <c r="F32" s="37"/>
      <c r="G32" s="37"/>
      <c r="H32" s="60">
        <v>0</v>
      </c>
      <c r="I32" s="37">
        <f>SUM(C32:H32)</f>
        <v>0</v>
      </c>
      <c r="J32" s="37"/>
      <c r="K32" s="37">
        <f>SUM(I32:J32)</f>
        <v>0</v>
      </c>
    </row>
    <row r="33" spans="1:11" ht="16.5" hidden="1">
      <c r="A33" s="19"/>
      <c r="B33" s="18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hidden="1">
      <c r="A34" s="19" t="s">
        <v>114</v>
      </c>
      <c r="B34" s="18"/>
      <c r="C34" s="37">
        <f aca="true" t="shared" si="1" ref="C34:K34">SUM(C30:C33)</f>
        <v>140326.1</v>
      </c>
      <c r="D34" s="37">
        <f t="shared" si="1"/>
        <v>28715.448</v>
      </c>
      <c r="E34" s="37">
        <f t="shared" si="1"/>
        <v>0</v>
      </c>
      <c r="F34" s="37">
        <f t="shared" si="1"/>
        <v>15.0863263</v>
      </c>
      <c r="G34" s="37">
        <f t="shared" si="1"/>
        <v>0</v>
      </c>
      <c r="H34" s="37">
        <f t="shared" si="1"/>
        <v>-3362.733</v>
      </c>
      <c r="I34" s="37">
        <f t="shared" si="1"/>
        <v>165693.4013263</v>
      </c>
      <c r="J34" s="37">
        <f t="shared" si="1"/>
        <v>2117.1115637</v>
      </c>
      <c r="K34" s="37">
        <f t="shared" si="1"/>
        <v>167810.01288999998</v>
      </c>
    </row>
    <row r="35" spans="1:11" ht="9" customHeight="1">
      <c r="A35" s="19"/>
      <c r="B35" s="18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6.5" hidden="1">
      <c r="A36" s="18" t="s">
        <v>135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 hidden="1">
      <c r="A37" s="18" t="s">
        <v>141</v>
      </c>
      <c r="B37" s="18"/>
      <c r="C37" s="37">
        <v>0</v>
      </c>
      <c r="D37" s="59">
        <v>0</v>
      </c>
      <c r="E37" s="37"/>
      <c r="F37" s="37">
        <v>0</v>
      </c>
      <c r="G37" s="59">
        <v>0</v>
      </c>
      <c r="H37" s="37">
        <v>0</v>
      </c>
      <c r="I37" s="37">
        <f>SUM(C37:H37)</f>
        <v>0</v>
      </c>
      <c r="J37" s="37">
        <v>0</v>
      </c>
      <c r="K37" s="37">
        <f>SUM(I37:J37)</f>
        <v>0</v>
      </c>
      <c r="M37" s="16"/>
    </row>
    <row r="38" spans="1:11" ht="16.5">
      <c r="A38" s="18" t="s">
        <v>186</v>
      </c>
      <c r="B38" s="18"/>
      <c r="C38" s="37"/>
      <c r="D38" s="37"/>
      <c r="E38" s="37"/>
      <c r="F38" s="37"/>
      <c r="G38" s="37"/>
      <c r="H38" s="37"/>
      <c r="I38" s="37"/>
      <c r="J38" s="37"/>
      <c r="K38" s="37"/>
    </row>
    <row r="39" spans="1:13" ht="16.5">
      <c r="A39" s="18" t="s">
        <v>187</v>
      </c>
      <c r="B39" s="18"/>
      <c r="C39" s="37">
        <v>0</v>
      </c>
      <c r="D39" s="37">
        <v>0</v>
      </c>
      <c r="E39" s="37">
        <v>0</v>
      </c>
      <c r="F39" s="37">
        <f>((-0.77271-5.79533+2.31817-1.54542)-(-0.77271-5.79533+2.31817))*0.51+(3.33815-6.12776)+0.5</f>
        <v>-3.0777742000000003</v>
      </c>
      <c r="G39" s="37">
        <v>0</v>
      </c>
      <c r="H39" s="69">
        <f>'P&amp;L'!C46</f>
        <v>1179</v>
      </c>
      <c r="I39" s="37">
        <f>SUM(C39:H39)</f>
        <v>1175.9222258</v>
      </c>
      <c r="J39" s="37">
        <f>'P&amp;L'!C54</f>
        <v>-62.7572558</v>
      </c>
      <c r="K39" s="37">
        <f>SUM(I39:J39)</f>
        <v>1113.16497</v>
      </c>
      <c r="M39" s="16"/>
    </row>
    <row r="40" spans="1:13" ht="16.5" hidden="1">
      <c r="A40" s="18"/>
      <c r="B40" s="18"/>
      <c r="C40" s="37"/>
      <c r="D40" s="37"/>
      <c r="E40" s="37"/>
      <c r="F40" s="69"/>
      <c r="G40" s="37"/>
      <c r="H40" s="69"/>
      <c r="I40" s="37"/>
      <c r="J40" s="37"/>
      <c r="K40" s="37"/>
      <c r="M40" s="16"/>
    </row>
    <row r="41" spans="1:13" ht="16.5" hidden="1">
      <c r="A41" s="18" t="s">
        <v>157</v>
      </c>
      <c r="B41" s="18"/>
      <c r="C41" s="37"/>
      <c r="D41" s="37"/>
      <c r="E41" s="37"/>
      <c r="F41" s="69"/>
      <c r="G41" s="37"/>
      <c r="H41" s="69">
        <v>0</v>
      </c>
      <c r="I41" s="37">
        <f>SUM(C41:H41)</f>
        <v>0</v>
      </c>
      <c r="J41" s="37"/>
      <c r="K41" s="37">
        <f>SUM(I41:J41)</f>
        <v>0</v>
      </c>
      <c r="M41" s="16"/>
    </row>
    <row r="42" spans="1:11" ht="9.75" customHeight="1">
      <c r="A42" s="18"/>
      <c r="B42" s="18"/>
      <c r="C42" s="37"/>
      <c r="D42" s="37"/>
      <c r="E42" s="59"/>
      <c r="F42" s="59"/>
      <c r="G42" s="37"/>
      <c r="H42" s="59"/>
      <c r="I42" s="59"/>
      <c r="J42" s="59"/>
      <c r="K42" s="59"/>
    </row>
    <row r="43" spans="1:11" ht="17.25" thickBot="1">
      <c r="A43" s="19" t="s">
        <v>181</v>
      </c>
      <c r="B43" s="18"/>
      <c r="C43" s="49">
        <f aca="true" t="shared" si="2" ref="C43:H43">SUM(C34:C42)</f>
        <v>140326.1</v>
      </c>
      <c r="D43" s="49">
        <f t="shared" si="2"/>
        <v>28715.448</v>
      </c>
      <c r="E43" s="49">
        <f t="shared" si="2"/>
        <v>0</v>
      </c>
      <c r="F43" s="61">
        <f t="shared" si="2"/>
        <v>12.0085521</v>
      </c>
      <c r="G43" s="49">
        <f t="shared" si="2"/>
        <v>0</v>
      </c>
      <c r="H43" s="49">
        <f t="shared" si="2"/>
        <v>-2183.733</v>
      </c>
      <c r="I43" s="49">
        <f>SUM(I34:I42)-0.5</f>
        <v>166868.8235521</v>
      </c>
      <c r="J43" s="49">
        <f>SUM(J34:J42)-0.5</f>
        <v>2053.8543078999996</v>
      </c>
      <c r="K43" s="49">
        <f>SUM(K34:K42)</f>
        <v>168923.17786</v>
      </c>
    </row>
    <row r="44" spans="1:13" ht="17.25" thickTop="1">
      <c r="A44" s="19"/>
      <c r="B44" s="18"/>
      <c r="C44" s="18"/>
      <c r="D44" s="18"/>
      <c r="E44" s="31"/>
      <c r="F44" s="31"/>
      <c r="G44" s="18"/>
      <c r="H44" s="31"/>
      <c r="I44" s="31"/>
      <c r="J44" s="31"/>
      <c r="K44" s="31" t="s">
        <v>0</v>
      </c>
      <c r="M44" s="16"/>
    </row>
    <row r="45" spans="1:11" ht="16.5">
      <c r="A45" s="19"/>
      <c r="B45" s="18"/>
      <c r="C45" s="18"/>
      <c r="D45" s="18"/>
      <c r="E45" s="31"/>
      <c r="F45" s="31"/>
      <c r="G45" s="18"/>
      <c r="H45" s="31" t="s">
        <v>0</v>
      </c>
      <c r="I45" s="31" t="s">
        <v>0</v>
      </c>
      <c r="J45" s="31" t="s">
        <v>0</v>
      </c>
      <c r="K45" s="31"/>
    </row>
    <row r="46" spans="1:11" ht="16.5">
      <c r="A46" s="31"/>
      <c r="B46" s="31"/>
      <c r="C46" s="31"/>
      <c r="D46" s="31"/>
      <c r="E46" s="31"/>
      <c r="F46" s="31"/>
      <c r="G46" s="31" t="s">
        <v>0</v>
      </c>
      <c r="H46" s="31" t="s">
        <v>0</v>
      </c>
      <c r="I46" s="31" t="s">
        <v>0</v>
      </c>
      <c r="J46" s="31"/>
      <c r="K46" s="31" t="s">
        <v>0</v>
      </c>
    </row>
    <row r="47" spans="1:11" ht="16.5">
      <c r="A47" s="18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6.5">
      <c r="A48" s="19" t="s">
        <v>152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6.5">
      <c r="A49" s="19" t="s">
        <v>159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6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9" ht="12.75">
      <c r="J59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7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2017-02-24T00:42:21Z</cp:lastPrinted>
  <dcterms:created xsi:type="dcterms:W3CDTF">1998-03-21T00:09:32Z</dcterms:created>
  <dcterms:modified xsi:type="dcterms:W3CDTF">2017-02-24T00:43:19Z</dcterms:modified>
  <cp:category/>
  <cp:version/>
  <cp:contentType/>
  <cp:contentStatus/>
</cp:coreProperties>
</file>