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'BS'!$A$1:$E$87</definedName>
    <definedName name="_xlnm.Print_Area" localSheetId="2">'CFLOW'!$A$1:$E$74</definedName>
    <definedName name="_xlnm.Print_Area" localSheetId="3">'EQUITY'!$A$1:$K$49</definedName>
    <definedName name="_xlnm.Print_Area" localSheetId="0">'P&amp;L'!$A$1:$J$75</definedName>
  </definedNames>
  <calcPr fullCalcOnLoad="1"/>
</workbook>
</file>

<file path=xl/sharedStrings.xml><?xml version="1.0" encoding="utf-8"?>
<sst xmlns="http://schemas.openxmlformats.org/spreadsheetml/2006/main" count="339" uniqueCount="185">
  <si>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</si>
  <si>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</si>
  <si>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</si>
  <si>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</si>
  <si>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</si>
  <si>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</si>
  <si>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</si>
  <si>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</si>
  <si>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</si>
  <si>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</si>
  <si>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</si>
  <si>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</si>
  <si>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</si>
  <si>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</si>
  <si>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</si>
  <si>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</si>
  <si>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</si>
  <si>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</si>
  <si>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</si>
  <si>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</si>
  <si>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</si>
  <si>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</si>
  <si>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</si>
  <si>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</si>
  <si>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</si>
  <si>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</si>
  <si>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</si>
  <si>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</si>
  <si>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</si>
  <si>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</si>
  <si>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</si>
  <si>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</si>
  <si>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</si>
  <si>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</si>
  <si>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</si>
  <si>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</si>
  <si>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</si>
  <si>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</si>
  <si>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</si>
  <si>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</si>
  <si>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</si>
  <si>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</si>
  <si>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</si>
  <si>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</si>
  <si>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</si>
  <si>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</si>
  <si>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</si>
  <si>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</si>
  <si>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</si>
  <si>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</si>
  <si>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</si>
  <si>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</si>
  <si>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</si>
  <si>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</si>
  <si>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</si>
  <si>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</si>
  <si>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</si>
  <si>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</si>
  <si>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</si>
  <si>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</si>
  <si>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</si>
  <si>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</si>
  <si>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</si>
  <si>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</si>
  <si>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</si>
  <si>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</si>
  <si>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</si>
  <si>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</si>
  <si>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</si>
  <si>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</si>
  <si>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</si>
  <si>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</si>
  <si>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</si>
  <si>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</si>
  <si>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</si>
  <si>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</si>
  <si>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</si>
  <si>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</si>
  <si>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</si>
  <si>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</si>
  <si>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</si>
  <si>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</si>
  <si>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</si>
  <si>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</si>
  <si>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</si>
  <si>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</si>
  <si>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</si>
  <si>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</si>
  <si>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 xml:space="preserve">     Proceeds from disposal of investment/subsidiaries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</si>
  <si>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</si>
  <si>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</si>
  <si>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</si>
  <si>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</si>
  <si>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</si>
  <si>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</si>
  <si>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</si>
  <si>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</si>
  <si>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</si>
  <si>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</si>
  <si>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</si>
  <si>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</si>
  <si>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</si>
  <si>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</si>
  <si>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</si>
  <si>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</si>
  <si>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</si>
  <si>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</si>
  <si>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</si>
  <si>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</si>
  <si>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</si>
  <si>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</si>
  <si>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</si>
  <si>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</si>
  <si>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</si>
  <si>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</si>
  <si>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</si>
  <si>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</si>
  <si>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</si>
  <si>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</si>
  <si>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</si>
  <si>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</si>
  <si>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</si>
  <si>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</si>
  <si>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</si>
  <si>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</si>
  <si>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</si>
  <si>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</si>
  <si>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</si>
  <si>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</si>
  <si>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</si>
  <si>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</si>
  <si>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</si>
  <si>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</si>
  <si>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</si>
  <si>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</si>
  <si>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</si>
  <si>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</si>
  <si>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</si>
  <si>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</si>
  <si>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</si>
  <si>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</si>
  <si>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</si>
  <si>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</si>
  <si>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</si>
  <si>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</si>
  <si>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</si>
  <si>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</si>
  <si>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</si>
  <si>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</si>
  <si>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</si>
  <si>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</si>
  <si>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TO EQUITY OWNERS OF THE COMPANY :</t>
  </si>
  <si>
    <t>NET CASH USED IN FINANCING ACTIVITIES</t>
  </si>
  <si>
    <t xml:space="preserve">     Investment income received</t>
  </si>
  <si>
    <t>DEFERRED TAX</t>
  </si>
  <si>
    <t>Dividend paid</t>
  </si>
  <si>
    <t>the Annual Financial Report for the financial year ended 31 December 2015.</t>
  </si>
  <si>
    <t>Annual Financial Report for the financial year ended 31 December 2015.</t>
  </si>
  <si>
    <t>(Based on 140,326,100 (2015:140,326,100)</t>
  </si>
  <si>
    <t xml:space="preserve">     Dividend received</t>
  </si>
  <si>
    <t xml:space="preserve">     Exchange loss</t>
  </si>
  <si>
    <t>NET CASH FROM/(USED IN) OPERATING ACTIVITIES</t>
  </si>
  <si>
    <t xml:space="preserve">PROFIT FOR THE FINANCIAL PERIOD </t>
  </si>
  <si>
    <t>PROFIT ATTRIBUTABLE TO :</t>
  </si>
  <si>
    <t>EARNINGS PER SHARE ATTRIBUTABLE</t>
  </si>
  <si>
    <t xml:space="preserve">Basic Earnings Per Ordinary Share (Sen) </t>
  </si>
  <si>
    <t>OPERATING PROFIT BEFORE CHANGES IN WORKING CAPITAL</t>
  </si>
  <si>
    <t>NET CASH FROM INVESTING ACTIVITIES</t>
  </si>
  <si>
    <t>TOTAL COMPREHENSIVE INCOME</t>
  </si>
  <si>
    <t>TRADE AND OTHER RECEIVABLES</t>
  </si>
  <si>
    <t>Total comprehensive income</t>
  </si>
  <si>
    <t xml:space="preserve">     Tax paid</t>
  </si>
  <si>
    <t xml:space="preserve">     Proceeds from disposal of property, plant and equipment</t>
  </si>
  <si>
    <t xml:space="preserve">     Redemption in short term investment </t>
  </si>
  <si>
    <t xml:space="preserve">     Purchase of property, plant and equipment</t>
  </si>
  <si>
    <t>UNAUDITED RESULTS OF THE GROUP FOR THE THIRD QUARTER ENDED 30 SEPTEMBER 2016</t>
  </si>
  <si>
    <t>30 SEPT</t>
  </si>
  <si>
    <t>Balance At 1 July 2015</t>
  </si>
  <si>
    <t>Balance At 30 Sept 2015</t>
  </si>
  <si>
    <t>Balance At 1 July 2016</t>
  </si>
  <si>
    <t>Balance At 30 Sept 2016</t>
  </si>
  <si>
    <t>&lt;------------   ATTRIBUTABLE TO OWNERS ----------- &gt;</t>
  </si>
  <si>
    <t>PROFIT FROM OPERATIONS</t>
  </si>
  <si>
    <t>Other Comprehensive Income/(Loss)</t>
  </si>
  <si>
    <t>NET INCREASE IN CASH AND CASH EQUIVALENTS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</si>
</sst>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Sept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Sept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1">
          <cell r="D11">
            <v>0</v>
          </cell>
        </row>
        <row r="104">
          <cell r="Z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55">
          <cell r="F55">
            <v>0</v>
          </cell>
        </row>
        <row r="56">
          <cell r="F56">
            <v>0</v>
          </cell>
        </row>
        <row r="58">
          <cell r="F58">
            <v>47.3</v>
          </cell>
        </row>
        <row r="59">
          <cell r="F59">
            <v>0</v>
          </cell>
        </row>
        <row r="68">
          <cell r="F68">
            <v>0</v>
          </cell>
        </row>
        <row r="71">
          <cell r="F71">
            <v>0</v>
          </cell>
        </row>
        <row r="93">
          <cell r="C93">
            <v>0</v>
          </cell>
        </row>
        <row r="96">
          <cell r="C96">
            <v>-851.9269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A1">
      <selection activeCell="A1" sqref="A1:J75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175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95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176</v>
      </c>
      <c r="E14" s="30"/>
      <c r="F14" s="32" t="str">
        <f>D14</f>
        <v>30 SEPT</v>
      </c>
      <c r="G14" s="19"/>
      <c r="H14" s="32" t="str">
        <f>F14</f>
        <v>30 SEPT</v>
      </c>
      <c r="I14" s="30"/>
      <c r="J14" s="32" t="str">
        <f>H14</f>
        <v>30 SEPT</v>
      </c>
    </row>
    <row r="15" spans="2:10" ht="16.5">
      <c r="B15" s="18"/>
      <c r="C15" s="18"/>
      <c r="D15" s="30">
        <v>2016</v>
      </c>
      <c r="E15" s="30"/>
      <c r="F15" s="30">
        <v>2015</v>
      </c>
      <c r="G15" s="30"/>
      <c r="H15" s="30">
        <v>2016</v>
      </c>
      <c r="I15" s="30"/>
      <c r="J15" s="30">
        <v>2015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33236-33080</f>
        <v>156</v>
      </c>
      <c r="E18" s="33"/>
      <c r="F18" s="33">
        <f>18716-6564</f>
        <v>12152</v>
      </c>
      <c r="G18" s="18"/>
      <c r="H18" s="33">
        <v>33235.997460000006</v>
      </c>
      <c r="I18" s="33"/>
      <c r="J18" s="34">
        <v>18716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-22711+22313</f>
        <v>-398</v>
      </c>
      <c r="E20" s="18"/>
      <c r="F20" s="37">
        <f>-16847+8408</f>
        <v>-8439</v>
      </c>
      <c r="G20" s="18"/>
      <c r="H20" s="37">
        <v>-22709.9007</v>
      </c>
      <c r="I20" s="18"/>
      <c r="J20" s="37">
        <v>-16847</v>
      </c>
    </row>
    <row r="21" spans="2:10" ht="16.5">
      <c r="B21" s="18" t="s">
        <v>132</v>
      </c>
      <c r="C21" s="31"/>
      <c r="D21" s="36">
        <f>2919-245</f>
        <v>2674</v>
      </c>
      <c r="E21" s="36"/>
      <c r="F21" s="36">
        <f>(3164-2759+150)-548</f>
        <v>7</v>
      </c>
      <c r="G21" s="31"/>
      <c r="H21" s="36">
        <v>2918.6576700000005</v>
      </c>
      <c r="I21" s="36"/>
      <c r="J21" s="37">
        <f>3164-2759</f>
        <v>405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182</v>
      </c>
      <c r="C23" s="31" t="s">
        <v>0</v>
      </c>
      <c r="D23" s="36">
        <f>SUM(D18:D22)</f>
        <v>2432</v>
      </c>
      <c r="E23" s="36"/>
      <c r="F23" s="37">
        <f>SUM(F18:F22)</f>
        <v>3720</v>
      </c>
      <c r="G23" s="31"/>
      <c r="H23" s="36">
        <f>SUM(H18:H22)+0.5</f>
        <v>13445.254430000008</v>
      </c>
      <c r="I23" s="36"/>
      <c r="J23" s="36">
        <f>SUM(J18:J22)</f>
        <v>2274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185-151</f>
        <v>34</v>
      </c>
      <c r="E25" s="36"/>
      <c r="F25" s="36">
        <f>103-84</f>
        <v>19</v>
      </c>
      <c r="G25" s="31"/>
      <c r="H25" s="36">
        <v>185.45627000000002</v>
      </c>
      <c r="I25" s="36"/>
      <c r="J25" s="37">
        <v>103</v>
      </c>
    </row>
    <row r="26" spans="2:10" ht="16.5">
      <c r="B26" s="18" t="s">
        <v>48</v>
      </c>
      <c r="C26" s="31"/>
      <c r="D26" s="36">
        <f>-15+9</f>
        <v>-6</v>
      </c>
      <c r="E26" s="36"/>
      <c r="F26" s="36">
        <f>-17+12</f>
        <v>-5</v>
      </c>
      <c r="G26" s="31"/>
      <c r="H26" s="36">
        <v>-14.78834999999998</v>
      </c>
      <c r="I26" s="36"/>
      <c r="J26" s="37">
        <v>-17</v>
      </c>
    </row>
    <row r="27" spans="2:10" ht="16.5">
      <c r="B27" s="18" t="s">
        <v>44</v>
      </c>
      <c r="C27" s="31"/>
      <c r="D27" s="37">
        <f>2440-1672</f>
        <v>768</v>
      </c>
      <c r="E27" s="36"/>
      <c r="F27" s="36">
        <f>2759-1774-150</f>
        <v>835</v>
      </c>
      <c r="G27" s="31"/>
      <c r="H27" s="37">
        <v>2440.17793</v>
      </c>
      <c r="I27" s="36"/>
      <c r="J27" s="36">
        <v>2759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26</v>
      </c>
      <c r="C29" s="31"/>
      <c r="D29" s="37">
        <f>SUM(D23:D28)</f>
        <v>3228</v>
      </c>
      <c r="E29" s="36"/>
      <c r="F29" s="36">
        <f>SUM(F23:F28)</f>
        <v>4569</v>
      </c>
      <c r="G29" s="31"/>
      <c r="H29" s="37">
        <f>SUM(H23:H28)-1</f>
        <v>16055.100280000008</v>
      </c>
      <c r="I29" s="36"/>
      <c r="J29" s="36">
        <f>SUM(J23:J28)</f>
        <v>5119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-3337+1961</f>
        <v>-1376</v>
      </c>
      <c r="E31" s="33"/>
      <c r="F31" s="42">
        <f>-1957+122</f>
        <v>-1835</v>
      </c>
      <c r="G31" s="18"/>
      <c r="H31" s="43">
        <v>-3336.6299999999997</v>
      </c>
      <c r="I31" s="33"/>
      <c r="J31" s="42">
        <v>-1957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86</v>
      </c>
      <c r="C33" s="31"/>
      <c r="D33" s="33">
        <f>SUM(D29:D32)</f>
        <v>1852</v>
      </c>
      <c r="E33" s="33"/>
      <c r="F33" s="33">
        <f>SUM(F29:F32)</f>
        <v>2734</v>
      </c>
      <c r="G33" s="35"/>
      <c r="H33" s="33">
        <f>SUM(H29:H32)</f>
        <v>12718.470280000009</v>
      </c>
      <c r="I33" s="33"/>
      <c r="J33" s="33">
        <f>SUM(J29:J32)</f>
        <v>3162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74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84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162</v>
      </c>
      <c r="C38" s="31"/>
      <c r="D38" s="44">
        <f>SUM(D33:D37)</f>
        <v>1852</v>
      </c>
      <c r="E38" s="44"/>
      <c r="F38" s="44">
        <f>SUM(F33:F37)</f>
        <v>2734</v>
      </c>
      <c r="G38" s="31"/>
      <c r="H38" s="45">
        <f>SUM(H33:H37)</f>
        <v>12718.470280000009</v>
      </c>
      <c r="I38" s="44"/>
      <c r="J38" s="44">
        <f>SUM(J33:J37)</f>
        <v>3162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183</v>
      </c>
      <c r="C40" s="31"/>
      <c r="D40" s="33">
        <f>((-0.77271-5.79533+2.31817)+(6.12776))-(-0.77271-5.79533)</f>
        <v>8.44593</v>
      </c>
      <c r="E40" s="33"/>
      <c r="F40" s="33">
        <f>3-7</f>
        <v>-4</v>
      </c>
      <c r="G40" s="31"/>
      <c r="H40" s="33">
        <f>(-0.77271-5.79533+2.31817)+(6.12776)</f>
        <v>1.8778900000000007</v>
      </c>
      <c r="I40" s="33"/>
      <c r="J40" s="33">
        <v>3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168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96</v>
      </c>
      <c r="C43" s="31"/>
      <c r="D43" s="46">
        <f>SUM(D38:D42)</f>
        <v>1860.44593</v>
      </c>
      <c r="E43" s="46"/>
      <c r="F43" s="46">
        <f>SUM(F38:F42)</f>
        <v>2730</v>
      </c>
      <c r="G43" s="31"/>
      <c r="H43" s="46">
        <f>SUM(H38:H42)</f>
        <v>12720.348170000008</v>
      </c>
      <c r="I43" s="46"/>
      <c r="J43" s="46">
        <f>SUM(J38:J42)</f>
        <v>3165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163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140</v>
      </c>
      <c r="C46" s="31"/>
      <c r="D46" s="37">
        <f>11349-9757</f>
        <v>1592</v>
      </c>
      <c r="E46" s="36"/>
      <c r="F46" s="36">
        <f>3031-366</f>
        <v>2665</v>
      </c>
      <c r="G46" s="31"/>
      <c r="H46" s="37">
        <f>H38-H47</f>
        <v>11350.437542600008</v>
      </c>
      <c r="I46" s="36"/>
      <c r="J46" s="36">
        <v>3031</v>
      </c>
    </row>
    <row r="47" spans="2:10" ht="16.5">
      <c r="B47" s="18" t="s">
        <v>128</v>
      </c>
      <c r="C47" s="31"/>
      <c r="D47" s="47">
        <f>1369-1109</f>
        <v>260</v>
      </c>
      <c r="E47" s="36"/>
      <c r="F47" s="42">
        <f>131-62</f>
        <v>69</v>
      </c>
      <c r="G47" s="31"/>
      <c r="H47" s="47">
        <v>1368.0327374000003</v>
      </c>
      <c r="I47" s="36"/>
      <c r="J47" s="42">
        <v>131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1852</v>
      </c>
      <c r="E49" s="46"/>
      <c r="F49" s="46">
        <f>SUM(F46:F48)</f>
        <v>2734</v>
      </c>
      <c r="G49" s="18"/>
      <c r="H49" s="46">
        <f>SUM(H46:H48)</f>
        <v>12718.470280000009</v>
      </c>
      <c r="I49" s="46"/>
      <c r="J49" s="46">
        <f>SUM(J46:J48)</f>
        <v>3162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168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56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140</v>
      </c>
      <c r="C53" s="18"/>
      <c r="D53" s="37">
        <f>D46+((-0.77271-5.79533+2.31817)-(-0.77271-5.79533))*0.51+(6.12776)</f>
        <v>1599.3100267</v>
      </c>
      <c r="E53" s="18"/>
      <c r="F53" s="37">
        <f>F46+F40*0.51</f>
        <v>2662.96</v>
      </c>
      <c r="G53" s="18"/>
      <c r="H53" s="47">
        <f>H46+((-0.77271-5.79533+2.31817)*0.51)+(6.12776)</f>
        <v>11354.397868900007</v>
      </c>
      <c r="I53" s="18"/>
      <c r="J53" s="36">
        <v>3033</v>
      </c>
    </row>
    <row r="54" spans="2:10" ht="16.5">
      <c r="B54" s="18" t="s">
        <v>128</v>
      </c>
      <c r="C54" s="18"/>
      <c r="D54" s="37">
        <f>D47+((-0.77271-5.79533+2.31817)-(-0.77271-5.79533))*0.49</f>
        <v>261.1359033</v>
      </c>
      <c r="E54" s="18"/>
      <c r="F54" s="37">
        <f>F47+(F40*0.49)</f>
        <v>67.04</v>
      </c>
      <c r="G54" s="18"/>
      <c r="H54" s="47">
        <f>H47+((-0.77271-5.79533+2.31817)*0.49)</f>
        <v>1365.9503011000004</v>
      </c>
      <c r="I54" s="18"/>
      <c r="J54" s="36">
        <v>133</v>
      </c>
    </row>
    <row r="55" spans="2:10" ht="17.25" thickBot="1">
      <c r="B55" s="18"/>
      <c r="C55" s="18"/>
      <c r="D55" s="46">
        <f>SUM(D53:D54)</f>
        <v>1860.4459299999999</v>
      </c>
      <c r="E55" s="50"/>
      <c r="F55" s="46">
        <f>SUM(F53:F54)</f>
        <v>2730</v>
      </c>
      <c r="G55" s="18"/>
      <c r="H55" s="49">
        <f>SUM(H53:H54)-0.5</f>
        <v>12719.848170000007</v>
      </c>
      <c r="I55" s="50"/>
      <c r="J55" s="49">
        <f>SUM(J53:J54)</f>
        <v>3166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164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151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165</v>
      </c>
      <c r="C60" s="31"/>
      <c r="D60" s="71">
        <f>(D33+(-1369+1109+0)+(0+0))/140326.1*100</f>
        <v>1.134500281843506</v>
      </c>
      <c r="E60" s="71"/>
      <c r="F60" s="71">
        <f>F46/140326.1*100</f>
        <v>1.8991477707995874</v>
      </c>
      <c r="G60" s="72"/>
      <c r="H60" s="71">
        <f>(H33-H47)/140326.1*100</f>
        <v>8.088614692918856</v>
      </c>
      <c r="I60" s="71"/>
      <c r="J60" s="71">
        <v>2.16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58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75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 t="e">
        <f>(H36+#REF!)/120000*100</f>
        <v>#REF!</v>
      </c>
      <c r="I63" s="71"/>
      <c r="J63" s="71">
        <v>0</v>
      </c>
      <c r="M63" s="6"/>
    </row>
    <row r="64" spans="2:10" ht="16.5">
      <c r="B64" s="18" t="s">
        <v>158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141</v>
      </c>
      <c r="C65" s="31"/>
      <c r="D65" s="74">
        <f>SUM(D60:D64)</f>
        <v>1.134500281843506</v>
      </c>
      <c r="E65" s="75"/>
      <c r="F65" s="74">
        <f>SUM(F60:F64)</f>
        <v>1.8991477707995874</v>
      </c>
      <c r="G65" s="72"/>
      <c r="H65" s="74" t="e">
        <f>SUM(H60:H64)</f>
        <v>#REF!</v>
      </c>
      <c r="I65" s="75"/>
      <c r="J65" s="74">
        <f>SUM(J60:J64)</f>
        <v>2.16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57</v>
      </c>
      <c r="C67" s="18"/>
      <c r="D67" s="71">
        <v>1.134500281843506</v>
      </c>
      <c r="E67" s="72"/>
      <c r="F67" s="73">
        <v>1.9</v>
      </c>
      <c r="G67" s="72"/>
      <c r="H67" s="73">
        <v>8.088614692918856</v>
      </c>
      <c r="I67" s="71"/>
      <c r="J67" s="73">
        <v>2.16</v>
      </c>
    </row>
    <row r="68" spans="2:10" ht="16.5">
      <c r="B68" s="18" t="s">
        <v>158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141</v>
      </c>
      <c r="C69" s="18"/>
      <c r="D69" s="75">
        <f>SUM(D67:D68)</f>
        <v>1.134500281843506</v>
      </c>
      <c r="E69" s="76"/>
      <c r="F69" s="75">
        <f>SUM(F67:F68)</f>
        <v>1.9</v>
      </c>
      <c r="G69" s="72"/>
      <c r="H69" s="75">
        <f>SUM(H67:H68)</f>
        <v>8.088614692918856</v>
      </c>
      <c r="I69" s="76"/>
      <c r="J69" s="75">
        <f>SUM(J67:J68)</f>
        <v>2.16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97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157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/>
    </row>
  </sheetData>
  <sheetProtection/>
  <printOptions horizontalCentered="1"/>
  <pageMargins left="0.31496062992125984" right="0.11811023622047245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1" sqref="A1:E87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79" t="s">
        <v>2</v>
      </c>
      <c r="B1" s="79"/>
      <c r="C1" s="79"/>
      <c r="D1" s="79"/>
      <c r="E1" s="79"/>
    </row>
    <row r="2" spans="1:5" ht="15.75">
      <c r="A2" s="79" t="s">
        <v>3</v>
      </c>
      <c r="B2" s="79"/>
      <c r="C2" s="79"/>
      <c r="D2" s="79"/>
      <c r="E2" s="79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79" t="s">
        <v>175</v>
      </c>
      <c r="B4" s="79"/>
      <c r="C4" s="79"/>
      <c r="D4" s="79"/>
      <c r="E4" s="79"/>
    </row>
    <row r="5" spans="1:5" ht="15.75">
      <c r="A5" s="79" t="s">
        <v>93</v>
      </c>
      <c r="B5" s="79"/>
      <c r="C5" s="79"/>
      <c r="D5" s="79"/>
      <c r="E5" s="79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176</v>
      </c>
      <c r="D11" s="1"/>
      <c r="E11" s="17" t="s">
        <v>53</v>
      </c>
    </row>
    <row r="12" spans="1:5" ht="15.75">
      <c r="A12" s="12"/>
      <c r="B12" s="1"/>
      <c r="C12" s="3">
        <v>2016</v>
      </c>
      <c r="D12" s="1"/>
      <c r="E12" s="3">
        <v>2015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67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65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5758.19972025</v>
      </c>
      <c r="D17" s="37"/>
      <c r="E17" s="37">
        <f>5690.536-0.4</f>
        <v>5690.136</v>
      </c>
    </row>
    <row r="18" spans="1:5" ht="16.5">
      <c r="A18" s="12" t="s">
        <v>73</v>
      </c>
      <c r="B18" s="1"/>
      <c r="C18" s="47">
        <v>1987.2723622500002</v>
      </c>
      <c r="D18" s="37"/>
      <c r="E18" s="37">
        <v>2021.125</v>
      </c>
    </row>
    <row r="19" spans="1:5" ht="16.5">
      <c r="A19" s="12" t="s">
        <v>119</v>
      </c>
      <c r="B19" s="1"/>
      <c r="C19" s="47">
        <v>85.53143750000001</v>
      </c>
      <c r="D19" s="37"/>
      <c r="E19" s="37">
        <v>86.321</v>
      </c>
    </row>
    <row r="20" spans="1:5" ht="16.5">
      <c r="A20" s="12" t="s">
        <v>51</v>
      </c>
      <c r="B20" s="1"/>
      <c r="C20" s="47">
        <v>33129.85804</v>
      </c>
      <c r="D20" s="37"/>
      <c r="E20" s="37">
        <v>31852.702</v>
      </c>
    </row>
    <row r="21" spans="1:5" ht="16.5">
      <c r="A21" s="12" t="s">
        <v>131</v>
      </c>
      <c r="B21" s="1"/>
      <c r="C21" s="47">
        <v>29406.537709999993</v>
      </c>
      <c r="D21" s="37"/>
      <c r="E21" s="37">
        <v>25443.705</v>
      </c>
    </row>
    <row r="22" spans="1:5" ht="16.5" hidden="1">
      <c r="A22" s="12" t="s">
        <v>114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SUM(C17:C24)+0.5</f>
        <v>73337.89927</v>
      </c>
      <c r="D25" s="37"/>
      <c r="E25" s="55">
        <f>SUM(E17:E24)</f>
        <v>68063.989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63</v>
      </c>
      <c r="B27" s="1"/>
      <c r="C27" s="43">
        <v>3749.7012</v>
      </c>
      <c r="D27" s="37"/>
      <c r="E27" s="43">
        <v>3750.202</v>
      </c>
    </row>
    <row r="28" spans="1:5" ht="16.5">
      <c r="A28" s="12" t="s">
        <v>98</v>
      </c>
      <c r="B28" s="1"/>
      <c r="C28" s="77">
        <v>13940.390180000008</v>
      </c>
      <c r="D28" s="37"/>
      <c r="E28" s="43">
        <v>16442.194</v>
      </c>
    </row>
    <row r="29" spans="1:5" ht="16.5">
      <c r="A29" s="12" t="s">
        <v>51</v>
      </c>
      <c r="B29" s="1"/>
      <c r="C29" s="77">
        <v>32303.951390000002</v>
      </c>
      <c r="D29" s="37"/>
      <c r="E29" s="43">
        <v>69089.051</v>
      </c>
    </row>
    <row r="30" spans="1:5" ht="16.5">
      <c r="A30" s="2" t="s">
        <v>169</v>
      </c>
      <c r="B30" s="1"/>
      <c r="C30" s="43">
        <v>7401.18447</v>
      </c>
      <c r="D30" s="37"/>
      <c r="E30" s="43">
        <f>14746.536-0.5</f>
        <v>14746.036</v>
      </c>
    </row>
    <row r="31" spans="1:5" ht="16.5">
      <c r="A31" s="12" t="s">
        <v>115</v>
      </c>
      <c r="B31" s="1"/>
      <c r="C31" s="43">
        <v>212.44836999999998</v>
      </c>
      <c r="D31" s="37"/>
      <c r="E31" s="43">
        <v>251.946</v>
      </c>
    </row>
    <row r="32" spans="1:5" ht="16.5">
      <c r="A32" s="12" t="s">
        <v>64</v>
      </c>
      <c r="B32" s="1"/>
      <c r="C32" s="43">
        <v>322.7445</v>
      </c>
      <c r="D32" s="37"/>
      <c r="E32" s="43">
        <v>302.25</v>
      </c>
    </row>
    <row r="33" spans="1:5" ht="16.5">
      <c r="A33" s="2" t="s">
        <v>147</v>
      </c>
      <c r="B33" s="1"/>
      <c r="C33" s="43">
        <v>49581.600809999996</v>
      </c>
      <c r="D33" s="37"/>
      <c r="E33" s="43">
        <v>4890.548</v>
      </c>
    </row>
    <row r="34" spans="1:5" ht="16.5">
      <c r="A34" s="12"/>
      <c r="B34" s="1"/>
      <c r="C34" s="55">
        <f>SUM(C27:C33)</f>
        <v>107512.02092000001</v>
      </c>
      <c r="D34" s="37"/>
      <c r="E34" s="55">
        <f>SUM(E27:E33)</f>
        <v>109472.227</v>
      </c>
    </row>
    <row r="35" spans="1:5" ht="10.5" customHeight="1">
      <c r="A35" s="12"/>
      <c r="B35" s="1"/>
      <c r="C35" s="43"/>
      <c r="D35" s="37"/>
      <c r="E35" s="43"/>
    </row>
    <row r="36" spans="1:11" ht="16.5" hidden="1">
      <c r="A36" s="12" t="s">
        <v>89</v>
      </c>
      <c r="B36" s="1"/>
      <c r="C36" s="43">
        <f>'[1]Conso'!$D$11/1000</f>
        <v>0</v>
      </c>
      <c r="D36" s="37"/>
      <c r="E36" s="43">
        <v>0</v>
      </c>
      <c r="K36" s="21"/>
    </row>
    <row r="37" spans="1:11" ht="9" customHeight="1" hidden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59</v>
      </c>
      <c r="B38" s="1"/>
      <c r="C38" s="56">
        <f>+C34+C25+C36</f>
        <v>180849.92019</v>
      </c>
      <c r="D38" s="37"/>
      <c r="E38" s="56">
        <f>+E34+E25+E36</f>
        <v>177536.21600000001</v>
      </c>
      <c r="H38" s="16"/>
    </row>
    <row r="39" spans="1:7" ht="16.5" thickTop="1">
      <c r="A39" s="12"/>
      <c r="B39" s="1"/>
      <c r="C39" s="7"/>
      <c r="D39" s="7"/>
      <c r="E39" s="7"/>
      <c r="G39" s="70"/>
    </row>
    <row r="40" spans="1:7" ht="15.75">
      <c r="A40" s="12" t="s">
        <v>66</v>
      </c>
      <c r="B40" s="1"/>
      <c r="C40" s="7"/>
      <c r="D40" s="7"/>
      <c r="E40" s="7"/>
      <c r="G40" s="78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129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140326.1</v>
      </c>
      <c r="D43" s="37"/>
      <c r="E43" s="37">
        <v>140326.1</v>
      </c>
    </row>
    <row r="44" spans="1:5" ht="16.5">
      <c r="A44" s="12" t="s">
        <v>68</v>
      </c>
      <c r="B44" s="1"/>
      <c r="C44" s="37">
        <v>28715.44755</v>
      </c>
      <c r="D44" s="37"/>
      <c r="E44" s="37">
        <v>28715.44755</v>
      </c>
    </row>
    <row r="45" spans="1:5" ht="16.5">
      <c r="A45" s="12" t="s">
        <v>134</v>
      </c>
      <c r="B45" s="1"/>
      <c r="C45" s="47">
        <v>15.085710800000003</v>
      </c>
      <c r="D45" s="37"/>
      <c r="E45" s="37">
        <v>11.626</v>
      </c>
    </row>
    <row r="46" spans="1:5" ht="16.5" hidden="1">
      <c r="A46" s="12" t="s">
        <v>90</v>
      </c>
      <c r="B46" s="1"/>
      <c r="C46" s="37"/>
      <c r="D46" s="37"/>
      <c r="E46" s="37"/>
    </row>
    <row r="47" spans="1:5" ht="16.5" hidden="1">
      <c r="A47" s="12" t="s">
        <v>91</v>
      </c>
      <c r="B47" s="1"/>
      <c r="C47" s="37">
        <v>0</v>
      </c>
      <c r="D47" s="37"/>
      <c r="E47" s="37">
        <v>0</v>
      </c>
    </row>
    <row r="48" spans="1:5" ht="16.5">
      <c r="A48" s="12" t="s">
        <v>80</v>
      </c>
      <c r="B48" s="1"/>
      <c r="C48" s="37">
        <v>-3362.30011425229</v>
      </c>
      <c r="D48" s="37"/>
      <c r="E48" s="37">
        <f>-11904.211-0.5</f>
        <v>-11904.711</v>
      </c>
    </row>
    <row r="49" spans="1:5" ht="16.5" hidden="1">
      <c r="A49" s="12" t="s">
        <v>79</v>
      </c>
      <c r="B49" s="1"/>
      <c r="C49" s="37"/>
      <c r="D49" s="37"/>
      <c r="E49" s="37"/>
    </row>
    <row r="50" spans="1:5" ht="16.5" hidden="1">
      <c r="A50" s="12" t="s">
        <v>76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SUM(C43:C51)-0.5</f>
        <v>165693.83314654772</v>
      </c>
      <c r="D52" s="37"/>
      <c r="E52" s="47">
        <f>SUM(E43:E51)</f>
        <v>157148.46255</v>
      </c>
    </row>
    <row r="53" spans="1:5" ht="16.5">
      <c r="A53" s="12" t="s">
        <v>127</v>
      </c>
      <c r="B53" s="1"/>
      <c r="C53" s="37">
        <v>2117.645769600001</v>
      </c>
      <c r="D53" s="37"/>
      <c r="E53" s="37">
        <v>751.194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55</v>
      </c>
      <c r="B55" s="1"/>
      <c r="C55" s="55">
        <f>SUM(C52:C54)+0.5</f>
        <v>167811.97891614772</v>
      </c>
      <c r="D55" s="37"/>
      <c r="E55" s="55">
        <f>SUM(E52:E54)-0.5</f>
        <v>157899.15654999999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60</v>
      </c>
      <c r="B57" s="1"/>
      <c r="C57" s="37"/>
      <c r="D57" s="37"/>
      <c r="E57" s="37"/>
    </row>
    <row r="58" spans="1:5" ht="16.5" hidden="1">
      <c r="A58" s="12" t="s">
        <v>52</v>
      </c>
      <c r="B58" s="1"/>
      <c r="C58" s="37">
        <f>'[1]Conso'!$Z104/1000</f>
        <v>0</v>
      </c>
      <c r="D58" s="37"/>
      <c r="E58" s="37">
        <v>0</v>
      </c>
    </row>
    <row r="59" spans="1:8" ht="16.5">
      <c r="A59" s="12" t="s">
        <v>118</v>
      </c>
      <c r="B59" s="1"/>
      <c r="C59" s="37">
        <v>481.50652</v>
      </c>
      <c r="D59" s="37"/>
      <c r="E59" s="37">
        <v>290.215</v>
      </c>
      <c r="H59" s="16"/>
    </row>
    <row r="60" spans="1:5" ht="16.5">
      <c r="A60" s="12" t="s">
        <v>21</v>
      </c>
      <c r="B60" s="1"/>
      <c r="C60" s="37">
        <v>141.748</v>
      </c>
      <c r="D60" s="37"/>
      <c r="E60" s="37">
        <f>368.302+0.5</f>
        <v>368.802</v>
      </c>
    </row>
    <row r="61" spans="1:5" ht="16.5">
      <c r="A61" s="12"/>
      <c r="B61" s="1"/>
      <c r="C61" s="55">
        <f>SUM(C58:C60)+0.5</f>
        <v>623.75452</v>
      </c>
      <c r="D61" s="37"/>
      <c r="E61" s="55">
        <f>SUM(E58:E60)</f>
        <v>659.017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116</v>
      </c>
      <c r="B64" s="1"/>
      <c r="C64" s="43">
        <v>4870.18192</v>
      </c>
      <c r="D64" s="37"/>
      <c r="E64" s="43">
        <v>10847.659</v>
      </c>
    </row>
    <row r="65" spans="1:8" ht="16.5">
      <c r="A65" s="12" t="s">
        <v>69</v>
      </c>
      <c r="B65" s="1"/>
      <c r="C65" s="43">
        <v>7374.89534</v>
      </c>
      <c r="D65" s="37"/>
      <c r="E65" s="43">
        <v>7964.117</v>
      </c>
      <c r="H65" s="16"/>
    </row>
    <row r="66" spans="1:5" ht="16.5" hidden="1">
      <c r="A66" s="12" t="s">
        <v>70</v>
      </c>
      <c r="B66" s="1"/>
      <c r="C66" s="43">
        <v>0</v>
      </c>
      <c r="D66" s="37"/>
      <c r="E66" s="43">
        <v>0</v>
      </c>
    </row>
    <row r="67" spans="1:9" ht="16.5">
      <c r="A67" s="12" t="s">
        <v>117</v>
      </c>
      <c r="B67" s="1"/>
      <c r="C67" s="43">
        <v>96.31147</v>
      </c>
      <c r="D67" s="37"/>
      <c r="E67" s="43">
        <v>96.311</v>
      </c>
      <c r="I67" s="16"/>
    </row>
    <row r="68" spans="1:5" ht="16.5" hidden="1">
      <c r="A68" s="12" t="s">
        <v>87</v>
      </c>
      <c r="B68" s="1"/>
      <c r="C68" s="43">
        <v>0</v>
      </c>
      <c r="D68" s="37"/>
      <c r="E68" s="43">
        <v>0</v>
      </c>
    </row>
    <row r="69" spans="1:5" ht="16.5" hidden="1">
      <c r="A69" s="12" t="s">
        <v>90</v>
      </c>
      <c r="B69" s="1"/>
      <c r="C69" s="43"/>
      <c r="D69" s="37"/>
      <c r="E69" s="43"/>
    </row>
    <row r="70" spans="1:5" ht="16.5" hidden="1">
      <c r="A70" s="2" t="s">
        <v>154</v>
      </c>
      <c r="B70" s="1"/>
      <c r="C70" s="37">
        <v>0</v>
      </c>
      <c r="D70" s="37"/>
      <c r="E70" s="43">
        <v>0</v>
      </c>
    </row>
    <row r="71" spans="1:5" ht="16.5">
      <c r="A71" s="12" t="s">
        <v>71</v>
      </c>
      <c r="B71" s="1"/>
      <c r="C71" s="43">
        <v>73.29812</v>
      </c>
      <c r="D71" s="37"/>
      <c r="E71" s="43">
        <v>70.355</v>
      </c>
    </row>
    <row r="72" spans="1:5" ht="16.5">
      <c r="A72" s="12"/>
      <c r="B72" s="1"/>
      <c r="C72" s="55">
        <f>SUM(C64:C71)-0.5</f>
        <v>12414.18685</v>
      </c>
      <c r="D72" s="37"/>
      <c r="E72" s="55">
        <f>SUM(E64:E71)</f>
        <v>18978.442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78</v>
      </c>
      <c r="B74" s="1"/>
      <c r="C74" s="43"/>
      <c r="D74" s="43"/>
      <c r="E74" s="43"/>
    </row>
    <row r="75" spans="1:5" ht="16.5" customHeight="1" hidden="1">
      <c r="A75" s="12" t="s">
        <v>77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61</v>
      </c>
      <c r="B77" s="1"/>
      <c r="C77" s="49">
        <f>C72+C61+C75+0.5</f>
        <v>13038.44137</v>
      </c>
      <c r="D77" s="37"/>
      <c r="E77" s="49">
        <f>E72+E61+E75</f>
        <v>19637.459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62</v>
      </c>
      <c r="B79" s="1"/>
      <c r="C79" s="56">
        <f>C72+C61+C55+C75</f>
        <v>180849.92028614774</v>
      </c>
      <c r="D79" s="37"/>
      <c r="E79" s="56">
        <f>E72+E61+E55+E75-0.5</f>
        <v>177536.11555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5" ht="16.5">
      <c r="A81" s="2" t="s">
        <v>72</v>
      </c>
      <c r="B81" s="1"/>
      <c r="C81" s="33" t="s">
        <v>0</v>
      </c>
      <c r="D81" s="18"/>
      <c r="E81" s="35"/>
    </row>
    <row r="82" spans="1:5" ht="16.5">
      <c r="A82" s="2" t="s">
        <v>130</v>
      </c>
      <c r="B82" s="6"/>
      <c r="C82" s="51">
        <f>(C55)/C43</f>
        <v>1.1958714659364702</v>
      </c>
      <c r="D82" s="18"/>
      <c r="E82" s="51">
        <f>(E55)/E43</f>
        <v>1.125230135733837</v>
      </c>
    </row>
    <row r="83" spans="1:5" ht="8.25" customHeight="1">
      <c r="A83" s="12" t="s">
        <v>0</v>
      </c>
      <c r="B83" s="15"/>
      <c r="C83" s="11" t="s">
        <v>0</v>
      </c>
      <c r="D83" s="1"/>
      <c r="E83" s="1" t="s">
        <v>0</v>
      </c>
    </row>
    <row r="84" spans="1:5" ht="11.25" customHeight="1">
      <c r="A84" s="12"/>
      <c r="B84" s="15"/>
      <c r="C84" s="11" t="s">
        <v>0</v>
      </c>
      <c r="D84" s="1"/>
      <c r="E84" s="1" t="s">
        <v>0</v>
      </c>
    </row>
    <row r="85" spans="1:5" ht="16.5">
      <c r="A85" s="19" t="s">
        <v>149</v>
      </c>
      <c r="B85" s="13"/>
      <c r="C85" s="13"/>
      <c r="D85" s="1"/>
      <c r="E85" s="1"/>
    </row>
    <row r="86" spans="1:5" ht="16.5">
      <c r="A86" s="19" t="s">
        <v>156</v>
      </c>
      <c r="B86" s="13"/>
      <c r="C86" s="13"/>
      <c r="D86" s="13"/>
      <c r="E86" s="13"/>
    </row>
    <row r="87" spans="1:7" ht="16.5">
      <c r="A87" s="19" t="s">
        <v>0</v>
      </c>
      <c r="G87" s="16"/>
    </row>
    <row r="88" ht="16.5">
      <c r="A88" s="19" t="s">
        <v>0</v>
      </c>
    </row>
    <row r="89" ht="12.75">
      <c r="C89" s="16"/>
    </row>
    <row r="117" ht="16.5">
      <c r="A117" s="19"/>
    </row>
    <row r="118" ht="16.5">
      <c r="A118" s="19"/>
    </row>
    <row r="120" ht="12.75">
      <c r="F120" t="s">
        <v>0</v>
      </c>
    </row>
    <row r="121" ht="12.75">
      <c r="F121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:E74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0" t="s">
        <v>2</v>
      </c>
      <c r="B1" s="80"/>
      <c r="C1" s="80"/>
      <c r="D1" s="80"/>
      <c r="E1" s="80"/>
    </row>
    <row r="2" spans="1:5" ht="16.5">
      <c r="A2" s="80" t="s">
        <v>3</v>
      </c>
      <c r="B2" s="80"/>
      <c r="C2" s="80"/>
      <c r="D2" s="80"/>
      <c r="E2" s="80"/>
    </row>
    <row r="3" spans="1:5" ht="16.5">
      <c r="A3" s="25"/>
      <c r="B3" s="26"/>
      <c r="C3" s="26"/>
      <c r="D3" s="26"/>
      <c r="E3" s="26"/>
    </row>
    <row r="4" spans="1:5" ht="16.5">
      <c r="A4" s="80" t="s">
        <v>175</v>
      </c>
      <c r="B4" s="80"/>
      <c r="C4" s="80"/>
      <c r="D4" s="80"/>
      <c r="E4" s="80"/>
    </row>
    <row r="5" spans="1:5" ht="16.5">
      <c r="A5" s="80" t="s">
        <v>142</v>
      </c>
      <c r="B5" s="80"/>
      <c r="C5" s="80"/>
      <c r="D5" s="80"/>
      <c r="E5" s="80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176</v>
      </c>
      <c r="D10" s="62" t="s">
        <v>0</v>
      </c>
      <c r="E10" s="32" t="str">
        <f>C10</f>
        <v>30 SEPT</v>
      </c>
    </row>
    <row r="11" spans="1:5" ht="16.5">
      <c r="A11" s="19"/>
      <c r="B11" s="18"/>
      <c r="C11" s="30">
        <v>2016</v>
      </c>
      <c r="D11" s="18"/>
      <c r="E11" s="30">
        <v>2015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16055.100280000008</v>
      </c>
      <c r="D14" s="18"/>
      <c r="E14" s="64">
        <f>'P&amp;L'!J29</f>
        <v>5119</v>
      </c>
    </row>
    <row r="15" spans="1:8" ht="16.5" hidden="1">
      <c r="A15" s="19" t="s">
        <v>83</v>
      </c>
      <c r="B15" s="18"/>
      <c r="C15" s="63">
        <v>0</v>
      </c>
      <c r="D15" s="18"/>
      <c r="E15" s="64">
        <v>0</v>
      </c>
      <c r="G15">
        <f>6533+25</f>
        <v>6558</v>
      </c>
      <c r="H15" s="16">
        <f>E15+E14</f>
        <v>5119</v>
      </c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145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47">
        <v>85.22361999999998</v>
      </c>
      <c r="D18" s="37"/>
      <c r="E18" s="47">
        <v>463</v>
      </c>
    </row>
    <row r="19" spans="1:5" ht="16.5">
      <c r="A19" s="18" t="s">
        <v>36</v>
      </c>
      <c r="B19" s="18"/>
      <c r="C19" s="37">
        <v>-2609.2028200000004</v>
      </c>
      <c r="D19" s="37"/>
      <c r="E19" s="37">
        <v>-1005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166</v>
      </c>
      <c r="B21" s="18"/>
      <c r="C21" s="64">
        <f>SUM(C14:C19)</f>
        <v>13531.121080000008</v>
      </c>
      <c r="D21" s="37"/>
      <c r="E21" s="64">
        <f>SUM(E14:E19)</f>
        <v>4577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5297.600459999999</v>
      </c>
      <c r="D24" s="37"/>
      <c r="E24" s="37">
        <v>-22947</v>
      </c>
    </row>
    <row r="25" spans="1:5" ht="16.5">
      <c r="A25" s="18" t="s">
        <v>35</v>
      </c>
      <c r="B25" s="18"/>
      <c r="C25" s="37">
        <v>-5523.838680000001</v>
      </c>
      <c r="D25" s="37"/>
      <c r="E25" s="37">
        <v>931</v>
      </c>
    </row>
    <row r="26" spans="1:5" ht="16.5">
      <c r="A26" s="18" t="s">
        <v>39</v>
      </c>
      <c r="B26" s="18"/>
      <c r="C26" s="37">
        <v>185.45626999999996</v>
      </c>
      <c r="D26" s="37"/>
      <c r="E26" s="37">
        <v>103</v>
      </c>
    </row>
    <row r="27" spans="1:5" ht="16.5">
      <c r="A27" s="18" t="s">
        <v>54</v>
      </c>
      <c r="B27" s="18"/>
      <c r="C27" s="37">
        <v>-2806.522</v>
      </c>
      <c r="D27" s="37"/>
      <c r="E27" s="37">
        <v>-7016</v>
      </c>
    </row>
    <row r="28" spans="1:5" ht="16.5">
      <c r="A28" s="18" t="s">
        <v>146</v>
      </c>
      <c r="B28" s="18"/>
      <c r="C28" s="37">
        <v>0</v>
      </c>
      <c r="D28" s="37"/>
      <c r="E28" s="37">
        <v>-1</v>
      </c>
    </row>
    <row r="29" spans="1:7" ht="16.5">
      <c r="A29" s="18" t="s">
        <v>171</v>
      </c>
      <c r="B29" s="18"/>
      <c r="C29" s="37">
        <v>-3581.2355</v>
      </c>
      <c r="D29" s="37"/>
      <c r="E29" s="37">
        <v>-2107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161</v>
      </c>
      <c r="B31" s="18"/>
      <c r="C31" s="64">
        <f>SUM(C21:C29)-1</f>
        <v>7101.581630000007</v>
      </c>
      <c r="D31" s="37"/>
      <c r="E31" s="64">
        <f>SUM(E21:E29)</f>
        <v>-26460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153</v>
      </c>
      <c r="B34" s="18"/>
      <c r="C34" s="37">
        <v>1164.90012</v>
      </c>
      <c r="D34" s="37"/>
      <c r="E34" s="37">
        <f>2759-873</f>
        <v>1886</v>
      </c>
    </row>
    <row r="35" spans="1:5" ht="16.5">
      <c r="A35" s="18" t="s">
        <v>159</v>
      </c>
      <c r="B35" s="18"/>
      <c r="C35" s="37">
        <v>0.7935700000000652</v>
      </c>
      <c r="D35" s="37"/>
      <c r="E35" s="37">
        <f>'[2]SUMMARY'!F55</f>
        <v>0</v>
      </c>
    </row>
    <row r="36" spans="1:5" ht="16.5" hidden="1">
      <c r="A36" s="18" t="s">
        <v>113</v>
      </c>
      <c r="B36" s="18"/>
      <c r="C36" s="37">
        <v>-9.313225746154785E-13</v>
      </c>
      <c r="D36" s="37"/>
      <c r="E36" s="37">
        <f>'[2]SUMMARY'!F56</f>
        <v>0</v>
      </c>
    </row>
    <row r="37" spans="1:5" ht="16.5" hidden="1">
      <c r="A37" s="18" t="s">
        <v>88</v>
      </c>
      <c r="B37" s="18"/>
      <c r="C37" s="37">
        <v>0</v>
      </c>
      <c r="D37" s="37"/>
      <c r="E37" s="37">
        <v>0</v>
      </c>
    </row>
    <row r="38" spans="1:5" ht="16.5" hidden="1">
      <c r="A38" s="18" t="s">
        <v>122</v>
      </c>
      <c r="B38" s="18"/>
      <c r="C38" s="37">
        <v>0</v>
      </c>
      <c r="D38" s="37"/>
      <c r="E38" s="37">
        <f>'[2]SUMMARY'!F59</f>
        <v>0</v>
      </c>
    </row>
    <row r="39" spans="1:5" ht="16.5">
      <c r="A39" s="18" t="s">
        <v>172</v>
      </c>
      <c r="B39" s="18"/>
      <c r="C39" s="37">
        <v>0</v>
      </c>
      <c r="D39" s="37"/>
      <c r="E39" s="37">
        <f>'[2]SUMMARY'!F58</f>
        <v>47.3</v>
      </c>
    </row>
    <row r="40" spans="1:10" ht="15.75" customHeight="1">
      <c r="A40" s="18" t="s">
        <v>173</v>
      </c>
      <c r="B40" s="18"/>
      <c r="C40" s="37">
        <v>36785.099879999994</v>
      </c>
      <c r="D40" s="37"/>
      <c r="E40" s="37">
        <f>-(62707+1886)+(89920)</f>
        <v>25327</v>
      </c>
      <c r="H40" s="37"/>
      <c r="J40" s="37"/>
    </row>
    <row r="41" spans="1:5" ht="15.75" customHeight="1">
      <c r="A41" s="18" t="s">
        <v>125</v>
      </c>
      <c r="B41" s="18"/>
      <c r="C41" s="37">
        <v>5.246100000000002</v>
      </c>
      <c r="D41" s="37"/>
      <c r="E41" s="37">
        <v>5</v>
      </c>
    </row>
    <row r="42" spans="1:5" ht="16.5">
      <c r="A42" s="18" t="s">
        <v>174</v>
      </c>
      <c r="B42" s="18"/>
      <c r="C42" s="37">
        <v>-272.2698400000001</v>
      </c>
      <c r="D42" s="37"/>
      <c r="E42" s="37">
        <v>-568</v>
      </c>
    </row>
    <row r="43" spans="1:5" ht="16.5">
      <c r="A43" s="18" t="s">
        <v>0</v>
      </c>
      <c r="B43" s="18"/>
      <c r="C43" s="37" t="s">
        <v>0</v>
      </c>
      <c r="D43" s="37"/>
      <c r="E43" s="37"/>
    </row>
    <row r="44" spans="1:5" ht="16.5">
      <c r="A44" s="19" t="s">
        <v>167</v>
      </c>
      <c r="B44" s="18"/>
      <c r="C44" s="65">
        <f>SUM(C34:C43)</f>
        <v>37683.76982999999</v>
      </c>
      <c r="D44" s="37"/>
      <c r="E44" s="65">
        <f>SUM(E34:E43)</f>
        <v>26697.3</v>
      </c>
    </row>
    <row r="45" spans="1:5" ht="16.5">
      <c r="A45" s="18"/>
      <c r="B45" s="18"/>
      <c r="C45" s="37"/>
      <c r="D45" s="37"/>
      <c r="E45" s="37"/>
    </row>
    <row r="46" spans="1:5" ht="16.5">
      <c r="A46" s="18" t="s">
        <v>37</v>
      </c>
      <c r="B46" s="18"/>
      <c r="C46" s="37" t="s">
        <v>0</v>
      </c>
      <c r="D46" s="37"/>
      <c r="E46" s="37"/>
    </row>
    <row r="47" spans="1:5" ht="16.5">
      <c r="A47" s="18" t="s">
        <v>81</v>
      </c>
      <c r="B47" s="18"/>
      <c r="C47" s="37">
        <v>-20.557900000000025</v>
      </c>
      <c r="D47" s="37"/>
      <c r="E47" s="37">
        <v>-20</v>
      </c>
    </row>
    <row r="48" spans="1:5" ht="16.5" hidden="1">
      <c r="A48" s="18" t="s">
        <v>123</v>
      </c>
      <c r="B48" s="18"/>
      <c r="C48" s="37">
        <v>0</v>
      </c>
      <c r="D48" s="37"/>
      <c r="E48" s="37">
        <f>'[2]SUMMARY'!F68</f>
        <v>0</v>
      </c>
    </row>
    <row r="49" spans="1:5" ht="16.5" hidden="1">
      <c r="A49" s="18" t="s">
        <v>124</v>
      </c>
      <c r="B49" s="18"/>
      <c r="C49" s="37">
        <v>0</v>
      </c>
      <c r="D49" s="37"/>
      <c r="E49" s="37">
        <f>'[2]SUMMARY'!F71</f>
        <v>0</v>
      </c>
    </row>
    <row r="50" spans="1:5" ht="16.5">
      <c r="A50" s="18" t="s">
        <v>126</v>
      </c>
      <c r="B50" s="18"/>
      <c r="C50" s="37">
        <v>-79.70865000000002</v>
      </c>
      <c r="D50" s="37"/>
      <c r="E50" s="37">
        <v>-122</v>
      </c>
    </row>
    <row r="51" spans="1:5" ht="16.5">
      <c r="A51" s="18" t="s">
        <v>38</v>
      </c>
      <c r="B51" s="18"/>
      <c r="C51" s="37">
        <v>-14.788349999999976</v>
      </c>
      <c r="D51" s="37"/>
      <c r="E51" s="37">
        <v>-17</v>
      </c>
    </row>
    <row r="52" spans="1:5" ht="16.5" hidden="1">
      <c r="A52" s="18" t="s">
        <v>160</v>
      </c>
      <c r="B52" s="18"/>
      <c r="C52" s="37">
        <v>0</v>
      </c>
      <c r="D52" s="37"/>
      <c r="E52" s="37">
        <v>0</v>
      </c>
    </row>
    <row r="53" spans="1:5" ht="12" customHeight="1">
      <c r="A53" s="18"/>
      <c r="B53" s="18"/>
      <c r="C53" s="37"/>
      <c r="D53" s="37"/>
      <c r="E53" s="37"/>
    </row>
    <row r="54" spans="1:5" ht="16.5">
      <c r="A54" s="19" t="s">
        <v>152</v>
      </c>
      <c r="B54" s="18"/>
      <c r="C54" s="65">
        <f>SUM(C47:C53)-0.5</f>
        <v>-115.55490000000003</v>
      </c>
      <c r="D54" s="64"/>
      <c r="E54" s="65">
        <f>SUM(E47:E53)</f>
        <v>-159</v>
      </c>
    </row>
    <row r="55" spans="1:5" ht="16.5">
      <c r="A55" s="19"/>
      <c r="B55" s="18"/>
      <c r="C55" s="66" t="s">
        <v>0</v>
      </c>
      <c r="D55" s="37"/>
      <c r="E55" s="37"/>
    </row>
    <row r="56" spans="1:5" ht="16.5">
      <c r="A56" s="19" t="s">
        <v>184</v>
      </c>
      <c r="B56" s="18"/>
      <c r="C56" s="64">
        <f>C31+C44+C54</f>
        <v>44669.796559999995</v>
      </c>
      <c r="D56" s="37"/>
      <c r="E56" s="64">
        <f>E31+E44+E54</f>
        <v>78.29999999999927</v>
      </c>
    </row>
    <row r="57" spans="1:5" ht="16.5">
      <c r="A57" s="18" t="s">
        <v>49</v>
      </c>
      <c r="B57" s="18"/>
      <c r="C57" s="18" t="s">
        <v>0</v>
      </c>
      <c r="D57" s="37"/>
      <c r="E57" s="37"/>
    </row>
    <row r="58" spans="1:5" ht="16.5">
      <c r="A58" s="67" t="s">
        <v>50</v>
      </c>
      <c r="B58" s="18"/>
      <c r="C58" s="37">
        <v>4059.1779100000003</v>
      </c>
      <c r="D58" s="37"/>
      <c r="E58" s="37">
        <f>96011.206-89919.827</f>
        <v>6091.379000000001</v>
      </c>
    </row>
    <row r="59" spans="1:5" ht="9" customHeight="1">
      <c r="A59" s="19"/>
      <c r="B59" s="18"/>
      <c r="C59" s="18"/>
      <c r="D59" s="37"/>
      <c r="E59" s="37"/>
    </row>
    <row r="60" spans="1:5" ht="17.25" thickBot="1">
      <c r="A60" s="19" t="s">
        <v>92</v>
      </c>
      <c r="B60" s="18"/>
      <c r="C60" s="68">
        <f>SUM(C56:C59)</f>
        <v>48728.974469999994</v>
      </c>
      <c r="D60" s="37"/>
      <c r="E60" s="56">
        <f>SUM(E56:E59)-0.5</f>
        <v>6169.179</v>
      </c>
    </row>
    <row r="61" spans="1:5" ht="17.25" thickTop="1">
      <c r="A61" s="19"/>
      <c r="B61" s="18"/>
      <c r="C61" s="35"/>
      <c r="D61" s="37"/>
      <c r="E61" s="37"/>
    </row>
    <row r="62" spans="1:5" ht="16.5">
      <c r="A62" s="19" t="s">
        <v>41</v>
      </c>
      <c r="B62" s="18"/>
      <c r="C62" s="18"/>
      <c r="D62" s="37"/>
      <c r="E62" s="37"/>
    </row>
    <row r="63" spans="1:5" ht="16.5">
      <c r="A63" s="18" t="s">
        <v>42</v>
      </c>
      <c r="B63" s="18"/>
      <c r="C63" s="37">
        <v>2978.422999999997</v>
      </c>
      <c r="D63" s="37"/>
      <c r="E63" s="37">
        <v>5507</v>
      </c>
    </row>
    <row r="64" spans="1:5" ht="16.5">
      <c r="A64" s="18" t="s">
        <v>85</v>
      </c>
      <c r="B64" s="18"/>
      <c r="C64" s="37">
        <v>46603.178309999996</v>
      </c>
      <c r="D64" s="37"/>
      <c r="E64" s="37">
        <v>1487</v>
      </c>
    </row>
    <row r="65" spans="1:5" ht="16.5" hidden="1">
      <c r="A65" s="18" t="s">
        <v>148</v>
      </c>
      <c r="B65" s="18"/>
      <c r="C65" s="37">
        <f>'[2]SUMMARY'!C93</f>
        <v>0</v>
      </c>
      <c r="D65" s="37"/>
      <c r="E65" s="37">
        <v>0</v>
      </c>
    </row>
    <row r="66" spans="1:5" ht="7.5" customHeight="1">
      <c r="A66" s="18" t="s">
        <v>0</v>
      </c>
      <c r="B66" s="18"/>
      <c r="C66" s="39" t="s">
        <v>0</v>
      </c>
      <c r="D66" s="37"/>
      <c r="E66" s="39" t="s">
        <v>0</v>
      </c>
    </row>
    <row r="67" spans="1:5" ht="16.5">
      <c r="A67" s="18"/>
      <c r="B67" s="18"/>
      <c r="C67" s="37">
        <f>SUM(C63:C66)-0.5</f>
        <v>49581.10130999999</v>
      </c>
      <c r="D67" s="37"/>
      <c r="E67" s="37">
        <f>SUM(E63:E66)</f>
        <v>6994</v>
      </c>
    </row>
    <row r="68" spans="1:5" ht="16.5">
      <c r="A68" s="18" t="s">
        <v>82</v>
      </c>
      <c r="B68" s="18"/>
      <c r="C68" s="37">
        <f>'[2]SUMMARY'!C96</f>
        <v>-851.9269</v>
      </c>
      <c r="D68" s="37"/>
      <c r="E68" s="37">
        <v>-825</v>
      </c>
    </row>
    <row r="69" spans="1:5" ht="17.25" thickBot="1">
      <c r="A69" s="19" t="s">
        <v>49</v>
      </c>
      <c r="B69" s="18"/>
      <c r="C69" s="56">
        <f>SUM(C67:C68)</f>
        <v>48729.17440999999</v>
      </c>
      <c r="D69" s="37"/>
      <c r="E69" s="56">
        <f>SUM(E67:E68)</f>
        <v>6169</v>
      </c>
    </row>
    <row r="70" spans="1:5" ht="17.25" thickTop="1">
      <c r="A70" s="19"/>
      <c r="B70" s="18"/>
      <c r="C70" s="18" t="s">
        <v>0</v>
      </c>
      <c r="D70" s="18"/>
      <c r="E70" s="18"/>
    </row>
    <row r="71" spans="1:5" ht="16.5">
      <c r="A71" s="19"/>
      <c r="B71" s="18"/>
      <c r="C71" s="18" t="s">
        <v>0</v>
      </c>
      <c r="D71" s="18"/>
      <c r="E71" s="18"/>
    </row>
    <row r="72" spans="1:5" ht="16.5">
      <c r="A72" s="19" t="s">
        <v>143</v>
      </c>
      <c r="B72" s="18"/>
      <c r="C72" s="18"/>
      <c r="D72" s="18"/>
      <c r="E72" s="18"/>
    </row>
    <row r="73" spans="1:5" ht="16.5">
      <c r="A73" s="19" t="s">
        <v>157</v>
      </c>
      <c r="B73" s="18"/>
      <c r="C73" s="18"/>
      <c r="D73" s="18"/>
      <c r="E73" s="18"/>
    </row>
    <row r="74" spans="1:5" ht="16.5">
      <c r="A74" s="31"/>
      <c r="B74" s="31"/>
      <c r="C74" s="31"/>
      <c r="D74" s="31"/>
      <c r="E74" s="31"/>
    </row>
    <row r="75" spans="1:5" ht="16.5">
      <c r="A75" s="31"/>
      <c r="B75" s="31"/>
      <c r="C75" s="31"/>
      <c r="D75" s="31"/>
      <c r="E75" s="31"/>
    </row>
    <row r="82" ht="16.5">
      <c r="A82" s="19"/>
    </row>
    <row r="83" ht="16.5">
      <c r="A83" s="19"/>
    </row>
    <row r="84" ht="16.5">
      <c r="A84" s="19"/>
    </row>
    <row r="85" ht="16.5">
      <c r="A85" s="19"/>
    </row>
    <row r="86" ht="16.5">
      <c r="A86" s="19"/>
    </row>
    <row r="93" ht="12.75">
      <c r="E93" s="22" t="s">
        <v>0</v>
      </c>
    </row>
    <row r="102" ht="12.75">
      <c r="C102" t="s">
        <v>0</v>
      </c>
    </row>
    <row r="103" ht="12.75">
      <c r="E103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1" sqref="A1:K49"/>
    </sheetView>
  </sheetViews>
  <sheetFormatPr defaultColWidth="9.140625" defaultRowHeight="12.75"/>
  <cols>
    <col min="1" max="1" width="27.14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0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6.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0" t="s">
        <v>175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6.5">
      <c r="A6" s="80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0" t="s">
        <v>181</v>
      </c>
      <c r="D8" s="80"/>
      <c r="E8" s="80"/>
      <c r="F8" s="80"/>
      <c r="G8" s="80"/>
      <c r="H8" s="80"/>
      <c r="I8" s="80"/>
      <c r="J8" s="30"/>
      <c r="K8" s="30"/>
    </row>
    <row r="9" spans="1:11" ht="16.5">
      <c r="A9" s="30"/>
      <c r="B9" s="30"/>
      <c r="C9" s="80" t="s">
        <v>94</v>
      </c>
      <c r="D9" s="80"/>
      <c r="E9" s="80"/>
      <c r="F9" s="80"/>
      <c r="G9" s="80"/>
      <c r="H9" s="80"/>
      <c r="I9" s="80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135</v>
      </c>
      <c r="G11" s="30" t="s">
        <v>103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136</v>
      </c>
      <c r="G12" s="30" t="s">
        <v>104</v>
      </c>
      <c r="H12" s="30" t="s">
        <v>0</v>
      </c>
      <c r="I12" s="30"/>
      <c r="J12" s="30" t="s">
        <v>120</v>
      </c>
      <c r="K12" s="31"/>
    </row>
    <row r="13" spans="1:11" ht="16.5">
      <c r="A13" s="18"/>
      <c r="B13" s="18"/>
      <c r="C13" s="57" t="s">
        <v>100</v>
      </c>
      <c r="D13" s="30" t="s">
        <v>100</v>
      </c>
      <c r="E13" s="30" t="s">
        <v>40</v>
      </c>
      <c r="F13" s="30" t="s">
        <v>137</v>
      </c>
      <c r="G13" s="57" t="s">
        <v>105</v>
      </c>
      <c r="H13" s="57" t="s">
        <v>107</v>
      </c>
      <c r="I13" s="57"/>
      <c r="J13" s="57" t="s">
        <v>121</v>
      </c>
      <c r="K13" s="57" t="s">
        <v>109</v>
      </c>
    </row>
    <row r="14" spans="1:11" ht="16.5">
      <c r="A14" s="18" t="s">
        <v>0</v>
      </c>
      <c r="B14" s="18"/>
      <c r="C14" s="30" t="s">
        <v>101</v>
      </c>
      <c r="D14" s="30" t="s">
        <v>102</v>
      </c>
      <c r="E14" s="57" t="s">
        <v>5</v>
      </c>
      <c r="F14" s="30" t="s">
        <v>138</v>
      </c>
      <c r="G14" s="57" t="s">
        <v>106</v>
      </c>
      <c r="H14" s="57" t="s">
        <v>108</v>
      </c>
      <c r="I14" s="57" t="s">
        <v>109</v>
      </c>
      <c r="J14" s="57" t="s">
        <v>110</v>
      </c>
      <c r="K14" s="57" t="s">
        <v>111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177</v>
      </c>
      <c r="B17" s="18"/>
      <c r="C17" s="37">
        <v>140326</v>
      </c>
      <c r="D17" s="37">
        <v>28715</v>
      </c>
      <c r="E17" s="37">
        <v>0</v>
      </c>
      <c r="F17" s="37">
        <v>11.92</v>
      </c>
      <c r="G17" s="37">
        <v>0</v>
      </c>
      <c r="H17" s="37">
        <v>-17226</v>
      </c>
      <c r="I17" s="37">
        <f>SUM(C17:H17)</f>
        <v>151826.92</v>
      </c>
      <c r="J17" s="37">
        <v>562</v>
      </c>
      <c r="K17" s="37">
        <f>SUM(I17:J17)</f>
        <v>152388.92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133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139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170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144</v>
      </c>
      <c r="B23" s="18"/>
      <c r="C23" s="37">
        <v>0</v>
      </c>
      <c r="D23" s="37">
        <v>0</v>
      </c>
      <c r="E23" s="37">
        <v>0</v>
      </c>
      <c r="F23" s="37">
        <f>'P&amp;L'!F40*0.49</f>
        <v>-1.96</v>
      </c>
      <c r="G23" s="37">
        <v>0</v>
      </c>
      <c r="H23" s="37">
        <f>'P&amp;L'!F46-EQUITY!H20</f>
        <v>2665</v>
      </c>
      <c r="I23" s="37">
        <f>SUM(C23:H23)</f>
        <v>2663.04</v>
      </c>
      <c r="J23" s="37">
        <f>'P&amp;L'!F47+'P&amp;L'!F40*0.49</f>
        <v>67.04</v>
      </c>
      <c r="K23" s="37">
        <f>SUM(I23:J23)</f>
        <v>2730.08</v>
      </c>
    </row>
    <row r="24" spans="1:11" ht="16.5">
      <c r="A24" s="18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>
      <c r="A25" s="18" t="s">
        <v>155</v>
      </c>
      <c r="B25" s="18"/>
      <c r="C25" s="37"/>
      <c r="D25" s="37"/>
      <c r="E25" s="37"/>
      <c r="F25" s="37"/>
      <c r="G25" s="37"/>
      <c r="H25" s="37">
        <v>-7016</v>
      </c>
      <c r="I25" s="37">
        <f>SUM(C25:H25)</f>
        <v>-7016</v>
      </c>
      <c r="J25" s="37"/>
      <c r="K25" s="37">
        <f>SUM(I25:J25)</f>
        <v>-7016</v>
      </c>
    </row>
    <row r="26" spans="1:11" ht="9.75" customHeight="1">
      <c r="A26" s="19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thickBot="1">
      <c r="A27" s="19" t="s">
        <v>178</v>
      </c>
      <c r="B27" s="18"/>
      <c r="C27" s="49">
        <f aca="true" t="shared" si="0" ref="C27:J27">SUM(C17:C26)</f>
        <v>140326</v>
      </c>
      <c r="D27" s="49">
        <f t="shared" si="0"/>
        <v>28715</v>
      </c>
      <c r="E27" s="49">
        <f t="shared" si="0"/>
        <v>0</v>
      </c>
      <c r="F27" s="49">
        <f>SUM(F17:F26)</f>
        <v>9.96</v>
      </c>
      <c r="G27" s="49">
        <f t="shared" si="0"/>
        <v>0</v>
      </c>
      <c r="H27" s="49">
        <f t="shared" si="0"/>
        <v>-21577</v>
      </c>
      <c r="I27" s="49">
        <f>SUM(I17:I26)+0.5</f>
        <v>147474.46000000002</v>
      </c>
      <c r="J27" s="49">
        <f t="shared" si="0"/>
        <v>629.04</v>
      </c>
      <c r="K27" s="49">
        <f>SUM(K17:K26)</f>
        <v>148103</v>
      </c>
    </row>
    <row r="28" spans="1:11" ht="17.25" thickTop="1">
      <c r="A28" s="19"/>
      <c r="B28" s="18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75" customHeight="1">
      <c r="A29" s="19"/>
      <c r="B29" s="18"/>
      <c r="C29" s="37"/>
      <c r="D29" s="37"/>
      <c r="E29" s="37"/>
      <c r="F29" s="37"/>
      <c r="G29" s="59"/>
      <c r="H29" s="59"/>
      <c r="I29" s="59"/>
      <c r="J29" s="59" t="s">
        <v>0</v>
      </c>
      <c r="K29" s="59"/>
    </row>
    <row r="30" spans="1:11" ht="16.5">
      <c r="A30" s="19" t="s">
        <v>179</v>
      </c>
      <c r="B30" s="18"/>
      <c r="C30" s="37">
        <v>140326.1</v>
      </c>
      <c r="D30" s="37">
        <v>28715.448</v>
      </c>
      <c r="E30" s="37">
        <v>0</v>
      </c>
      <c r="F30" s="37">
        <v>7.7762996</v>
      </c>
      <c r="G30" s="37">
        <v>0</v>
      </c>
      <c r="H30" s="37">
        <f>-2148.211+1</f>
        <v>-2147.211</v>
      </c>
      <c r="I30" s="37">
        <f>SUM(C30:H30)</f>
        <v>166902.1132996</v>
      </c>
      <c r="J30" s="37">
        <f>1857.9756604-0.5</f>
        <v>1857.4756604</v>
      </c>
      <c r="K30" s="37">
        <f>SUM(I30:J30)-0.5</f>
        <v>168759.08896</v>
      </c>
    </row>
    <row r="31" spans="1:11" ht="16.5" hidden="1">
      <c r="A31" s="19"/>
      <c r="B31" s="18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6.5" hidden="1">
      <c r="A32" s="18" t="s">
        <v>99</v>
      </c>
      <c r="B32" s="18"/>
      <c r="C32" s="37"/>
      <c r="D32" s="37"/>
      <c r="E32" s="37"/>
      <c r="F32" s="37"/>
      <c r="G32" s="37"/>
      <c r="H32" s="60">
        <v>0</v>
      </c>
      <c r="I32" s="37">
        <f>SUM(C32:H32)</f>
        <v>0</v>
      </c>
      <c r="J32" s="37"/>
      <c r="K32" s="37">
        <f>SUM(I32:J32)</f>
        <v>0</v>
      </c>
    </row>
    <row r="33" spans="1:11" ht="16.5" hidden="1">
      <c r="A33" s="19"/>
      <c r="B33" s="18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hidden="1">
      <c r="A34" s="19" t="s">
        <v>112</v>
      </c>
      <c r="B34" s="18"/>
      <c r="C34" s="37">
        <f aca="true" t="shared" si="1" ref="C34:K34">SUM(C30:C33)</f>
        <v>140326.1</v>
      </c>
      <c r="D34" s="37">
        <f t="shared" si="1"/>
        <v>28715.448</v>
      </c>
      <c r="E34" s="37">
        <f t="shared" si="1"/>
        <v>0</v>
      </c>
      <c r="F34" s="37">
        <f t="shared" si="1"/>
        <v>7.7762996</v>
      </c>
      <c r="G34" s="37">
        <f t="shared" si="1"/>
        <v>0</v>
      </c>
      <c r="H34" s="37">
        <f t="shared" si="1"/>
        <v>-2147.211</v>
      </c>
      <c r="I34" s="37">
        <f t="shared" si="1"/>
        <v>166902.1132996</v>
      </c>
      <c r="J34" s="37">
        <f t="shared" si="1"/>
        <v>1857.4756604</v>
      </c>
      <c r="K34" s="37">
        <f t="shared" si="1"/>
        <v>168759.08896</v>
      </c>
    </row>
    <row r="35" spans="1:11" ht="9" customHeight="1">
      <c r="A35" s="19"/>
      <c r="B35" s="18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hidden="1">
      <c r="A36" s="18" t="s">
        <v>133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 hidden="1">
      <c r="A37" s="18" t="s">
        <v>139</v>
      </c>
      <c r="B37" s="18"/>
      <c r="C37" s="37">
        <v>0</v>
      </c>
      <c r="D37" s="59">
        <v>0</v>
      </c>
      <c r="E37" s="37"/>
      <c r="F37" s="37">
        <v>0</v>
      </c>
      <c r="G37" s="59">
        <v>0</v>
      </c>
      <c r="H37" s="37">
        <v>0</v>
      </c>
      <c r="I37" s="37">
        <f>SUM(C37:H37)</f>
        <v>0</v>
      </c>
      <c r="J37" s="37">
        <v>0</v>
      </c>
      <c r="K37" s="37">
        <f>SUM(I37:J37)</f>
        <v>0</v>
      </c>
      <c r="M37" s="16"/>
    </row>
    <row r="38" spans="1:11" ht="16.5">
      <c r="A38" s="18" t="s">
        <v>170</v>
      </c>
      <c r="B38" s="18"/>
      <c r="C38" s="37"/>
      <c r="D38" s="37"/>
      <c r="E38" s="37"/>
      <c r="F38" s="37"/>
      <c r="G38" s="37"/>
      <c r="H38" s="37"/>
      <c r="I38" s="37"/>
      <c r="J38" s="37"/>
      <c r="K38" s="37"/>
    </row>
    <row r="39" spans="1:13" ht="16.5">
      <c r="A39" s="18" t="s">
        <v>144</v>
      </c>
      <c r="B39" s="18"/>
      <c r="C39" s="37">
        <v>0</v>
      </c>
      <c r="D39" s="37">
        <v>0</v>
      </c>
      <c r="E39" s="37">
        <v>0</v>
      </c>
      <c r="F39" s="37">
        <f>((-0.77271-5.79533+2.31817)-(-0.77271-5.79533))*0.51+(6.12776)</f>
        <v>7.310026700000001</v>
      </c>
      <c r="G39" s="37">
        <v>0</v>
      </c>
      <c r="H39" s="69">
        <f>'P&amp;L'!D46</f>
        <v>1592</v>
      </c>
      <c r="I39" s="37">
        <f>SUM(C39:H39)</f>
        <v>1599.3100267</v>
      </c>
      <c r="J39" s="37">
        <f>'P&amp;L'!D54</f>
        <v>261.1359033</v>
      </c>
      <c r="K39" s="37">
        <f>SUM(I39:J39)</f>
        <v>1860.4459299999999</v>
      </c>
      <c r="M39" s="16"/>
    </row>
    <row r="40" spans="1:13" ht="16.5">
      <c r="A40" s="18"/>
      <c r="B40" s="18"/>
      <c r="C40" s="37"/>
      <c r="D40" s="37"/>
      <c r="E40" s="37"/>
      <c r="F40" s="69"/>
      <c r="G40" s="37"/>
      <c r="H40" s="69"/>
      <c r="I40" s="37"/>
      <c r="J40" s="37"/>
      <c r="K40" s="37"/>
      <c r="M40" s="16"/>
    </row>
    <row r="41" spans="1:13" ht="16.5">
      <c r="A41" s="18" t="s">
        <v>155</v>
      </c>
      <c r="B41" s="18"/>
      <c r="C41" s="37"/>
      <c r="D41" s="37"/>
      <c r="E41" s="37"/>
      <c r="F41" s="69"/>
      <c r="G41" s="37"/>
      <c r="H41" s="69">
        <v>-2806.522</v>
      </c>
      <c r="I41" s="37">
        <f>SUM(C41:H41)</f>
        <v>-2806.522</v>
      </c>
      <c r="J41" s="37"/>
      <c r="K41" s="37">
        <f>SUM(I41:J41)</f>
        <v>-2806.522</v>
      </c>
      <c r="M41" s="16"/>
    </row>
    <row r="42" spans="1:11" ht="9.75" customHeight="1">
      <c r="A42" s="18"/>
      <c r="B42" s="18"/>
      <c r="C42" s="37"/>
      <c r="D42" s="37"/>
      <c r="E42" s="59"/>
      <c r="F42" s="59"/>
      <c r="G42" s="37"/>
      <c r="H42" s="59"/>
      <c r="I42" s="59"/>
      <c r="J42" s="59"/>
      <c r="K42" s="59"/>
    </row>
    <row r="43" spans="1:11" ht="17.25" thickBot="1">
      <c r="A43" s="19" t="s">
        <v>180</v>
      </c>
      <c r="B43" s="18"/>
      <c r="C43" s="49">
        <f aca="true" t="shared" si="2" ref="C43:H43">SUM(C34:C42)</f>
        <v>140326.1</v>
      </c>
      <c r="D43" s="49">
        <f t="shared" si="2"/>
        <v>28715.448</v>
      </c>
      <c r="E43" s="49">
        <f t="shared" si="2"/>
        <v>0</v>
      </c>
      <c r="F43" s="61">
        <f t="shared" si="2"/>
        <v>15.0863263</v>
      </c>
      <c r="G43" s="49">
        <f t="shared" si="2"/>
        <v>0</v>
      </c>
      <c r="H43" s="49">
        <f t="shared" si="2"/>
        <v>-3361.7329999999997</v>
      </c>
      <c r="I43" s="49">
        <f>SUM(I34:I42)-0.5</f>
        <v>165694.4013263</v>
      </c>
      <c r="J43" s="49">
        <f>SUM(J34:J42)-0.5</f>
        <v>2118.1115637</v>
      </c>
      <c r="K43" s="49">
        <f>SUM(K34:K42)-1</f>
        <v>167812.01288999998</v>
      </c>
    </row>
    <row r="44" spans="1:13" ht="17.25" thickTop="1">
      <c r="A44" s="19"/>
      <c r="B44" s="18"/>
      <c r="C44" s="18"/>
      <c r="D44" s="18"/>
      <c r="E44" s="31"/>
      <c r="F44" s="31"/>
      <c r="G44" s="18"/>
      <c r="H44" s="31"/>
      <c r="I44" s="31"/>
      <c r="J44" s="31"/>
      <c r="K44" s="31" t="s">
        <v>0</v>
      </c>
      <c r="M44" s="16"/>
    </row>
    <row r="45" spans="1:11" ht="16.5">
      <c r="A45" s="19"/>
      <c r="B45" s="18"/>
      <c r="C45" s="18"/>
      <c r="D45" s="18"/>
      <c r="E45" s="31"/>
      <c r="F45" s="31"/>
      <c r="G45" s="18"/>
      <c r="H45" s="31" t="s">
        <v>0</v>
      </c>
      <c r="I45" s="31" t="s">
        <v>0</v>
      </c>
      <c r="J45" s="31" t="s">
        <v>0</v>
      </c>
      <c r="K45" s="31"/>
    </row>
    <row r="46" spans="1:11" ht="16.5">
      <c r="A46" s="31"/>
      <c r="B46" s="31"/>
      <c r="C46" s="31"/>
      <c r="D46" s="31"/>
      <c r="E46" s="31"/>
      <c r="F46" s="31"/>
      <c r="G46" s="31" t="s">
        <v>0</v>
      </c>
      <c r="H46" s="31" t="s">
        <v>0</v>
      </c>
      <c r="I46" s="31" t="s">
        <v>0</v>
      </c>
      <c r="J46" s="31"/>
      <c r="K46" s="31" t="s">
        <v>0</v>
      </c>
    </row>
    <row r="47" spans="1:11" ht="16.5">
      <c r="A47" s="18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6.5">
      <c r="A48" s="19" t="s">
        <v>150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6.5">
      <c r="A49" s="19" t="s">
        <v>157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6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7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2016-11-24T05:07:45Z</cp:lastPrinted>
  <dcterms:created xsi:type="dcterms:W3CDTF">1998-03-21T00:09:32Z</dcterms:created>
  <dcterms:modified xsi:type="dcterms:W3CDTF">2016-11-24T05:08:20Z</dcterms:modified>
  <cp:category/>
  <cp:version/>
  <cp:contentType/>
  <cp:contentStatus/>
</cp:coreProperties>
</file>