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activeTab="3"/>
  </bookViews>
  <sheets>
    <sheet name="P&amp;L" sheetId="1" r:id="rId1"/>
    <sheet name="BalSeet" sheetId="2" r:id="rId2"/>
    <sheet name="C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<sst xmlns="http://schemas.openxmlformats.org/spreadsheetml/2006/main" count="358" uniqueCount="185">
  <si>
    <t xml:space="preserve"> </t>
  </si>
  <si>
    <t>TOTAL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</si>
  <si>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</si>
  <si>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</si>
  <si>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</si>
  <si>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</si>
  <si>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</si>
  <si>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</si>
  <si>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</si>
  <si>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</si>
  <si>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</si>
  <si>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</si>
  <si>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</si>
  <si>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</si>
  <si>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</si>
  <si>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</si>
  <si>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</si>
  <si>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</si>
  <si>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</si>
  <si>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</si>
  <si>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</si>
  <si>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MINORITY INTERESTS</t>
  </si>
  <si>
    <t>LONG TERM BORROWINGS</t>
  </si>
  <si>
    <t>GOODWILL ON CONSOLIDATION</t>
  </si>
  <si>
    <t>DEFERRED TAXATION</t>
  </si>
  <si>
    <t>PRECEDING</t>
  </si>
  <si>
    <t>CURRENT ASSETS</t>
  </si>
  <si>
    <t>PROPERTY DEVELOPMENT EXPENDITURE</t>
  </si>
  <si>
    <t>YEAR</t>
  </si>
  <si>
    <t xml:space="preserve">  </t>
  </si>
  <si>
    <t>REVENUE</t>
  </si>
  <si>
    <t>RM '000</t>
  </si>
  <si>
    <t>NET CASH INFLOW/(USED) IN FINANCING ACTIVITIES</t>
  </si>
  <si>
    <t>NET INCREASE/(DECREASE) IN CASH AND CASH EQUIVALENTS</t>
  </si>
  <si>
    <t>CONDENSED CONSOLIDATED INCOME STATEMENT</t>
  </si>
  <si>
    <t>Taxation</t>
  </si>
  <si>
    <t>Minority Interest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</si>
  <si>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</si>
  <si>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</si>
  <si>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</si>
  <si>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</si>
  <si>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PROPERTY, PLANT AND EQUIPMENT</t>
  </si>
  <si>
    <t>CONDENSED CONSOLIDATED BALANCE SHEET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</si>
  <si>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</si>
  <si>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</si>
  <si>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</si>
  <si>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</si>
  <si>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</si>
  <si>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</si>
  <si>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</si>
  <si>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Fixed deposit held as security value</t>
  </si>
  <si>
    <t xml:space="preserve">     Payment to hire purchase creditors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</si>
  <si>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</si>
  <si>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</si>
  <si>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</si>
  <si>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</si>
  <si>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</si>
  <si>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</si>
  <si>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</si>
  <si>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</si>
  <si>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</si>
  <si>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</si>
  <si>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</si>
  <si>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</si>
  <si>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</si>
  <si>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>Net Loss For The Period</t>
  </si>
  <si>
    <t>Foreign Currency Translation</t>
  </si>
  <si>
    <t xml:space="preserve">   Differences</t>
  </si>
  <si>
    <t>ANALYSIS OF CASH AND CASH EQUIVALENTS :</t>
  </si>
  <si>
    <t>Cash and bank balances</t>
  </si>
  <si>
    <t>Deposits</t>
  </si>
  <si>
    <t>Bank overdrafts</t>
  </si>
  <si>
    <t>Less : Deposits held as security value</t>
  </si>
  <si>
    <t>PROFIT/(LOSS) FROM OPERATIONS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</si>
  <si>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</si>
  <si>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</si>
  <si>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</si>
  <si>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</si>
  <si>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</si>
  <si>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</si>
  <si>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</si>
  <si>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</si>
  <si>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>Interest Income</t>
  </si>
  <si>
    <t>Interest Expense</t>
  </si>
  <si>
    <t xml:space="preserve">     Increase/(decrease) in directors' account</t>
  </si>
  <si>
    <t xml:space="preserve">     Proceeds from disposal of property, plant &amp; equipment</t>
  </si>
  <si>
    <t>NET CASH INFLOW/(USED) IN INVESTING ACTIVITIES</t>
  </si>
  <si>
    <t xml:space="preserve">CASH AND CASH EQUIVALENTS </t>
  </si>
  <si>
    <t>- AT START OF PERIOD</t>
  </si>
  <si>
    <t>CASH AND CASH EQUIVALENTS AT END OF PERIOD</t>
  </si>
  <si>
    <t xml:space="preserve">     Net cash from acquisition of a subsidiary comapny</t>
  </si>
  <si>
    <t>AMOUNT OWING BY HOLDING COMPANY</t>
  </si>
  <si>
    <t>OTHER INVESTMENTS</t>
  </si>
  <si>
    <t>ACCUMULATED</t>
  </si>
  <si>
    <t>LOSS</t>
  </si>
  <si>
    <t xml:space="preserve">     Purchase of property, plant &amp; equipment</t>
  </si>
  <si>
    <t xml:space="preserve">PROVISIONS </t>
  </si>
  <si>
    <t xml:space="preserve">     Proceeds from disposal of investment</t>
  </si>
  <si>
    <t>31 DEC</t>
  </si>
  <si>
    <t xml:space="preserve">     Repayment of term loans/revolving credits</t>
  </si>
  <si>
    <t xml:space="preserve">     Proceeds from issuance of shares to minority shareholders of a subsidiary company</t>
  </si>
  <si>
    <t>-</t>
  </si>
  <si>
    <t xml:space="preserve">     Dividend paid</t>
  </si>
  <si>
    <t>OPERATING PROFIT BEFORE CHANGES IN WORKING CAPITAL</t>
  </si>
  <si>
    <t xml:space="preserve">     Dividend from investment/fund received from subsidiary/associated companies</t>
  </si>
  <si>
    <t xml:space="preserve">     Net cash from building demolished/land confiscated</t>
  </si>
  <si>
    <t xml:space="preserve">     Incidental cost from disposal of property, plant &amp; equipment</t>
  </si>
  <si>
    <t xml:space="preserve">    Exchange loss</t>
  </si>
  <si>
    <t>HIRE PURCHASE LIABILITIES</t>
  </si>
  <si>
    <t>INVESTMENT IN ASSOCIATES</t>
  </si>
  <si>
    <t>Annual Financial Report for the year ended 31 December 2005.</t>
  </si>
  <si>
    <t>TOTAL EQUITY</t>
  </si>
  <si>
    <t>MINORITY</t>
  </si>
  <si>
    <t>INTEREST</t>
  </si>
  <si>
    <t>EQUITY</t>
  </si>
  <si>
    <t>ATTRIBUTABLE TO :</t>
  </si>
  <si>
    <t>EQUITY HOLDERS OF THE PARENT :</t>
  </si>
  <si>
    <t>Diluted Earnings Per Ordinary Share (Sen)</t>
  </si>
  <si>
    <t xml:space="preserve">Basic Profit/(Loss) Per Ordinary Share (Sen) </t>
  </si>
  <si>
    <t>Equity Holders Of  The Parent</t>
  </si>
  <si>
    <t>TOTAL ASSETS</t>
  </si>
  <si>
    <t>NON-CURRENT LIABILITIES</t>
  </si>
  <si>
    <t>TOTAL LIABILITIES</t>
  </si>
  <si>
    <t>TOTAL EQUITY AND LIABILITIES</t>
  </si>
  <si>
    <t>INVENTORIES</t>
  </si>
  <si>
    <t>TRADE RECEIVALES</t>
  </si>
  <si>
    <t>OTHER RECEIVABLES</t>
  </si>
  <si>
    <t>TAX RECOVERABLE</t>
  </si>
  <si>
    <t>AMOUNT OWING BY ASSOCIATES</t>
  </si>
  <si>
    <t>DEPOSITS</t>
  </si>
  <si>
    <t>CASH AND BANK BALANCES</t>
  </si>
  <si>
    <t>NON-CURRENT ASSETS</t>
  </si>
  <si>
    <t>EQUITY AND LIABILITIES :</t>
  </si>
  <si>
    <t>ASSETS :</t>
  </si>
  <si>
    <t>SHARE PREMIUM</t>
  </si>
  <si>
    <t>REVALUATION RESERVE</t>
  </si>
  <si>
    <t>EXCHANGE RESERVE</t>
  </si>
  <si>
    <t>TRADE PAYABLES</t>
  </si>
  <si>
    <t>OTHER PAYABLES</t>
  </si>
  <si>
    <t>PROVISIONS</t>
  </si>
  <si>
    <t>AMOUNT OWING TO DIRECTORS</t>
  </si>
  <si>
    <t>AMOUNT OWING TO SUBSIDIARIES</t>
  </si>
  <si>
    <t>HIRE PURCHASE PAYABLES</t>
  </si>
  <si>
    <t>BANK OVERDRAFTS &amp; BANKERS' ACCEPTANCE</t>
  </si>
  <si>
    <t>TAX PAYABLE</t>
  </si>
  <si>
    <t>NET ASSETS PER SHARE ATTRIBUTABLE TO ORDINARY</t>
  </si>
  <si>
    <t>EQUITY HOLDERS OF THE PARENT (RM)</t>
  </si>
  <si>
    <t>INVESTMENT PROPERTIES</t>
  </si>
  <si>
    <t>EARNINGS PER SHARE ATTRIBUTABLE TO</t>
  </si>
  <si>
    <t>The Condensed Consolidated Balance Sheet  should be read in conjunction with the</t>
  </si>
  <si>
    <t>EQUITY ATTRIBUTABLE TO EQUITY HOLDERS OF THE PARENT</t>
  </si>
  <si>
    <t xml:space="preserve">     Repayment from holding company</t>
  </si>
  <si>
    <t xml:space="preserve">     Increase in amount due from associated/non-consolidated subsidiary companies</t>
  </si>
  <si>
    <t>Recognition of revaluation reserve</t>
  </si>
  <si>
    <t>AS PREVIOUSLY STATED</t>
  </si>
  <si>
    <t xml:space="preserve">The comparative financial statement for the year ended 31 December 2005 has been </t>
  </si>
  <si>
    <t>reclassified to conform with the current year presentation.</t>
  </si>
  <si>
    <t>UNAUDITED RESULTS OF THE GROUP FOR THE SECOND QUARTER ENDED 30 JUNE 2006</t>
  </si>
  <si>
    <t>30 JUNE</t>
  </si>
  <si>
    <t>BALANCE AT 1 APR 2005</t>
  </si>
  <si>
    <t>BALANCE AT 1 APR 2006</t>
  </si>
  <si>
    <t>BALANCE AT 30 JUNE 2006</t>
  </si>
  <si>
    <t>BALANCE AT 30 JUNE 2005</t>
  </si>
  <si>
    <t>AMOUNT OWING BY SUBSIDIARIES COMPANY</t>
  </si>
  <si>
    <t xml:space="preserve">SHORT TERM BORROWINGS </t>
  </si>
  <si>
    <t>CONTINUING OPERATIONS :</t>
  </si>
  <si>
    <t>CONTINUING OPERATIONS</t>
  </si>
  <si>
    <t>DISCONTINUED OPERATIONS :</t>
  </si>
  <si>
    <t>from continuing operations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</si>
  <si>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</si>
  <si>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</si>
  <si>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</si>
  <si>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</si>
  <si>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</si>
  <si>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Amount recognised directly in equity</t>
  </si>
  <si>
    <t>relating to the assets classified as</t>
  </si>
  <si>
    <t>held for sale</t>
  </si>
  <si>
    <t>SALE</t>
  </si>
  <si>
    <t>HELD FOR</t>
  </si>
  <si>
    <t>Loss for the period from a discontinued operation</t>
  </si>
  <si>
    <t xml:space="preserve">LOSS FOR THE PERIOD </t>
  </si>
  <si>
    <t xml:space="preserve">PROFIT/(LOSS) FOR THE PERIOD FROM </t>
  </si>
  <si>
    <t>PROFIT/(LOSS) BEFORE TAXATION</t>
  </si>
  <si>
    <t>LOSS BEFORE TAX</t>
  </si>
  <si>
    <t>ACCUMULATED LOSSES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</si>
</sst>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183" fontId="4" fillId="0" borderId="0" xfId="15" applyNumberFormat="1" applyFont="1" applyAlignment="1">
      <alignment/>
    </xf>
    <xf numFmtId="181" fontId="4" fillId="0" borderId="3" xfId="0" applyNumberFormat="1" applyFont="1" applyBorder="1" applyAlignment="1">
      <alignment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0"/>
  <sheetViews>
    <sheetView zoomScale="75" zoomScaleNormal="75" workbookViewId="0" topLeftCell="A1">
      <selection activeCell="K22" sqref="K22"/>
    </sheetView>
  </sheetViews>
  <sheetFormatPr defaultColWidth="9.140625" defaultRowHeight="12.75"/>
  <cols>
    <col min="2" max="2" width="47.8515625" style="0" customWidth="1"/>
    <col min="3" max="3" width="4.7109375" style="0" customWidth="1"/>
    <col min="4" max="4" width="17.281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7.28125" style="0" customWidth="1"/>
    <col min="9" max="9" width="4.140625" style="0" customWidth="1"/>
    <col min="10" max="10" width="18.140625" style="0" customWidth="1"/>
    <col min="12" max="12" width="12.00390625" style="0" bestFit="1" customWidth="1"/>
  </cols>
  <sheetData>
    <row r="2" spans="2:10" ht="15.75">
      <c r="B2" s="5" t="s">
        <v>3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4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157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34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7</v>
      </c>
      <c r="E8" s="6"/>
      <c r="F8" s="6"/>
      <c r="G8" s="2"/>
      <c r="H8" s="6" t="s">
        <v>8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25</v>
      </c>
      <c r="G10" s="17"/>
      <c r="H10" s="17"/>
      <c r="I10" s="17"/>
      <c r="J10" s="7" t="s">
        <v>25</v>
      </c>
    </row>
    <row r="11" spans="2:10" ht="15.75">
      <c r="B11" s="5" t="s">
        <v>0</v>
      </c>
      <c r="C11" s="17"/>
      <c r="D11" s="7" t="s">
        <v>9</v>
      </c>
      <c r="E11" s="7"/>
      <c r="F11" s="7" t="s">
        <v>10</v>
      </c>
      <c r="G11" s="17"/>
      <c r="H11" s="7" t="s">
        <v>9</v>
      </c>
      <c r="I11" s="7"/>
      <c r="J11" s="7" t="s">
        <v>10</v>
      </c>
    </row>
    <row r="12" spans="2:10" ht="15.75">
      <c r="B12" s="1"/>
      <c r="C12" s="1"/>
      <c r="D12" s="7" t="s">
        <v>10</v>
      </c>
      <c r="E12" s="7"/>
      <c r="F12" s="7" t="s">
        <v>12</v>
      </c>
      <c r="G12" s="18"/>
      <c r="H12" s="7" t="s">
        <v>10</v>
      </c>
      <c r="I12" s="7"/>
      <c r="J12" s="7" t="s">
        <v>12</v>
      </c>
    </row>
    <row r="13" spans="2:10" ht="15.75">
      <c r="B13" s="1"/>
      <c r="C13" s="1"/>
      <c r="D13" s="7" t="s">
        <v>11</v>
      </c>
      <c r="E13" s="7"/>
      <c r="F13" s="7" t="s">
        <v>11</v>
      </c>
      <c r="H13" s="7" t="s">
        <v>13</v>
      </c>
      <c r="I13" s="7"/>
      <c r="J13" s="7" t="s">
        <v>14</v>
      </c>
    </row>
    <row r="14" spans="2:10" ht="15.75">
      <c r="B14" s="1"/>
      <c r="C14" s="1"/>
      <c r="D14" s="38" t="s">
        <v>158</v>
      </c>
      <c r="E14" s="7"/>
      <c r="F14" s="38" t="s">
        <v>158</v>
      </c>
      <c r="G14" s="2"/>
      <c r="H14" s="38" t="s">
        <v>158</v>
      </c>
      <c r="I14" s="7"/>
      <c r="J14" s="38" t="s">
        <v>158</v>
      </c>
    </row>
    <row r="15" spans="2:10" ht="15.75">
      <c r="B15" s="1"/>
      <c r="C15" s="1"/>
      <c r="D15" s="3">
        <v>2006</v>
      </c>
      <c r="E15" s="3"/>
      <c r="F15" s="3">
        <v>2005</v>
      </c>
      <c r="G15" s="3"/>
      <c r="H15" s="3">
        <v>2006</v>
      </c>
      <c r="I15" s="3"/>
      <c r="J15" s="3">
        <v>2005</v>
      </c>
    </row>
    <row r="16" spans="2:10" ht="15.75">
      <c r="B16" s="1"/>
      <c r="C16" s="1"/>
      <c r="D16" s="3" t="s">
        <v>2</v>
      </c>
      <c r="E16" s="3"/>
      <c r="F16" s="3" t="s">
        <v>2</v>
      </c>
      <c r="G16" s="3"/>
      <c r="H16" s="3" t="s">
        <v>2</v>
      </c>
      <c r="I16" s="3"/>
      <c r="J16" s="3" t="s">
        <v>2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3" t="s">
        <v>165</v>
      </c>
      <c r="C18" s="1"/>
      <c r="D18" s="1" t="s">
        <v>0</v>
      </c>
      <c r="E18" s="1"/>
      <c r="F18" s="1"/>
      <c r="G18" s="1"/>
      <c r="H18" s="1" t="s">
        <v>0</v>
      </c>
      <c r="I18" s="1"/>
      <c r="J18" s="1"/>
    </row>
    <row r="19" spans="2:10" ht="15.75">
      <c r="B19" s="23" t="s">
        <v>30</v>
      </c>
      <c r="C19" s="1"/>
      <c r="D19" s="31">
        <f>31198-(42973-28454.393)</f>
        <v>16679.393</v>
      </c>
      <c r="E19" s="31"/>
      <c r="F19" s="47">
        <f>52448-(54455-28201)</f>
        <v>26194</v>
      </c>
      <c r="G19" s="1"/>
      <c r="H19" s="31">
        <v>31198.202350000007</v>
      </c>
      <c r="I19" s="31"/>
      <c r="J19" s="47">
        <f>111442-57885-1109</f>
        <v>52448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0" ht="15.75">
      <c r="B21" s="21" t="s">
        <v>74</v>
      </c>
      <c r="C21" s="1"/>
      <c r="D21" s="15">
        <f>-31892+(44826-27871-352-3925-390)-1</f>
        <v>-19605</v>
      </c>
      <c r="E21" s="1"/>
      <c r="F21" s="15">
        <f>-51611+(58060-27079-6-232-4344-158)-1</f>
        <v>-25371</v>
      </c>
      <c r="G21" s="1"/>
      <c r="H21" s="11">
        <v>-31892.09040000001</v>
      </c>
      <c r="I21" s="1"/>
      <c r="J21" s="15">
        <f>-117790+(55387+916+8774+626+13+464)-1</f>
        <v>-51611</v>
      </c>
    </row>
    <row r="22" spans="2:10" ht="15.75">
      <c r="B22" s="1" t="s">
        <v>75</v>
      </c>
      <c r="C22" s="18"/>
      <c r="D22" s="11">
        <f>677-(1472-1138.91)</f>
        <v>343.9100000000001</v>
      </c>
      <c r="E22" s="11"/>
      <c r="F22" s="15">
        <f>1608-(1537-1118)</f>
        <v>1189</v>
      </c>
      <c r="G22" s="18"/>
      <c r="H22" s="11">
        <v>677.4603000000002</v>
      </c>
      <c r="I22" s="11"/>
      <c r="J22" s="15">
        <f>3843-2235</f>
        <v>1608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3" t="s">
        <v>73</v>
      </c>
      <c r="C24" s="18"/>
      <c r="D24" s="11">
        <f>SUM(D19:D23)</f>
        <v>-2581.697</v>
      </c>
      <c r="E24" s="11"/>
      <c r="F24" s="15">
        <f>SUM(F19:F23)</f>
        <v>2012</v>
      </c>
      <c r="G24" s="18"/>
      <c r="H24" s="11">
        <f>SUM(H19:H23)-1</f>
        <v>-17.427750000001197</v>
      </c>
      <c r="I24" s="11"/>
      <c r="J24" s="11">
        <f>SUM(J19:J23)</f>
        <v>2445</v>
      </c>
    </row>
    <row r="25" spans="2:10" ht="15.75">
      <c r="B25" s="23"/>
      <c r="C25" s="18"/>
      <c r="D25" s="11" t="s">
        <v>0</v>
      </c>
      <c r="E25" s="11"/>
      <c r="F25" s="15"/>
      <c r="G25" s="18"/>
      <c r="H25" s="11" t="s">
        <v>0</v>
      </c>
      <c r="I25" s="11"/>
      <c r="J25" s="18"/>
    </row>
    <row r="26" spans="2:10" ht="16.5">
      <c r="B26" s="40" t="s">
        <v>82</v>
      </c>
      <c r="C26" s="18"/>
      <c r="D26" s="11">
        <f>1777-(973-107)</f>
        <v>911</v>
      </c>
      <c r="E26" s="11"/>
      <c r="F26" s="15">
        <f>1962-(1043-60)</f>
        <v>979</v>
      </c>
      <c r="G26" s="18"/>
      <c r="H26" s="11">
        <v>1776.82043</v>
      </c>
      <c r="I26" s="11"/>
      <c r="J26" s="15">
        <f>2075-112-1</f>
        <v>1962</v>
      </c>
    </row>
    <row r="27" spans="2:10" ht="16.5">
      <c r="B27" s="40" t="s">
        <v>83</v>
      </c>
      <c r="C27" s="18"/>
      <c r="D27" s="11">
        <f>-2383+(3044-1780-38)</f>
        <v>-1157</v>
      </c>
      <c r="E27" s="11"/>
      <c r="F27" s="15">
        <f>-2711+(3289-1901-35)</f>
        <v>-1358</v>
      </c>
      <c r="G27" s="18"/>
      <c r="H27" s="11">
        <v>-2383.3802499999997</v>
      </c>
      <c r="I27" s="11"/>
      <c r="J27" s="15">
        <f>-6777+3995+71</f>
        <v>-2711</v>
      </c>
    </row>
    <row r="28" spans="2:10" ht="16.5">
      <c r="B28" s="40" t="s">
        <v>76</v>
      </c>
      <c r="C28" s="18"/>
      <c r="D28" s="11">
        <f>257+(2145-1643-234)</f>
        <v>525</v>
      </c>
      <c r="E28" s="11"/>
      <c r="F28" s="15">
        <f>-922+(2441-1519)</f>
        <v>0</v>
      </c>
      <c r="G28" s="18"/>
      <c r="H28" s="11">
        <v>256.91838</v>
      </c>
      <c r="I28" s="11"/>
      <c r="J28" s="15">
        <f>-4056+3134</f>
        <v>-922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 t="s">
        <v>0</v>
      </c>
    </row>
    <row r="30" spans="2:10" ht="15.75">
      <c r="B30" s="39" t="s">
        <v>182</v>
      </c>
      <c r="C30" s="18"/>
      <c r="D30" s="11">
        <f>SUM(D24:D29)</f>
        <v>-2302.697</v>
      </c>
      <c r="E30" s="11"/>
      <c r="F30" s="11">
        <f>SUM(F24:F29)</f>
        <v>1633</v>
      </c>
      <c r="G30" s="18"/>
      <c r="H30" s="11">
        <f>SUM(H24:H29)+1</f>
        <v>-366.0691900000009</v>
      </c>
      <c r="I30" s="11"/>
      <c r="J30" s="11">
        <f>SUM(J24:J29)</f>
        <v>774</v>
      </c>
    </row>
    <row r="31" spans="2:10" ht="15.75">
      <c r="B31" s="39" t="s">
        <v>0</v>
      </c>
      <c r="C31" s="18"/>
      <c r="D31" s="11" t="s">
        <v>0</v>
      </c>
      <c r="E31" s="11"/>
      <c r="F31" s="18"/>
      <c r="G31" s="18"/>
      <c r="H31" s="11" t="s">
        <v>0</v>
      </c>
      <c r="I31" s="11"/>
      <c r="J31" s="18"/>
    </row>
    <row r="32" spans="2:10" ht="16.5">
      <c r="B32" s="40" t="s">
        <v>35</v>
      </c>
      <c r="C32" s="1"/>
      <c r="D32" s="31">
        <f>-1561+(883-25)</f>
        <v>-703</v>
      </c>
      <c r="E32" s="31"/>
      <c r="F32" s="36">
        <f>-1374+(795-60)</f>
        <v>-639</v>
      </c>
      <c r="G32" s="1"/>
      <c r="H32" s="31">
        <v>-1561.0760560000006</v>
      </c>
      <c r="I32" s="31"/>
      <c r="J32" s="36">
        <f>-1533+159</f>
        <v>-1374</v>
      </c>
    </row>
    <row r="33" spans="2:10" ht="15.75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</row>
    <row r="34" spans="2:10" ht="15.75">
      <c r="B34" s="39" t="s">
        <v>181</v>
      </c>
      <c r="C34" s="1"/>
      <c r="D34" s="51" t="s">
        <v>0</v>
      </c>
      <c r="E34" s="51"/>
      <c r="F34" s="51" t="s">
        <v>0</v>
      </c>
      <c r="G34" s="10" t="s">
        <v>0</v>
      </c>
      <c r="H34" s="51" t="s">
        <v>0</v>
      </c>
      <c r="I34" s="51" t="s">
        <v>0</v>
      </c>
      <c r="J34" s="51" t="s">
        <v>0</v>
      </c>
    </row>
    <row r="35" spans="2:10" ht="15.75">
      <c r="B35" s="39" t="s">
        <v>166</v>
      </c>
      <c r="C35" s="18"/>
      <c r="D35" s="31">
        <f>SUM(D30:D33)</f>
        <v>-3005.697</v>
      </c>
      <c r="E35" s="31"/>
      <c r="F35" s="31">
        <f>SUM(F30:F33)</f>
        <v>994</v>
      </c>
      <c r="G35" s="10"/>
      <c r="H35" s="31">
        <f>SUM(H30:H33)</f>
        <v>-1927.1452460000014</v>
      </c>
      <c r="I35" s="31"/>
      <c r="J35" s="31">
        <f>SUM(J30:J33)</f>
        <v>-600</v>
      </c>
    </row>
    <row r="36" spans="2:10" ht="15.75">
      <c r="B36" s="39"/>
      <c r="C36" s="18"/>
      <c r="D36" s="11"/>
      <c r="E36" s="11"/>
      <c r="F36" s="11"/>
      <c r="G36" s="18"/>
      <c r="H36" s="11"/>
      <c r="I36" s="11"/>
      <c r="J36" s="11"/>
    </row>
    <row r="37" spans="2:10" ht="15.75">
      <c r="B37" s="39" t="s">
        <v>167</v>
      </c>
      <c r="C37" s="18"/>
      <c r="D37" s="11"/>
      <c r="E37" s="11"/>
      <c r="F37" s="11"/>
      <c r="G37" s="18"/>
      <c r="H37" s="11"/>
      <c r="I37" s="11"/>
      <c r="J37" s="11"/>
    </row>
    <row r="38" spans="2:10" ht="15.75">
      <c r="B38" s="39" t="s">
        <v>179</v>
      </c>
      <c r="C38" s="18"/>
      <c r="D38" s="11">
        <f>-12319+(6130+429)</f>
        <v>-5760</v>
      </c>
      <c r="E38" s="11"/>
      <c r="F38" s="11">
        <f>-12196+(5763+193)</f>
        <v>-6240</v>
      </c>
      <c r="G38" s="18"/>
      <c r="H38" s="11">
        <v>-12319.411866286582</v>
      </c>
      <c r="I38" s="11"/>
      <c r="J38" s="11">
        <f>-11693-503</f>
        <v>-12196</v>
      </c>
    </row>
    <row r="39" spans="2:10" ht="15.75">
      <c r="B39" s="39"/>
      <c r="C39" s="18"/>
      <c r="D39" s="11"/>
      <c r="E39" s="11"/>
      <c r="F39" s="11"/>
      <c r="G39" s="18"/>
      <c r="H39" s="11"/>
      <c r="I39" s="11"/>
      <c r="J39" s="11"/>
    </row>
    <row r="40" spans="2:10" ht="16.5" thickBot="1">
      <c r="B40" s="39" t="s">
        <v>180</v>
      </c>
      <c r="C40" s="18"/>
      <c r="D40" s="12">
        <f>SUM(D35:D39)</f>
        <v>-8765.697</v>
      </c>
      <c r="E40" s="12"/>
      <c r="F40" s="12">
        <f>SUM(F35:F39)</f>
        <v>-5246</v>
      </c>
      <c r="G40" s="18"/>
      <c r="H40" s="12">
        <f>SUM(H35:H39)+1</f>
        <v>-14245.557112286584</v>
      </c>
      <c r="I40" s="12"/>
      <c r="J40" s="12">
        <f>SUM(J35:J39)</f>
        <v>-12796</v>
      </c>
    </row>
    <row r="41" spans="2:10" ht="16.5" thickTop="1">
      <c r="B41" s="39"/>
      <c r="C41" s="18"/>
      <c r="D41" s="31"/>
      <c r="E41" s="31"/>
      <c r="F41" s="31"/>
      <c r="G41" s="18"/>
      <c r="H41" s="31"/>
      <c r="I41" s="31"/>
      <c r="J41" s="31"/>
    </row>
    <row r="42" spans="2:10" ht="15.75">
      <c r="B42" s="39" t="s">
        <v>115</v>
      </c>
      <c r="C42" s="18"/>
      <c r="D42" s="11"/>
      <c r="E42" s="11"/>
      <c r="F42" s="11"/>
      <c r="G42" s="18"/>
      <c r="H42" s="11"/>
      <c r="I42" s="11"/>
      <c r="J42" s="11"/>
    </row>
    <row r="43" spans="2:10" ht="15.75">
      <c r="B43" s="21" t="s">
        <v>119</v>
      </c>
      <c r="C43" s="18"/>
      <c r="D43" s="11">
        <f>-9236+2799</f>
        <v>-6437</v>
      </c>
      <c r="E43" s="11"/>
      <c r="F43" s="11">
        <f>-5246+2237</f>
        <v>-3009</v>
      </c>
      <c r="G43" s="18"/>
      <c r="H43" s="11">
        <f>H40-H44-1</f>
        <v>-9236.43373608279</v>
      </c>
      <c r="I43" s="11"/>
      <c r="J43" s="11">
        <f>-12796+4587</f>
        <v>-8209</v>
      </c>
    </row>
    <row r="44" spans="2:10" ht="16.5">
      <c r="B44" s="40" t="s">
        <v>36</v>
      </c>
      <c r="C44" s="18"/>
      <c r="D44" s="11">
        <f>-5010+2681</f>
        <v>-2329</v>
      </c>
      <c r="E44" s="11"/>
      <c r="F44" s="36">
        <v>-2237</v>
      </c>
      <c r="G44" s="18"/>
      <c r="H44" s="11">
        <v>-5010.123376203794</v>
      </c>
      <c r="I44" s="11"/>
      <c r="J44" s="36">
        <v>-4587</v>
      </c>
    </row>
    <row r="45" spans="2:10" ht="15.75">
      <c r="B45" s="1"/>
      <c r="C45" s="1"/>
      <c r="D45" s="8"/>
      <c r="E45" s="8"/>
      <c r="F45" s="8"/>
      <c r="G45" s="1"/>
      <c r="H45" s="8"/>
      <c r="I45" s="8"/>
      <c r="J45" s="8"/>
    </row>
    <row r="46" spans="2:10" ht="16.5" thickBot="1">
      <c r="B46" s="39" t="s">
        <v>0</v>
      </c>
      <c r="C46" s="1"/>
      <c r="D46" s="12">
        <f>SUM(D43:D45)</f>
        <v>-8766</v>
      </c>
      <c r="E46" s="12"/>
      <c r="F46" s="12">
        <f>SUM(F43:F45)</f>
        <v>-5246</v>
      </c>
      <c r="G46" s="1"/>
      <c r="H46" s="12">
        <f>SUM(H43:H45)+1</f>
        <v>-14245.557112286584</v>
      </c>
      <c r="I46" s="12"/>
      <c r="J46" s="12">
        <f>SUM(J43:J45)</f>
        <v>-12796</v>
      </c>
    </row>
    <row r="47" spans="2:10" ht="16.5" thickTop="1">
      <c r="B47" s="1" t="s">
        <v>0</v>
      </c>
      <c r="C47" s="1"/>
      <c r="D47" s="1" t="s">
        <v>0</v>
      </c>
      <c r="E47" s="1"/>
      <c r="F47" s="1"/>
      <c r="G47" s="1"/>
      <c r="H47" s="1" t="s">
        <v>0</v>
      </c>
      <c r="I47" s="1"/>
      <c r="J47" s="1"/>
    </row>
    <row r="48" spans="2:10" ht="15.75">
      <c r="B48" s="1"/>
      <c r="C48" s="1"/>
      <c r="D48" s="11" t="s">
        <v>0</v>
      </c>
      <c r="E48" s="1"/>
      <c r="F48" s="1" t="s">
        <v>0</v>
      </c>
      <c r="G48" s="1"/>
      <c r="H48" s="1" t="s">
        <v>0</v>
      </c>
      <c r="I48" s="1"/>
      <c r="J48" s="1"/>
    </row>
    <row r="49" spans="2:10" ht="15.75">
      <c r="B49" s="23" t="s">
        <v>0</v>
      </c>
      <c r="C49" s="1"/>
      <c r="D49" s="11"/>
      <c r="E49" s="1"/>
      <c r="F49" s="1"/>
      <c r="G49" s="1"/>
      <c r="H49" s="1"/>
      <c r="I49" s="1"/>
      <c r="J49" s="1"/>
    </row>
    <row r="50" spans="2:10" ht="15.75">
      <c r="B50" s="23" t="s">
        <v>148</v>
      </c>
      <c r="C50" s="1"/>
      <c r="D50" s="11"/>
      <c r="E50" s="1"/>
      <c r="F50" s="1"/>
      <c r="G50" s="1"/>
      <c r="H50" s="1"/>
      <c r="I50" s="1"/>
      <c r="J50" s="1"/>
    </row>
    <row r="51" spans="2:10" ht="15.75">
      <c r="B51" s="23" t="s">
        <v>116</v>
      </c>
      <c r="C51" s="1"/>
      <c r="D51" s="11" t="s">
        <v>0</v>
      </c>
      <c r="E51" s="11"/>
      <c r="F51" s="1"/>
      <c r="G51" s="1"/>
      <c r="H51" s="1"/>
      <c r="I51" s="1"/>
      <c r="J51" s="1"/>
    </row>
    <row r="52" ht="15.75">
      <c r="B52" s="23" t="s">
        <v>118</v>
      </c>
    </row>
    <row r="53" spans="2:10" ht="15.75">
      <c r="B53" s="23" t="s">
        <v>168</v>
      </c>
      <c r="D53" s="14">
        <f>(D35+(100-47)-(16-17))/120000*100</f>
        <v>-2.4597475</v>
      </c>
      <c r="E53" s="14"/>
      <c r="F53" s="14">
        <f>(F35-(123-28)-(29-12))/120000*100</f>
        <v>0.735</v>
      </c>
      <c r="G53" s="1"/>
      <c r="H53" s="14">
        <v>-1.5362991770833345</v>
      </c>
      <c r="I53" s="14"/>
      <c r="J53" s="14">
        <f>(J35-(123)-(29))/120000*100</f>
        <v>-0.6266666666666667</v>
      </c>
    </row>
    <row r="54" spans="2:10" ht="15.75">
      <c r="B54" s="23"/>
      <c r="D54" s="14"/>
      <c r="E54" s="14"/>
      <c r="F54" s="14"/>
      <c r="G54" s="1"/>
      <c r="H54" s="14"/>
      <c r="I54" s="14"/>
      <c r="J54" s="14"/>
    </row>
    <row r="55" spans="2:10" ht="15.75">
      <c r="B55" s="23" t="s">
        <v>118</v>
      </c>
      <c r="D55" s="14"/>
      <c r="E55" s="14"/>
      <c r="F55" s="14"/>
      <c r="G55" s="1"/>
      <c r="H55" s="14"/>
      <c r="I55" s="14"/>
      <c r="J55" s="14"/>
    </row>
    <row r="56" spans="2:10" ht="15.75">
      <c r="B56" s="23" t="s">
        <v>169</v>
      </c>
      <c r="D56" s="14">
        <f>(D38+(4927-2652))/120000*100</f>
        <v>-2.904166666666667</v>
      </c>
      <c r="E56" s="14"/>
      <c r="F56" s="14">
        <f>(F38+(4739-2390))/120000*100</f>
        <v>-3.2425</v>
      </c>
      <c r="G56" s="1"/>
      <c r="H56" s="14">
        <v>-6.16072893631899</v>
      </c>
      <c r="I56" s="14"/>
      <c r="J56" s="14">
        <f>(J38+(4739))/120000*100</f>
        <v>-6.214166666666666</v>
      </c>
    </row>
    <row r="57" spans="2:10" ht="16.5">
      <c r="B57" s="40" t="s">
        <v>0</v>
      </c>
      <c r="D57" s="14" t="s">
        <v>0</v>
      </c>
      <c r="E57" s="14"/>
      <c r="F57" s="49" t="s">
        <v>0</v>
      </c>
      <c r="G57" s="1"/>
      <c r="H57" s="49" t="s">
        <v>0</v>
      </c>
      <c r="I57" s="14"/>
      <c r="J57" s="49" t="s">
        <v>0</v>
      </c>
    </row>
    <row r="58" spans="2:10" ht="17.25" thickBot="1">
      <c r="B58" s="40" t="s">
        <v>37</v>
      </c>
      <c r="D58" s="53">
        <f>SUM(D53:D57)</f>
        <v>-5.363914166666667</v>
      </c>
      <c r="E58" s="52"/>
      <c r="F58" s="53">
        <f>SUM(F53:F57)+0.01</f>
        <v>-2.4975000000000005</v>
      </c>
      <c r="G58" s="1"/>
      <c r="H58" s="53">
        <f>SUM(H53:H57)</f>
        <v>-7.697028113402324</v>
      </c>
      <c r="I58" s="52"/>
      <c r="J58" s="53">
        <f>SUM(J53:J57)</f>
        <v>-6.840833333333333</v>
      </c>
    </row>
    <row r="59" spans="2:10" ht="17.25" thickTop="1">
      <c r="B59" s="40" t="s">
        <v>0</v>
      </c>
      <c r="D59" s="14"/>
      <c r="E59" s="14"/>
      <c r="F59" s="14"/>
      <c r="G59" s="1"/>
      <c r="H59" s="14"/>
      <c r="I59" s="14"/>
      <c r="J59" s="14"/>
    </row>
    <row r="60" spans="2:10" ht="15.75">
      <c r="B60" s="23" t="s">
        <v>117</v>
      </c>
      <c r="C60" s="1"/>
      <c r="D60" s="14">
        <v>0</v>
      </c>
      <c r="E60" s="1"/>
      <c r="F60" s="49" t="s">
        <v>101</v>
      </c>
      <c r="G60" s="1"/>
      <c r="H60" s="49" t="s">
        <v>101</v>
      </c>
      <c r="I60" s="14"/>
      <c r="J60" s="49" t="s">
        <v>101</v>
      </c>
    </row>
    <row r="61" spans="2:10" ht="16.5">
      <c r="B61" s="40" t="s">
        <v>38</v>
      </c>
      <c r="C61" s="1"/>
      <c r="D61" s="1"/>
      <c r="E61" s="1"/>
      <c r="F61" s="1"/>
      <c r="G61" s="1"/>
      <c r="H61" s="29"/>
      <c r="I61" s="29"/>
      <c r="J61" s="1"/>
    </row>
    <row r="64" ht="12.75">
      <c r="F64" t="s">
        <v>0</v>
      </c>
    </row>
    <row r="65" spans="2:10" ht="15.75">
      <c r="B65" s="23" t="s">
        <v>0</v>
      </c>
      <c r="C65" s="1" t="s">
        <v>0</v>
      </c>
      <c r="D65" s="50" t="s">
        <v>0</v>
      </c>
      <c r="E65" s="14"/>
      <c r="F65" s="14" t="s">
        <v>0</v>
      </c>
      <c r="G65" s="1"/>
      <c r="H65" s="29"/>
      <c r="I65" s="29"/>
      <c r="J65" s="1"/>
    </row>
    <row r="66" spans="2:10" ht="15.75">
      <c r="B66" s="23"/>
      <c r="C66" s="1"/>
      <c r="D66" s="14"/>
      <c r="E66" s="14"/>
      <c r="F66" s="14"/>
      <c r="G66" s="1"/>
      <c r="H66" s="29"/>
      <c r="I66" s="29"/>
      <c r="J66" s="1"/>
    </row>
    <row r="67" spans="2:10" ht="15.75">
      <c r="B67" s="23"/>
      <c r="C67" s="1"/>
      <c r="D67" s="14"/>
      <c r="E67" s="14"/>
      <c r="F67" s="14"/>
      <c r="G67" s="1"/>
      <c r="H67" s="29"/>
      <c r="I67" s="29"/>
      <c r="J67" s="1"/>
    </row>
    <row r="68" spans="2:10" ht="15.75">
      <c r="B68" s="23"/>
      <c r="C68" s="1"/>
      <c r="D68" s="14"/>
      <c r="E68" s="14"/>
      <c r="F68" s="14"/>
      <c r="G68" s="1"/>
      <c r="H68" s="29"/>
      <c r="I68" s="29"/>
      <c r="J68" s="1"/>
    </row>
    <row r="69" spans="2:10" ht="15.75">
      <c r="B69" s="23" t="s">
        <v>62</v>
      </c>
      <c r="C69" s="1"/>
      <c r="D69" s="14"/>
      <c r="E69" s="14"/>
      <c r="F69" s="14"/>
      <c r="G69" s="1"/>
      <c r="H69" s="29"/>
      <c r="I69" s="29"/>
      <c r="J69" s="1"/>
    </row>
    <row r="70" spans="2:10" ht="15.75">
      <c r="B70" s="23" t="s">
        <v>110</v>
      </c>
      <c r="C70" s="1"/>
      <c r="D70" s="14"/>
      <c r="E70" s="14"/>
      <c r="F70" s="14"/>
      <c r="G70" s="1"/>
      <c r="H70" s="29"/>
      <c r="I70" s="29"/>
      <c r="J70" s="1"/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</cols>
  <sheetData>
    <row r="1" spans="1:5" ht="15.75">
      <c r="A1" s="54" t="s">
        <v>3</v>
      </c>
      <c r="B1" s="54"/>
      <c r="C1" s="54"/>
      <c r="D1" s="54"/>
      <c r="E1" s="54"/>
    </row>
    <row r="2" spans="1:5" ht="15.75">
      <c r="A2" s="54" t="s">
        <v>4</v>
      </c>
      <c r="B2" s="54"/>
      <c r="C2" s="54"/>
      <c r="D2" s="54"/>
      <c r="E2" s="54"/>
    </row>
    <row r="3" spans="1:5" ht="15.75">
      <c r="A3" s="30" t="s">
        <v>0</v>
      </c>
      <c r="B3" s="17"/>
      <c r="C3" s="17"/>
      <c r="D3" s="17"/>
      <c r="E3" s="17" t="s">
        <v>0</v>
      </c>
    </row>
    <row r="4" spans="1:5" ht="15.75">
      <c r="A4" s="54" t="s">
        <v>157</v>
      </c>
      <c r="B4" s="54"/>
      <c r="C4" s="54"/>
      <c r="D4" s="54"/>
      <c r="E4" s="54"/>
    </row>
    <row r="5" spans="1:5" ht="15.75">
      <c r="A5" s="54" t="s">
        <v>42</v>
      </c>
      <c r="B5" s="54"/>
      <c r="C5" s="54"/>
      <c r="D5" s="54"/>
      <c r="E5" s="54"/>
    </row>
    <row r="6" spans="1:5" ht="15.75">
      <c r="A6" s="23"/>
      <c r="B6" s="1"/>
      <c r="C6" s="1"/>
      <c r="D6" s="1"/>
      <c r="E6" s="1"/>
    </row>
    <row r="7" spans="1:5" ht="15.75">
      <c r="A7" s="23"/>
      <c r="B7" s="1"/>
      <c r="C7" s="1"/>
      <c r="D7" s="1"/>
      <c r="E7" s="1"/>
    </row>
    <row r="8" spans="1:5" ht="15.75">
      <c r="A8" s="23"/>
      <c r="B8" s="1"/>
      <c r="C8" s="7" t="s">
        <v>15</v>
      </c>
      <c r="D8" s="1"/>
      <c r="E8" s="7" t="s">
        <v>17</v>
      </c>
    </row>
    <row r="9" spans="1:5" ht="15.75">
      <c r="A9" s="23"/>
      <c r="B9" s="1"/>
      <c r="C9" s="7" t="s">
        <v>16</v>
      </c>
      <c r="D9" s="1"/>
      <c r="E9" s="7" t="s">
        <v>25</v>
      </c>
    </row>
    <row r="10" spans="1:5" ht="15.75">
      <c r="A10" s="23"/>
      <c r="B10" s="1"/>
      <c r="C10" s="7" t="s">
        <v>9</v>
      </c>
      <c r="D10" s="1"/>
      <c r="E10" s="7" t="s">
        <v>18</v>
      </c>
    </row>
    <row r="11" spans="1:5" ht="15.75">
      <c r="A11" s="23"/>
      <c r="B11" s="1"/>
      <c r="C11" s="7" t="s">
        <v>11</v>
      </c>
      <c r="D11" s="1"/>
      <c r="E11" s="7" t="s">
        <v>19</v>
      </c>
    </row>
    <row r="12" spans="1:5" ht="15.75">
      <c r="A12" s="23"/>
      <c r="B12" s="1"/>
      <c r="C12" s="38" t="s">
        <v>158</v>
      </c>
      <c r="D12" s="1"/>
      <c r="E12" s="38" t="s">
        <v>98</v>
      </c>
    </row>
    <row r="13" spans="1:5" ht="15.75">
      <c r="A13" s="23"/>
      <c r="B13" s="1"/>
      <c r="C13" s="3">
        <v>2006</v>
      </c>
      <c r="D13" s="1"/>
      <c r="E13" s="3">
        <v>2005</v>
      </c>
    </row>
    <row r="14" spans="1:5" ht="15.75">
      <c r="A14" s="23"/>
      <c r="B14" s="1"/>
      <c r="C14" s="3" t="s">
        <v>2</v>
      </c>
      <c r="D14" s="1"/>
      <c r="E14" s="3" t="s">
        <v>2</v>
      </c>
    </row>
    <row r="15" spans="1:5" ht="15.75">
      <c r="A15" s="23"/>
      <c r="B15" s="1"/>
      <c r="C15" s="1"/>
      <c r="D15" s="1"/>
      <c r="E15" s="1"/>
    </row>
    <row r="16" spans="1:5" ht="15.75">
      <c r="A16" s="23" t="s">
        <v>133</v>
      </c>
      <c r="B16" s="1"/>
      <c r="C16" s="1"/>
      <c r="D16" s="1"/>
      <c r="E16" s="1"/>
    </row>
    <row r="17" spans="1:5" ht="15.75">
      <c r="A17" s="23"/>
      <c r="B17" s="1"/>
      <c r="C17" s="1" t="s">
        <v>0</v>
      </c>
      <c r="D17" s="1"/>
      <c r="E17" s="1"/>
    </row>
    <row r="18" spans="1:5" ht="15.75">
      <c r="A18" s="4" t="s">
        <v>131</v>
      </c>
      <c r="B18" s="1"/>
      <c r="C18" s="1"/>
      <c r="D18" s="1"/>
      <c r="E18" s="1"/>
    </row>
    <row r="19" spans="1:5" ht="15.75">
      <c r="A19" s="23" t="s">
        <v>41</v>
      </c>
      <c r="B19" s="1"/>
      <c r="C19" s="15">
        <f>66166.924+8096.481-54931.344-106.59-8096.481</f>
        <v>11128.990000000002</v>
      </c>
      <c r="D19" s="15"/>
      <c r="E19" s="15">
        <f>85308.598-0.5-E20-2939.861-5113.792-142.086</f>
        <v>76279.238</v>
      </c>
    </row>
    <row r="20" spans="1:5" ht="15.75">
      <c r="A20" s="23" t="s">
        <v>147</v>
      </c>
      <c r="B20" s="1"/>
      <c r="C20" s="15">
        <v>826.711</v>
      </c>
      <c r="D20" s="15"/>
      <c r="E20" s="15">
        <f>573.921+259.2</f>
        <v>833.1210000000001</v>
      </c>
    </row>
    <row r="21" spans="1:5" ht="15.75">
      <c r="A21" s="23" t="s">
        <v>109</v>
      </c>
      <c r="B21" s="1"/>
      <c r="C21" s="15">
        <f>11696.42-11696.42</f>
        <v>0</v>
      </c>
      <c r="D21" s="15"/>
      <c r="E21" s="15">
        <f>12778.528-1</f>
        <v>12777.528</v>
      </c>
    </row>
    <row r="22" spans="1:5" ht="15.75">
      <c r="A22" s="23" t="s">
        <v>92</v>
      </c>
      <c r="B22" s="1"/>
      <c r="C22" s="15">
        <f>4321.63+14.255</f>
        <v>4335.885</v>
      </c>
      <c r="D22" s="15"/>
      <c r="E22" s="15">
        <f>4330.512</f>
        <v>4330.512</v>
      </c>
    </row>
    <row r="23" spans="1:5" ht="15.75">
      <c r="A23" s="23" t="s">
        <v>27</v>
      </c>
      <c r="B23" s="1"/>
      <c r="C23" s="15">
        <f>8735.706+6593.966+48900.533</f>
        <v>64230.205</v>
      </c>
      <c r="D23" s="15"/>
      <c r="E23" s="15">
        <f>27045.907-63.949+5113.792+142.086</f>
        <v>32237.836</v>
      </c>
    </row>
    <row r="24" spans="1:5" ht="15.75">
      <c r="A24" s="23" t="s">
        <v>91</v>
      </c>
      <c r="B24" s="1"/>
      <c r="C24" s="15">
        <f>60609.656+2.8-C35</f>
        <v>60612.456000000006</v>
      </c>
      <c r="D24" s="15"/>
      <c r="E24" s="15">
        <v>61489.849</v>
      </c>
    </row>
    <row r="25" spans="1:5" ht="15.75">
      <c r="A25" s="23" t="s">
        <v>23</v>
      </c>
      <c r="B25" s="1"/>
      <c r="C25" s="15">
        <f>16882.142-180.437</f>
        <v>16701.704999999998</v>
      </c>
      <c r="D25" s="15"/>
      <c r="E25" s="15">
        <v>19002.123</v>
      </c>
    </row>
    <row r="26" spans="1:5" ht="15.75">
      <c r="A26" s="23"/>
      <c r="B26" s="1"/>
      <c r="C26" s="15"/>
      <c r="D26" s="15"/>
      <c r="E26" s="15"/>
    </row>
    <row r="27" spans="1:5" ht="15.75">
      <c r="A27" s="23"/>
      <c r="B27" s="1"/>
      <c r="C27" s="33">
        <f>SUM(C19:C26)</f>
        <v>157835.952</v>
      </c>
      <c r="D27" s="15"/>
      <c r="E27" s="33">
        <f>SUM(E19:E26)+1</f>
        <v>206951.207</v>
      </c>
    </row>
    <row r="28" spans="1:5" ht="15.75">
      <c r="A28" s="23"/>
      <c r="B28" s="1"/>
      <c r="C28" s="15" t="s">
        <v>0</v>
      </c>
      <c r="D28" s="15"/>
      <c r="E28" s="15" t="s">
        <v>0</v>
      </c>
    </row>
    <row r="29" spans="1:5" ht="15.75">
      <c r="A29" s="4" t="s">
        <v>26</v>
      </c>
      <c r="B29" s="1"/>
      <c r="C29" s="37" t="s">
        <v>0</v>
      </c>
      <c r="D29" s="15"/>
      <c r="E29" s="15"/>
    </row>
    <row r="30" spans="1:5" ht="15.75">
      <c r="A30" s="23" t="s">
        <v>124</v>
      </c>
      <c r="B30" s="1"/>
      <c r="C30" s="28">
        <f>39519.7-28373.526-765.314</f>
        <v>10380.859999999995</v>
      </c>
      <c r="D30" s="15"/>
      <c r="E30" s="28">
        <v>38610.869</v>
      </c>
    </row>
    <row r="31" spans="1:5" ht="15.75">
      <c r="A31" s="23" t="s">
        <v>125</v>
      </c>
      <c r="B31" s="1"/>
      <c r="C31" s="28">
        <f>39254.746-21108.981</f>
        <v>18145.765</v>
      </c>
      <c r="D31" s="15"/>
      <c r="E31" s="28">
        <v>41523.325</v>
      </c>
    </row>
    <row r="32" spans="1:5" ht="15.75">
      <c r="A32" s="23" t="s">
        <v>27</v>
      </c>
      <c r="B32" s="1"/>
      <c r="C32" s="28">
        <f>26107.248+8226.071</f>
        <v>34333.319</v>
      </c>
      <c r="D32" s="15"/>
      <c r="E32" s="28">
        <f>30549.614+0.5</f>
        <v>30550.114</v>
      </c>
    </row>
    <row r="33" spans="1:5" ht="15.75">
      <c r="A33" s="23" t="s">
        <v>126</v>
      </c>
      <c r="B33" s="1"/>
      <c r="C33" s="28">
        <f>36236.189-22511.15-7130.154</f>
        <v>6594.884999999997</v>
      </c>
      <c r="D33" s="15"/>
      <c r="E33" s="28">
        <v>30437.788</v>
      </c>
    </row>
    <row r="34" spans="1:5" ht="15.75">
      <c r="A34" s="23" t="s">
        <v>127</v>
      </c>
      <c r="B34" s="1"/>
      <c r="C34" s="28">
        <f>2055.382-1939.216</f>
        <v>116.16600000000017</v>
      </c>
      <c r="D34" s="15"/>
      <c r="E34" s="28">
        <v>1576.726</v>
      </c>
    </row>
    <row r="35" spans="1:5" ht="15.75" hidden="1">
      <c r="A35" s="23" t="s">
        <v>91</v>
      </c>
      <c r="B35" s="1"/>
      <c r="C35" s="28">
        <v>0</v>
      </c>
      <c r="D35" s="15"/>
      <c r="E35" s="28">
        <v>0</v>
      </c>
    </row>
    <row r="36" spans="1:5" ht="15.75" hidden="1">
      <c r="A36" s="23" t="s">
        <v>163</v>
      </c>
      <c r="B36" s="1"/>
      <c r="C36" s="28">
        <v>0</v>
      </c>
      <c r="D36" s="15"/>
      <c r="E36" s="28">
        <v>0</v>
      </c>
    </row>
    <row r="37" spans="1:5" ht="15.75">
      <c r="A37" s="23" t="s">
        <v>128</v>
      </c>
      <c r="B37" s="1"/>
      <c r="C37" s="28">
        <f>4092.074-4092.074</f>
        <v>0</v>
      </c>
      <c r="D37" s="15"/>
      <c r="E37" s="28">
        <v>4042.148</v>
      </c>
    </row>
    <row r="38" spans="1:5" ht="15.75">
      <c r="A38" s="23" t="s">
        <v>129</v>
      </c>
      <c r="B38" s="1"/>
      <c r="C38" s="28">
        <f>17927.052-11690.672</f>
        <v>6236.379999999999</v>
      </c>
      <c r="D38" s="15"/>
      <c r="E38" s="28">
        <v>18074.185</v>
      </c>
    </row>
    <row r="39" spans="1:5" ht="15.75">
      <c r="A39" s="23" t="s">
        <v>130</v>
      </c>
      <c r="B39" s="1"/>
      <c r="C39" s="28">
        <f>16789.056-4697.429-274.003</f>
        <v>11817.624</v>
      </c>
      <c r="D39" s="15"/>
      <c r="E39" s="28">
        <v>16455.362</v>
      </c>
    </row>
    <row r="40" spans="1:5" ht="15.75">
      <c r="A40" s="23"/>
      <c r="B40" s="1"/>
      <c r="C40" s="33">
        <f>SUM(C30:C39)</f>
        <v>87624.999</v>
      </c>
      <c r="D40" s="15"/>
      <c r="E40" s="33">
        <f>SUM(E30:E39)-0.5</f>
        <v>181270.01699999996</v>
      </c>
    </row>
    <row r="41" spans="1:5" ht="15.75">
      <c r="A41" s="23"/>
      <c r="B41" s="1"/>
      <c r="C41" s="28"/>
      <c r="D41" s="15"/>
      <c r="E41" s="28"/>
    </row>
    <row r="42" spans="1:5" ht="15.75">
      <c r="A42" s="23" t="s">
        <v>170</v>
      </c>
      <c r="B42" s="1"/>
      <c r="C42" s="28">
        <f>(108480.372+8096.481+54931.344)+(106.59+8169.471)-2190.466</f>
        <v>177593.792</v>
      </c>
      <c r="D42" s="15"/>
      <c r="E42" s="28">
        <v>0</v>
      </c>
    </row>
    <row r="43" spans="1:5" ht="15.75">
      <c r="A43" s="23"/>
      <c r="B43" s="1"/>
      <c r="C43" s="15" t="s">
        <v>0</v>
      </c>
      <c r="D43" s="15"/>
      <c r="E43" s="15" t="s">
        <v>0</v>
      </c>
    </row>
    <row r="44" spans="1:8" ht="16.5" thickBot="1">
      <c r="A44" s="23" t="s">
        <v>120</v>
      </c>
      <c r="B44" s="1"/>
      <c r="C44" s="48">
        <f>+C40+C27+C42</f>
        <v>423054.743</v>
      </c>
      <c r="D44" s="15"/>
      <c r="E44" s="48">
        <f>+E40+E27+E42</f>
        <v>388221.22399999993</v>
      </c>
      <c r="H44" s="35"/>
    </row>
    <row r="45" spans="1:5" ht="16.5" thickTop="1">
      <c r="A45" s="23"/>
      <c r="B45" s="1"/>
      <c r="C45" s="15"/>
      <c r="D45" s="15"/>
      <c r="E45" s="15"/>
    </row>
    <row r="46" spans="1:5" ht="15.75">
      <c r="A46" s="23"/>
      <c r="B46" s="1"/>
      <c r="C46" s="15"/>
      <c r="D46" s="15"/>
      <c r="E46" s="15"/>
    </row>
    <row r="47" spans="1:5" ht="15.75">
      <c r="A47" s="23" t="s">
        <v>132</v>
      </c>
      <c r="B47" s="1"/>
      <c r="C47" s="15"/>
      <c r="D47" s="15"/>
      <c r="E47" s="15"/>
    </row>
    <row r="48" spans="1:5" ht="15.75">
      <c r="A48" s="23"/>
      <c r="B48" s="1"/>
      <c r="C48" s="15"/>
      <c r="D48" s="15"/>
      <c r="E48" s="15"/>
    </row>
    <row r="49" spans="1:5" ht="15.75">
      <c r="A49" s="4" t="s">
        <v>150</v>
      </c>
      <c r="B49" s="1"/>
      <c r="C49" s="15"/>
      <c r="D49" s="15"/>
      <c r="E49" s="15"/>
    </row>
    <row r="50" spans="1:5" ht="15.75">
      <c r="A50" s="23" t="s">
        <v>5</v>
      </c>
      <c r="B50" s="1"/>
      <c r="C50" s="15">
        <v>120000</v>
      </c>
      <c r="D50" s="15"/>
      <c r="E50" s="15">
        <v>120000</v>
      </c>
    </row>
    <row r="51" spans="1:5" ht="15.75">
      <c r="A51" s="23" t="s">
        <v>134</v>
      </c>
      <c r="B51" s="1"/>
      <c r="C51" s="15">
        <f>29578.426</f>
        <v>29578.426</v>
      </c>
      <c r="D51" s="15"/>
      <c r="E51" s="15">
        <f>29578.426</f>
        <v>29578.426</v>
      </c>
    </row>
    <row r="52" spans="1:5" ht="15.75">
      <c r="A52" s="23" t="s">
        <v>135</v>
      </c>
      <c r="B52" s="1"/>
      <c r="C52" s="15">
        <v>0</v>
      </c>
      <c r="D52" s="15"/>
      <c r="E52" s="15">
        <v>0</v>
      </c>
    </row>
    <row r="53" spans="1:5" ht="15.75">
      <c r="A53" s="23" t="s">
        <v>136</v>
      </c>
      <c r="B53" s="1"/>
      <c r="C53" s="15">
        <v>0</v>
      </c>
      <c r="D53" s="15"/>
      <c r="E53" s="15">
        <v>21571.427</v>
      </c>
    </row>
    <row r="54" spans="1:5" ht="15.75">
      <c r="A54" s="23" t="s">
        <v>184</v>
      </c>
      <c r="B54" s="1"/>
      <c r="C54" s="15">
        <v>-92222.927</v>
      </c>
      <c r="D54" s="15"/>
      <c r="E54" s="15">
        <f>-82987.489</f>
        <v>-82987.489</v>
      </c>
    </row>
    <row r="55" spans="1:5" ht="15.75">
      <c r="A55" s="23" t="s">
        <v>173</v>
      </c>
      <c r="B55" s="1"/>
      <c r="C55" s="15"/>
      <c r="D55" s="15"/>
      <c r="E55" s="15"/>
    </row>
    <row r="56" spans="1:5" ht="15.75">
      <c r="A56" s="23" t="s">
        <v>170</v>
      </c>
      <c r="B56" s="1"/>
      <c r="C56" s="15">
        <v>21836.838</v>
      </c>
      <c r="D56" s="15"/>
      <c r="E56" s="15">
        <v>0</v>
      </c>
    </row>
    <row r="57" spans="1:5" ht="15.75">
      <c r="A57" s="23"/>
      <c r="B57" s="1"/>
      <c r="C57" s="16"/>
      <c r="D57" s="15"/>
      <c r="E57" s="16"/>
    </row>
    <row r="58" spans="1:5" ht="15.75">
      <c r="A58" s="23" t="s">
        <v>0</v>
      </c>
      <c r="B58" s="1"/>
      <c r="C58" s="15">
        <f>SUM(C50:C57)</f>
        <v>79192.33700000001</v>
      </c>
      <c r="D58" s="15"/>
      <c r="E58" s="15">
        <f>SUM(E50:E57)</f>
        <v>88162.364</v>
      </c>
    </row>
    <row r="59" spans="1:5" ht="15.75">
      <c r="A59" s="23" t="s">
        <v>21</v>
      </c>
      <c r="B59" s="1"/>
      <c r="C59" s="15">
        <v>22804.246</v>
      </c>
      <c r="D59" s="15"/>
      <c r="E59" s="15">
        <v>27627.189</v>
      </c>
    </row>
    <row r="60" spans="1:5" ht="15.75">
      <c r="A60" s="23"/>
      <c r="B60" s="1"/>
      <c r="C60" s="16"/>
      <c r="D60" s="15"/>
      <c r="E60" s="16"/>
    </row>
    <row r="61" spans="1:5" ht="15.75">
      <c r="A61" s="23" t="s">
        <v>111</v>
      </c>
      <c r="B61" s="1"/>
      <c r="C61" s="33">
        <f>SUM(C58:C60)-1</f>
        <v>101995.58300000001</v>
      </c>
      <c r="D61" s="15"/>
      <c r="E61" s="33">
        <f>SUM(E58:E60)-1</f>
        <v>115788.553</v>
      </c>
    </row>
    <row r="62" spans="1:5" ht="15.75">
      <c r="A62" s="23"/>
      <c r="B62" s="1"/>
      <c r="C62" s="15"/>
      <c r="D62" s="15"/>
      <c r="E62" s="15"/>
    </row>
    <row r="63" spans="1:5" ht="15.75">
      <c r="A63" s="4" t="s">
        <v>121</v>
      </c>
      <c r="B63" s="1"/>
      <c r="C63" s="15"/>
      <c r="D63" s="15"/>
      <c r="E63" s="15"/>
    </row>
    <row r="64" spans="1:5" ht="15.75">
      <c r="A64" s="23" t="s">
        <v>96</v>
      </c>
      <c r="B64" s="1"/>
      <c r="C64" s="15">
        <v>7170.135</v>
      </c>
      <c r="D64" s="15"/>
      <c r="E64" s="15">
        <f>7009.51-0.5</f>
        <v>7009.01</v>
      </c>
    </row>
    <row r="65" spans="1:5" ht="15.75">
      <c r="A65" s="23" t="s">
        <v>22</v>
      </c>
      <c r="B65" s="1"/>
      <c r="C65" s="15">
        <f>45481.86-0.5</f>
        <v>45481.36</v>
      </c>
      <c r="D65" s="15"/>
      <c r="E65" s="15">
        <v>40649.678</v>
      </c>
    </row>
    <row r="66" spans="1:5" ht="15.75">
      <c r="A66" s="23" t="s">
        <v>108</v>
      </c>
      <c r="B66" s="1"/>
      <c r="C66" s="15">
        <v>170.551</v>
      </c>
      <c r="D66" s="15"/>
      <c r="E66" s="15">
        <f>170.551+0.5</f>
        <v>171.051</v>
      </c>
    </row>
    <row r="67" spans="1:5" ht="15.75">
      <c r="A67" s="23" t="s">
        <v>24</v>
      </c>
      <c r="B67" s="1"/>
      <c r="C67" s="15">
        <v>33.893</v>
      </c>
      <c r="D67" s="15"/>
      <c r="E67" s="15">
        <v>33.893</v>
      </c>
    </row>
    <row r="68" spans="1:5" ht="15.75">
      <c r="A68" s="23"/>
      <c r="B68" s="1"/>
      <c r="C68" s="33">
        <f>SUM(C64:C67)</f>
        <v>52855.939</v>
      </c>
      <c r="D68" s="15"/>
      <c r="E68" s="33">
        <f>SUM(E64:E67)</f>
        <v>47863.632</v>
      </c>
    </row>
    <row r="69" spans="1:5" ht="15.75">
      <c r="A69" s="23"/>
      <c r="B69" s="1"/>
      <c r="C69" s="15"/>
      <c r="D69" s="15"/>
      <c r="E69" s="15"/>
    </row>
    <row r="70" spans="1:5" ht="15.75">
      <c r="A70" s="4" t="s">
        <v>20</v>
      </c>
      <c r="B70" s="1"/>
      <c r="C70" s="15" t="s">
        <v>0</v>
      </c>
      <c r="D70" s="15"/>
      <c r="E70" s="15"/>
    </row>
    <row r="71" spans="1:5" ht="15.75">
      <c r="A71" s="23" t="s">
        <v>164</v>
      </c>
      <c r="B71" s="1"/>
      <c r="C71" s="28">
        <f>119804.271-73052.7</f>
        <v>46751.570999999996</v>
      </c>
      <c r="D71" s="15"/>
      <c r="E71" s="28">
        <v>136705.557</v>
      </c>
    </row>
    <row r="72" spans="1:5" ht="15.75">
      <c r="A72" s="23" t="s">
        <v>137</v>
      </c>
      <c r="B72" s="1"/>
      <c r="C72" s="28">
        <f>64716.894-14520.62</f>
        <v>50196.274</v>
      </c>
      <c r="D72" s="15"/>
      <c r="E72" s="28">
        <v>29308.58</v>
      </c>
    </row>
    <row r="73" spans="1:5" ht="15.75">
      <c r="A73" s="23" t="s">
        <v>138</v>
      </c>
      <c r="B73" s="1"/>
      <c r="C73" s="28">
        <f>56898.08-42826.01-10345.335</f>
        <v>3726.7350000000006</v>
      </c>
      <c r="D73" s="15"/>
      <c r="E73" s="28">
        <v>31351.206</v>
      </c>
    </row>
    <row r="74" spans="1:5" ht="15.75">
      <c r="A74" s="23" t="s">
        <v>139</v>
      </c>
      <c r="B74" s="1"/>
      <c r="C74" s="28">
        <v>21378.135</v>
      </c>
      <c r="D74" s="15"/>
      <c r="E74" s="28">
        <v>21378.136</v>
      </c>
    </row>
    <row r="75" spans="1:5" ht="15.75">
      <c r="A75" s="23" t="s">
        <v>140</v>
      </c>
      <c r="B75" s="1"/>
      <c r="C75" s="28">
        <v>2252.874</v>
      </c>
      <c r="D75" s="15"/>
      <c r="E75" s="28">
        <v>1054.702</v>
      </c>
    </row>
    <row r="76" spans="1:5" ht="15.75">
      <c r="A76" s="23" t="s">
        <v>141</v>
      </c>
      <c r="B76" s="1"/>
      <c r="C76" s="28">
        <f>160.182-160.182</f>
        <v>0</v>
      </c>
      <c r="D76" s="15"/>
      <c r="E76" s="28">
        <v>158.228</v>
      </c>
    </row>
    <row r="77" spans="1:5" ht="15.75">
      <c r="A77" s="23" t="s">
        <v>142</v>
      </c>
      <c r="B77" s="1"/>
      <c r="C77" s="28">
        <v>91.646</v>
      </c>
      <c r="D77" s="15"/>
      <c r="E77" s="28">
        <v>106.473</v>
      </c>
    </row>
    <row r="78" spans="1:5" ht="15.75">
      <c r="A78" s="23" t="s">
        <v>143</v>
      </c>
      <c r="B78" s="1"/>
      <c r="C78" s="28">
        <v>1018.859</v>
      </c>
      <c r="D78" s="15"/>
      <c r="E78" s="28">
        <v>1081.254</v>
      </c>
    </row>
    <row r="79" spans="1:5" ht="15.75">
      <c r="A79" s="23" t="s">
        <v>144</v>
      </c>
      <c r="B79" s="1"/>
      <c r="C79" s="28">
        <v>1880.778</v>
      </c>
      <c r="D79" s="15"/>
      <c r="E79" s="28">
        <v>3424.402</v>
      </c>
    </row>
    <row r="80" spans="1:5" ht="15.75">
      <c r="A80" s="23"/>
      <c r="B80" s="1"/>
      <c r="C80" s="33">
        <f>SUM(C71:C79)+1</f>
        <v>127297.87199999999</v>
      </c>
      <c r="D80" s="15"/>
      <c r="E80" s="33">
        <f>SUM(E71:E79)-0.5</f>
        <v>224568.03799999997</v>
      </c>
    </row>
    <row r="81" spans="1:5" ht="15.75">
      <c r="A81" s="23"/>
      <c r="B81" s="1"/>
      <c r="C81" s="24"/>
      <c r="D81" s="28"/>
      <c r="E81" s="24"/>
    </row>
    <row r="82" spans="1:5" ht="15.75">
      <c r="A82" s="23" t="s">
        <v>172</v>
      </c>
      <c r="B82" s="1"/>
      <c r="C82" s="28"/>
      <c r="D82" s="28"/>
      <c r="E82" s="28"/>
    </row>
    <row r="83" spans="1:5" ht="15.75">
      <c r="A83" s="23" t="s">
        <v>171</v>
      </c>
      <c r="B83" s="1"/>
      <c r="C83" s="28">
        <f>298579.752+10345.335-168020.241</f>
        <v>140904.846</v>
      </c>
      <c r="D83" s="28"/>
      <c r="E83" s="28">
        <v>0</v>
      </c>
    </row>
    <row r="84" spans="1:5" ht="15.75">
      <c r="A84" s="23"/>
      <c r="B84" s="1"/>
      <c r="C84" s="28"/>
      <c r="D84" s="15"/>
      <c r="E84" s="28"/>
    </row>
    <row r="85" spans="1:5" ht="16.5" thickBot="1">
      <c r="A85" s="23" t="s">
        <v>122</v>
      </c>
      <c r="B85" s="1"/>
      <c r="C85" s="25">
        <f>C80+C68+C83</f>
        <v>321058.657</v>
      </c>
      <c r="D85" s="15"/>
      <c r="E85" s="25">
        <f>E80+E68+E83</f>
        <v>272431.67</v>
      </c>
    </row>
    <row r="86" spans="1:5" ht="16.5" thickTop="1">
      <c r="A86" s="23"/>
      <c r="B86" s="1"/>
      <c r="C86" s="15"/>
      <c r="D86" s="15"/>
      <c r="E86" s="15"/>
    </row>
    <row r="87" spans="1:7" ht="16.5" thickBot="1">
      <c r="A87" s="23" t="s">
        <v>123</v>
      </c>
      <c r="B87" s="1"/>
      <c r="C87" s="48">
        <f>C80+C68+C61+C83+1</f>
        <v>423055.24</v>
      </c>
      <c r="D87" s="15"/>
      <c r="E87" s="48">
        <f>E80+E68+E61+E83+1</f>
        <v>388221.223</v>
      </c>
      <c r="G87" s="35"/>
    </row>
    <row r="88" spans="1:5" ht="16.5" thickTop="1">
      <c r="A88" s="23"/>
      <c r="B88" s="1"/>
      <c r="C88" s="15" t="s">
        <v>0</v>
      </c>
      <c r="D88" s="15"/>
      <c r="E88" s="15"/>
    </row>
    <row r="89" spans="1:5" ht="15.75">
      <c r="A89" s="23"/>
      <c r="B89" s="1"/>
      <c r="C89" s="15"/>
      <c r="D89" s="15"/>
      <c r="E89" s="15"/>
    </row>
    <row r="90" spans="1:5" ht="15.75">
      <c r="A90" s="2" t="s">
        <v>145</v>
      </c>
      <c r="B90" s="1"/>
      <c r="C90" s="31" t="s">
        <v>0</v>
      </c>
      <c r="D90" s="1"/>
      <c r="E90" s="10"/>
    </row>
    <row r="91" spans="1:5" ht="15.75">
      <c r="A91" s="2" t="s">
        <v>146</v>
      </c>
      <c r="B91" s="14"/>
      <c r="C91" s="37">
        <f>(C58)/C50-0.01</f>
        <v>0.6499361416666668</v>
      </c>
      <c r="D91" s="1"/>
      <c r="E91" s="37">
        <f>(E58)/E50</f>
        <v>0.7346863666666666</v>
      </c>
    </row>
    <row r="92" spans="1:5" ht="15.75">
      <c r="A92" s="23" t="s">
        <v>0</v>
      </c>
      <c r="B92" s="34"/>
      <c r="C92" s="22" t="s">
        <v>0</v>
      </c>
      <c r="D92" s="1"/>
      <c r="E92" s="1" t="s">
        <v>0</v>
      </c>
    </row>
    <row r="93" spans="1:5" ht="15.75">
      <c r="A93" s="23"/>
      <c r="B93" s="34"/>
      <c r="C93" s="22" t="s">
        <v>0</v>
      </c>
      <c r="D93" s="1"/>
      <c r="E93" s="1" t="s">
        <v>0</v>
      </c>
    </row>
    <row r="94" spans="1:5" ht="16.5">
      <c r="A94" s="41" t="s">
        <v>149</v>
      </c>
      <c r="B94" s="29"/>
      <c r="C94" s="29"/>
      <c r="D94" s="1"/>
      <c r="E94" s="1"/>
    </row>
    <row r="95" spans="1:5" ht="16.5">
      <c r="A95" s="41" t="s">
        <v>110</v>
      </c>
      <c r="B95" s="29"/>
      <c r="C95" s="29"/>
      <c r="D95" s="29"/>
      <c r="E95" s="29"/>
    </row>
    <row r="96" ht="16.5">
      <c r="A96" s="41" t="s">
        <v>155</v>
      </c>
    </row>
    <row r="97" ht="16.5">
      <c r="A97" s="41" t="s">
        <v>156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5" bottom="0.25" header="0" footer="0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="75" zoomScaleNormal="75" workbookViewId="0" topLeftCell="A88">
      <selection activeCell="A92" sqref="A92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54" t="s">
        <v>3</v>
      </c>
      <c r="B1" s="54"/>
      <c r="C1" s="54"/>
      <c r="D1" s="54"/>
      <c r="E1" s="54"/>
      <c r="F1" s="54"/>
      <c r="G1" s="54"/>
    </row>
    <row r="2" spans="1:7" ht="15.75">
      <c r="A2" s="54" t="s">
        <v>4</v>
      </c>
      <c r="B2" s="54"/>
      <c r="C2" s="54"/>
      <c r="D2" s="54"/>
      <c r="E2" s="54"/>
      <c r="F2" s="54"/>
      <c r="G2" s="54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54" t="s">
        <v>157</v>
      </c>
      <c r="B5" s="54"/>
      <c r="C5" s="54"/>
      <c r="D5" s="54"/>
      <c r="E5" s="54"/>
      <c r="F5" s="54"/>
      <c r="G5" s="54"/>
    </row>
    <row r="6" spans="1:7" ht="15.75">
      <c r="A6" s="54" t="s">
        <v>40</v>
      </c>
      <c r="B6" s="54"/>
      <c r="C6" s="54"/>
      <c r="D6" s="54"/>
      <c r="E6" s="54"/>
      <c r="F6" s="54"/>
      <c r="G6" s="54"/>
    </row>
    <row r="7" spans="1:7" ht="15.75">
      <c r="A7" s="23"/>
      <c r="B7" s="29"/>
      <c r="C7" s="1"/>
      <c r="D7" s="1"/>
      <c r="E7" s="1"/>
      <c r="F7" s="1"/>
      <c r="G7" s="1"/>
    </row>
    <row r="8" spans="1:7" ht="15.75">
      <c r="A8" s="23"/>
      <c r="B8" s="29"/>
      <c r="C8" s="1"/>
      <c r="D8" s="1"/>
      <c r="E8" s="7" t="s">
        <v>0</v>
      </c>
      <c r="F8" s="1"/>
      <c r="G8" s="1"/>
    </row>
    <row r="9" spans="1:7" ht="15.75">
      <c r="A9" s="23"/>
      <c r="B9" s="29"/>
      <c r="C9" s="1"/>
      <c r="D9" s="1"/>
      <c r="E9" s="7" t="s">
        <v>0</v>
      </c>
      <c r="F9" s="1"/>
      <c r="G9" s="1"/>
    </row>
    <row r="10" spans="1:7" ht="15.75">
      <c r="A10" s="23"/>
      <c r="B10" s="29"/>
      <c r="C10" s="1"/>
      <c r="D10" s="1"/>
      <c r="E10" s="7" t="s">
        <v>9</v>
      </c>
      <c r="F10" s="1"/>
      <c r="G10" s="7" t="s">
        <v>25</v>
      </c>
    </row>
    <row r="11" spans="1:7" ht="15.75">
      <c r="A11" s="23"/>
      <c r="B11" s="29"/>
      <c r="C11" s="1"/>
      <c r="D11" s="1"/>
      <c r="E11" s="7" t="s">
        <v>28</v>
      </c>
      <c r="F11" s="1"/>
      <c r="G11" s="7" t="s">
        <v>28</v>
      </c>
    </row>
    <row r="12" spans="1:7" ht="15.75">
      <c r="A12" s="23"/>
      <c r="B12" s="29"/>
      <c r="C12" s="1"/>
      <c r="D12" s="1"/>
      <c r="E12" s="7" t="s">
        <v>79</v>
      </c>
      <c r="F12" s="1"/>
      <c r="G12" s="7" t="s">
        <v>79</v>
      </c>
    </row>
    <row r="13" spans="1:7" ht="15.75">
      <c r="A13" s="23"/>
      <c r="B13" s="29"/>
      <c r="C13" s="1"/>
      <c r="D13" s="1"/>
      <c r="E13" s="38" t="s">
        <v>158</v>
      </c>
      <c r="F13" s="1"/>
      <c r="G13" s="38" t="s">
        <v>158</v>
      </c>
    </row>
    <row r="14" spans="1:7" ht="15.75">
      <c r="A14" s="23"/>
      <c r="B14" s="29"/>
      <c r="C14" s="1"/>
      <c r="D14" s="1"/>
      <c r="E14" s="3">
        <v>2006</v>
      </c>
      <c r="F14" s="1"/>
      <c r="G14" s="3">
        <v>2005</v>
      </c>
    </row>
    <row r="15" spans="1:7" ht="15.75">
      <c r="A15" s="23"/>
      <c r="B15" s="29"/>
      <c r="C15" s="1"/>
      <c r="D15" s="1"/>
      <c r="E15" s="3" t="s">
        <v>2</v>
      </c>
      <c r="F15" s="1"/>
      <c r="G15" s="3" t="s">
        <v>2</v>
      </c>
    </row>
    <row r="16" spans="1:7" ht="15.75">
      <c r="A16" s="23"/>
      <c r="B16" s="29"/>
      <c r="C16" s="1"/>
      <c r="D16" s="1"/>
      <c r="E16" s="1"/>
      <c r="F16" s="1"/>
      <c r="G16" s="1"/>
    </row>
    <row r="17" spans="1:7" ht="15.75">
      <c r="A17" s="23" t="s">
        <v>183</v>
      </c>
      <c r="B17" s="29"/>
      <c r="C17" s="1"/>
      <c r="D17" s="1"/>
      <c r="E17" s="45">
        <v>-12571</v>
      </c>
      <c r="F17" s="1"/>
      <c r="G17" s="44">
        <v>-11263</v>
      </c>
    </row>
    <row r="18" spans="1:7" ht="16.5">
      <c r="A18" s="40" t="s">
        <v>0</v>
      </c>
      <c r="B18" s="29"/>
      <c r="C18" s="1"/>
      <c r="D18" s="1"/>
      <c r="E18" s="1"/>
      <c r="F18" s="1"/>
      <c r="G18" s="1"/>
    </row>
    <row r="19" spans="1:7" ht="16.5">
      <c r="A19" s="40" t="s">
        <v>77</v>
      </c>
      <c r="B19" s="29"/>
      <c r="C19" s="1"/>
      <c r="D19" s="1"/>
      <c r="E19" s="1" t="s">
        <v>0</v>
      </c>
      <c r="F19" s="1"/>
      <c r="G19" s="1"/>
    </row>
    <row r="20" spans="1:7" ht="16.5">
      <c r="A20" s="40" t="s">
        <v>78</v>
      </c>
      <c r="B20" s="29"/>
      <c r="C20" s="1"/>
      <c r="D20" s="1"/>
      <c r="E20" s="15">
        <v>8293</v>
      </c>
      <c r="F20" s="15"/>
      <c r="G20" s="15">
        <v>5292</v>
      </c>
    </row>
    <row r="21" spans="1:7" ht="16.5">
      <c r="A21" s="40" t="s">
        <v>48</v>
      </c>
      <c r="B21" s="29"/>
      <c r="C21" s="1"/>
      <c r="D21" s="1"/>
      <c r="E21" s="15">
        <v>7788</v>
      </c>
      <c r="F21" s="15"/>
      <c r="G21" s="15">
        <v>8197</v>
      </c>
    </row>
    <row r="22" spans="1:7" ht="16.5">
      <c r="A22" s="40"/>
      <c r="B22" s="29"/>
      <c r="C22" s="1"/>
      <c r="D22" s="1"/>
      <c r="E22" s="16"/>
      <c r="F22" s="15"/>
      <c r="G22" s="16"/>
    </row>
    <row r="23" spans="1:7" ht="15.75">
      <c r="A23" s="23" t="s">
        <v>103</v>
      </c>
      <c r="B23" s="29"/>
      <c r="C23" s="1"/>
      <c r="D23" s="1"/>
      <c r="E23" s="44">
        <f>SUM(E17:E21)</f>
        <v>3510</v>
      </c>
      <c r="F23" s="15"/>
      <c r="G23" s="44">
        <f>SUM(G17:G21)</f>
        <v>2226</v>
      </c>
    </row>
    <row r="24" spans="1:7" ht="15.75">
      <c r="A24" s="23"/>
      <c r="B24" s="29"/>
      <c r="C24" s="1"/>
      <c r="D24" s="1"/>
      <c r="E24" s="15" t="s">
        <v>0</v>
      </c>
      <c r="F24" s="15"/>
      <c r="G24" s="15"/>
    </row>
    <row r="25" spans="1:7" ht="16.5">
      <c r="A25" s="40" t="s">
        <v>43</v>
      </c>
      <c r="B25" s="29"/>
      <c r="C25" s="1"/>
      <c r="D25" s="1"/>
      <c r="E25" s="15" t="s">
        <v>0</v>
      </c>
      <c r="F25" s="15"/>
      <c r="G25" s="15"/>
    </row>
    <row r="26" spans="1:7" ht="16.5">
      <c r="A26" s="40" t="s">
        <v>46</v>
      </c>
      <c r="B26" s="29"/>
      <c r="C26" s="1"/>
      <c r="D26" s="1"/>
      <c r="E26" s="15">
        <v>-42035</v>
      </c>
      <c r="F26" s="15"/>
      <c r="G26" s="15">
        <v>20551</v>
      </c>
    </row>
    <row r="27" spans="1:7" ht="16.5">
      <c r="A27" s="40" t="s">
        <v>47</v>
      </c>
      <c r="B27" s="29"/>
      <c r="C27" s="1"/>
      <c r="D27" s="1"/>
      <c r="E27" s="15">
        <v>56989</v>
      </c>
      <c r="F27" s="15"/>
      <c r="G27" s="15">
        <v>-22783</v>
      </c>
    </row>
    <row r="28" spans="1:7" ht="16.5">
      <c r="A28" s="40" t="s">
        <v>53</v>
      </c>
      <c r="B28" s="29"/>
      <c r="C28" s="1"/>
      <c r="D28" s="1"/>
      <c r="E28" s="15">
        <v>864</v>
      </c>
      <c r="F28" s="15"/>
      <c r="G28" s="15">
        <v>1195</v>
      </c>
    </row>
    <row r="29" spans="1:7" ht="16.5" hidden="1">
      <c r="A29" s="40" t="s">
        <v>102</v>
      </c>
      <c r="B29" s="29"/>
      <c r="C29" s="1"/>
      <c r="D29" s="1"/>
      <c r="E29" s="15">
        <v>0</v>
      </c>
      <c r="F29" s="15"/>
      <c r="G29" s="15">
        <v>0</v>
      </c>
    </row>
    <row r="30" spans="1:7" ht="16.5">
      <c r="A30" s="40" t="s">
        <v>52</v>
      </c>
      <c r="B30" s="29"/>
      <c r="C30" s="1"/>
      <c r="D30" s="1"/>
      <c r="E30" s="15">
        <v>-183</v>
      </c>
      <c r="F30" s="15"/>
      <c r="G30" s="15">
        <v>-1975</v>
      </c>
    </row>
    <row r="31" spans="1:9" ht="16.5">
      <c r="A31" s="40" t="s">
        <v>54</v>
      </c>
      <c r="B31" s="29"/>
      <c r="C31" s="1"/>
      <c r="D31" s="1"/>
      <c r="E31" s="15">
        <v>-3117</v>
      </c>
      <c r="F31" s="15"/>
      <c r="G31" s="15">
        <v>-726</v>
      </c>
      <c r="I31" s="35"/>
    </row>
    <row r="32" spans="1:7" ht="15.75" hidden="1">
      <c r="A32" s="1" t="s">
        <v>105</v>
      </c>
      <c r="B32" s="29"/>
      <c r="C32" s="1"/>
      <c r="D32" s="1"/>
      <c r="E32" s="28">
        <v>0</v>
      </c>
      <c r="F32" s="28"/>
      <c r="G32" s="28">
        <v>0</v>
      </c>
    </row>
    <row r="33" spans="1:7" ht="15.75">
      <c r="A33" s="1"/>
      <c r="B33" s="29"/>
      <c r="C33" s="1"/>
      <c r="D33" s="1"/>
      <c r="E33" s="16"/>
      <c r="F33" s="15"/>
      <c r="G33" s="16" t="s">
        <v>0</v>
      </c>
    </row>
    <row r="34" spans="1:7" ht="15.75">
      <c r="A34" s="23" t="s">
        <v>44</v>
      </c>
      <c r="B34" s="29"/>
      <c r="C34" s="1"/>
      <c r="D34" s="1"/>
      <c r="E34" s="44">
        <f>SUM(E23:E32)</f>
        <v>16028</v>
      </c>
      <c r="F34" s="15"/>
      <c r="G34" s="44">
        <f>SUM(G23:G32)</f>
        <v>-1512</v>
      </c>
    </row>
    <row r="35" spans="1:7" ht="15.75">
      <c r="A35" s="23"/>
      <c r="B35" s="29"/>
      <c r="C35" s="1"/>
      <c r="D35" s="1"/>
      <c r="E35" s="15" t="s">
        <v>0</v>
      </c>
      <c r="F35" s="15"/>
      <c r="G35" s="15"/>
    </row>
    <row r="36" spans="1:7" ht="15.75">
      <c r="A36" s="1" t="s">
        <v>45</v>
      </c>
      <c r="B36" s="29"/>
      <c r="C36" s="1"/>
      <c r="D36" s="1"/>
      <c r="E36" s="15" t="s">
        <v>0</v>
      </c>
      <c r="F36" s="15"/>
      <c r="G36" s="15"/>
    </row>
    <row r="37" spans="1:7" ht="15.75">
      <c r="A37" s="1" t="s">
        <v>104</v>
      </c>
      <c r="B37" s="29"/>
      <c r="C37" s="1"/>
      <c r="D37" s="1"/>
      <c r="E37" s="15">
        <v>507</v>
      </c>
      <c r="F37" s="15"/>
      <c r="G37" s="15">
        <v>567</v>
      </c>
    </row>
    <row r="38" spans="1:7" ht="15.75" hidden="1">
      <c r="A38" s="1" t="s">
        <v>152</v>
      </c>
      <c r="B38" s="29"/>
      <c r="C38" s="1"/>
      <c r="D38" s="1"/>
      <c r="E38" s="15">
        <v>0</v>
      </c>
      <c r="F38" s="15"/>
      <c r="G38" s="15">
        <v>0</v>
      </c>
    </row>
    <row r="39" spans="1:7" ht="15.75">
      <c r="A39" s="1" t="s">
        <v>151</v>
      </c>
      <c r="B39" s="29"/>
      <c r="C39" s="1"/>
      <c r="D39" s="1"/>
      <c r="E39" s="15">
        <v>2477</v>
      </c>
      <c r="F39" s="15"/>
      <c r="G39" s="15">
        <v>177</v>
      </c>
    </row>
    <row r="40" spans="1:7" ht="15.75">
      <c r="A40" s="1" t="s">
        <v>97</v>
      </c>
      <c r="B40" s="29"/>
      <c r="C40" s="1"/>
      <c r="D40" s="1"/>
      <c r="E40" s="15">
        <v>0</v>
      </c>
      <c r="F40" s="15"/>
      <c r="G40" s="15">
        <v>500</v>
      </c>
    </row>
    <row r="41" spans="1:7" ht="15.75" hidden="1">
      <c r="A41" s="1" t="s">
        <v>100</v>
      </c>
      <c r="B41" s="29"/>
      <c r="C41" s="1"/>
      <c r="D41" s="1"/>
      <c r="E41" s="15"/>
      <c r="F41" s="15"/>
      <c r="G41" s="15"/>
    </row>
    <row r="42" spans="1:7" ht="15.75">
      <c r="A42" s="1" t="s">
        <v>85</v>
      </c>
      <c r="B42" s="29"/>
      <c r="C42" s="1"/>
      <c r="D42" s="1"/>
      <c r="E42" s="15">
        <v>341</v>
      </c>
      <c r="F42" s="15"/>
      <c r="G42" s="15">
        <v>32052</v>
      </c>
    </row>
    <row r="43" spans="1:7" ht="15.75" hidden="1">
      <c r="A43" s="1" t="s">
        <v>106</v>
      </c>
      <c r="B43" s="29"/>
      <c r="C43" s="1"/>
      <c r="D43" s="1"/>
      <c r="E43" s="15">
        <v>0</v>
      </c>
      <c r="F43" s="15"/>
      <c r="G43" s="15">
        <v>0</v>
      </c>
    </row>
    <row r="44" spans="1:7" ht="15.75" hidden="1">
      <c r="A44" s="1" t="s">
        <v>90</v>
      </c>
      <c r="B44" s="29"/>
      <c r="C44" s="1"/>
      <c r="D44" s="1"/>
      <c r="E44" s="15">
        <v>0</v>
      </c>
      <c r="F44" s="15"/>
      <c r="G44" s="15"/>
    </row>
    <row r="45" spans="1:7" ht="15.75">
      <c r="A45" s="1" t="s">
        <v>95</v>
      </c>
      <c r="B45" s="29"/>
      <c r="C45" s="1"/>
      <c r="D45" s="1"/>
      <c r="E45" s="15">
        <v>-1076</v>
      </c>
      <c r="F45" s="15"/>
      <c r="G45" s="15">
        <v>-404</v>
      </c>
    </row>
    <row r="46" spans="1:7" ht="15.75">
      <c r="A46" s="1"/>
      <c r="B46" s="29"/>
      <c r="C46" s="1"/>
      <c r="D46" s="1"/>
      <c r="E46" s="15" t="s">
        <v>0</v>
      </c>
      <c r="F46" s="15"/>
      <c r="G46" s="15"/>
    </row>
    <row r="47" spans="1:7" ht="15.75">
      <c r="A47" s="23" t="s">
        <v>86</v>
      </c>
      <c r="B47" s="29"/>
      <c r="C47" s="1"/>
      <c r="D47" s="1"/>
      <c r="E47" s="33">
        <f>SUM(E37:E46)</f>
        <v>2249</v>
      </c>
      <c r="F47" s="15"/>
      <c r="G47" s="33">
        <f>SUM(G37:G46)</f>
        <v>32892</v>
      </c>
    </row>
    <row r="48" spans="1:7" ht="15.75">
      <c r="A48" s="1"/>
      <c r="B48" s="29"/>
      <c r="C48" s="1"/>
      <c r="D48" s="1"/>
      <c r="E48" s="15"/>
      <c r="F48" s="15"/>
      <c r="G48" s="15"/>
    </row>
    <row r="49" spans="1:7" ht="15.75">
      <c r="A49" s="1" t="s">
        <v>49</v>
      </c>
      <c r="B49" s="29"/>
      <c r="C49" s="1"/>
      <c r="D49" s="1"/>
      <c r="E49" s="15" t="s">
        <v>0</v>
      </c>
      <c r="F49" s="15"/>
      <c r="G49" s="15"/>
    </row>
    <row r="50" spans="1:7" ht="15.75">
      <c r="A50" s="1" t="s">
        <v>50</v>
      </c>
      <c r="B50" s="29"/>
      <c r="C50" s="1"/>
      <c r="D50" s="1"/>
      <c r="E50" s="15">
        <v>772</v>
      </c>
      <c r="F50" s="15"/>
      <c r="G50" s="15">
        <v>-106</v>
      </c>
    </row>
    <row r="51" spans="1:7" ht="15.75">
      <c r="A51" s="1" t="s">
        <v>81</v>
      </c>
      <c r="B51" s="29"/>
      <c r="C51" s="1"/>
      <c r="D51" s="1"/>
      <c r="E51" s="15">
        <v>48783</v>
      </c>
      <c r="F51" s="15"/>
      <c r="G51" s="15">
        <v>52004</v>
      </c>
    </row>
    <row r="52" spans="1:7" ht="15.75">
      <c r="A52" s="1" t="s">
        <v>99</v>
      </c>
      <c r="B52" s="29"/>
      <c r="C52" s="1"/>
      <c r="D52" s="1"/>
      <c r="E52" s="15">
        <v>-65355</v>
      </c>
      <c r="F52" s="15"/>
      <c r="G52" s="15">
        <v>-63282</v>
      </c>
    </row>
    <row r="53" spans="1:7" ht="15.75">
      <c r="A53" s="1" t="s">
        <v>84</v>
      </c>
      <c r="B53" s="29"/>
      <c r="C53" s="1"/>
      <c r="D53" s="1"/>
      <c r="E53" s="15">
        <v>1198</v>
      </c>
      <c r="F53" s="15"/>
      <c r="G53" s="15">
        <v>-21</v>
      </c>
    </row>
    <row r="54" spans="1:7" ht="15.75">
      <c r="A54" s="1" t="s">
        <v>51</v>
      </c>
      <c r="B54" s="29"/>
      <c r="C54" s="1"/>
      <c r="D54" s="1"/>
      <c r="E54" s="15">
        <v>-65</v>
      </c>
      <c r="F54" s="15"/>
      <c r="G54" s="15">
        <v>-116</v>
      </c>
    </row>
    <row r="55" spans="1:7" ht="15.75">
      <c r="A55" s="1" t="s">
        <v>52</v>
      </c>
      <c r="B55" s="29"/>
      <c r="C55" s="1"/>
      <c r="D55" s="1"/>
      <c r="E55" s="15">
        <v>-2819</v>
      </c>
      <c r="F55" s="15"/>
      <c r="G55" s="15">
        <v>-1260</v>
      </c>
    </row>
    <row r="56" spans="1:7" ht="15.75" hidden="1">
      <c r="A56" s="1" t="s">
        <v>107</v>
      </c>
      <c r="B56" s="29"/>
      <c r="C56" s="1"/>
      <c r="D56" s="1"/>
      <c r="E56" s="15">
        <v>0</v>
      </c>
      <c r="F56" s="15"/>
      <c r="G56" s="15">
        <v>0</v>
      </c>
    </row>
    <row r="57" spans="1:7" ht="15.75">
      <c r="A57" s="1"/>
      <c r="B57" s="29"/>
      <c r="C57" s="1"/>
      <c r="D57" s="1"/>
      <c r="E57" s="15"/>
      <c r="F57" s="15"/>
      <c r="G57" s="15"/>
    </row>
    <row r="58" spans="1:7" ht="15.75">
      <c r="A58" s="23" t="s">
        <v>32</v>
      </c>
      <c r="B58" s="29"/>
      <c r="C58" s="1"/>
      <c r="D58" s="1"/>
      <c r="E58" s="33">
        <f>SUM(E50:E57)</f>
        <v>-17486</v>
      </c>
      <c r="F58" s="15"/>
      <c r="G58" s="33">
        <f>SUM(G50:G57)</f>
        <v>-12781</v>
      </c>
    </row>
    <row r="59" spans="1:7" ht="15.75">
      <c r="A59" s="23"/>
      <c r="B59" s="29"/>
      <c r="C59" s="1"/>
      <c r="D59" s="1"/>
      <c r="E59" s="43" t="s">
        <v>0</v>
      </c>
      <c r="F59" s="15"/>
      <c r="G59" s="15"/>
    </row>
    <row r="60" spans="1:7" ht="15.75">
      <c r="A60" s="23" t="s">
        <v>33</v>
      </c>
      <c r="B60" s="29"/>
      <c r="C60" s="1"/>
      <c r="D60" s="1"/>
      <c r="E60" s="44">
        <f>E34+E47+E58</f>
        <v>791</v>
      </c>
      <c r="F60" s="15"/>
      <c r="G60" s="44">
        <f>G34+G47+G58</f>
        <v>18599</v>
      </c>
    </row>
    <row r="61" spans="1:7" ht="15.75">
      <c r="A61" s="1" t="s">
        <v>87</v>
      </c>
      <c r="B61" s="29"/>
      <c r="C61" s="1"/>
      <c r="D61" s="1"/>
      <c r="E61" s="1" t="s">
        <v>0</v>
      </c>
      <c r="F61" s="15"/>
      <c r="G61" s="15"/>
    </row>
    <row r="62" spans="1:7" ht="15.75">
      <c r="A62" s="27" t="s">
        <v>88</v>
      </c>
      <c r="B62" s="29"/>
      <c r="C62" s="1"/>
      <c r="D62" s="1"/>
      <c r="E62" s="15">
        <f>23539-2533</f>
        <v>21006</v>
      </c>
      <c r="F62" s="15"/>
      <c r="G62" s="15">
        <v>16843</v>
      </c>
    </row>
    <row r="63" spans="1:7" ht="15.75">
      <c r="A63" s="23"/>
      <c r="B63" s="29"/>
      <c r="C63" s="1"/>
      <c r="D63" s="1"/>
      <c r="E63" s="1"/>
      <c r="F63" s="15"/>
      <c r="G63" s="15"/>
    </row>
    <row r="64" spans="1:7" ht="16.5" thickBot="1">
      <c r="A64" s="23" t="s">
        <v>89</v>
      </c>
      <c r="B64" s="29"/>
      <c r="C64" s="1"/>
      <c r="D64" s="1"/>
      <c r="E64" s="46">
        <f>SUM(E60:E63)</f>
        <v>21797</v>
      </c>
      <c r="F64" s="15"/>
      <c r="G64" s="48">
        <f>SUM(G60:G63)</f>
        <v>35442</v>
      </c>
    </row>
    <row r="65" spans="1:7" ht="16.5" thickTop="1">
      <c r="A65" s="23"/>
      <c r="B65" s="29"/>
      <c r="C65" s="1"/>
      <c r="D65" s="1"/>
      <c r="E65" s="10"/>
      <c r="F65" s="15"/>
      <c r="G65" s="15"/>
    </row>
    <row r="66" spans="1:7" ht="15.75">
      <c r="A66" s="23"/>
      <c r="B66" s="29"/>
      <c r="C66" s="1"/>
      <c r="D66" s="1"/>
      <c r="E66" s="1" t="s">
        <v>0</v>
      </c>
      <c r="F66" s="15"/>
      <c r="G66" s="15"/>
    </row>
    <row r="67" spans="1:7" ht="15.75">
      <c r="A67" s="23" t="s">
        <v>68</v>
      </c>
      <c r="B67" s="29"/>
      <c r="C67" s="1"/>
      <c r="D67" s="1"/>
      <c r="E67" s="1"/>
      <c r="F67" s="15"/>
      <c r="G67" s="15"/>
    </row>
    <row r="68" spans="1:7" ht="15.75">
      <c r="A68" s="1" t="s">
        <v>69</v>
      </c>
      <c r="B68" s="29"/>
      <c r="C68" s="1"/>
      <c r="D68" s="1"/>
      <c r="E68" s="15">
        <v>16789</v>
      </c>
      <c r="F68" s="15"/>
      <c r="G68" s="15">
        <v>19315</v>
      </c>
    </row>
    <row r="69" spans="1:7" ht="15.75">
      <c r="A69" s="1" t="s">
        <v>70</v>
      </c>
      <c r="B69" s="29"/>
      <c r="C69" s="1"/>
      <c r="D69" s="1"/>
      <c r="E69" s="15">
        <v>17927</v>
      </c>
      <c r="F69" s="15"/>
      <c r="G69" s="15">
        <v>30559</v>
      </c>
    </row>
    <row r="70" spans="1:7" ht="15.75">
      <c r="A70" s="1" t="s">
        <v>71</v>
      </c>
      <c r="B70" s="29"/>
      <c r="C70" s="1"/>
      <c r="D70" s="1"/>
      <c r="E70" s="15">
        <v>-732</v>
      </c>
      <c r="F70" s="15"/>
      <c r="G70" s="15">
        <v>-469</v>
      </c>
    </row>
    <row r="71" spans="1:7" ht="15.75">
      <c r="A71" s="1" t="s">
        <v>80</v>
      </c>
      <c r="B71" s="29"/>
      <c r="C71" s="1"/>
      <c r="D71" s="1"/>
      <c r="E71" s="16">
        <v>-287</v>
      </c>
      <c r="F71" s="15"/>
      <c r="G71" s="16">
        <v>-1500</v>
      </c>
    </row>
    <row r="72" spans="1:7" ht="15.75">
      <c r="A72" s="1"/>
      <c r="B72" s="29"/>
      <c r="C72" s="1"/>
      <c r="D72" s="1"/>
      <c r="E72" s="15">
        <f>SUM(E68:E71)</f>
        <v>33697</v>
      </c>
      <c r="F72" s="15"/>
      <c r="G72" s="15">
        <f>SUM(G68:G71)</f>
        <v>47905</v>
      </c>
    </row>
    <row r="73" spans="1:7" ht="15.75">
      <c r="A73" s="1" t="s">
        <v>72</v>
      </c>
      <c r="B73" s="29"/>
      <c r="C73" s="1"/>
      <c r="D73" s="1"/>
      <c r="E73" s="15">
        <v>-11900</v>
      </c>
      <c r="F73" s="15"/>
      <c r="G73" s="15">
        <v>-12463</v>
      </c>
    </row>
    <row r="74" spans="1:7" ht="16.5" thickBot="1">
      <c r="A74" s="23" t="s">
        <v>87</v>
      </c>
      <c r="B74" s="29"/>
      <c r="C74" s="1"/>
      <c r="D74" s="1"/>
      <c r="E74" s="48">
        <f>SUM(E72:E73)</f>
        <v>21797</v>
      </c>
      <c r="F74" s="15"/>
      <c r="G74" s="48">
        <f>SUM(G72:G73)</f>
        <v>35442</v>
      </c>
    </row>
    <row r="75" spans="1:7" ht="16.5" thickTop="1">
      <c r="A75" s="23"/>
      <c r="B75" s="29"/>
      <c r="C75" s="1"/>
      <c r="D75" s="1"/>
      <c r="E75" s="1" t="s">
        <v>0</v>
      </c>
      <c r="F75" s="1"/>
      <c r="G75" s="1"/>
    </row>
    <row r="76" spans="1:7" ht="16.5">
      <c r="A76" s="41"/>
      <c r="B76" s="29"/>
      <c r="C76" s="1"/>
      <c r="D76" s="1"/>
      <c r="E76" s="1"/>
      <c r="F76" s="1"/>
      <c r="G76" s="1"/>
    </row>
    <row r="77" spans="1:7" ht="15.75">
      <c r="A77" s="23"/>
      <c r="B77" s="29"/>
      <c r="C77" s="1"/>
      <c r="D77" s="1"/>
      <c r="E77" s="1"/>
      <c r="F77" s="1"/>
      <c r="G77" s="1"/>
    </row>
    <row r="78" spans="1:7" ht="15.75">
      <c r="A78" s="23" t="s">
        <v>64</v>
      </c>
      <c r="B78" s="29"/>
      <c r="C78" s="1"/>
      <c r="D78" s="1"/>
      <c r="E78" s="1"/>
      <c r="F78" s="1"/>
      <c r="G78" s="1"/>
    </row>
    <row r="79" spans="1:7" ht="15.75">
      <c r="A79" s="23" t="s">
        <v>110</v>
      </c>
      <c r="B79" s="29"/>
      <c r="C79" s="1"/>
      <c r="D79" s="1"/>
      <c r="E79" s="1"/>
      <c r="F79" s="1"/>
      <c r="G79" s="1"/>
    </row>
    <row r="88" ht="16.5">
      <c r="A88" s="41"/>
    </row>
    <row r="89" ht="16.5">
      <c r="A89" s="41"/>
    </row>
    <row r="90" ht="16.5">
      <c r="A90" s="41"/>
    </row>
    <row r="91" ht="16.5">
      <c r="A91" s="41"/>
    </row>
    <row r="92" ht="16.5">
      <c r="A92" s="41"/>
    </row>
  </sheetData>
  <mergeCells count="4">
    <mergeCell ref="A1:G1"/>
    <mergeCell ref="A2:G2"/>
    <mergeCell ref="A5:G5"/>
    <mergeCell ref="A6:G6"/>
  </mergeCells>
  <printOptions horizontalCentered="1"/>
  <pageMargins left="0" right="0" top="0.5" bottom="0" header="0.5" footer="0"/>
  <pageSetup horizontalDpi="600" verticalDpi="600" orientation="portrait" paperSize="9" scale="65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75" zoomScaleNormal="75" workbookViewId="0" topLeftCell="A1">
      <selection activeCell="A25" sqref="A25"/>
    </sheetView>
  </sheetViews>
  <sheetFormatPr defaultColWidth="9.140625" defaultRowHeight="12.75"/>
  <cols>
    <col min="1" max="1" width="39.8515625" style="0" customWidth="1"/>
    <col min="2" max="2" width="2.7109375" style="0" customWidth="1"/>
    <col min="3" max="3" width="12.57421875" style="0" customWidth="1"/>
    <col min="4" max="4" width="12.421875" style="0" customWidth="1"/>
    <col min="5" max="6" width="17.28125" style="0" customWidth="1"/>
    <col min="7" max="7" width="14.421875" style="0" customWidth="1"/>
    <col min="8" max="8" width="18.57421875" style="0" customWidth="1"/>
    <col min="9" max="9" width="11.8515625" style="0" customWidth="1"/>
    <col min="10" max="10" width="14.8515625" style="0" customWidth="1"/>
    <col min="11" max="11" width="13.7109375" style="0" customWidth="1"/>
  </cols>
  <sheetData>
    <row r="1" spans="1:11" ht="15.75">
      <c r="A1" s="54" t="s">
        <v>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0" ht="15.75">
      <c r="A3" s="30" t="s">
        <v>0</v>
      </c>
      <c r="B3" s="19"/>
      <c r="C3" s="19"/>
      <c r="D3" s="19"/>
      <c r="E3" s="19" t="s">
        <v>0</v>
      </c>
      <c r="F3" s="19"/>
      <c r="G3" s="18"/>
      <c r="H3" s="18"/>
      <c r="I3" s="18"/>
      <c r="J3" s="18"/>
    </row>
    <row r="4" spans="1:10" ht="15.75">
      <c r="A4" s="30"/>
      <c r="B4" s="19"/>
      <c r="C4" s="19"/>
      <c r="D4" s="19"/>
      <c r="E4" s="19"/>
      <c r="F4" s="19"/>
      <c r="G4" s="18"/>
      <c r="H4" s="18"/>
      <c r="I4" s="18"/>
      <c r="J4" s="18"/>
    </row>
    <row r="5" spans="1:11" ht="15.75">
      <c r="A5" s="54" t="s">
        <v>157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5.75">
      <c r="A6" s="54" t="s">
        <v>39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0" ht="15.75">
      <c r="A9" s="26" t="s">
        <v>0</v>
      </c>
      <c r="B9" s="1"/>
      <c r="C9" s="14"/>
      <c r="D9" s="14"/>
      <c r="E9" s="1"/>
      <c r="F9" s="14"/>
      <c r="G9" s="18"/>
      <c r="H9" s="18"/>
      <c r="I9" s="18"/>
      <c r="J9" s="18"/>
    </row>
    <row r="10" spans="1:10" ht="15.75">
      <c r="A10" s="26"/>
      <c r="B10" s="1"/>
      <c r="C10" s="14"/>
      <c r="D10" s="14"/>
      <c r="E10" s="1"/>
      <c r="F10" s="14"/>
      <c r="G10" s="18"/>
      <c r="H10" s="7" t="s">
        <v>0</v>
      </c>
      <c r="I10" s="7"/>
      <c r="J10" s="7"/>
    </row>
    <row r="11" spans="1:10" ht="15.75">
      <c r="A11" s="1" t="s">
        <v>0</v>
      </c>
      <c r="B11" s="29"/>
      <c r="C11" s="29"/>
      <c r="D11" s="7" t="s">
        <v>0</v>
      </c>
      <c r="F11" s="7" t="s">
        <v>60</v>
      </c>
      <c r="G11" s="18"/>
      <c r="H11" s="7" t="s">
        <v>0</v>
      </c>
      <c r="I11" s="7"/>
      <c r="J11" s="7"/>
    </row>
    <row r="12" spans="1:11" ht="15.75">
      <c r="A12" s="1"/>
      <c r="B12" s="29"/>
      <c r="C12" s="42" t="s">
        <v>55</v>
      </c>
      <c r="D12" s="7" t="s">
        <v>57</v>
      </c>
      <c r="E12" s="7" t="s">
        <v>59</v>
      </c>
      <c r="F12" s="7" t="s">
        <v>61</v>
      </c>
      <c r="G12" s="7" t="s">
        <v>178</v>
      </c>
      <c r="H12" s="42" t="s">
        <v>93</v>
      </c>
      <c r="I12" s="42"/>
      <c r="J12" s="42" t="s">
        <v>112</v>
      </c>
      <c r="K12" s="42" t="s">
        <v>1</v>
      </c>
    </row>
    <row r="13" spans="1:11" ht="15.75">
      <c r="A13" s="1" t="s">
        <v>0</v>
      </c>
      <c r="B13" s="29"/>
      <c r="C13" s="7" t="s">
        <v>56</v>
      </c>
      <c r="D13" s="7" t="s">
        <v>58</v>
      </c>
      <c r="E13" s="42" t="s">
        <v>6</v>
      </c>
      <c r="F13" s="42" t="s">
        <v>6</v>
      </c>
      <c r="G13" s="42" t="s">
        <v>177</v>
      </c>
      <c r="H13" s="42" t="s">
        <v>94</v>
      </c>
      <c r="I13" s="42" t="s">
        <v>1</v>
      </c>
      <c r="J13" s="42" t="s">
        <v>113</v>
      </c>
      <c r="K13" s="42" t="s">
        <v>114</v>
      </c>
    </row>
    <row r="14" spans="1:11" ht="15.75">
      <c r="A14" s="1" t="s">
        <v>29</v>
      </c>
      <c r="B14" s="29"/>
      <c r="C14" s="7" t="s">
        <v>2</v>
      </c>
      <c r="D14" s="7" t="s">
        <v>2</v>
      </c>
      <c r="E14" s="7" t="s">
        <v>31</v>
      </c>
      <c r="F14" s="7" t="s">
        <v>31</v>
      </c>
      <c r="G14" s="7" t="s">
        <v>31</v>
      </c>
      <c r="H14" s="7" t="s">
        <v>31</v>
      </c>
      <c r="I14" s="7" t="s">
        <v>31</v>
      </c>
      <c r="J14" s="7" t="s">
        <v>31</v>
      </c>
      <c r="K14" s="7" t="s">
        <v>31</v>
      </c>
    </row>
    <row r="15" spans="1:10" ht="15.75">
      <c r="A15" s="1" t="s">
        <v>0</v>
      </c>
      <c r="B15" s="29"/>
      <c r="C15" s="1" t="s">
        <v>0</v>
      </c>
      <c r="D15" s="1"/>
      <c r="E15" s="1"/>
      <c r="G15" s="18"/>
      <c r="H15" s="18" t="s">
        <v>0</v>
      </c>
      <c r="I15" s="18"/>
      <c r="J15" s="18"/>
    </row>
    <row r="16" spans="1:10" ht="15.75">
      <c r="A16" s="1" t="s">
        <v>0</v>
      </c>
      <c r="B16" s="29"/>
      <c r="C16" s="32" t="s">
        <v>0</v>
      </c>
      <c r="D16" s="1"/>
      <c r="E16" s="1"/>
      <c r="G16" s="18"/>
      <c r="H16" s="18"/>
      <c r="I16" s="18"/>
      <c r="J16" s="18"/>
    </row>
    <row r="17" spans="1:11" ht="15.75">
      <c r="A17" s="23" t="s">
        <v>159</v>
      </c>
      <c r="B17" s="29"/>
      <c r="C17" s="15">
        <v>120000</v>
      </c>
      <c r="D17" s="15">
        <v>29578.426</v>
      </c>
      <c r="E17" s="15">
        <v>3004.1589999999997</v>
      </c>
      <c r="F17" s="15">
        <v>20609</v>
      </c>
      <c r="G17" s="15">
        <v>0</v>
      </c>
      <c r="H17" s="15">
        <v>-68636</v>
      </c>
      <c r="I17" s="15">
        <f>SUM(C17:H17)-1</f>
        <v>104554.58500000002</v>
      </c>
      <c r="J17" s="15">
        <v>34125</v>
      </c>
      <c r="K17" s="15">
        <f>SUM(I17:J17)</f>
        <v>138679.58500000002</v>
      </c>
    </row>
    <row r="18" spans="1:11" ht="15.75">
      <c r="A18" s="23"/>
      <c r="B18" s="29"/>
      <c r="C18" s="1"/>
      <c r="D18" s="1"/>
      <c r="E18" s="1"/>
      <c r="F18" s="15"/>
      <c r="G18" s="15"/>
      <c r="H18" s="15"/>
      <c r="I18" s="15"/>
      <c r="J18" s="15"/>
      <c r="K18" s="15"/>
    </row>
    <row r="19" spans="1:11" ht="16.5">
      <c r="A19" s="40" t="s">
        <v>66</v>
      </c>
      <c r="B19" s="29"/>
      <c r="C19" s="11" t="s">
        <v>0</v>
      </c>
      <c r="D19" s="11" t="s">
        <v>0</v>
      </c>
      <c r="E19" s="15" t="s">
        <v>0</v>
      </c>
      <c r="F19" s="11" t="s">
        <v>0</v>
      </c>
      <c r="G19" s="15"/>
      <c r="H19" s="15"/>
      <c r="I19" s="15"/>
      <c r="J19" s="15"/>
      <c r="K19" s="15" t="s">
        <v>0</v>
      </c>
    </row>
    <row r="20" spans="1:11" ht="16.5">
      <c r="A20" s="40" t="s">
        <v>67</v>
      </c>
      <c r="B20" s="29"/>
      <c r="C20" s="1"/>
      <c r="D20" s="1"/>
      <c r="E20" s="1"/>
      <c r="F20" s="15">
        <v>63</v>
      </c>
      <c r="G20" s="15"/>
      <c r="H20" s="15"/>
      <c r="I20" s="15">
        <f>SUM(C20:H20)</f>
        <v>63</v>
      </c>
      <c r="J20" s="15">
        <f>31952-31888</f>
        <v>64</v>
      </c>
      <c r="K20" s="15">
        <f>SUM(I20:J20)</f>
        <v>127</v>
      </c>
    </row>
    <row r="21" spans="1:11" ht="16.5">
      <c r="A21" s="40"/>
      <c r="B21" s="29"/>
      <c r="C21" s="1"/>
      <c r="D21" s="1"/>
      <c r="E21" s="1"/>
      <c r="F21" s="11"/>
      <c r="G21" s="15"/>
      <c r="H21" s="15"/>
      <c r="I21" s="15"/>
      <c r="J21" s="15"/>
      <c r="K21" s="15"/>
    </row>
    <row r="22" spans="1:11" ht="16.5">
      <c r="A22" s="40" t="s">
        <v>153</v>
      </c>
      <c r="B22" s="29"/>
      <c r="C22" s="1"/>
      <c r="D22" s="1"/>
      <c r="E22" s="15">
        <v>0</v>
      </c>
      <c r="F22" s="11"/>
      <c r="G22" s="15">
        <v>0</v>
      </c>
      <c r="H22" s="15">
        <v>0</v>
      </c>
      <c r="I22" s="15">
        <f>SUM(C22:H22)</f>
        <v>0</v>
      </c>
      <c r="J22" s="15"/>
      <c r="K22" s="15">
        <f>SUM(I22:J22)</f>
        <v>0</v>
      </c>
    </row>
    <row r="23" spans="1:11" ht="16.5">
      <c r="A23" s="40"/>
      <c r="B23" s="29"/>
      <c r="C23" s="1"/>
      <c r="D23" s="1"/>
      <c r="E23" s="15"/>
      <c r="F23" s="11"/>
      <c r="G23" s="15"/>
      <c r="H23" s="15"/>
      <c r="I23" s="15"/>
      <c r="J23" s="15"/>
      <c r="K23" s="15"/>
    </row>
    <row r="24" spans="1:11" ht="15.75">
      <c r="A24" s="1" t="s">
        <v>65</v>
      </c>
      <c r="B24" s="29"/>
      <c r="C24" s="1"/>
      <c r="D24" s="11" t="s">
        <v>0</v>
      </c>
      <c r="E24" s="15" t="s">
        <v>0</v>
      </c>
      <c r="F24" s="15"/>
      <c r="G24" s="15"/>
      <c r="H24" s="15">
        <v>-3009</v>
      </c>
      <c r="I24" s="15">
        <f>SUM(C24:H24)</f>
        <v>-3009</v>
      </c>
      <c r="J24" s="15">
        <v>-2237</v>
      </c>
      <c r="K24" s="15">
        <f>SUM(I24:J24)</f>
        <v>-5246</v>
      </c>
    </row>
    <row r="25" spans="1:11" ht="15.75">
      <c r="A25" s="23"/>
      <c r="B25" s="29"/>
      <c r="C25" s="1"/>
      <c r="D25" s="1"/>
      <c r="E25" s="1"/>
      <c r="F25" s="15"/>
      <c r="G25" s="15"/>
      <c r="H25" s="15"/>
      <c r="I25" s="15"/>
      <c r="J25" s="15"/>
      <c r="K25" s="15"/>
    </row>
    <row r="26" spans="1:11" ht="16.5" thickBot="1">
      <c r="A26" s="23" t="s">
        <v>162</v>
      </c>
      <c r="B26" s="29"/>
      <c r="C26" s="12">
        <f aca="true" t="shared" si="0" ref="C26:H26">SUM(C17:C25)</f>
        <v>120000</v>
      </c>
      <c r="D26" s="12">
        <f t="shared" si="0"/>
        <v>29578.426</v>
      </c>
      <c r="E26" s="12">
        <f t="shared" si="0"/>
        <v>3004.1589999999997</v>
      </c>
      <c r="F26" s="12">
        <f t="shared" si="0"/>
        <v>20672</v>
      </c>
      <c r="G26" s="12">
        <f t="shared" si="0"/>
        <v>0</v>
      </c>
      <c r="H26" s="12">
        <f t="shared" si="0"/>
        <v>-71645</v>
      </c>
      <c r="I26" s="12">
        <f>SUM(I17:I25)</f>
        <v>101608.58500000002</v>
      </c>
      <c r="J26" s="12">
        <f>SUM(J17:J25)</f>
        <v>31952</v>
      </c>
      <c r="K26" s="12">
        <f>SUM(K17:K25)</f>
        <v>133560.58500000002</v>
      </c>
    </row>
    <row r="27" spans="1:10" ht="16.5" thickTop="1">
      <c r="A27" s="23"/>
      <c r="B27" s="29"/>
      <c r="C27" s="1"/>
      <c r="D27" s="1"/>
      <c r="E27" s="1"/>
      <c r="G27" s="18"/>
      <c r="H27" s="18"/>
      <c r="I27" s="18"/>
      <c r="J27" s="18"/>
    </row>
    <row r="28" spans="1:11" ht="15.75">
      <c r="A28" s="23"/>
      <c r="B28" s="29"/>
      <c r="C28" s="1"/>
      <c r="D28" s="1"/>
      <c r="F28" s="1"/>
      <c r="G28" s="18"/>
      <c r="H28" s="18" t="s">
        <v>0</v>
      </c>
      <c r="I28" s="18"/>
      <c r="J28" s="18"/>
      <c r="K28" t="s">
        <v>0</v>
      </c>
    </row>
    <row r="29" spans="1:10" ht="15.75">
      <c r="A29" s="23" t="s">
        <v>160</v>
      </c>
      <c r="B29" s="29"/>
      <c r="C29" s="1"/>
      <c r="D29" s="1"/>
      <c r="F29" s="1"/>
      <c r="G29" s="18"/>
      <c r="H29" s="18"/>
      <c r="I29" s="18"/>
      <c r="J29" s="18"/>
    </row>
    <row r="30" spans="1:11" ht="15.75">
      <c r="A30" s="23" t="s">
        <v>154</v>
      </c>
      <c r="B30" s="29"/>
      <c r="C30" s="15">
        <v>120000</v>
      </c>
      <c r="D30" s="15">
        <v>29578.426</v>
      </c>
      <c r="E30" s="15">
        <v>0</v>
      </c>
      <c r="F30" s="15">
        <v>21036</v>
      </c>
      <c r="G30" s="15">
        <v>0</v>
      </c>
      <c r="H30" s="15">
        <v>-85786</v>
      </c>
      <c r="I30" s="15">
        <f>SUM(C30:H30)</f>
        <v>84828.426</v>
      </c>
      <c r="J30" s="15">
        <v>24411</v>
      </c>
      <c r="K30" s="15">
        <f>SUM(I30:J30)</f>
        <v>109239.426</v>
      </c>
    </row>
    <row r="31" spans="1:10" ht="15.75">
      <c r="A31" s="23"/>
      <c r="B31" s="29"/>
      <c r="C31" s="1"/>
      <c r="D31" s="1"/>
      <c r="F31" s="1"/>
      <c r="G31" s="18"/>
      <c r="H31" s="18"/>
      <c r="I31" s="18"/>
      <c r="J31" s="18"/>
    </row>
    <row r="32" spans="1:10" ht="16.5">
      <c r="A32" s="40" t="s">
        <v>66</v>
      </c>
      <c r="B32" s="29"/>
      <c r="C32" s="15" t="s">
        <v>0</v>
      </c>
      <c r="D32" s="1"/>
      <c r="F32" s="15" t="s">
        <v>0</v>
      </c>
      <c r="G32" s="18"/>
      <c r="H32" s="18"/>
      <c r="I32" s="18"/>
      <c r="J32" s="18"/>
    </row>
    <row r="33" spans="1:11" ht="16.5">
      <c r="A33" s="40" t="s">
        <v>67</v>
      </c>
      <c r="B33" s="29"/>
      <c r="C33" s="1"/>
      <c r="D33" s="1"/>
      <c r="F33" s="15">
        <f>21836.838-21036.472+0.5</f>
        <v>800.8659999999982</v>
      </c>
      <c r="G33" s="18"/>
      <c r="H33" s="18"/>
      <c r="I33" s="15">
        <f>SUM(C33:H33)</f>
        <v>800.8659999999982</v>
      </c>
      <c r="J33" s="15">
        <f>22804.246-22082</f>
        <v>722.2459999999992</v>
      </c>
      <c r="K33" s="15">
        <f>SUM(I33:J33)</f>
        <v>1523.1119999999974</v>
      </c>
    </row>
    <row r="34" spans="1:11" ht="16.5">
      <c r="A34" s="40"/>
      <c r="B34" s="29"/>
      <c r="C34" s="1"/>
      <c r="D34" s="1"/>
      <c r="F34" s="15"/>
      <c r="G34" s="18"/>
      <c r="H34" s="18"/>
      <c r="I34" s="15"/>
      <c r="J34" s="15"/>
      <c r="K34" s="15"/>
    </row>
    <row r="35" spans="1:11" ht="16.5">
      <c r="A35" s="40" t="s">
        <v>174</v>
      </c>
      <c r="B35" s="29"/>
      <c r="C35" s="1"/>
      <c r="D35" s="1"/>
      <c r="F35" s="15"/>
      <c r="G35" s="18"/>
      <c r="H35" s="18"/>
      <c r="I35" s="15"/>
      <c r="J35" s="15"/>
      <c r="K35" s="15"/>
    </row>
    <row r="36" spans="1:11" ht="16.5">
      <c r="A36" s="40" t="s">
        <v>175</v>
      </c>
      <c r="B36" s="29"/>
      <c r="C36" s="1"/>
      <c r="D36" s="1"/>
      <c r="F36" s="15"/>
      <c r="G36" s="18"/>
      <c r="H36" s="18"/>
      <c r="I36" s="15"/>
      <c r="J36" s="15"/>
      <c r="K36" s="15"/>
    </row>
    <row r="37" spans="1:11" ht="16.5">
      <c r="A37" s="40" t="s">
        <v>176</v>
      </c>
      <c r="B37" s="29"/>
      <c r="C37" s="1"/>
      <c r="D37" s="1"/>
      <c r="F37" s="15">
        <v>-21837</v>
      </c>
      <c r="G37" s="15">
        <v>21837</v>
      </c>
      <c r="H37" s="18"/>
      <c r="I37" s="15">
        <f>SUM(C37:H37)</f>
        <v>0</v>
      </c>
      <c r="J37" s="15">
        <v>0</v>
      </c>
      <c r="K37" s="15">
        <f>SUM(I37:J37)</f>
        <v>0</v>
      </c>
    </row>
    <row r="38" spans="1:10" ht="15.75">
      <c r="A38" s="23"/>
      <c r="B38" s="29"/>
      <c r="C38" s="1"/>
      <c r="D38" s="11" t="s">
        <v>0</v>
      </c>
      <c r="F38" s="15" t="s">
        <v>0</v>
      </c>
      <c r="G38" s="18"/>
      <c r="H38" s="18"/>
      <c r="I38" s="18"/>
      <c r="J38" s="18"/>
    </row>
    <row r="39" spans="1:11" ht="15.75">
      <c r="A39" s="1" t="s">
        <v>65</v>
      </c>
      <c r="B39" s="29"/>
      <c r="C39" s="1"/>
      <c r="D39" s="1"/>
      <c r="F39" s="1"/>
      <c r="G39" s="18"/>
      <c r="H39" s="15">
        <v>-6437</v>
      </c>
      <c r="I39" s="15">
        <f>SUM(C39:H39)</f>
        <v>-6437</v>
      </c>
      <c r="J39" s="15">
        <v>-2329</v>
      </c>
      <c r="K39" s="15">
        <f>SUM(I39:J39)</f>
        <v>-8766</v>
      </c>
    </row>
    <row r="40" spans="1:10" ht="15.75">
      <c r="A40" s="1"/>
      <c r="B40" s="29"/>
      <c r="C40" s="1"/>
      <c r="D40" s="1"/>
      <c r="F40" s="1"/>
      <c r="G40" s="18"/>
      <c r="H40" s="18"/>
      <c r="I40" s="18"/>
      <c r="J40" s="18"/>
    </row>
    <row r="41" spans="1:11" ht="16.5" thickBot="1">
      <c r="A41" s="23" t="s">
        <v>161</v>
      </c>
      <c r="B41" s="29"/>
      <c r="C41" s="12">
        <f>SUM(C30:C40)</f>
        <v>120000</v>
      </c>
      <c r="D41" s="12">
        <f>SUM(D30:D40)</f>
        <v>29578.426</v>
      </c>
      <c r="E41" s="12">
        <f>SUM(E30:E40)</f>
        <v>0</v>
      </c>
      <c r="F41" s="12">
        <f>SUM(F30:F40)</f>
        <v>-0.13400000000183354</v>
      </c>
      <c r="G41" s="12">
        <f>SUM(G31:G40)</f>
        <v>21837</v>
      </c>
      <c r="H41" s="12">
        <f>SUM(H30:H40)</f>
        <v>-92223</v>
      </c>
      <c r="I41" s="12">
        <f>SUM(I30:I40)</f>
        <v>79192.292</v>
      </c>
      <c r="J41" s="12">
        <f>SUM(J30:J40)</f>
        <v>22804.246</v>
      </c>
      <c r="K41" s="12">
        <f>SUM(K30:K40)-1</f>
        <v>101995.538</v>
      </c>
    </row>
    <row r="42" spans="1:11" ht="16.5" thickTop="1">
      <c r="A42" s="23"/>
      <c r="B42" s="29"/>
      <c r="C42" s="1"/>
      <c r="D42" s="1"/>
      <c r="F42" s="1"/>
      <c r="G42" s="18"/>
      <c r="H42" s="18"/>
      <c r="I42" s="18"/>
      <c r="J42" s="18"/>
      <c r="K42" t="s">
        <v>0</v>
      </c>
    </row>
    <row r="43" spans="1:11" ht="15.75">
      <c r="A43" s="23"/>
      <c r="B43" s="29"/>
      <c r="C43" s="1"/>
      <c r="D43" s="1"/>
      <c r="F43" s="1"/>
      <c r="G43" s="18"/>
      <c r="H43" s="18" t="s">
        <v>0</v>
      </c>
      <c r="I43" s="18" t="s">
        <v>0</v>
      </c>
      <c r="J43" s="18" t="s">
        <v>0</v>
      </c>
      <c r="K43" t="s">
        <v>0</v>
      </c>
    </row>
    <row r="47" ht="15.75">
      <c r="A47" s="23" t="s">
        <v>63</v>
      </c>
    </row>
    <row r="48" ht="15.75">
      <c r="A48" s="23" t="s">
        <v>110</v>
      </c>
    </row>
  </sheetData>
  <mergeCells count="4">
    <mergeCell ref="A1:K1"/>
    <mergeCell ref="A2:K2"/>
    <mergeCell ref="A5:K5"/>
    <mergeCell ref="A6:K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vivien</cp:lastModifiedBy>
  <cp:lastPrinted>2006-08-15T07:24:03Z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