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'P&amp;L'!$A$1:$K$60</definedName>
  </definedNames>
  <calcPr fullCalcOnLoad="1"/>
</workbook>
</file>

<file path=xl/sharedStrings.xml><?xml version="1.0" encoding="utf-8"?>
<sst xmlns="http://schemas.openxmlformats.org/spreadsheetml/2006/main" count="385" uniqueCount="166">
  <si>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</si>
  <si>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</si>
  <si>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</si>
  <si>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</si>
  <si>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</si>
  <si>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</si>
  <si>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</si>
  <si>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</si>
  <si>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</si>
  <si>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</si>
  <si>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</si>
  <si>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</si>
  <si>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</si>
  <si>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</si>
  <si>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</si>
  <si>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</si>
  <si>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</si>
  <si>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</si>
  <si>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</si>
  <si>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</si>
  <si>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</si>
  <si>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</si>
  <si>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</si>
  <si>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</si>
  <si>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</si>
  <si>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</si>
  <si>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</si>
  <si>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</si>
  <si>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</si>
  <si>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</si>
  <si>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</si>
  <si>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</si>
  <si>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</si>
  <si>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</si>
  <si>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</si>
  <si>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</si>
  <si>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</si>
  <si>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</si>
  <si>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</si>
  <si>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</si>
  <si>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</si>
  <si>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</si>
  <si>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</si>
  <si>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</si>
  <si>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</si>
  <si>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</si>
  <si>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</si>
  <si>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</si>
  <si>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</si>
  <si>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</si>
  <si>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</si>
  <si>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</si>
  <si>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</si>
  <si>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</si>
  <si>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</si>
  <si>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</si>
  <si>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</si>
  <si>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</si>
  <si>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</si>
  <si>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</si>
  <si>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</si>
  <si>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</si>
  <si>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</si>
  <si>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</si>
  <si>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</si>
  <si>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</si>
  <si>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</si>
  <si>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</si>
  <si>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</si>
  <si>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</si>
  <si>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</si>
  <si>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</si>
  <si>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</si>
  <si>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</si>
  <si>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</si>
  <si>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</si>
  <si>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</si>
  <si>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</si>
  <si>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</si>
  <si>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</si>
  <si>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</si>
  <si>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</si>
  <si>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</si>
  <si>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</si>
  <si>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</si>
  <si>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</si>
  <si>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</si>
  <si>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</si>
  <si>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</si>
  <si>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</si>
  <si>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</si>
  <si>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</si>
  <si>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</si>
  <si>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</si>
  <si>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</si>
  <si>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</si>
  <si>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</si>
  <si>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</si>
  <si>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</si>
  <si>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</si>
  <si>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</si>
  <si>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</si>
  <si>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</si>
  <si>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</si>
  <si>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</si>
  <si>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</si>
  <si>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 xml:space="preserve">             statement prepared in accordance with MASB 26 Interim Financing Reporting.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</si>
  <si>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</si>
  <si>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</si>
  <si>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</si>
  <si>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</si>
  <si>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</si>
  <si>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</si>
  <si>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</si>
  <si>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</si>
  <si>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</si>
  <si>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</si>
  <si>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</si>
  <si>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</si>
  <si>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</si>
  <si>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Increase in amount due from associated/non-consolidated subsiadiary companies</t>
  </si>
  <si>
    <t xml:space="preserve">     Net cash from acquisition of a subsidiary comapny</t>
  </si>
  <si>
    <t>Note :  There are no comparative figures for the preceding period ended 31 March 2002, as this is the first interim financial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</si>
  <si>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</si>
  <si>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</si>
  <si>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</si>
  <si>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</si>
  <si>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</si>
  <si>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</si>
  <si>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</si>
  <si>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</si>
  <si>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</si>
  <si>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</si>
  <si>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</si>
  <si>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</si>
  <si>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</si>
  <si>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</si>
  <si>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</si>
  <si>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</si>
  <si>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</si>
  <si>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</si>
  <si>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Proceeds from issuance of shares to minority shareholders of a subsidiary company</t>
  </si>
  <si>
    <t>-</t>
  </si>
  <si>
    <t xml:space="preserve">     Dividend paid</t>
  </si>
  <si>
    <t xml:space="preserve">BASIC PROFIT/(LOSS) PER ORDINARY </t>
  </si>
  <si>
    <t>DILUTED EARNINGS PER ORDINARY</t>
  </si>
  <si>
    <t xml:space="preserve">LOSS BEFORE TAXATION &amp; </t>
  </si>
  <si>
    <t xml:space="preserve">LOSS AFTER TAXATION BEFORE 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</si>
  <si>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</si>
  <si>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</si>
  <si>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</si>
  <si>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</si>
  <si>
    <t xml:space="preserve">     Dividend from investment/fund received from subsidiary/associated companies</t>
  </si>
  <si>
    <t xml:space="preserve">     Net cash from building demolished/land confiscated</t>
  </si>
  <si>
    <t>Net Profit For The Period</t>
  </si>
  <si>
    <t>Annual Financial Report for the year ended 31 December 2004.</t>
  </si>
  <si>
    <t>LOSS FROM OPERATIONS</t>
  </si>
  <si>
    <t>NET LOSS FOR THE PERIOD</t>
  </si>
  <si>
    <t>Realisation of revaluation surplus</t>
  </si>
  <si>
    <t>30 SEPT</t>
  </si>
  <si>
    <t>UNAUDITED RESULTS OF THE GROUP FOR THE THIRD QUARTER ENDED 30 SEPTEMBER 2005</t>
  </si>
  <si>
    <t>BALANCE AT 1 JULY 2004</t>
  </si>
  <si>
    <t>BALANCE AT 30 SEPT 2004</t>
  </si>
  <si>
    <t>BALANCE AT 1 JULY 2005</t>
  </si>
  <si>
    <t>BALANCE AT 30 SEPT 2005</t>
  </si>
  <si>
    <t xml:space="preserve">The Condensed Consolidated Balance Sheet  should be read in conjunction with the 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</si>
</sst>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* #,##0_-;\-* #,##0_-;_-* &quot;-&quot;_-;_-@_-"/>
    <numFmt numFmtId="178" formatCode="_-&quot;NT$&quot;* #,##0.00_-;\-&quot;NT$&quot;* #,##0.00_-;_-&quot;NT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71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1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1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171" fontId="4" fillId="0" borderId="0" xfId="15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8"/>
  <sheetViews>
    <sheetView showGridLines="0" tabSelected="1" zoomScale="75" zoomScaleNormal="75" workbookViewId="0" topLeftCell="E52">
      <selection activeCell="I56" sqref="I56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customHeight="1">
      <c r="A3" s="20"/>
      <c r="B3" s="6" t="s">
        <v>5</v>
      </c>
      <c r="C3" s="23"/>
      <c r="D3" s="23"/>
      <c r="E3" s="23"/>
      <c r="F3" s="23"/>
      <c r="G3" s="23"/>
      <c r="H3" s="23"/>
      <c r="I3" s="23"/>
      <c r="J3" s="23"/>
      <c r="K3" s="11"/>
      <c r="L3" s="11"/>
      <c r="M3" s="24"/>
      <c r="N3" s="24"/>
      <c r="O3" s="24"/>
    </row>
    <row r="4" spans="1:15" ht="15.75" customHeight="1">
      <c r="A4" s="20"/>
      <c r="B4" s="6" t="s">
        <v>6</v>
      </c>
      <c r="C4" s="23"/>
      <c r="D4" s="23"/>
      <c r="E4" s="23"/>
      <c r="F4" s="23"/>
      <c r="G4" s="23"/>
      <c r="H4" s="23"/>
      <c r="I4" s="23"/>
      <c r="J4" s="23"/>
      <c r="K4" s="6"/>
      <c r="L4" s="6"/>
      <c r="M4" s="24"/>
      <c r="N4" s="24"/>
      <c r="O4" s="24"/>
    </row>
    <row r="5" spans="1:15" ht="15.75" customHeight="1">
      <c r="A5" s="20"/>
      <c r="B5" s="6" t="s">
        <v>0</v>
      </c>
      <c r="C5" s="23"/>
      <c r="D5" s="23"/>
      <c r="E5" s="23"/>
      <c r="F5" s="23"/>
      <c r="G5" s="23"/>
      <c r="H5" s="23"/>
      <c r="I5" s="23" t="s">
        <v>0</v>
      </c>
      <c r="J5" s="23"/>
      <c r="K5" s="25"/>
      <c r="L5" s="25"/>
      <c r="M5" s="24"/>
      <c r="N5" s="24"/>
      <c r="O5" s="24"/>
    </row>
    <row r="6" spans="1:15" ht="15.75" customHeight="1">
      <c r="A6" s="20"/>
      <c r="B6" s="6" t="s">
        <v>160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4"/>
    </row>
    <row r="7" spans="1:15" ht="15.75" customHeight="1">
      <c r="A7" s="20"/>
      <c r="B7" s="6" t="s">
        <v>57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7" t="s">
        <v>9</v>
      </c>
      <c r="E9" s="7"/>
      <c r="F9" s="7"/>
      <c r="G9" s="7"/>
      <c r="H9" s="3"/>
      <c r="I9" s="7" t="s">
        <v>10</v>
      </c>
      <c r="J9" s="7"/>
      <c r="K9" s="7"/>
      <c r="L9" s="7"/>
      <c r="M9" s="24"/>
      <c r="N9" s="24"/>
      <c r="O9" s="24"/>
    </row>
    <row r="10" spans="1:15" ht="15.75" customHeight="1">
      <c r="A10" s="20"/>
      <c r="B10" s="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4"/>
    </row>
    <row r="11" spans="1:13" ht="15.75" customHeight="1">
      <c r="A11" s="20"/>
      <c r="B11" s="6"/>
      <c r="C11" s="23"/>
      <c r="D11" s="23"/>
      <c r="E11" s="23"/>
      <c r="F11" s="9" t="s">
        <v>39</v>
      </c>
      <c r="G11" s="23"/>
      <c r="H11" s="23"/>
      <c r="I11" s="23"/>
      <c r="J11" s="23"/>
      <c r="K11" s="9" t="s">
        <v>39</v>
      </c>
      <c r="L11" s="23"/>
      <c r="M11" s="24"/>
    </row>
    <row r="12" spans="1:13" ht="15.75" customHeight="1">
      <c r="A12" s="20"/>
      <c r="B12" s="6" t="s">
        <v>0</v>
      </c>
      <c r="C12" s="23"/>
      <c r="D12" s="9" t="s">
        <v>11</v>
      </c>
      <c r="E12" s="9"/>
      <c r="F12" s="9" t="s">
        <v>12</v>
      </c>
      <c r="G12" s="23"/>
      <c r="H12" s="23"/>
      <c r="I12" s="9" t="s">
        <v>11</v>
      </c>
      <c r="J12" s="9"/>
      <c r="K12" s="9" t="s">
        <v>12</v>
      </c>
      <c r="L12" s="23"/>
      <c r="M12" s="24"/>
    </row>
    <row r="13" spans="1:13" ht="15.75" customHeight="1">
      <c r="A13" s="20"/>
      <c r="B13" s="2"/>
      <c r="C13" s="2"/>
      <c r="D13" s="9" t="s">
        <v>12</v>
      </c>
      <c r="E13" s="9"/>
      <c r="F13" s="9" t="s">
        <v>14</v>
      </c>
      <c r="G13" s="24"/>
      <c r="H13" s="24"/>
      <c r="I13" s="9" t="s">
        <v>12</v>
      </c>
      <c r="J13" s="9"/>
      <c r="K13" s="9" t="s">
        <v>14</v>
      </c>
      <c r="L13" s="24"/>
      <c r="M13" s="24"/>
    </row>
    <row r="14" spans="1:13" ht="15.75" customHeight="1">
      <c r="A14" s="20"/>
      <c r="B14" s="2"/>
      <c r="C14" s="2"/>
      <c r="D14" s="9" t="s">
        <v>13</v>
      </c>
      <c r="E14" s="9"/>
      <c r="F14" s="9" t="s">
        <v>13</v>
      </c>
      <c r="I14" s="9" t="s">
        <v>15</v>
      </c>
      <c r="J14" s="9"/>
      <c r="K14" s="9" t="s">
        <v>16</v>
      </c>
      <c r="M14" s="24"/>
    </row>
    <row r="15" spans="1:13" ht="15.75" customHeight="1">
      <c r="A15" s="20"/>
      <c r="B15" s="2"/>
      <c r="C15" s="2"/>
      <c r="D15" s="50" t="s">
        <v>159</v>
      </c>
      <c r="E15" s="9"/>
      <c r="F15" s="50" t="s">
        <v>159</v>
      </c>
      <c r="G15" s="3"/>
      <c r="H15" s="3"/>
      <c r="I15" s="50" t="s">
        <v>159</v>
      </c>
      <c r="J15" s="9"/>
      <c r="K15" s="50" t="s">
        <v>159</v>
      </c>
      <c r="L15" s="3"/>
      <c r="M15" s="24"/>
    </row>
    <row r="16" spans="1:13" ht="15.75" customHeight="1">
      <c r="A16" s="20"/>
      <c r="B16" s="2"/>
      <c r="C16" s="2"/>
      <c r="D16" s="4">
        <v>2005</v>
      </c>
      <c r="E16" s="4"/>
      <c r="F16" s="4">
        <v>2004</v>
      </c>
      <c r="G16" s="8" t="s">
        <v>3</v>
      </c>
      <c r="H16" s="4"/>
      <c r="I16" s="4">
        <v>2005</v>
      </c>
      <c r="J16" s="4"/>
      <c r="K16" s="4">
        <v>2004</v>
      </c>
      <c r="L16" s="8" t="s">
        <v>3</v>
      </c>
      <c r="M16" s="24"/>
    </row>
    <row r="17" spans="1:13" ht="15.75" customHeight="1">
      <c r="A17" s="20"/>
      <c r="B17" s="2"/>
      <c r="C17" s="2"/>
      <c r="D17" s="4" t="s">
        <v>2</v>
      </c>
      <c r="E17" s="4"/>
      <c r="F17" s="4" t="s">
        <v>2</v>
      </c>
      <c r="G17" s="9" t="s">
        <v>4</v>
      </c>
      <c r="H17" s="4"/>
      <c r="I17" s="4" t="s">
        <v>2</v>
      </c>
      <c r="J17" s="4"/>
      <c r="K17" s="4" t="s">
        <v>2</v>
      </c>
      <c r="L17" s="9" t="s">
        <v>4</v>
      </c>
      <c r="M17" s="24"/>
    </row>
    <row r="18" spans="1:13" ht="15.75" customHeight="1">
      <c r="A18" s="20"/>
      <c r="B18" s="2"/>
      <c r="C18" s="2"/>
      <c r="D18" s="2" t="s">
        <v>0</v>
      </c>
      <c r="E18" s="2"/>
      <c r="F18" s="2"/>
      <c r="G18" s="2"/>
      <c r="H18" s="2"/>
      <c r="I18" s="2" t="s">
        <v>0</v>
      </c>
      <c r="J18" s="2"/>
      <c r="K18" s="2"/>
      <c r="L18" s="2"/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8" t="s">
        <v>0</v>
      </c>
      <c r="B20" s="30" t="s">
        <v>53</v>
      </c>
      <c r="C20" s="2"/>
      <c r="D20" s="39">
        <f>163743-111442</f>
        <v>52301</v>
      </c>
      <c r="E20" s="39"/>
      <c r="F20" s="60">
        <f>144340-94633</f>
        <v>49707</v>
      </c>
      <c r="G20" s="19">
        <f>(D20-F20)/F20</f>
        <v>0.052185808839801236</v>
      </c>
      <c r="H20" s="2"/>
      <c r="I20" s="39">
        <v>163742.91965390547</v>
      </c>
      <c r="J20" s="39"/>
      <c r="K20" s="60">
        <v>144340</v>
      </c>
      <c r="L20" s="19">
        <f>(I20-K20)/K20</f>
        <v>0.13442510498756732</v>
      </c>
      <c r="M20" s="24"/>
    </row>
    <row r="21" spans="1:13" ht="15.75" customHeight="1">
      <c r="A21" s="21"/>
      <c r="B21" s="2"/>
      <c r="C21" s="2"/>
      <c r="D21" s="12"/>
      <c r="E21" s="12"/>
      <c r="F21" s="12"/>
      <c r="G21" s="2"/>
      <c r="H21" s="2"/>
      <c r="I21" s="2"/>
      <c r="J21" s="12"/>
      <c r="K21" s="12"/>
      <c r="L21" s="2"/>
      <c r="M21" s="24"/>
    </row>
    <row r="22" spans="1:13" ht="15.75" customHeight="1">
      <c r="A22" s="20"/>
      <c r="B22" s="27" t="s">
        <v>102</v>
      </c>
      <c r="C22" s="2"/>
      <c r="D22" s="17">
        <f>-175605+117790</f>
        <v>-57815</v>
      </c>
      <c r="E22" s="2"/>
      <c r="F22" s="17">
        <f>-151392+101267</f>
        <v>-50125</v>
      </c>
      <c r="G22" s="2"/>
      <c r="H22" s="2"/>
      <c r="I22" s="13">
        <v>-175605.11510853778</v>
      </c>
      <c r="J22" s="2"/>
      <c r="K22" s="17">
        <v>-151392</v>
      </c>
      <c r="L22" s="2"/>
      <c r="M22" s="24"/>
    </row>
    <row r="23" spans="1:14" ht="15.75" customHeight="1">
      <c r="A23" s="28" t="s">
        <v>0</v>
      </c>
      <c r="B23" s="52" t="s">
        <v>0</v>
      </c>
      <c r="C23" s="2"/>
      <c r="D23" s="13" t="s">
        <v>0</v>
      </c>
      <c r="E23" s="13"/>
      <c r="F23" s="13" t="s">
        <v>0</v>
      </c>
      <c r="G23" s="19" t="e">
        <f>(D23-F23)/F23</f>
        <v>#VALUE!</v>
      </c>
      <c r="H23" s="2"/>
      <c r="I23" s="13" t="s">
        <v>0</v>
      </c>
      <c r="J23" s="13"/>
      <c r="K23" s="13" t="s">
        <v>0</v>
      </c>
      <c r="L23" s="19" t="e">
        <f>(I23-K23)/K23</f>
        <v>#VALUE!</v>
      </c>
      <c r="M23" s="24"/>
      <c r="N23" s="2"/>
    </row>
    <row r="24" spans="1:13" ht="15.75" customHeight="1">
      <c r="A24" s="21"/>
      <c r="B24" s="2" t="s">
        <v>103</v>
      </c>
      <c r="C24" s="24"/>
      <c r="D24" s="13">
        <f>7687-3843</f>
        <v>3844</v>
      </c>
      <c r="E24" s="13"/>
      <c r="F24" s="17">
        <f>5964-4027</f>
        <v>1937</v>
      </c>
      <c r="G24" s="24"/>
      <c r="H24" s="24"/>
      <c r="I24" s="13">
        <v>7686.80102146169</v>
      </c>
      <c r="J24" s="13"/>
      <c r="K24" s="17">
        <v>5964</v>
      </c>
      <c r="L24" s="24" t="s">
        <v>0</v>
      </c>
      <c r="M24" s="24"/>
    </row>
    <row r="25" spans="1:13" ht="15.75" customHeight="1">
      <c r="A25" s="21"/>
      <c r="B25" s="2"/>
      <c r="C25" s="24"/>
      <c r="D25" s="15" t="s">
        <v>0</v>
      </c>
      <c r="E25" s="13"/>
      <c r="F25" s="18"/>
      <c r="G25" s="24"/>
      <c r="H25" s="24"/>
      <c r="I25" s="15"/>
      <c r="J25" s="13"/>
      <c r="K25" s="26"/>
      <c r="L25" s="24"/>
      <c r="M25" s="24"/>
    </row>
    <row r="26" spans="1:13" ht="15.75" customHeight="1">
      <c r="A26" s="21"/>
      <c r="B26" s="30" t="s">
        <v>156</v>
      </c>
      <c r="C26" s="24"/>
      <c r="D26" s="13">
        <f>SUM(D20:D25)</f>
        <v>-1670</v>
      </c>
      <c r="E26" s="13"/>
      <c r="F26" s="17">
        <f>SUM(F20:F25)</f>
        <v>1519</v>
      </c>
      <c r="G26" s="24"/>
      <c r="H26" s="24"/>
      <c r="I26" s="13">
        <f>SUM(I20:I25)</f>
        <v>-4175.394433170621</v>
      </c>
      <c r="J26" s="13"/>
      <c r="K26" s="13">
        <f>SUM(K20:K25)</f>
        <v>-1088</v>
      </c>
      <c r="L26" s="24"/>
      <c r="M26" s="24"/>
    </row>
    <row r="27" spans="1:13" ht="15.75" customHeight="1">
      <c r="A27" s="21"/>
      <c r="B27" s="30"/>
      <c r="C27" s="24"/>
      <c r="D27" s="13" t="s">
        <v>0</v>
      </c>
      <c r="E27" s="13"/>
      <c r="F27" s="17"/>
      <c r="G27" s="24"/>
      <c r="H27" s="24"/>
      <c r="I27" s="13" t="s">
        <v>0</v>
      </c>
      <c r="J27" s="13"/>
      <c r="K27" s="24"/>
      <c r="L27" s="24"/>
      <c r="M27" s="24"/>
    </row>
    <row r="28" spans="1:13" ht="15.75" customHeight="1">
      <c r="A28" s="21"/>
      <c r="B28" s="53" t="s">
        <v>112</v>
      </c>
      <c r="C28" s="24"/>
      <c r="D28" s="13">
        <f>3279-2075</f>
        <v>1204</v>
      </c>
      <c r="E28" s="13"/>
      <c r="F28" s="17">
        <f>2599-1744</f>
        <v>855</v>
      </c>
      <c r="G28" s="24"/>
      <c r="H28" s="24"/>
      <c r="I28" s="13">
        <v>3278.890902939648</v>
      </c>
      <c r="J28" s="13"/>
      <c r="K28" s="17">
        <v>2599</v>
      </c>
      <c r="L28" s="24"/>
      <c r="M28" s="24"/>
    </row>
    <row r="29" spans="1:13" ht="15.75" customHeight="1">
      <c r="A29" s="21"/>
      <c r="B29" s="53" t="s">
        <v>113</v>
      </c>
      <c r="C29" s="24"/>
      <c r="D29" s="13">
        <f>-10253+6777</f>
        <v>-3476</v>
      </c>
      <c r="E29" s="13"/>
      <c r="F29" s="17">
        <f>-9832+6218</f>
        <v>-3614</v>
      </c>
      <c r="G29" s="24"/>
      <c r="H29" s="24"/>
      <c r="I29" s="13">
        <v>-10253.337814855397</v>
      </c>
      <c r="J29" s="13"/>
      <c r="K29" s="17">
        <v>-9832</v>
      </c>
      <c r="L29" s="24"/>
      <c r="M29" s="24"/>
    </row>
    <row r="30" spans="1:13" ht="15.75" customHeight="1">
      <c r="A30" s="21"/>
      <c r="B30" s="53" t="s">
        <v>104</v>
      </c>
      <c r="C30" s="24"/>
      <c r="D30" s="13">
        <f>-5971+4056</f>
        <v>-1915</v>
      </c>
      <c r="E30" s="13"/>
      <c r="F30" s="17">
        <f>-3036+1904</f>
        <v>-1132</v>
      </c>
      <c r="G30" s="24"/>
      <c r="H30" s="24"/>
      <c r="I30" s="13">
        <v>-5971.027995490513</v>
      </c>
      <c r="J30" s="13"/>
      <c r="K30" s="17">
        <v>-3036</v>
      </c>
      <c r="L30" s="24"/>
      <c r="M30" s="24"/>
    </row>
    <row r="31" spans="1:13" ht="15.75" customHeight="1">
      <c r="A31" s="21"/>
      <c r="B31" s="2" t="s">
        <v>0</v>
      </c>
      <c r="C31" s="24"/>
      <c r="D31" s="15" t="s">
        <v>0</v>
      </c>
      <c r="E31" s="15"/>
      <c r="F31" s="18" t="s">
        <v>0</v>
      </c>
      <c r="G31" s="24"/>
      <c r="H31" s="24"/>
      <c r="I31" s="15">
        <v>0</v>
      </c>
      <c r="J31" s="15"/>
      <c r="K31" s="18" t="s">
        <v>0</v>
      </c>
      <c r="L31" s="24"/>
      <c r="M31" s="24"/>
    </row>
    <row r="32" spans="1:13" ht="15.75" customHeight="1">
      <c r="A32" s="21"/>
      <c r="B32" s="52" t="s">
        <v>146</v>
      </c>
      <c r="C32" s="24"/>
      <c r="D32" s="13">
        <f>SUM(D26:D31)</f>
        <v>-5857</v>
      </c>
      <c r="E32" s="13"/>
      <c r="F32" s="13">
        <f>SUM(F26:F31)</f>
        <v>-2372</v>
      </c>
      <c r="G32" s="19">
        <f>(D32-F32)/F32</f>
        <v>1.4692242833052276</v>
      </c>
      <c r="H32" s="24"/>
      <c r="I32" s="13">
        <f>SUM(I26:I31)+1</f>
        <v>-17119.869340576883</v>
      </c>
      <c r="J32" s="13"/>
      <c r="K32" s="13">
        <f>SUM(K26:K31)</f>
        <v>-11357</v>
      </c>
      <c r="L32" s="19" t="e">
        <f>(#REF!-#REF!)/#REF!</f>
        <v>#REF!</v>
      </c>
      <c r="M32" s="24"/>
    </row>
    <row r="33" spans="1:13" ht="15.75" customHeight="1">
      <c r="A33" s="21"/>
      <c r="B33" s="52" t="s">
        <v>92</v>
      </c>
      <c r="C33" s="24"/>
      <c r="D33" s="13" t="s">
        <v>0</v>
      </c>
      <c r="E33" s="13"/>
      <c r="F33" s="24"/>
      <c r="G33" s="24"/>
      <c r="H33" s="24"/>
      <c r="I33" s="13" t="s">
        <v>0</v>
      </c>
      <c r="J33" s="13"/>
      <c r="K33" s="24"/>
      <c r="L33" s="24"/>
      <c r="M33" s="24"/>
    </row>
    <row r="34" spans="1:13" ht="15.75" customHeight="1">
      <c r="A34" s="21"/>
      <c r="B34" s="52"/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3" t="s">
        <v>58</v>
      </c>
      <c r="C35" s="2"/>
      <c r="D35" s="39">
        <f>-1893+1533</f>
        <v>-360</v>
      </c>
      <c r="E35" s="39"/>
      <c r="F35" s="47">
        <f>-96+186</f>
        <v>90</v>
      </c>
      <c r="G35" s="19">
        <f>(D35-F35)/F35</f>
        <v>-5</v>
      </c>
      <c r="H35" s="2"/>
      <c r="I35" s="39">
        <v>-1893.0595173818415</v>
      </c>
      <c r="J35" s="39"/>
      <c r="K35" s="47">
        <v>-96</v>
      </c>
      <c r="L35" s="19">
        <f>(I32-K32)/K32</f>
        <v>0.5074288404135672</v>
      </c>
      <c r="M35" s="24"/>
    </row>
    <row r="36" spans="1:13" ht="15.75" customHeight="1">
      <c r="A36" s="21"/>
      <c r="B36" s="2" t="s">
        <v>0</v>
      </c>
      <c r="C36" s="2"/>
      <c r="D36" s="15" t="s">
        <v>0</v>
      </c>
      <c r="E36" s="15"/>
      <c r="F36" s="15" t="s">
        <v>0</v>
      </c>
      <c r="G36" s="19" t="s">
        <v>0</v>
      </c>
      <c r="H36" s="2"/>
      <c r="I36" s="15" t="s">
        <v>0</v>
      </c>
      <c r="J36" s="15"/>
      <c r="K36" s="15" t="s">
        <v>0</v>
      </c>
      <c r="L36" s="19"/>
      <c r="M36" s="24"/>
    </row>
    <row r="37" spans="1:13" ht="15.75" customHeight="1">
      <c r="A37" s="21"/>
      <c r="B37" s="52" t="s">
        <v>147</v>
      </c>
      <c r="C37" s="2"/>
      <c r="D37" s="13">
        <f>SUM(D32:D36)</f>
        <v>-6217</v>
      </c>
      <c r="E37" s="13"/>
      <c r="F37" s="13">
        <f>SUM(F32:F36)</f>
        <v>-2282</v>
      </c>
      <c r="G37" s="19">
        <f>(D37-F37)/F37</f>
        <v>1.724364592462752</v>
      </c>
      <c r="H37" s="2"/>
      <c r="I37" s="13">
        <f>SUM(I32:I36)</f>
        <v>-19012.928857958723</v>
      </c>
      <c r="J37" s="13"/>
      <c r="K37" s="13">
        <f>SUM(K32:K36)</f>
        <v>-11453</v>
      </c>
      <c r="L37" s="24"/>
      <c r="M37" s="24"/>
    </row>
    <row r="38" spans="1:13" ht="15.75" customHeight="1">
      <c r="A38" s="21"/>
      <c r="B38" s="52" t="s">
        <v>92</v>
      </c>
      <c r="C38" s="24"/>
      <c r="D38" s="13" t="s">
        <v>0</v>
      </c>
      <c r="E38" s="13"/>
      <c r="F38" s="13" t="s">
        <v>0</v>
      </c>
      <c r="G38" s="19" t="s">
        <v>0</v>
      </c>
      <c r="H38" s="24"/>
      <c r="I38" s="13" t="s">
        <v>0</v>
      </c>
      <c r="J38" s="13"/>
      <c r="K38" s="13" t="s">
        <v>0</v>
      </c>
      <c r="L38" s="19">
        <f>(I35-K35)/K35</f>
        <v>18.719369972727517</v>
      </c>
      <c r="M38" s="24"/>
    </row>
    <row r="39" spans="1:13" ht="15.75" customHeight="1">
      <c r="A39" s="21" t="s">
        <v>0</v>
      </c>
      <c r="B39" s="52"/>
      <c r="C39" s="24"/>
      <c r="D39" s="13" t="s">
        <v>0</v>
      </c>
      <c r="E39" s="13"/>
      <c r="F39" s="13"/>
      <c r="G39" s="19"/>
      <c r="H39" s="24"/>
      <c r="I39" s="13" t="s">
        <v>0</v>
      </c>
      <c r="J39" s="13"/>
      <c r="K39" s="13"/>
      <c r="L39" s="19" t="s">
        <v>0</v>
      </c>
      <c r="M39" s="24"/>
    </row>
    <row r="40" spans="1:13" ht="15.75" customHeight="1">
      <c r="A40" s="21"/>
      <c r="B40" s="53" t="s">
        <v>59</v>
      </c>
      <c r="C40" s="24"/>
      <c r="D40" s="13">
        <f>7142-4587</f>
        <v>2555</v>
      </c>
      <c r="E40" s="13"/>
      <c r="F40" s="47">
        <f>5220-2864</f>
        <v>2356</v>
      </c>
      <c r="G40" s="19">
        <f>(D40-F40)/F40</f>
        <v>0.08446519524617997</v>
      </c>
      <c r="H40" s="24"/>
      <c r="I40" s="13">
        <v>7142.278333595428</v>
      </c>
      <c r="J40" s="13"/>
      <c r="K40" s="47">
        <v>5220</v>
      </c>
      <c r="L40" s="19">
        <f>(I37-K37)/K37</f>
        <v>0.6600828479838228</v>
      </c>
      <c r="M40" s="24"/>
    </row>
    <row r="41" spans="1:13" ht="15.75" customHeight="1">
      <c r="A41" s="21"/>
      <c r="B41" s="2"/>
      <c r="C41" s="2"/>
      <c r="D41" s="10"/>
      <c r="E41" s="10"/>
      <c r="F41" s="10"/>
      <c r="G41" s="2"/>
      <c r="H41" s="2"/>
      <c r="I41" s="10"/>
      <c r="J41" s="10"/>
      <c r="K41" s="10"/>
      <c r="L41" s="19"/>
      <c r="M41" s="24"/>
    </row>
    <row r="42" spans="1:16" ht="15.75" customHeight="1" thickBot="1">
      <c r="A42" s="21" t="s">
        <v>0</v>
      </c>
      <c r="B42" s="30" t="s">
        <v>157</v>
      </c>
      <c r="C42" s="2"/>
      <c r="D42" s="14">
        <f>SUM(D37:D41)</f>
        <v>-3662</v>
      </c>
      <c r="E42" s="14"/>
      <c r="F42" s="14">
        <f>SUM(F37:F41)</f>
        <v>74</v>
      </c>
      <c r="G42" s="19">
        <f>(D42-F42)/F42</f>
        <v>-50.486486486486484</v>
      </c>
      <c r="H42" s="2"/>
      <c r="I42" s="14">
        <f>SUM(I37:I41)</f>
        <v>-11870.650524363295</v>
      </c>
      <c r="J42" s="14"/>
      <c r="K42" s="14">
        <f>SUM(K37:K41)</f>
        <v>-6233</v>
      </c>
      <c r="L42" s="19" t="s">
        <v>0</v>
      </c>
      <c r="M42" s="24"/>
      <c r="P42" t="s">
        <v>0</v>
      </c>
    </row>
    <row r="43" spans="1:13" ht="15.75" customHeight="1" thickTop="1">
      <c r="A43" s="21" t="s">
        <v>0</v>
      </c>
      <c r="B43" s="2" t="s">
        <v>0</v>
      </c>
      <c r="C43" s="2"/>
      <c r="D43" s="2" t="s">
        <v>0</v>
      </c>
      <c r="E43" s="2"/>
      <c r="F43" s="2"/>
      <c r="G43" s="2"/>
      <c r="H43" s="2"/>
      <c r="I43" s="2" t="s">
        <v>0</v>
      </c>
      <c r="J43" s="2"/>
      <c r="K43" s="2"/>
      <c r="L43" s="19">
        <f>(I40-K40)/K40</f>
        <v>0.3682525543286261</v>
      </c>
      <c r="M43" s="24"/>
    </row>
    <row r="44" spans="1:13" ht="15.75" customHeight="1">
      <c r="A44" s="21"/>
      <c r="B44" s="2"/>
      <c r="C44" s="2"/>
      <c r="D44" s="13" t="s">
        <v>0</v>
      </c>
      <c r="E44" s="2"/>
      <c r="F44" s="2" t="s">
        <v>0</v>
      </c>
      <c r="G44" s="2"/>
      <c r="H44" s="2"/>
      <c r="I44" s="2" t="s">
        <v>0</v>
      </c>
      <c r="J44" s="2"/>
      <c r="K44" s="2"/>
      <c r="L44" s="24"/>
      <c r="M44" s="24"/>
    </row>
    <row r="45" spans="1:13" ht="15.75" customHeight="1">
      <c r="A45" s="21"/>
      <c r="B45" s="30" t="s">
        <v>144</v>
      </c>
      <c r="C45" s="2"/>
      <c r="D45" s="13" t="s">
        <v>0</v>
      </c>
      <c r="E45" s="13"/>
      <c r="F45" s="2"/>
      <c r="G45" s="2"/>
      <c r="H45" s="2"/>
      <c r="I45" s="2"/>
      <c r="J45" s="2"/>
      <c r="K45" s="2"/>
      <c r="L45" s="19">
        <f>(I42-K42)/K42</f>
        <v>0.9044842811428356</v>
      </c>
      <c r="M45" s="24"/>
    </row>
    <row r="46" spans="1:13" ht="15.75" customHeight="1">
      <c r="A46" s="21"/>
      <c r="B46" s="30" t="s">
        <v>93</v>
      </c>
      <c r="D46" s="16">
        <f>D42/120000*100</f>
        <v>-3.0516666666666667</v>
      </c>
      <c r="E46" s="16"/>
      <c r="F46" s="16">
        <f>F42/120000*100</f>
        <v>0.06166666666666666</v>
      </c>
      <c r="G46" s="2"/>
      <c r="H46" s="2"/>
      <c r="I46" s="16">
        <f>I42/120000*100</f>
        <v>-9.892208770302746</v>
      </c>
      <c r="J46" s="16"/>
      <c r="K46" s="16">
        <f>K42/120000*100</f>
        <v>-5.194166666666666</v>
      </c>
      <c r="L46" s="24"/>
      <c r="M46" s="24"/>
    </row>
    <row r="47" spans="1:13" ht="15.75" customHeight="1">
      <c r="A47" s="21" t="s">
        <v>0</v>
      </c>
      <c r="B47" s="53" t="s">
        <v>60</v>
      </c>
      <c r="D47" s="16" t="s">
        <v>0</v>
      </c>
      <c r="E47" s="16"/>
      <c r="F47" s="62" t="s">
        <v>0</v>
      </c>
      <c r="G47" s="2"/>
      <c r="H47" s="2"/>
      <c r="I47" s="62" t="s">
        <v>0</v>
      </c>
      <c r="J47" s="16"/>
      <c r="K47" s="62" t="s">
        <v>0</v>
      </c>
      <c r="L47" s="19" t="e">
        <f>(#REF!-#REF!)/#REF!</f>
        <v>#REF!</v>
      </c>
      <c r="M47" s="24"/>
    </row>
    <row r="48" spans="1:13" ht="15.75" customHeight="1">
      <c r="A48" s="20"/>
      <c r="B48" s="53" t="s">
        <v>0</v>
      </c>
      <c r="D48" s="16"/>
      <c r="E48" s="16"/>
      <c r="F48" s="16"/>
      <c r="G48" s="2"/>
      <c r="H48" s="2"/>
      <c r="I48" s="16"/>
      <c r="J48" s="16"/>
      <c r="K48" s="16"/>
      <c r="L48" s="24"/>
      <c r="M48" s="24"/>
    </row>
    <row r="49" spans="1:13" ht="15.75" customHeight="1">
      <c r="A49" s="21"/>
      <c r="B49" s="30" t="s">
        <v>145</v>
      </c>
      <c r="D49" s="43" t="s">
        <v>0</v>
      </c>
      <c r="E49" s="43"/>
      <c r="F49" s="13" t="s">
        <v>0</v>
      </c>
      <c r="G49" s="2"/>
      <c r="H49" s="2"/>
      <c r="I49" s="13" t="s">
        <v>0</v>
      </c>
      <c r="J49" s="13"/>
      <c r="K49" s="17"/>
      <c r="L49" s="24"/>
      <c r="M49" s="24"/>
    </row>
    <row r="50" spans="1:13" ht="15.75" customHeight="1">
      <c r="A50" s="21" t="s">
        <v>0</v>
      </c>
      <c r="B50" s="30" t="s">
        <v>94</v>
      </c>
      <c r="C50" s="2"/>
      <c r="D50" s="16">
        <v>0</v>
      </c>
      <c r="E50" s="2"/>
      <c r="F50" s="62" t="s">
        <v>142</v>
      </c>
      <c r="G50" s="2"/>
      <c r="H50" s="2"/>
      <c r="I50" s="62" t="s">
        <v>142</v>
      </c>
      <c r="J50" s="16"/>
      <c r="K50" s="62" t="s">
        <v>142</v>
      </c>
      <c r="L50" s="19" t="e">
        <f>(#REF!-#REF!)/#REF!</f>
        <v>#REF!</v>
      </c>
      <c r="M50" s="24"/>
    </row>
    <row r="51" spans="1:13" ht="15.75" customHeight="1">
      <c r="A51" s="21"/>
      <c r="B51" s="53" t="s">
        <v>61</v>
      </c>
      <c r="C51" s="2"/>
      <c r="D51" s="2"/>
      <c r="E51" s="2"/>
      <c r="F51" s="2"/>
      <c r="G51" s="2"/>
      <c r="H51" s="2"/>
      <c r="I51" s="35"/>
      <c r="J51" s="35"/>
      <c r="K51" s="2"/>
      <c r="L51" s="24"/>
      <c r="M51" s="24"/>
    </row>
    <row r="52" spans="12:13" ht="15.75" customHeight="1">
      <c r="L52" s="2"/>
      <c r="M52" s="24"/>
    </row>
    <row r="53" spans="1:15" ht="15.75" customHeight="1">
      <c r="A53" s="2"/>
      <c r="L53" s="2"/>
      <c r="M53" s="24"/>
      <c r="N53" s="24"/>
      <c r="O53" s="24"/>
    </row>
    <row r="54" spans="1:15" ht="15.75" customHeight="1">
      <c r="A54" s="36" t="s">
        <v>0</v>
      </c>
      <c r="L54" s="2"/>
      <c r="M54" s="24"/>
      <c r="N54" s="24"/>
      <c r="O54" s="24"/>
    </row>
    <row r="55" spans="1:15" ht="15.75" customHeight="1">
      <c r="A55" s="22"/>
      <c r="B55" s="30" t="s">
        <v>0</v>
      </c>
      <c r="C55" s="2" t="s">
        <v>0</v>
      </c>
      <c r="D55" s="16" t="s">
        <v>0</v>
      </c>
      <c r="E55" s="16"/>
      <c r="F55" s="16" t="s">
        <v>0</v>
      </c>
      <c r="G55" s="2" t="s">
        <v>0</v>
      </c>
      <c r="H55" s="2"/>
      <c r="I55" s="35"/>
      <c r="J55" s="35"/>
      <c r="K55" s="2"/>
      <c r="L55" s="2"/>
      <c r="M55" s="24"/>
      <c r="N55" s="24"/>
      <c r="O55" s="24"/>
    </row>
    <row r="56" spans="1:15" ht="15.75" customHeight="1">
      <c r="A56" s="22"/>
      <c r="B56" s="30"/>
      <c r="C56" s="2"/>
      <c r="D56" s="16"/>
      <c r="E56" s="16"/>
      <c r="F56" s="16"/>
      <c r="G56" s="2"/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 t="s">
        <v>88</v>
      </c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155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/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ht="15.75" customHeight="1">
      <c r="A62" s="22"/>
    </row>
    <row r="63" ht="15.75" customHeight="1">
      <c r="A63" s="22"/>
    </row>
    <row r="64" ht="15.75" customHeight="1">
      <c r="A64" s="22"/>
    </row>
    <row r="65" spans="1:15" ht="15.75" customHeight="1">
      <c r="A65" s="21"/>
      <c r="K65" s="9" t="s">
        <v>0</v>
      </c>
      <c r="L65" s="2"/>
      <c r="M65" s="24"/>
      <c r="N65" s="24"/>
      <c r="O65" s="24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4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2"/>
      <c r="L69" s="2"/>
      <c r="M69" s="24"/>
      <c r="N69" s="24"/>
      <c r="O69" s="24"/>
    </row>
    <row r="70" spans="1:15" ht="15.75" customHeight="1">
      <c r="A70" s="28" t="s">
        <v>0</v>
      </c>
      <c r="B70" s="53" t="s">
        <v>0</v>
      </c>
      <c r="K70" s="2" t="s">
        <v>0</v>
      </c>
      <c r="L70" s="2"/>
      <c r="M70" s="24"/>
      <c r="N70" s="24"/>
      <c r="O70" s="24"/>
    </row>
    <row r="71" spans="1:15" ht="15.75" customHeight="1">
      <c r="A71" s="28"/>
      <c r="K71" s="2"/>
      <c r="L71" s="2"/>
      <c r="M71" s="24"/>
      <c r="N71" s="24"/>
      <c r="O71" s="24"/>
    </row>
    <row r="72" spans="1:15" ht="15.75" customHeight="1" hidden="1">
      <c r="A72" s="28">
        <v>2</v>
      </c>
      <c r="K72" s="2"/>
      <c r="L72" s="2"/>
      <c r="M72" s="24"/>
      <c r="N72" s="24"/>
      <c r="O72" s="24"/>
    </row>
    <row r="73" spans="1:15" ht="15.75" customHeight="1" hidden="1">
      <c r="A73" s="28"/>
      <c r="K73" s="2"/>
      <c r="L73" s="2"/>
      <c r="M73" s="24"/>
      <c r="N73" s="24"/>
      <c r="O73" s="24"/>
    </row>
    <row r="74" spans="1:15" ht="15.75" customHeight="1">
      <c r="A74" s="28" t="s">
        <v>0</v>
      </c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/>
      <c r="K76" s="2"/>
      <c r="L76" s="2"/>
      <c r="M76" s="24"/>
      <c r="N76" s="24"/>
      <c r="O76" s="24"/>
    </row>
    <row r="77" spans="1:15" ht="15.75" customHeight="1">
      <c r="A77" s="28" t="s">
        <v>0</v>
      </c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/>
      <c r="K79" s="2"/>
      <c r="L79" s="2"/>
      <c r="M79" s="24"/>
      <c r="N79" s="24"/>
      <c r="O79" s="24"/>
    </row>
    <row r="80" spans="1:15" ht="15.75" customHeight="1">
      <c r="A80" s="28" t="s">
        <v>0</v>
      </c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 hidden="1">
      <c r="A82" s="28">
        <v>7</v>
      </c>
      <c r="K82" s="2"/>
      <c r="L82" s="2"/>
      <c r="M82" s="24"/>
      <c r="N82" s="24"/>
      <c r="O82" s="24"/>
    </row>
    <row r="83" spans="1:15" ht="15.75" customHeight="1" hidden="1">
      <c r="A83" s="28"/>
      <c r="K83" s="2" t="s">
        <v>0</v>
      </c>
      <c r="L83" s="2"/>
      <c r="M83" s="24"/>
      <c r="N83" s="24"/>
      <c r="O83" s="24"/>
    </row>
    <row r="84" spans="1:15" ht="15.75" customHeight="1">
      <c r="A84" s="28"/>
      <c r="K84" s="2"/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>
        <f>64656+39131+32591+24958+104+52604+476+4439+21147+14890</f>
        <v>254996</v>
      </c>
      <c r="L93" s="2"/>
      <c r="M93" s="24"/>
      <c r="N93" s="24"/>
      <c r="O93" s="24"/>
    </row>
    <row r="94" spans="1:15" ht="15.75" customHeight="1">
      <c r="A94" s="28"/>
      <c r="K94" s="2"/>
      <c r="L94" s="2"/>
      <c r="M94" s="24"/>
      <c r="N94" s="24"/>
      <c r="O94" s="24"/>
    </row>
    <row r="95" spans="1:15" ht="15.75" customHeight="1">
      <c r="A95" s="28" t="s">
        <v>0</v>
      </c>
      <c r="K95" s="2"/>
      <c r="L95" s="2"/>
      <c r="M95" s="24"/>
      <c r="N95" s="24"/>
      <c r="O95" s="24"/>
    </row>
    <row r="96" spans="1:15" ht="15.75" customHeight="1">
      <c r="A96" s="28"/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>
        <f>74081+21440+47852+24+188+9904</f>
        <v>153489</v>
      </c>
      <c r="L102" s="2"/>
      <c r="M102" s="24"/>
      <c r="N102" s="24"/>
      <c r="O102" s="24"/>
    </row>
    <row r="103" spans="1:15" ht="15.75" customHeight="1">
      <c r="A103" s="28"/>
      <c r="K103" s="2"/>
      <c r="L103" s="2"/>
      <c r="M103" s="24"/>
      <c r="N103" s="24"/>
      <c r="O103" s="24"/>
    </row>
    <row r="104" spans="1:15" ht="15.75" customHeight="1">
      <c r="A104" s="28" t="s">
        <v>0</v>
      </c>
      <c r="K104" s="2">
        <f>282063+101507</f>
        <v>383570</v>
      </c>
      <c r="L104" s="2"/>
      <c r="M104" s="24"/>
      <c r="N104" s="24"/>
      <c r="O104" s="24"/>
    </row>
    <row r="105" spans="1:15" ht="15.75" customHeight="1">
      <c r="A105" s="28"/>
      <c r="K105" s="2"/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 t="s">
        <v>0</v>
      </c>
      <c r="K110" s="2"/>
      <c r="L110" s="2"/>
      <c r="M110" s="24"/>
      <c r="N110" s="24"/>
      <c r="O110" s="24"/>
    </row>
    <row r="111" spans="1:15" ht="15.75" customHeight="1">
      <c r="A111" s="28"/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>
        <f>120000+29578+9401+21424+234+2588</f>
        <v>183225</v>
      </c>
      <c r="L117" s="2"/>
      <c r="M117" s="24"/>
      <c r="N117" s="24"/>
      <c r="O117" s="24"/>
    </row>
    <row r="118" spans="1:15" ht="15.75" customHeight="1">
      <c r="A118" s="28"/>
      <c r="K118" s="2"/>
      <c r="L118" s="2"/>
      <c r="M118" s="24"/>
      <c r="N118" s="24"/>
      <c r="O118" s="24"/>
    </row>
    <row r="119" spans="1:15" ht="15.75" customHeight="1">
      <c r="A119" s="28" t="s">
        <v>0</v>
      </c>
      <c r="K119" s="2"/>
      <c r="L119" s="2"/>
      <c r="M119" s="24"/>
      <c r="N119" s="24"/>
      <c r="O119" s="24"/>
    </row>
    <row r="120" spans="1:15" ht="15.75" customHeight="1">
      <c r="A120" s="28"/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 t="s">
        <v>0</v>
      </c>
      <c r="K123" s="2"/>
      <c r="L123" s="2"/>
      <c r="M123" s="24"/>
      <c r="N123" s="24"/>
      <c r="O123" s="24"/>
    </row>
    <row r="124" spans="1:15" ht="15.75" customHeight="1">
      <c r="A124" s="28"/>
      <c r="K124" s="13">
        <f>104004+F96</f>
        <v>104004</v>
      </c>
      <c r="L124" s="2"/>
      <c r="M124" s="24"/>
      <c r="N124" s="24"/>
      <c r="O124" s="24"/>
    </row>
    <row r="125" spans="1:15" ht="15.75" customHeight="1">
      <c r="A125" s="28" t="s">
        <v>0</v>
      </c>
      <c r="K125" s="2"/>
      <c r="L125" s="2"/>
      <c r="M125" s="24"/>
      <c r="N125" s="24"/>
      <c r="O125" s="24"/>
    </row>
    <row r="126" spans="1:15" ht="15.75" customHeight="1">
      <c r="A126" s="21"/>
      <c r="K126" s="2"/>
      <c r="L126" s="2"/>
      <c r="M126" s="24"/>
      <c r="N126" s="24"/>
      <c r="O126" s="24"/>
    </row>
    <row r="127" spans="1:15" ht="15.75" customHeight="1">
      <c r="A127" s="21"/>
      <c r="K127" s="2" t="s">
        <v>0</v>
      </c>
      <c r="L127" s="2"/>
      <c r="M127" s="24"/>
      <c r="N127" s="24"/>
      <c r="O127" s="24"/>
    </row>
    <row r="128" spans="1:15" ht="15.75" customHeight="1">
      <c r="A128" s="21"/>
      <c r="K128" s="2"/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17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1"/>
      <c r="K134" s="17"/>
      <c r="L134" s="2"/>
      <c r="M134" s="24"/>
      <c r="N134" s="24"/>
      <c r="O134" s="24"/>
    </row>
    <row r="135" spans="1:15" ht="15.75" customHeight="1">
      <c r="A135" s="28" t="s">
        <v>0</v>
      </c>
      <c r="K135" s="2"/>
      <c r="L135" s="2"/>
      <c r="M135" s="24"/>
      <c r="N135" s="24"/>
      <c r="O135" s="24"/>
    </row>
    <row r="136" spans="1:15" ht="15.75" customHeight="1">
      <c r="A136" s="35"/>
      <c r="K136" s="35"/>
      <c r="L136" s="2"/>
      <c r="M136" s="24"/>
      <c r="N136" s="24"/>
      <c r="O136" s="24"/>
    </row>
    <row r="137" spans="1:15" ht="15.75" customHeight="1">
      <c r="A137" s="35"/>
      <c r="K137" s="35"/>
      <c r="L137" s="2"/>
      <c r="M137" s="24"/>
      <c r="N137" s="24"/>
      <c r="O137" s="24"/>
    </row>
    <row r="138" spans="1:15" ht="15.75" customHeight="1">
      <c r="A138" s="35"/>
      <c r="B138" s="2"/>
      <c r="C138" s="35"/>
      <c r="D138" s="35"/>
      <c r="E138" s="35"/>
      <c r="F138" s="35"/>
      <c r="G138" s="35"/>
      <c r="H138" s="35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28"/>
      <c r="B139" s="37"/>
      <c r="C139" s="35"/>
      <c r="D139" s="2"/>
      <c r="E139" s="2"/>
      <c r="F139" s="2"/>
      <c r="G139" s="2"/>
      <c r="H139" s="2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2"/>
      <c r="M140" s="24"/>
      <c r="N140" s="24"/>
      <c r="O140" s="24"/>
    </row>
    <row r="141" spans="1:15" ht="15.75" customHeight="1">
      <c r="A141" s="22"/>
      <c r="B141" s="30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2"/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8"/>
      <c r="B148" s="3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2"/>
      <c r="B149" s="3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4"/>
      <c r="N149" s="24"/>
      <c r="O149" s="24"/>
    </row>
    <row r="150" spans="1:15" ht="15.75" customHeight="1">
      <c r="A150" s="22"/>
      <c r="B150" s="3"/>
      <c r="C150" s="2"/>
      <c r="D150" s="2"/>
      <c r="E150" s="2"/>
      <c r="F150" s="2"/>
      <c r="G150" s="2"/>
      <c r="H150" s="2"/>
      <c r="I150" s="11"/>
      <c r="J150" s="11"/>
      <c r="K150" s="11"/>
      <c r="L150" s="23"/>
      <c r="M150" s="24"/>
      <c r="N150" s="24"/>
      <c r="O150" s="24"/>
    </row>
    <row r="151" spans="1:15" ht="15.75" customHeight="1">
      <c r="A151" s="20"/>
      <c r="B151" s="2"/>
      <c r="C151" s="24"/>
      <c r="D151" s="24"/>
      <c r="E151" s="24"/>
      <c r="F151" s="2"/>
      <c r="G151" s="2"/>
      <c r="H151" s="2"/>
      <c r="I151" s="11"/>
      <c r="J151" s="11"/>
      <c r="K151" s="11"/>
      <c r="L151" s="23"/>
      <c r="M151" s="24"/>
      <c r="N151" s="24"/>
      <c r="O151" s="24"/>
    </row>
    <row r="152" spans="1:15" ht="15.75" customHeight="1">
      <c r="A152" s="20"/>
      <c r="B152" s="27"/>
      <c r="C152" s="24"/>
      <c r="D152" s="24"/>
      <c r="E152" s="24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7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7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1"/>
      <c r="B184" s="2"/>
      <c r="C184" s="2"/>
      <c r="D184" s="2"/>
      <c r="E184" s="2"/>
      <c r="F184" s="2"/>
      <c r="G184" s="2"/>
      <c r="H184" s="2"/>
      <c r="I184" s="11"/>
      <c r="J184" s="11"/>
      <c r="K184" s="2"/>
      <c r="L184" s="23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 hidden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0"/>
      <c r="B189" s="2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>
        <v>13</v>
      </c>
      <c r="B190" s="3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2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2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>
      <c r="A193" s="22"/>
      <c r="B193" s="3"/>
      <c r="C193" s="24"/>
      <c r="D193" s="24"/>
      <c r="E193" s="24"/>
      <c r="F193" s="24"/>
      <c r="G193" s="24"/>
      <c r="H193" s="24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1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0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0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 hidden="1">
      <c r="A197" s="22"/>
      <c r="B197" s="2"/>
      <c r="C197" s="2"/>
      <c r="D197" s="2"/>
      <c r="E197" s="2"/>
      <c r="F197" s="2"/>
      <c r="G197" s="2"/>
      <c r="H197" s="2"/>
      <c r="I197" s="11"/>
      <c r="J197" s="11"/>
      <c r="K197" s="2"/>
      <c r="L197" s="24"/>
      <c r="M197" s="24"/>
      <c r="N197" s="24"/>
      <c r="O197" s="24"/>
    </row>
    <row r="198" spans="1:15" ht="15.75" customHeight="1">
      <c r="A198" s="22">
        <v>14</v>
      </c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2:15" ht="15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1" t="s">
        <v>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B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I202" s="2"/>
      <c r="J202" s="2"/>
      <c r="K202" s="2"/>
      <c r="L202" s="24"/>
      <c r="M202" s="24"/>
      <c r="N202" s="24"/>
      <c r="O202" s="24"/>
    </row>
    <row r="203" spans="1:15" ht="15.75" customHeight="1">
      <c r="A203" s="2"/>
      <c r="B203" s="2"/>
      <c r="I203" s="2"/>
      <c r="J203" s="2"/>
      <c r="K203" s="2"/>
      <c r="L203" s="24"/>
      <c r="M203" s="24"/>
      <c r="N203" s="24"/>
      <c r="O203" s="24"/>
    </row>
    <row r="204" spans="2:15" ht="15.75" customHeight="1">
      <c r="B204" s="2"/>
      <c r="C204" s="2"/>
      <c r="D204" s="2"/>
      <c r="E204" s="2"/>
      <c r="F204" s="2"/>
      <c r="G204" s="2"/>
      <c r="H204" s="2"/>
      <c r="I204" s="24"/>
      <c r="J204" s="24"/>
      <c r="K204" s="2"/>
      <c r="L204" s="24"/>
      <c r="M204" s="24"/>
      <c r="N204" s="24"/>
      <c r="O204" s="24"/>
    </row>
    <row r="205" spans="2:15" ht="15.75" customHeight="1">
      <c r="B205" s="2"/>
      <c r="C205" s="2"/>
      <c r="D205" s="2"/>
      <c r="E205" s="2"/>
      <c r="F205" s="2"/>
      <c r="G205" s="2"/>
      <c r="H205" s="2"/>
      <c r="I205" s="24"/>
      <c r="J205" s="24"/>
      <c r="K205" s="2"/>
      <c r="L205" s="24"/>
      <c r="M205" s="24"/>
      <c r="N205" s="24"/>
      <c r="O205" s="24"/>
    </row>
    <row r="206" spans="2:10" ht="15.75" customHeight="1">
      <c r="B206" s="2"/>
      <c r="C206" s="2"/>
      <c r="D206" s="2"/>
      <c r="E206" s="2"/>
      <c r="F206" s="2"/>
      <c r="G206" s="2"/>
      <c r="H206" s="2"/>
      <c r="I206" s="24"/>
      <c r="J206" s="24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4"/>
      <c r="J207" s="24"/>
    </row>
    <row r="208" spans="1:10" ht="15.75" customHeight="1">
      <c r="A208" s="2"/>
      <c r="B208" s="2"/>
      <c r="C208" s="2"/>
      <c r="D208" s="2"/>
      <c r="E208" s="2"/>
      <c r="F208" s="2"/>
      <c r="G208" s="2"/>
      <c r="H208" s="2"/>
      <c r="I208" s="24"/>
      <c r="J208" s="24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I213" s="2"/>
      <c r="J213" s="2"/>
      <c r="K213" s="2"/>
    </row>
    <row r="214" spans="1:11" ht="15.75" customHeight="1">
      <c r="A214" s="2"/>
      <c r="B214" s="2"/>
      <c r="I214" s="2"/>
      <c r="J214" s="2"/>
      <c r="K214" s="2"/>
    </row>
    <row r="215" spans="2:11" ht="15.75" customHeight="1">
      <c r="B215" s="2"/>
      <c r="I215" s="2"/>
      <c r="J215" s="2"/>
      <c r="K215" s="2"/>
    </row>
    <row r="216" spans="9:11" ht="15.75" customHeight="1">
      <c r="I216" s="2"/>
      <c r="J216" s="2"/>
      <c r="K216" s="2"/>
    </row>
    <row r="217" spans="9:10" ht="15.75" customHeight="1">
      <c r="I217" s="2"/>
      <c r="J217" s="2"/>
    </row>
    <row r="218" spans="1:10" ht="15.75" customHeight="1">
      <c r="A218" s="2"/>
      <c r="I218" s="2"/>
      <c r="J218" s="2"/>
    </row>
    <row r="219" ht="15.75" customHeight="1">
      <c r="A219" s="2"/>
    </row>
    <row r="220" ht="15.75" customHeight="1"/>
    <row r="221" ht="15.75" customHeight="1"/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spans="9:10" ht="15.75" customHeight="1">
      <c r="I229" s="2"/>
      <c r="J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>
      <c r="B235" s="2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>
      <c r="F398" s="38"/>
    </row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</sheetData>
  <printOptions horizontalCentered="1"/>
  <pageMargins left="0" right="0" top="0.75" bottom="0" header="0.5" footer="0"/>
  <pageSetup horizontalDpi="300" verticalDpi="300" orientation="portrait" paperSize="9" scale="65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3" t="s">
        <v>5</v>
      </c>
      <c r="B1" s="63"/>
      <c r="C1" s="63"/>
      <c r="D1" s="63"/>
      <c r="E1" s="63"/>
    </row>
    <row r="2" spans="1:5" ht="15.75">
      <c r="A2" s="63" t="s">
        <v>6</v>
      </c>
      <c r="B2" s="63"/>
      <c r="C2" s="63"/>
      <c r="D2" s="63"/>
      <c r="E2" s="63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3" t="s">
        <v>160</v>
      </c>
      <c r="B4" s="63"/>
      <c r="C4" s="63"/>
      <c r="D4" s="63"/>
      <c r="E4" s="63"/>
    </row>
    <row r="5" spans="1:5" ht="15.75">
      <c r="A5" s="63" t="s">
        <v>66</v>
      </c>
      <c r="B5" s="63"/>
      <c r="C5" s="63"/>
      <c r="D5" s="63"/>
      <c r="E5" s="63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159</v>
      </c>
      <c r="D13" s="2"/>
      <c r="E13" s="50" t="s">
        <v>139</v>
      </c>
    </row>
    <row r="14" spans="1:5" ht="15.75">
      <c r="A14" s="30"/>
      <c r="B14" s="2"/>
      <c r="C14" s="4">
        <v>2005</v>
      </c>
      <c r="D14" s="2"/>
      <c r="E14" s="4">
        <v>2004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78667.223+8147.556</f>
        <v>86814.779</v>
      </c>
      <c r="D17" s="17"/>
      <c r="E17" s="17">
        <v>122686.262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v>14415.043</v>
      </c>
      <c r="D19" s="17"/>
      <c r="E19" s="17">
        <v>20360.156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133</v>
      </c>
      <c r="B21" s="2"/>
      <c r="C21" s="17">
        <f>4321.63+8.882</f>
        <v>4330.512</v>
      </c>
      <c r="D21" s="17"/>
      <c r="E21" s="17">
        <v>4330.512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25881.885</v>
      </c>
      <c r="D24" s="17"/>
      <c r="E24" s="17">
        <v>25885.688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123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60891.267-C39</f>
        <v>60891.267</v>
      </c>
      <c r="D27" s="17"/>
      <c r="E27" s="17">
        <f>58704.456-E39</f>
        <v>58704.456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f>19343.992-0.4</f>
        <v>19343.591999999997</v>
      </c>
      <c r="D29" s="17"/>
      <c r="E29" s="17">
        <v>20443.229</v>
      </c>
    </row>
    <row r="30" spans="1:5" ht="15.75">
      <c r="A30" s="30"/>
      <c r="B30" s="2"/>
      <c r="C30" s="17" t="s">
        <v>0</v>
      </c>
      <c r="D30" s="17"/>
      <c r="E30" s="17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128</v>
      </c>
      <c r="B34" s="2"/>
      <c r="C34" s="44">
        <v>43993.53</v>
      </c>
      <c r="D34" s="17"/>
      <c r="E34" s="44">
        <f>53094.403+0.5</f>
        <v>53094.903</v>
      </c>
    </row>
    <row r="35" spans="1:5" ht="15.75">
      <c r="A35" s="30" t="s">
        <v>22</v>
      </c>
      <c r="B35" s="2"/>
      <c r="C35" s="45">
        <v>36282.344</v>
      </c>
      <c r="D35" s="17"/>
      <c r="E35" s="45">
        <v>45139.738</v>
      </c>
    </row>
    <row r="36" spans="1:5" ht="15.75">
      <c r="A36" s="30" t="s">
        <v>33</v>
      </c>
      <c r="B36" s="2"/>
      <c r="C36" s="45">
        <v>35678.088</v>
      </c>
      <c r="D36" s="17"/>
      <c r="E36" s="45">
        <v>48848.367</v>
      </c>
    </row>
    <row r="37" spans="1:5" ht="15.75">
      <c r="A37" s="30" t="s">
        <v>130</v>
      </c>
      <c r="B37" s="2"/>
      <c r="C37" s="45">
        <f>38988.223+2.8+2.819</f>
        <v>38993.842000000004</v>
      </c>
      <c r="D37" s="17"/>
      <c r="E37" s="45">
        <v>32304.495</v>
      </c>
    </row>
    <row r="38" spans="1:5" ht="15.75">
      <c r="A38" s="30" t="s">
        <v>46</v>
      </c>
      <c r="B38" s="2"/>
      <c r="C38" s="45">
        <v>1739.033</v>
      </c>
      <c r="D38" s="17"/>
      <c r="E38" s="45">
        <v>1856.283</v>
      </c>
    </row>
    <row r="39" spans="1:5" ht="15.75" hidden="1">
      <c r="A39" s="30" t="s">
        <v>47</v>
      </c>
      <c r="B39" s="2"/>
      <c r="C39" s="45">
        <v>0</v>
      </c>
      <c r="D39" s="17"/>
      <c r="E39" s="45">
        <v>0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129</v>
      </c>
      <c r="B41" s="2"/>
      <c r="C41" s="45">
        <v>925.901</v>
      </c>
      <c r="D41" s="17"/>
      <c r="E41" s="45">
        <v>900.05</v>
      </c>
    </row>
    <row r="42" spans="1:5" ht="15.75">
      <c r="A42" s="30" t="s">
        <v>131</v>
      </c>
      <c r="B42" s="2"/>
      <c r="C42" s="45">
        <v>19317.128</v>
      </c>
      <c r="D42" s="17"/>
      <c r="E42" s="45">
        <v>16036.522</v>
      </c>
    </row>
    <row r="43" spans="1:5" ht="15.75">
      <c r="A43" s="30" t="s">
        <v>23</v>
      </c>
      <c r="B43" s="2"/>
      <c r="C43" s="45">
        <v>20089.498</v>
      </c>
      <c r="D43" s="17"/>
      <c r="E43" s="45">
        <v>14945.487</v>
      </c>
    </row>
    <row r="44" spans="1:5" ht="15.75">
      <c r="A44" s="30"/>
      <c r="B44" s="2"/>
      <c r="C44" s="46">
        <f>SUM(C34:C43)</f>
        <v>197019.364</v>
      </c>
      <c r="D44" s="17"/>
      <c r="E44" s="46">
        <f>SUM(E34:E43)-0.5</f>
        <v>213125.34499999997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126</v>
      </c>
      <c r="B47" s="2"/>
      <c r="C47" s="44">
        <v>87118.427</v>
      </c>
      <c r="D47" s="17"/>
      <c r="E47" s="44">
        <v>107868.373</v>
      </c>
    </row>
    <row r="48" spans="1:5" ht="15.75">
      <c r="A48" s="30" t="s">
        <v>25</v>
      </c>
      <c r="B48" s="2"/>
      <c r="C48" s="45">
        <v>30681.09</v>
      </c>
      <c r="D48" s="17"/>
      <c r="E48" s="45">
        <v>42931.579</v>
      </c>
    </row>
    <row r="49" spans="1:5" ht="15.75">
      <c r="A49" s="30" t="s">
        <v>149</v>
      </c>
      <c r="B49" s="2"/>
      <c r="C49" s="45">
        <v>35328.858</v>
      </c>
      <c r="D49" s="17"/>
      <c r="E49" s="45">
        <v>47512.263</v>
      </c>
    </row>
    <row r="50" spans="1:5" ht="15.75">
      <c r="A50" s="30" t="s">
        <v>124</v>
      </c>
      <c r="B50" s="2"/>
      <c r="C50" s="45">
        <f>17747.568+0.5</f>
        <v>17748.068</v>
      </c>
      <c r="D50" s="17"/>
      <c r="E50" s="45">
        <v>18758.403</v>
      </c>
    </row>
    <row r="51" spans="1:5" ht="15.75">
      <c r="A51" s="30" t="s">
        <v>48</v>
      </c>
      <c r="B51" s="2"/>
      <c r="C51" s="45">
        <v>22.416</v>
      </c>
      <c r="D51" s="17"/>
      <c r="E51" s="45">
        <v>40.198</v>
      </c>
    </row>
    <row r="52" spans="1:5" ht="15.75">
      <c r="A52" s="30" t="s">
        <v>150</v>
      </c>
      <c r="B52" s="2"/>
      <c r="C52" s="45">
        <v>157.898</v>
      </c>
      <c r="D52" s="17"/>
      <c r="E52" s="45">
        <v>153.489</v>
      </c>
    </row>
    <row r="53" spans="1:5" ht="15.75">
      <c r="A53" s="30" t="s">
        <v>52</v>
      </c>
      <c r="B53" s="2"/>
      <c r="C53" s="45">
        <f>85.563+0.7</f>
        <v>86.263</v>
      </c>
      <c r="D53" s="17"/>
      <c r="E53" s="45">
        <v>175.086</v>
      </c>
    </row>
    <row r="54" spans="1:5" ht="15.75">
      <c r="A54" s="30" t="s">
        <v>125</v>
      </c>
      <c r="B54" s="2"/>
      <c r="C54" s="45">
        <v>2909.716</v>
      </c>
      <c r="D54" s="17"/>
      <c r="E54" s="45">
        <v>1764.685</v>
      </c>
    </row>
    <row r="55" spans="1:5" ht="15.75">
      <c r="A55" s="30" t="s">
        <v>26</v>
      </c>
      <c r="B55" s="2"/>
      <c r="C55" s="45">
        <v>4631.826</v>
      </c>
      <c r="D55" s="17"/>
      <c r="E55" s="45">
        <v>4960.51</v>
      </c>
    </row>
    <row r="56" spans="1:5" ht="15.75">
      <c r="A56" s="30"/>
      <c r="B56" s="2"/>
      <c r="C56" s="46">
        <f>SUM(C47:C55)-1</f>
        <v>178683.56199999998</v>
      </c>
      <c r="D56" s="17"/>
      <c r="E56" s="46">
        <f>SUM(E47:E55)-0.5</f>
        <v>224164.086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C44-C56-0.5</f>
        <v>18335.302000000025</v>
      </c>
      <c r="D58" s="17"/>
      <c r="E58" s="17">
        <f>E44-E56-0.1</f>
        <v>-11038.841000000039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SUM(C17:C31)+C58+1</f>
        <v>230013.38000000003</v>
      </c>
      <c r="D60" s="17"/>
      <c r="E60" s="31">
        <f>SUM(E17:E31)+E58</f>
        <v>241371.46199999994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3003.809</v>
      </c>
      <c r="D66" s="17"/>
      <c r="E66" s="17">
        <v>5778.159</v>
      </c>
    </row>
    <row r="67" spans="1:5" ht="15.75">
      <c r="A67" s="30" t="s">
        <v>37</v>
      </c>
      <c r="B67" s="2"/>
      <c r="C67" s="17">
        <f>21521.487+0.5</f>
        <v>21521.987</v>
      </c>
      <c r="D67" s="17"/>
      <c r="E67" s="17">
        <v>20706.25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132</v>
      </c>
      <c r="B69" s="2"/>
      <c r="C69" s="17">
        <v>-75306.601</v>
      </c>
      <c r="D69" s="17"/>
      <c r="E69" s="17">
        <v>-66210.294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SUM(C63:C70)-1</f>
        <v>98796.62100000001</v>
      </c>
      <c r="D71" s="17"/>
      <c r="E71" s="17">
        <f>SUM(E63:E70)-1</f>
        <v>109851.54100000003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30232.657</v>
      </c>
      <c r="D73" s="17"/>
      <c r="E73" s="17">
        <v>36570.164</v>
      </c>
    </row>
    <row r="74" spans="1:5" ht="15.75">
      <c r="A74" s="30" t="s">
        <v>137</v>
      </c>
      <c r="B74" s="2"/>
      <c r="C74" s="17">
        <v>6929.198</v>
      </c>
      <c r="D74" s="17"/>
      <c r="E74" s="17">
        <v>6688.26</v>
      </c>
    </row>
    <row r="75" spans="1:5" ht="15.75">
      <c r="A75" s="30" t="s">
        <v>31</v>
      </c>
      <c r="B75" s="2"/>
      <c r="C75" s="17">
        <v>93772.914</v>
      </c>
      <c r="D75" s="17"/>
      <c r="E75" s="17">
        <v>87978.505</v>
      </c>
    </row>
    <row r="76" spans="1:5" ht="15.75">
      <c r="A76" s="30" t="s">
        <v>127</v>
      </c>
      <c r="B76" s="2"/>
      <c r="C76" s="17">
        <v>223.103</v>
      </c>
      <c r="D76" s="17"/>
      <c r="E76" s="17">
        <v>223.103</v>
      </c>
    </row>
    <row r="77" spans="1:5" ht="15.75">
      <c r="A77" s="30" t="s">
        <v>38</v>
      </c>
      <c r="B77" s="2"/>
      <c r="C77" s="17">
        <f>58.489</f>
        <v>58.489</v>
      </c>
      <c r="D77" s="17"/>
      <c r="E77" s="17">
        <f>58.489+0.5</f>
        <v>58.989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230012.98200000002</v>
      </c>
      <c r="D79" s="17"/>
      <c r="E79" s="31">
        <f>SUM(E71:E78)</f>
        <v>241370.56200000003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0.6621085750000001</v>
      </c>
      <c r="D81" s="2"/>
      <c r="E81" s="16">
        <f>(E71-E29-E31)/E63</f>
        <v>0.745069266666667</v>
      </c>
    </row>
    <row r="82" spans="1:5" ht="15.75">
      <c r="A82" s="30" t="s">
        <v>0</v>
      </c>
      <c r="B82" s="42"/>
      <c r="C82" s="29" t="s">
        <v>0</v>
      </c>
      <c r="D82" s="2"/>
      <c r="E82" s="2" t="s">
        <v>0</v>
      </c>
    </row>
    <row r="83" spans="1:5" ht="15.75">
      <c r="A83" s="30"/>
      <c r="B83" s="42"/>
      <c r="C83" s="29" t="s">
        <v>0</v>
      </c>
      <c r="D83" s="2"/>
      <c r="E83" s="2" t="s">
        <v>0</v>
      </c>
    </row>
    <row r="84" spans="1:5" ht="16.5">
      <c r="A84" s="54" t="s">
        <v>165</v>
      </c>
      <c r="B84" s="35"/>
      <c r="C84" s="35"/>
      <c r="D84" s="2"/>
      <c r="E84" s="2"/>
    </row>
    <row r="85" spans="1:5" ht="16.5">
      <c r="A85" s="54" t="s">
        <v>155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3" t="s">
        <v>5</v>
      </c>
      <c r="B1" s="63"/>
      <c r="C1" s="63"/>
      <c r="D1" s="63"/>
      <c r="E1" s="63"/>
      <c r="F1" s="63"/>
      <c r="G1" s="63"/>
    </row>
    <row r="2" spans="1:7" ht="15.75">
      <c r="A2" s="63" t="s">
        <v>6</v>
      </c>
      <c r="B2" s="63"/>
      <c r="C2" s="63"/>
      <c r="D2" s="63"/>
      <c r="E2" s="63"/>
      <c r="F2" s="63"/>
      <c r="G2" s="63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3" t="s">
        <v>160</v>
      </c>
      <c r="B6" s="63"/>
      <c r="C6" s="63"/>
      <c r="D6" s="63"/>
      <c r="E6" s="63"/>
      <c r="F6" s="63"/>
      <c r="G6" s="63"/>
    </row>
    <row r="7" spans="1:7" ht="15.75">
      <c r="A7" s="63" t="s">
        <v>63</v>
      </c>
      <c r="B7" s="63"/>
      <c r="C7" s="63"/>
      <c r="D7" s="63"/>
      <c r="E7" s="63"/>
      <c r="F7" s="63"/>
      <c r="G7" s="63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109</v>
      </c>
      <c r="F13" s="2"/>
      <c r="G13" s="9" t="s">
        <v>109</v>
      </c>
    </row>
    <row r="14" spans="1:7" ht="15.75">
      <c r="A14" s="30"/>
      <c r="B14" s="35"/>
      <c r="C14" s="2"/>
      <c r="D14" s="2"/>
      <c r="E14" s="50" t="s">
        <v>159</v>
      </c>
      <c r="F14" s="2"/>
      <c r="G14" s="50" t="s">
        <v>159</v>
      </c>
    </row>
    <row r="15" spans="1:7" ht="15.75">
      <c r="A15" s="30"/>
      <c r="B15" s="35"/>
      <c r="C15" s="2"/>
      <c r="D15" s="2"/>
      <c r="E15" s="4">
        <v>2005</v>
      </c>
      <c r="F15" s="2"/>
      <c r="G15" s="4">
        <v>2004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'P&amp;L'!I32</f>
        <v>-17119.869340576883</v>
      </c>
      <c r="F18" s="2"/>
      <c r="G18" s="57">
        <v>-11357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107</v>
      </c>
      <c r="B20" s="35"/>
      <c r="C20" s="2"/>
      <c r="D20" s="2"/>
      <c r="E20" s="2" t="s">
        <v>0</v>
      </c>
      <c r="F20" s="2"/>
      <c r="G20" s="2"/>
    </row>
    <row r="21" spans="1:7" ht="16.5">
      <c r="A21" s="53" t="s">
        <v>108</v>
      </c>
      <c r="B21" s="35"/>
      <c r="C21" s="2"/>
      <c r="D21" s="2"/>
      <c r="E21" s="17">
        <v>8271</v>
      </c>
      <c r="F21" s="17"/>
      <c r="G21" s="17">
        <v>7972</v>
      </c>
    </row>
    <row r="22" spans="1:7" ht="16.5">
      <c r="A22" s="53" t="s">
        <v>73</v>
      </c>
      <c r="B22" s="35"/>
      <c r="C22" s="2"/>
      <c r="D22" s="2"/>
      <c r="E22" s="17">
        <v>12189</v>
      </c>
      <c r="F22" s="17"/>
      <c r="G22" s="17">
        <v>8978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148</v>
      </c>
      <c r="B24" s="35"/>
      <c r="C24" s="2"/>
      <c r="D24" s="2"/>
      <c r="E24" s="57">
        <f>SUM(E18:E22)</f>
        <v>3340.1306594231173</v>
      </c>
      <c r="F24" s="17"/>
      <c r="G24" s="57">
        <f>SUM(G18:G22)</f>
        <v>5593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23264</v>
      </c>
      <c r="F27" s="17"/>
      <c r="G27" s="17">
        <v>639</v>
      </c>
    </row>
    <row r="28" spans="1:7" ht="16.5">
      <c r="A28" s="53" t="s">
        <v>72</v>
      </c>
      <c r="B28" s="35"/>
      <c r="C28" s="2"/>
      <c r="D28" s="2"/>
      <c r="E28" s="17">
        <v>-25674</v>
      </c>
      <c r="F28" s="17"/>
      <c r="G28" s="17">
        <v>7023</v>
      </c>
    </row>
    <row r="29" spans="1:7" ht="16.5">
      <c r="A29" s="53" t="s">
        <v>78</v>
      </c>
      <c r="B29" s="35"/>
      <c r="C29" s="2"/>
      <c r="D29" s="2"/>
      <c r="E29" s="17">
        <v>1849</v>
      </c>
      <c r="F29" s="17"/>
      <c r="G29" s="17">
        <v>1363</v>
      </c>
    </row>
    <row r="30" spans="1:7" ht="16.5" hidden="1">
      <c r="A30" s="53" t="s">
        <v>143</v>
      </c>
      <c r="B30" s="35"/>
      <c r="C30" s="2"/>
      <c r="D30" s="2"/>
      <c r="E30" s="17">
        <v>0</v>
      </c>
      <c r="F30" s="17"/>
      <c r="G30" s="17">
        <v>0</v>
      </c>
    </row>
    <row r="31" spans="1:7" ht="16.5">
      <c r="A31" s="53" t="s">
        <v>77</v>
      </c>
      <c r="B31" s="35"/>
      <c r="C31" s="2"/>
      <c r="D31" s="2"/>
      <c r="E31" s="17">
        <v>-3088</v>
      </c>
      <c r="F31" s="17"/>
      <c r="G31" s="17">
        <v>-3057</v>
      </c>
    </row>
    <row r="32" spans="1:9" ht="16.5">
      <c r="A32" s="53" t="s">
        <v>79</v>
      </c>
      <c r="B32" s="35"/>
      <c r="C32" s="2"/>
      <c r="D32" s="2"/>
      <c r="E32" s="17">
        <v>-1956</v>
      </c>
      <c r="F32" s="17"/>
      <c r="G32" s="17">
        <v>-1847</v>
      </c>
      <c r="I32" s="43"/>
    </row>
    <row r="33" spans="1:7" ht="15.75" hidden="1">
      <c r="A33" s="2" t="s">
        <v>153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 t="s">
        <v>0</v>
      </c>
    </row>
    <row r="35" spans="1:7" ht="15.75">
      <c r="A35" s="30" t="s">
        <v>69</v>
      </c>
      <c r="B35" s="35"/>
      <c r="C35" s="2"/>
      <c r="D35" s="2"/>
      <c r="E35" s="57">
        <f>SUM(E24:E33)</f>
        <v>-2264.8693405768827</v>
      </c>
      <c r="F35" s="17"/>
      <c r="G35" s="57">
        <f>SUM(G24:G33)</f>
        <v>9714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152</v>
      </c>
      <c r="B38" s="35"/>
      <c r="C38" s="2"/>
      <c r="D38" s="2"/>
      <c r="E38" s="17">
        <v>783</v>
      </c>
      <c r="F38" s="17"/>
      <c r="G38" s="17">
        <v>2313</v>
      </c>
    </row>
    <row r="39" spans="1:7" ht="15.75">
      <c r="A39" s="2" t="s">
        <v>120</v>
      </c>
      <c r="B39" s="35"/>
      <c r="C39" s="2"/>
      <c r="D39" s="2"/>
      <c r="E39" s="17">
        <v>386</v>
      </c>
      <c r="F39" s="17"/>
      <c r="G39" s="17">
        <v>262</v>
      </c>
    </row>
    <row r="40" spans="1:7" ht="15.75" hidden="1">
      <c r="A40" s="2" t="s">
        <v>138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138</v>
      </c>
      <c r="B41" s="35"/>
      <c r="C41" s="2"/>
      <c r="D41" s="2"/>
      <c r="E41" s="17">
        <v>500</v>
      </c>
      <c r="F41" s="17"/>
      <c r="G41" s="17">
        <v>1305</v>
      </c>
    </row>
    <row r="42" spans="1:7" ht="15.75" hidden="1">
      <c r="A42" s="2" t="s">
        <v>141</v>
      </c>
      <c r="B42" s="35"/>
      <c r="C42" s="2"/>
      <c r="D42" s="2"/>
      <c r="E42" s="17"/>
      <c r="F42" s="17"/>
      <c r="G42" s="17"/>
    </row>
    <row r="43" spans="1:7" ht="15.75">
      <c r="A43" s="2" t="s">
        <v>115</v>
      </c>
      <c r="B43" s="35"/>
      <c r="C43" s="2"/>
      <c r="D43" s="2"/>
      <c r="E43" s="17">
        <v>33348</v>
      </c>
      <c r="F43" s="17"/>
      <c r="G43" s="17">
        <v>2595</v>
      </c>
    </row>
    <row r="44" spans="1:7" ht="15.75" hidden="1">
      <c r="A44" s="2" t="s">
        <v>121</v>
      </c>
      <c r="B44" s="35"/>
      <c r="C44" s="2"/>
      <c r="D44" s="2"/>
      <c r="E44" s="17">
        <v>0</v>
      </c>
      <c r="F44" s="17"/>
      <c r="G44" s="17"/>
    </row>
    <row r="45" spans="1:7" ht="15.75">
      <c r="A45" s="2" t="s">
        <v>136</v>
      </c>
      <c r="B45" s="35"/>
      <c r="C45" s="2"/>
      <c r="D45" s="2"/>
      <c r="E45" s="17">
        <v>-830</v>
      </c>
      <c r="F45" s="17"/>
      <c r="G45" s="17">
        <v>-2957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116</v>
      </c>
      <c r="B47" s="35"/>
      <c r="C47" s="2"/>
      <c r="D47" s="2"/>
      <c r="E47" s="41">
        <f>SUM(E38:E46)</f>
        <v>34187</v>
      </c>
      <c r="F47" s="17"/>
      <c r="G47" s="41">
        <f>SUM(G38:G46)</f>
        <v>3518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-108</v>
      </c>
      <c r="F50" s="17"/>
      <c r="G50" s="17">
        <v>-10</v>
      </c>
    </row>
    <row r="51" spans="1:7" ht="15.75">
      <c r="A51" s="2" t="s">
        <v>111</v>
      </c>
      <c r="B51" s="35"/>
      <c r="C51" s="2"/>
      <c r="D51" s="2"/>
      <c r="E51" s="17">
        <v>65493</v>
      </c>
      <c r="F51" s="17"/>
      <c r="G51" s="17">
        <v>73837</v>
      </c>
    </row>
    <row r="52" spans="1:7" ht="15.75">
      <c r="A52" s="2" t="s">
        <v>140</v>
      </c>
      <c r="B52" s="35"/>
      <c r="C52" s="2"/>
      <c r="D52" s="2"/>
      <c r="E52" s="17">
        <v>-88786</v>
      </c>
      <c r="F52" s="17"/>
      <c r="G52" s="17">
        <v>-79319</v>
      </c>
    </row>
    <row r="53" spans="1:7" ht="15.75">
      <c r="A53" s="2" t="s">
        <v>114</v>
      </c>
      <c r="B53" s="35"/>
      <c r="C53" s="2"/>
      <c r="D53" s="2"/>
      <c r="E53" s="17">
        <v>-18</v>
      </c>
      <c r="F53" s="17"/>
      <c r="G53" s="17">
        <v>-7</v>
      </c>
    </row>
    <row r="54" spans="1:7" ht="15.75">
      <c r="A54" s="2" t="s">
        <v>76</v>
      </c>
      <c r="B54" s="35"/>
      <c r="C54" s="2"/>
      <c r="D54" s="2"/>
      <c r="E54" s="17">
        <v>-151</v>
      </c>
      <c r="F54" s="17"/>
      <c r="G54" s="17">
        <v>-189</v>
      </c>
    </row>
    <row r="55" spans="1:7" ht="15.75">
      <c r="A55" s="2" t="s">
        <v>77</v>
      </c>
      <c r="B55" s="35"/>
      <c r="C55" s="2"/>
      <c r="D55" s="2"/>
      <c r="E55" s="17">
        <v>-1769</v>
      </c>
      <c r="F55" s="17"/>
      <c r="G55" s="17">
        <v>-2169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-25339</v>
      </c>
      <c r="F57" s="17"/>
      <c r="G57" s="41">
        <f>SUM(G50:G56)</f>
        <v>-7857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6583.130659423117</v>
      </c>
      <c r="F59" s="17"/>
      <c r="G59" s="57">
        <f>G35+G47+G57</f>
        <v>5375</v>
      </c>
    </row>
    <row r="60" spans="1:7" ht="15.75">
      <c r="A60" s="2" t="s">
        <v>117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118</v>
      </c>
      <c r="B61" s="35"/>
      <c r="C61" s="2"/>
      <c r="D61" s="2"/>
      <c r="E61" s="17">
        <f>16851+266</f>
        <v>17117</v>
      </c>
      <c r="F61" s="17"/>
      <c r="G61" s="17">
        <v>16979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119</v>
      </c>
      <c r="B63" s="35"/>
      <c r="C63" s="2"/>
      <c r="D63" s="2"/>
      <c r="E63" s="59">
        <f>SUM(E59:E62)</f>
        <v>23700.130659423117</v>
      </c>
      <c r="F63" s="17"/>
      <c r="G63" s="61">
        <f>SUM(G59:G62)</f>
        <v>22354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97</v>
      </c>
      <c r="B66" s="35"/>
      <c r="C66" s="2"/>
      <c r="D66" s="2"/>
      <c r="E66" s="2"/>
      <c r="F66" s="17"/>
      <c r="G66" s="17"/>
    </row>
    <row r="67" spans="1:7" ht="15.75">
      <c r="A67" s="2" t="s">
        <v>98</v>
      </c>
      <c r="B67" s="35"/>
      <c r="C67" s="2"/>
      <c r="D67" s="2"/>
      <c r="E67" s="17">
        <v>20089</v>
      </c>
      <c r="F67" s="17"/>
      <c r="G67" s="17">
        <v>16573</v>
      </c>
    </row>
    <row r="68" spans="1:7" ht="15.75">
      <c r="A68" s="2" t="s">
        <v>99</v>
      </c>
      <c r="B68" s="35"/>
      <c r="C68" s="2"/>
      <c r="D68" s="2"/>
      <c r="E68" s="17">
        <v>19317</v>
      </c>
      <c r="F68" s="17"/>
      <c r="G68" s="17">
        <v>18678</v>
      </c>
    </row>
    <row r="69" spans="1:7" ht="15.75">
      <c r="A69" s="2" t="s">
        <v>100</v>
      </c>
      <c r="B69" s="35"/>
      <c r="C69" s="2"/>
      <c r="D69" s="2"/>
      <c r="E69" s="17">
        <v>-1827</v>
      </c>
      <c r="F69" s="17"/>
      <c r="G69" s="17">
        <v>-662</v>
      </c>
    </row>
    <row r="70" spans="1:7" ht="15.75">
      <c r="A70" s="2" t="s">
        <v>110</v>
      </c>
      <c r="B70" s="35"/>
      <c r="C70" s="2"/>
      <c r="D70" s="2"/>
      <c r="E70" s="18">
        <v>-1083</v>
      </c>
      <c r="F70" s="17"/>
      <c r="G70" s="18">
        <v>-1496</v>
      </c>
    </row>
    <row r="71" spans="1:7" ht="15.75">
      <c r="A71" s="2"/>
      <c r="B71" s="35"/>
      <c r="C71" s="2"/>
      <c r="D71" s="2"/>
      <c r="E71" s="17">
        <f>SUM(E67:E70)</f>
        <v>36496</v>
      </c>
      <c r="F71" s="17"/>
      <c r="G71" s="17">
        <f>SUM(G67:G70)</f>
        <v>33093</v>
      </c>
    </row>
    <row r="72" spans="1:7" ht="15.75">
      <c r="A72" s="2" t="s">
        <v>101</v>
      </c>
      <c r="B72" s="35"/>
      <c r="C72" s="2"/>
      <c r="D72" s="2"/>
      <c r="E72" s="17">
        <v>-12796</v>
      </c>
      <c r="F72" s="17"/>
      <c r="G72" s="17">
        <v>-10739</v>
      </c>
    </row>
    <row r="73" spans="1:7" ht="16.5" thickBot="1">
      <c r="A73" s="30" t="s">
        <v>117</v>
      </c>
      <c r="B73" s="35"/>
      <c r="C73" s="2"/>
      <c r="D73" s="2"/>
      <c r="E73" s="61">
        <f>SUM(E71:E72)</f>
        <v>23700</v>
      </c>
      <c r="F73" s="17"/>
      <c r="G73" s="61">
        <f>SUM(G71:G72)</f>
        <v>22354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90</v>
      </c>
      <c r="B77" s="35"/>
      <c r="C77" s="2"/>
      <c r="D77" s="2"/>
      <c r="E77" s="2"/>
      <c r="F77" s="2"/>
      <c r="G77" s="2"/>
    </row>
    <row r="78" spans="1:7" ht="15.75">
      <c r="A78" s="30" t="s">
        <v>155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/>
    </row>
    <row r="90" ht="16.5">
      <c r="A90" s="54"/>
    </row>
    <row r="91" ht="16.5">
      <c r="A91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42">
      <selection activeCell="A47" sqref="A47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7109375" style="0" customWidth="1"/>
    <col min="6" max="6" width="17.28125" style="0" customWidth="1"/>
    <col min="7" max="7" width="13.421875" style="0" hidden="1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3" t="s">
        <v>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3" t="s">
        <v>160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62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134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105</v>
      </c>
      <c r="H13" s="55" t="s">
        <v>135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 t="s">
        <v>0</v>
      </c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9" ht="15.75">
      <c r="A17" s="30" t="s">
        <v>161</v>
      </c>
      <c r="B17" s="35"/>
      <c r="C17" s="17">
        <v>120000</v>
      </c>
      <c r="D17" s="17">
        <v>29578.426</v>
      </c>
      <c r="E17" s="17">
        <v>5778.159</v>
      </c>
      <c r="F17" s="17">
        <v>20576.5</v>
      </c>
      <c r="G17" s="17">
        <v>0</v>
      </c>
      <c r="H17" s="17">
        <v>-57391</v>
      </c>
      <c r="I17" s="17">
        <f>SUM(C17:H17)</f>
        <v>118542.08500000002</v>
      </c>
    </row>
    <row r="18" spans="1:11" ht="15.75">
      <c r="A18" s="30"/>
      <c r="B18" s="35"/>
      <c r="C18" s="2"/>
      <c r="D18" s="2"/>
      <c r="E18" s="2"/>
      <c r="F18" s="17"/>
      <c r="G18" s="17"/>
      <c r="H18" s="17"/>
      <c r="I18" s="17"/>
      <c r="K18" s="43"/>
    </row>
    <row r="19" spans="1:9" ht="16.5">
      <c r="A19" s="53" t="s">
        <v>95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96</v>
      </c>
      <c r="B20" s="35"/>
      <c r="C20" s="2"/>
      <c r="D20" s="2"/>
      <c r="E20" s="2"/>
      <c r="F20" s="17">
        <v>97</v>
      </c>
      <c r="G20" s="17"/>
      <c r="H20" s="17"/>
      <c r="I20" s="17">
        <f>SUM(C20:H20)</f>
        <v>97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 hidden="1">
      <c r="A22" s="53" t="s">
        <v>151</v>
      </c>
      <c r="B22" s="35"/>
      <c r="C22" s="2"/>
      <c r="D22" s="2"/>
      <c r="E22" s="17">
        <v>0</v>
      </c>
      <c r="F22" s="13"/>
      <c r="G22" s="17">
        <v>0</v>
      </c>
      <c r="H22" s="17"/>
      <c r="I22" s="17">
        <f>SUM(C22:H22)</f>
        <v>0</v>
      </c>
    </row>
    <row r="23" spans="1:9" ht="15.75" hidden="1">
      <c r="A23" s="30"/>
      <c r="B23" s="35"/>
      <c r="C23" s="2"/>
      <c r="D23" s="2"/>
      <c r="E23" s="2"/>
      <c r="F23" s="17"/>
      <c r="G23" s="17"/>
      <c r="H23" s="17"/>
      <c r="I23" s="17"/>
    </row>
    <row r="24" spans="1:9" ht="15.75">
      <c r="A24" s="2" t="s">
        <v>154</v>
      </c>
      <c r="B24" s="35"/>
      <c r="C24" s="2"/>
      <c r="D24" s="13" t="s">
        <v>0</v>
      </c>
      <c r="E24" s="17" t="s">
        <v>0</v>
      </c>
      <c r="F24" s="17"/>
      <c r="G24" s="17"/>
      <c r="H24" s="17">
        <v>74</v>
      </c>
      <c r="I24" s="17">
        <f>SUM(C24:H24)</f>
        <v>74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9" ht="16.5" thickBot="1">
      <c r="A26" s="30" t="s">
        <v>162</v>
      </c>
      <c r="B26" s="35"/>
      <c r="C26" s="14">
        <f aca="true" t="shared" si="0" ref="C26:H26">SUM(C17:C25)</f>
        <v>120000</v>
      </c>
      <c r="D26" s="14">
        <f t="shared" si="0"/>
        <v>29578.426</v>
      </c>
      <c r="E26" s="14">
        <f t="shared" si="0"/>
        <v>5778.159</v>
      </c>
      <c r="F26" s="14">
        <f t="shared" si="0"/>
        <v>20673.5</v>
      </c>
      <c r="G26" s="14">
        <f t="shared" si="0"/>
        <v>0</v>
      </c>
      <c r="H26" s="14">
        <f t="shared" si="0"/>
        <v>-57317</v>
      </c>
      <c r="I26" s="14">
        <f>SUM(I17:I25)</f>
        <v>118713.08500000002</v>
      </c>
    </row>
    <row r="27" spans="1:8" ht="16.5" thickTop="1">
      <c r="A27" s="30"/>
      <c r="B27" s="35"/>
      <c r="C27" s="2"/>
      <c r="D27" s="2"/>
      <c r="E27" s="2"/>
      <c r="G27" s="24"/>
      <c r="H27" s="24"/>
    </row>
    <row r="28" spans="1:9" ht="15.75">
      <c r="A28" s="30"/>
      <c r="B28" s="35"/>
      <c r="C28" s="2"/>
      <c r="D28" s="2"/>
      <c r="F28" s="2"/>
      <c r="G28" s="24"/>
      <c r="H28" s="24"/>
      <c r="I28" t="s">
        <v>0</v>
      </c>
    </row>
    <row r="29" spans="1:9" ht="15.75">
      <c r="A29" s="30" t="s">
        <v>163</v>
      </c>
      <c r="B29" s="35"/>
      <c r="C29" s="17">
        <v>120000</v>
      </c>
      <c r="D29" s="17">
        <v>29578.426</v>
      </c>
      <c r="E29" s="17">
        <v>3003.8109999999997</v>
      </c>
      <c r="F29" s="17">
        <v>20672</v>
      </c>
      <c r="G29" s="17">
        <v>0</v>
      </c>
      <c r="H29" s="17">
        <v>-71645</v>
      </c>
      <c r="I29" s="17">
        <f>SUM(C29:H29)</f>
        <v>101609.237</v>
      </c>
    </row>
    <row r="30" spans="1:8" ht="15.75">
      <c r="A30" s="30"/>
      <c r="B30" s="35"/>
      <c r="C30" s="2"/>
      <c r="D30" s="2"/>
      <c r="F30" s="2"/>
      <c r="G30" s="24"/>
      <c r="H30" s="24"/>
    </row>
    <row r="31" spans="1:8" ht="16.5">
      <c r="A31" s="53" t="s">
        <v>95</v>
      </c>
      <c r="B31" s="35"/>
      <c r="C31" s="17" t="s">
        <v>0</v>
      </c>
      <c r="D31" s="2"/>
      <c r="F31" s="17" t="s">
        <v>0</v>
      </c>
      <c r="G31" s="24"/>
      <c r="H31" s="24"/>
    </row>
    <row r="32" spans="1:9" ht="16.5">
      <c r="A32" s="53" t="s">
        <v>96</v>
      </c>
      <c r="B32" s="35"/>
      <c r="C32" s="2"/>
      <c r="D32" s="2"/>
      <c r="F32" s="17">
        <f>21521.487-20672.028+1</f>
        <v>850.4590000000026</v>
      </c>
      <c r="G32" s="24"/>
      <c r="H32" s="24"/>
      <c r="I32" s="17">
        <f>SUM(C32:H32)</f>
        <v>850.4590000000026</v>
      </c>
    </row>
    <row r="33" spans="1:8" ht="15.75">
      <c r="A33" s="30"/>
      <c r="B33" s="35"/>
      <c r="C33" s="2"/>
      <c r="D33" s="13" t="s">
        <v>0</v>
      </c>
      <c r="F33" s="17" t="s">
        <v>0</v>
      </c>
      <c r="G33" s="24"/>
      <c r="H33" s="24"/>
    </row>
    <row r="34" spans="1:9" ht="15.75" hidden="1">
      <c r="A34" s="2" t="s">
        <v>158</v>
      </c>
      <c r="B34" s="35"/>
      <c r="C34" s="2"/>
      <c r="D34" s="13"/>
      <c r="E34" s="17">
        <v>0</v>
      </c>
      <c r="F34" s="17"/>
      <c r="G34" s="17">
        <v>0</v>
      </c>
      <c r="H34" s="17">
        <v>0</v>
      </c>
      <c r="I34" s="17">
        <f>SUM(C34:H34)</f>
        <v>0</v>
      </c>
    </row>
    <row r="35" spans="1:8" ht="15.75" hidden="1">
      <c r="A35" s="30"/>
      <c r="B35" s="35"/>
      <c r="C35" s="2"/>
      <c r="D35" s="13"/>
      <c r="F35" s="17"/>
      <c r="G35" s="24"/>
      <c r="H35" s="24"/>
    </row>
    <row r="36" spans="1:9" ht="15.75" hidden="1">
      <c r="A36" s="2" t="s">
        <v>151</v>
      </c>
      <c r="B36" s="35"/>
      <c r="C36" s="2"/>
      <c r="D36" s="13"/>
      <c r="E36" s="17">
        <v>0</v>
      </c>
      <c r="F36" s="17"/>
      <c r="G36" s="17">
        <v>0</v>
      </c>
      <c r="H36" s="17">
        <v>0</v>
      </c>
      <c r="I36" s="17">
        <f>SUM(C36:H36)</f>
        <v>0</v>
      </c>
    </row>
    <row r="37" spans="1:8" ht="15.75" hidden="1">
      <c r="A37" s="30"/>
      <c r="B37" s="35"/>
      <c r="C37" s="2"/>
      <c r="D37" s="13"/>
      <c r="F37" s="17"/>
      <c r="G37" s="24"/>
      <c r="H37" s="24"/>
    </row>
    <row r="38" spans="1:9" ht="15.75">
      <c r="A38" s="2" t="s">
        <v>91</v>
      </c>
      <c r="B38" s="35"/>
      <c r="C38" s="2"/>
      <c r="D38" s="2"/>
      <c r="F38" s="2"/>
      <c r="G38" s="24"/>
      <c r="H38" s="17">
        <f>'P&amp;L'!D42</f>
        <v>-3662</v>
      </c>
      <c r="I38" s="17">
        <f>SUM(C38:H38)</f>
        <v>-3662</v>
      </c>
    </row>
    <row r="39" spans="1:8" ht="15.75">
      <c r="A39" s="2"/>
      <c r="B39" s="35"/>
      <c r="C39" s="2"/>
      <c r="D39" s="2"/>
      <c r="F39" s="2"/>
      <c r="G39" s="24"/>
      <c r="H39" s="24"/>
    </row>
    <row r="40" spans="1:11" ht="16.5" thickBot="1">
      <c r="A40" s="30" t="s">
        <v>164</v>
      </c>
      <c r="B40" s="35"/>
      <c r="C40" s="14">
        <f aca="true" t="shared" si="1" ref="C40:H40">SUM(C29:C38)</f>
        <v>120000</v>
      </c>
      <c r="D40" s="14">
        <f t="shared" si="1"/>
        <v>29578.426</v>
      </c>
      <c r="E40" s="14">
        <f t="shared" si="1"/>
        <v>3003.8109999999997</v>
      </c>
      <c r="F40" s="14">
        <f t="shared" si="1"/>
        <v>21522.459000000003</v>
      </c>
      <c r="G40" s="14">
        <f t="shared" si="1"/>
        <v>0</v>
      </c>
      <c r="H40" s="14">
        <f t="shared" si="1"/>
        <v>-75307</v>
      </c>
      <c r="I40" s="14">
        <f>SUM(I29:I38)-1</f>
        <v>98796.696</v>
      </c>
      <c r="K40" s="1"/>
    </row>
    <row r="41" spans="1:9" ht="16.5" thickTop="1">
      <c r="A41" s="30"/>
      <c r="B41" s="35"/>
      <c r="C41" s="2"/>
      <c r="D41" s="2"/>
      <c r="F41" s="2"/>
      <c r="G41" s="24"/>
      <c r="H41" s="24"/>
      <c r="I41" t="s">
        <v>0</v>
      </c>
    </row>
    <row r="42" spans="1:9" ht="15.75">
      <c r="A42" s="30"/>
      <c r="B42" s="35"/>
      <c r="C42" s="2"/>
      <c r="D42" s="2"/>
      <c r="F42" s="2"/>
      <c r="G42" s="24"/>
      <c r="H42" s="24" t="s">
        <v>0</v>
      </c>
      <c r="I42" t="s">
        <v>0</v>
      </c>
    </row>
    <row r="43" spans="2:8" ht="15.75">
      <c r="B43" s="35"/>
      <c r="C43" s="2"/>
      <c r="D43" s="2"/>
      <c r="F43" s="2"/>
      <c r="G43" s="24"/>
      <c r="H43" s="24" t="s">
        <v>0</v>
      </c>
    </row>
    <row r="44" spans="2:8" ht="15.75">
      <c r="B44" s="35"/>
      <c r="C44" s="2"/>
      <c r="D44" s="2"/>
      <c r="F44" s="2"/>
      <c r="G44" s="24"/>
      <c r="H44" s="24"/>
    </row>
    <row r="45" spans="1:8" ht="15.75">
      <c r="A45" s="30"/>
      <c r="B45" s="35"/>
      <c r="C45" s="2"/>
      <c r="D45" s="2"/>
      <c r="F45" s="2"/>
      <c r="G45" s="24"/>
      <c r="H45" s="24"/>
    </row>
    <row r="46" spans="1:8" ht="15.75">
      <c r="A46" s="30"/>
      <c r="B46" s="35"/>
      <c r="C46" s="2"/>
      <c r="D46" s="2"/>
      <c r="F46" s="2"/>
      <c r="G46" s="24"/>
      <c r="H46" s="24"/>
    </row>
    <row r="47" spans="1:8" ht="15.75">
      <c r="A47" s="30"/>
      <c r="B47" s="35"/>
      <c r="C47" s="2"/>
      <c r="D47" s="2"/>
      <c r="F47" s="2"/>
      <c r="G47" s="24"/>
      <c r="H47" s="24"/>
    </row>
    <row r="48" spans="1:8" ht="15.75">
      <c r="A48" s="30"/>
      <c r="B48" s="35"/>
      <c r="C48" s="2"/>
      <c r="D48" s="2"/>
      <c r="F48" s="2"/>
      <c r="G48" s="24"/>
      <c r="H48" s="24"/>
    </row>
    <row r="49" spans="1:8" ht="15.75">
      <c r="A49" s="30" t="s">
        <v>89</v>
      </c>
      <c r="B49" s="35"/>
      <c r="C49" s="2"/>
      <c r="D49" s="2"/>
      <c r="F49" s="2"/>
      <c r="G49" s="24"/>
      <c r="H49" s="24"/>
    </row>
    <row r="50" spans="1:8" ht="15.75">
      <c r="A50" s="30" t="s">
        <v>155</v>
      </c>
      <c r="B50" s="35"/>
      <c r="C50" s="2"/>
      <c r="D50" s="2"/>
      <c r="F50" s="2"/>
      <c r="G50" s="24"/>
      <c r="H50" s="24"/>
    </row>
    <row r="51" spans="1:8" ht="15.75">
      <c r="A51" s="30"/>
      <c r="B51" s="35"/>
      <c r="C51" s="2"/>
      <c r="D51" s="2"/>
      <c r="F51" s="2"/>
      <c r="G51" s="24"/>
      <c r="H51" s="24"/>
    </row>
    <row r="57" ht="16.5">
      <c r="A57" s="54"/>
    </row>
    <row r="58" ht="16.5">
      <c r="A58" s="54"/>
    </row>
    <row r="67" ht="16.5">
      <c r="A67" s="54" t="s">
        <v>122</v>
      </c>
    </row>
    <row r="68" ht="16.5">
      <c r="A68" s="54" t="s">
        <v>106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2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vivien</cp:lastModifiedBy>
  <cp:lastPrinted>2005-11-17T02:32:23Z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