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6735" tabRatio="660" activeTab="0"/>
  </bookViews>
  <sheets>
    <sheet name="Cover" sheetId="1" r:id="rId1"/>
    <sheet name="PL" sheetId="2" r:id="rId2"/>
    <sheet name="BS" sheetId="3" r:id="rId3"/>
    <sheet name="Equity" sheetId="4" r:id="rId4"/>
    <sheet name="CF" sheetId="5" r:id="rId5"/>
    <sheet name="NOTES-Part A" sheetId="6" r:id="rId6"/>
    <sheet name="Notes-Part B" sheetId="7" r:id="rId7"/>
  </sheets>
  <externalReferences>
    <externalReference r:id="rId10"/>
    <externalReference r:id="rId11"/>
    <externalReference r:id="rId12"/>
  </externalReferences>
  <definedNames>
    <definedName name="_xlnm.Print_Area" localSheetId="2">'BS'!$A$1:$C$65</definedName>
    <definedName name="_xlnm.Print_Area" localSheetId="4">'CF'!$A$1:$C$74</definedName>
    <definedName name="_xlnm.Print_Area" localSheetId="0">'Cover'!$A$1:$E$47</definedName>
    <definedName name="_xlnm.Print_Area" localSheetId="3">'Equity'!$A$1:$K$36</definedName>
    <definedName name="_xlnm.Print_Area" localSheetId="5">'NOTES-Part A'!$A$1:$I$79</definedName>
    <definedName name="_xlnm.Print_Area" localSheetId="6">'Notes-Part B'!$A$1:$G$103</definedName>
    <definedName name="_xlnm.Print_Titles" localSheetId="5">'NOTES-Part A'!$1:$4</definedName>
    <definedName name="_xlnm.Print_Titles" localSheetId="6">'Notes-Part B'!$1:$5</definedName>
  </definedNames>
  <calcPr fullCalcOnLoad="1"/>
</workbook>
</file>

<file path=xl/sharedStrings.xml><?xml version="1.0" encoding="utf-8"?>
<sst xmlns="http://schemas.openxmlformats.org/spreadsheetml/2006/main" count="458" uniqueCount="318">
  <si>
    <t>There were no corporate proposals announced.</t>
  </si>
  <si>
    <t>Current</t>
  </si>
  <si>
    <t>Non-current</t>
  </si>
  <si>
    <t>The currency exposure profile of bank borrowings is as follows:</t>
  </si>
  <si>
    <t xml:space="preserve">Basic Earnings Per Share </t>
  </si>
  <si>
    <t>Diluted Earnings Per Share</t>
  </si>
  <si>
    <t>RM'000</t>
  </si>
  <si>
    <t xml:space="preserve">Revenue </t>
  </si>
  <si>
    <t>Cost of sales</t>
  </si>
  <si>
    <t>Gross profit</t>
  </si>
  <si>
    <t>Property, plant and equipment</t>
  </si>
  <si>
    <t>Inventories</t>
  </si>
  <si>
    <t>Share Premium</t>
  </si>
  <si>
    <t>Others</t>
  </si>
  <si>
    <t>Total</t>
  </si>
  <si>
    <t>Secured</t>
  </si>
  <si>
    <t>Unsecured</t>
  </si>
  <si>
    <t>Basic earnings per share (sen)</t>
  </si>
  <si>
    <t>Earnings per share (sen)</t>
  </si>
  <si>
    <t xml:space="preserve">     Basic</t>
  </si>
  <si>
    <t xml:space="preserve">     Diluted</t>
  </si>
  <si>
    <t>Administration expenses</t>
  </si>
  <si>
    <t>Quoted investments</t>
  </si>
  <si>
    <t>Currency translation differences</t>
  </si>
  <si>
    <t>Segment Revenue</t>
  </si>
  <si>
    <t>Segment Results</t>
  </si>
  <si>
    <t>Capital Commitments</t>
  </si>
  <si>
    <t>Foreign tax</t>
  </si>
  <si>
    <t>Earnings Per Share</t>
  </si>
  <si>
    <t>Condensed Consolidated Income Statements</t>
  </si>
  <si>
    <t>Condensed Consolidated Statement of Changes in Equity</t>
  </si>
  <si>
    <t>Condensed Consolidated Cash Flow Statement</t>
  </si>
  <si>
    <t>Dividend per share (sen)</t>
  </si>
  <si>
    <t>Share capital</t>
  </si>
  <si>
    <t>Local currency</t>
  </si>
  <si>
    <t>RM equivalent</t>
  </si>
  <si>
    <t>(in '000)</t>
  </si>
  <si>
    <t>Deferred tax assets</t>
  </si>
  <si>
    <t>Deferred Tax</t>
  </si>
  <si>
    <t>Diluted earnings per share (sen)</t>
  </si>
  <si>
    <t>Weighted average no. of ordinary shares in issue ('000)</t>
  </si>
  <si>
    <t xml:space="preserve">    </t>
  </si>
  <si>
    <t>Exchange Fluctuation Reserve</t>
  </si>
  <si>
    <t>Retained Earnings</t>
  </si>
  <si>
    <t>Capital Reserve</t>
  </si>
  <si>
    <t>Healthcare</t>
  </si>
  <si>
    <t>Paper manufacturing</t>
  </si>
  <si>
    <t>Total Revenue</t>
  </si>
  <si>
    <t>Property investment and development, and hotels</t>
  </si>
  <si>
    <t>(i)</t>
  </si>
  <si>
    <t>(ii)</t>
  </si>
  <si>
    <t>Condensed Consolidated Balance Sheet</t>
  </si>
  <si>
    <t>Selling and distribution expenses</t>
  </si>
  <si>
    <t>Other income</t>
  </si>
  <si>
    <t>Profit before taxation</t>
  </si>
  <si>
    <t>Attributable to:</t>
  </si>
  <si>
    <t>Trade and other receivables</t>
  </si>
  <si>
    <t>Trade and other payables</t>
  </si>
  <si>
    <t>Finance costs</t>
  </si>
  <si>
    <t>Minority interests</t>
  </si>
  <si>
    <t>Segment Reporting</t>
  </si>
  <si>
    <t>Review of Performance</t>
  </si>
  <si>
    <t>Malaysian tax</t>
  </si>
  <si>
    <t>Current tax:</t>
  </si>
  <si>
    <t>Minority Interest</t>
  </si>
  <si>
    <t>Total Equity</t>
  </si>
  <si>
    <t>Cash and cash equivalents at end of the financial period comprise of the following:</t>
  </si>
  <si>
    <t>Deposits with licensed banks</t>
  </si>
  <si>
    <t>Cash and bank balances</t>
  </si>
  <si>
    <t>Less: Bank overdrafts</t>
  </si>
  <si>
    <t>Deferred tax liabilities</t>
  </si>
  <si>
    <t>Net assets per share attributable to ordinary equity holders of the Company</t>
  </si>
  <si>
    <t>Intangible assets</t>
  </si>
  <si>
    <t>Associates</t>
  </si>
  <si>
    <t>Non-current assets</t>
  </si>
  <si>
    <t>Current assets</t>
  </si>
  <si>
    <t>Amount due from an associate</t>
  </si>
  <si>
    <t>Tax recoverable</t>
  </si>
  <si>
    <t>Deposits, cash and bank balances</t>
  </si>
  <si>
    <t>Share of results of associates</t>
  </si>
  <si>
    <t>Taxation</t>
  </si>
  <si>
    <t>Equity holders of the Company</t>
  </si>
  <si>
    <t>Less: Current liabilities</t>
  </si>
  <si>
    <t>Deferred revenue</t>
  </si>
  <si>
    <t>Interest-bearing bank borrowings</t>
  </si>
  <si>
    <t>Current tax liabilities</t>
  </si>
  <si>
    <t>Net current assets</t>
  </si>
  <si>
    <t>Less: Non-current liabilities</t>
  </si>
  <si>
    <t>Hire-purchase and finance lease payables</t>
  </si>
  <si>
    <t>Capital and reserves attributable to equity holders of the Company</t>
  </si>
  <si>
    <t>Share premium</t>
  </si>
  <si>
    <t>Exchange fluctuation reserve</t>
  </si>
  <si>
    <t>Share option reserve</t>
  </si>
  <si>
    <t>Retained earnings</t>
  </si>
  <si>
    <t>Total equity</t>
  </si>
  <si>
    <t>Share Option Reserve</t>
  </si>
  <si>
    <t>Profit from operations</t>
  </si>
  <si>
    <t>Water treatment</t>
  </si>
  <si>
    <t>Attributable to equity holders of the Company</t>
  </si>
  <si>
    <t>Aquaculture</t>
  </si>
  <si>
    <t>Assets held-for-sale</t>
  </si>
  <si>
    <t>At 1 February 2008</t>
  </si>
  <si>
    <t>For diluted earnings per share of the Group, the weighted average number of ordinary shares in issue is adjusted to assume conversion of all dilutive potential ordinary shares. The Group has dilutive potential ordinary shares from share options granted to employees.</t>
  </si>
  <si>
    <t>Net profit attributable to ordinary equity holders of the Company (RM'000)</t>
  </si>
  <si>
    <t>Adjustments for exercise of ESOS ('000)</t>
  </si>
  <si>
    <t>Weighted average number of ordinary shares for diluted earnings per share ('000)</t>
  </si>
  <si>
    <t>Approved and contracted for:</t>
  </si>
  <si>
    <t xml:space="preserve"> - Property, plant and equipment</t>
  </si>
  <si>
    <t>At cost</t>
  </si>
  <si>
    <t xml:space="preserve">Information, communication and technology </t>
  </si>
  <si>
    <t>Share               Capital</t>
  </si>
  <si>
    <t>Less: Deposits pledged as securities for borrowings</t>
  </si>
  <si>
    <t>CONTENTS</t>
  </si>
  <si>
    <t>Net cash flow from operating activities</t>
  </si>
  <si>
    <t>Net profit for the financial year</t>
  </si>
  <si>
    <t>Issuance of shares arising from exercise of ESOS</t>
  </si>
  <si>
    <t>31.01.09</t>
  </si>
  <si>
    <t>Investment properties</t>
  </si>
  <si>
    <t>Prepaid leasehold rentals</t>
  </si>
  <si>
    <t>Unquoted investments</t>
  </si>
  <si>
    <t>Trade receivable</t>
  </si>
  <si>
    <t>Liabilities directly associated with assets held-for-sale</t>
  </si>
  <si>
    <t>Irredeemable Convertible Non-Cumulative Preference Shares</t>
  </si>
  <si>
    <t>Current Year</t>
  </si>
  <si>
    <t>Quarter</t>
  </si>
  <si>
    <t>Preceding Year</t>
  </si>
  <si>
    <t>To-Date</t>
  </si>
  <si>
    <t>The condensed consolidated income statements should be read in conjunction with the audited financial statements for the year ended 31 January 2009 and the accompanying explanatory notes attached to the interim financial statements.</t>
  </si>
  <si>
    <t>The condensed consolidated balance sheet should be read in conjunction with the audited financial statements for the year ended 31 January 2009 and the accompanying explanatory notes attached to the interim financial statements.</t>
  </si>
  <si>
    <t>The condensed consolidated statement of changes in equity should be read in conjunction with the audited financial statements for the year ended 31 January 2009 and the accompanying explanatory notes attached to the interim financial statements.</t>
  </si>
  <si>
    <t>The condensed consolidated cash flow statement should be read in conjunction with the audited financial statements for the year ended 31 January 2009 and the accompanying explanatory notes attached to the interim financial statements.</t>
  </si>
  <si>
    <t>Net cash flow used in investing activities</t>
  </si>
  <si>
    <t>Operating Activities</t>
  </si>
  <si>
    <t>Cash receipts from customers</t>
  </si>
  <si>
    <t>Cash paid to suppliers and employees</t>
  </si>
  <si>
    <t>Interests paid</t>
  </si>
  <si>
    <t>Interests received</t>
  </si>
  <si>
    <t>Investing Activities</t>
  </si>
  <si>
    <t>Additional investments in:</t>
  </si>
  <si>
    <t>- Associate</t>
  </si>
  <si>
    <t>Financing Activities</t>
  </si>
  <si>
    <t>Proceeds from issuance of shares arising from exercise of ESOS</t>
  </si>
  <si>
    <t>Proceeds from issuance of ICPS</t>
  </si>
  <si>
    <t>Payments of hire-purchase and finance lease liabilities</t>
  </si>
  <si>
    <t>Net cash flow from financing activities</t>
  </si>
  <si>
    <t>Cash and cash equivalents at beginning of the financial period</t>
  </si>
  <si>
    <t>Cash and cash equivalents at end of the financial period</t>
  </si>
  <si>
    <t>- Additions</t>
  </si>
  <si>
    <t xml:space="preserve">Property, plant and equipment </t>
  </si>
  <si>
    <t>- Disposals</t>
  </si>
  <si>
    <t>Proceeds from/(repayment of) bank borrowings (net)</t>
  </si>
  <si>
    <t>FRS 112</t>
  </si>
  <si>
    <t>Income Taxes</t>
  </si>
  <si>
    <t>FRS 120</t>
  </si>
  <si>
    <t>FRS 134</t>
  </si>
  <si>
    <t>Amendments to FRS 121</t>
  </si>
  <si>
    <t>IC Interpretation 1</t>
  </si>
  <si>
    <t>IC Interpretation 8</t>
  </si>
  <si>
    <t>Accounting for Government Grants and Disclosure of Government Assistance</t>
  </si>
  <si>
    <t>Interim Financial Reporting</t>
  </si>
  <si>
    <t>The Effects of Changes in Foreign Exchange Rates - Net Investment in a Foreign Operation</t>
  </si>
  <si>
    <t>Changes in Existing Decommissioning, Restoration and Similar Liabilities</t>
  </si>
  <si>
    <t>Scope of FRS 2 - Share-based Payment</t>
  </si>
  <si>
    <t>(iii)</t>
  </si>
  <si>
    <t xml:space="preserve">Part A </t>
  </si>
  <si>
    <t xml:space="preserve">Part B </t>
  </si>
  <si>
    <t>Explanatory Notes Pursuant to Appendix 9B of the Listing Requirements of Bursa Malaysia Securities Berhad</t>
  </si>
  <si>
    <t>At 1 February 2009</t>
  </si>
  <si>
    <t>Deposits pledged as securities for bank borrowings</t>
  </si>
  <si>
    <t>As at</t>
  </si>
  <si>
    <t>The basic earnings per share of the Group is calculated by dividing the net profit attributable to ordinary equity holders of the Company by the weighted average number of ordinary shares in issue during the financial period.</t>
  </si>
  <si>
    <t>Net profit for the financial period</t>
  </si>
  <si>
    <t>Cash generated from operations</t>
  </si>
  <si>
    <t>Share of results of associate</t>
  </si>
  <si>
    <t xml:space="preserve">On 20 April 2009, the Board of Directors of Goldis announced that on 17 April 2009, Macro Kiosk Limited (“MKL”) (a subsidiary of Goldis) entire interest comprising 8,000 ordinary shares representing 80% equity interest in the capital of Macro Publications Limited (“MPL”) have been transferred to Khun Nattawan Wangpitak, Khun Chutima Kootanasan and Khun Teerawit Tamaka for a consideration of Baht 200,000.00 (equivalent to RM19,361.08 at an exchange rate of RM1.00 equals to Baht 10.33). With the transfer, MPL ceased to be a subsidiary of Goldis.
</t>
  </si>
  <si>
    <t xml:space="preserve">On 21 April 2009, the Board of Directors of Goldis Berhad (“Goldis”) announced that GTower Sdn Bhd (formerly known as Goldis Tower Sdn Bhd) (“GTower”), a wholly-owned subsidiary of Goldis had acquired the entire issued and paid-up capital in Bioenergy Creations Sdn Bhd comprising 2 ordinary shares of RM1.00 each for a cash consideration of RM2.00 resulting in Bioenergy Creations Sdn Bhd becoming a wholly-owned subsidiary of GTower.
</t>
  </si>
  <si>
    <t xml:space="preserve">On 19 May 2009, a Project Company was established for the financing, construction, operation and maintenance of a Sewage Treatment Plant in Zou Cheng Industrial Park, Shandong Province in China pursuant to the BOT (“Build, Operate and Transfer”) Concession Agreement and Supplemental Agreement entered into between Crest Spring (Shanghai) Co. Ltd. (“CSS”), a wholly-owned subsidiary of Goldis Berhad (“Goldis”) with Zou Cheng Industrial Park Management Committee. The Project Company by the name of Zou Cheng Xin Cheng Sewage Treatment Co. Ltd was incorporated on 19 May 2009 in China. 
</t>
  </si>
  <si>
    <t>Dividends received</t>
  </si>
  <si>
    <t>Acquisition of shares from minority in a subsidiary</t>
  </si>
  <si>
    <t>- Unquoted investments</t>
  </si>
  <si>
    <t>Dividends paid by the Company</t>
  </si>
  <si>
    <t>(iv)</t>
  </si>
  <si>
    <t xml:space="preserve">On 8 July 2009, the Board of Directors of Goldis Berhad (“Goldis”) announced that Macro Kiosk Berhad (“MKB”), a 70% owned subsidiary of Goldis has incorporated a new subsidiary named Macro Kiosk (Guangzhou) Technologies Co. Ltd. (“MK (Guangzhou)”) on 7 July 2009 in The People’s Republic of China, the Certificate of which was received on 8 July 2009.
</t>
  </si>
  <si>
    <t>Issuance of bonus issue</t>
  </si>
  <si>
    <t>There were no material events subsequent to the end of the interim period up to the date of this report.</t>
  </si>
  <si>
    <t>Net decrease in cash and cash equivalents during the financial period</t>
  </si>
  <si>
    <t>Dividends paid by subsidiary</t>
  </si>
  <si>
    <t>Dividends paid by the subsidiary to minority interests</t>
  </si>
  <si>
    <t>31.01.10</t>
  </si>
  <si>
    <t>At 31 January 2009</t>
  </si>
  <si>
    <t>Total recognised income and expense for the financial year</t>
  </si>
  <si>
    <t>Issuance of shares</t>
  </si>
  <si>
    <t>- ICPS</t>
  </si>
  <si>
    <t>- ESOS</t>
  </si>
  <si>
    <t>Transfer from capital reserve to retained earnings</t>
  </si>
  <si>
    <t>Transfer from share options reserve to retained earnings</t>
  </si>
  <si>
    <t>Arising from acquisition of a subsidiary</t>
  </si>
  <si>
    <t>Final dividends paid for the financial year ended 31 January 2008</t>
  </si>
  <si>
    <t>At 31 January 2010</t>
  </si>
  <si>
    <t>Government grant received</t>
  </si>
  <si>
    <t xml:space="preserve">Income tax refunded </t>
  </si>
  <si>
    <t>Taxation paid</t>
  </si>
  <si>
    <t>Subscription of shares in new subsidiaries</t>
  </si>
  <si>
    <t>Acquisition of subsidiaries</t>
  </si>
  <si>
    <t>- Quoted investments</t>
  </si>
  <si>
    <t>Proceeds from:</t>
  </si>
  <si>
    <t>- Disposal of subsidiaries</t>
  </si>
  <si>
    <t>- Disposal of an associate</t>
  </si>
  <si>
    <t>- Disposal of quoted investments</t>
  </si>
  <si>
    <t>Acquisition of software</t>
  </si>
  <si>
    <t>Acquisition of license</t>
  </si>
  <si>
    <t>Acquisition of technological know-how</t>
  </si>
  <si>
    <t>Acquisition of rights</t>
  </si>
  <si>
    <t>Net repayment of advances to an associate</t>
  </si>
  <si>
    <t>Reclassification to assets held-for-sale</t>
  </si>
  <si>
    <t>Short term investment with licensed bank</t>
  </si>
  <si>
    <t>There were no changes in estimates that have had material effect in the current financial year result.</t>
  </si>
  <si>
    <t>The Directors do not recommend the payment of any dividend in respect of the financial year ended 31 January 2010.</t>
  </si>
  <si>
    <t>Notes to the Interim Financial Report</t>
  </si>
  <si>
    <t>A.</t>
  </si>
  <si>
    <t>Compliance with Financial Reporting Standard (FRS) 134, Interim Financial Reporting and Bursa Listing Requirements</t>
  </si>
  <si>
    <t xml:space="preserve">GOLDIS BERHAD </t>
  </si>
  <si>
    <t>A1.</t>
  </si>
  <si>
    <t xml:space="preserve">The interim financial report are unaudited and has been prepared in accordance with FRS 134, Interim Financial Reporting and paragraph 9.22 of the Bursa Malaysia Securities Berhad Listing Requirements. </t>
  </si>
  <si>
    <t>The interim financial report should be read in conjunction with the audited financial statements of the Group for the financial year ended 31 January 2009. The accounting policies and methods of computation adopted for the interim financial statements are consistent with those adopted for the annual financial statements for the year ended 31 January 2010, except for the followings:</t>
  </si>
  <si>
    <t>Adoption of New and Revised FRSs, IC Interpretations and Amendments</t>
  </si>
  <si>
    <t>A2.</t>
  </si>
  <si>
    <t>Explanatory Comments about the Seasonality or Cyclicality of Interim Operations</t>
  </si>
  <si>
    <t>A3.</t>
  </si>
  <si>
    <t xml:space="preserve">Unusual Items Affecting Assets, Liabilities, Equity, Net Income or Cash Flows </t>
  </si>
  <si>
    <t>A4.</t>
  </si>
  <si>
    <t>Material Changes in Estimates</t>
  </si>
  <si>
    <t>A5.</t>
  </si>
  <si>
    <t>The Group’s operations are not materially affected by seasonal or cyclical factors except for healthcare segment which usually experiences lower sales in the beginning of the year as compared to the other segments.</t>
  </si>
  <si>
    <t>A6.</t>
  </si>
  <si>
    <t>Dividends paid</t>
  </si>
  <si>
    <t>A7.</t>
  </si>
  <si>
    <t>Current Quarter</t>
  </si>
  <si>
    <t>Current YTD</t>
  </si>
  <si>
    <t>A8.</t>
  </si>
  <si>
    <t>Material Events Subsequent to the End of the Interim Period</t>
  </si>
  <si>
    <t>A9.</t>
  </si>
  <si>
    <t>Effects of Changes in the Composition of the Group</t>
  </si>
  <si>
    <t>A10.</t>
  </si>
  <si>
    <t>Changes in Contingent Liabilities and Contingent Assets since the last annual balance sheet date</t>
  </si>
  <si>
    <t xml:space="preserve">The contingent liabilities and contingent assets as at the end of the prior financial year ended 31 January 2009 have remained unchanged. </t>
  </si>
  <si>
    <t>A11.</t>
  </si>
  <si>
    <t>Authorised capital commitments not recognised in the interim financial statements as at 31 January 2010 are as follows:</t>
  </si>
  <si>
    <t>B.</t>
  </si>
  <si>
    <t>B1.</t>
  </si>
  <si>
    <t>B2.</t>
  </si>
  <si>
    <t>Comparison with Preceding Quarter's Results</t>
  </si>
  <si>
    <t>B3.</t>
  </si>
  <si>
    <t>Commentary on Prospects for the Remaining Period of the Current Finanicial Year</t>
  </si>
  <si>
    <t>B4.</t>
  </si>
  <si>
    <t>Variance of Actual Profit from Forecast Profit or Profit Guarantee</t>
  </si>
  <si>
    <t>The Group did not issue any profit forecast or profit guarantee in the current quarter or in the prior financial year.</t>
  </si>
  <si>
    <t>B5.</t>
  </si>
  <si>
    <t>Statement by Directors</t>
  </si>
  <si>
    <t>B6.</t>
  </si>
  <si>
    <t>The effective income tax expense of the Group for the current quarter is lower than the statutory tax rate is due to certain income not subject to tax, utilisation of unutilised tax losses brought forward, and unabsorbed capital allowances in certain subsidiaries.</t>
  </si>
  <si>
    <t>B7.</t>
  </si>
  <si>
    <t>Profit or Losses on Sales of Unquoted Investments and Properties</t>
  </si>
  <si>
    <t>There were no sales of unquoted investments and properties for the current quarter and financial year-to-date.</t>
  </si>
  <si>
    <t>There were no unusual items of nature, size or incidence that affect the assets, liabilities, equity, net income, or cash flows of the Group during the financial year ended 31 January 2010.</t>
  </si>
  <si>
    <t>B8.</t>
  </si>
  <si>
    <t>Quoted Securities</t>
  </si>
  <si>
    <t>The total investments in quoted securities as at 31 January 2010 are as follows:</t>
  </si>
  <si>
    <t>At book value/carrying value</t>
  </si>
  <si>
    <t>At fair value</t>
  </si>
  <si>
    <t>B9.</t>
  </si>
  <si>
    <t>Status of Corporate Proposals</t>
  </si>
  <si>
    <t>B10.</t>
  </si>
  <si>
    <t>Details of Group Borrowings and Debt Securities</t>
  </si>
  <si>
    <t>The Groups' borrowings and debts securities as at 31 January 2010 are as follows:</t>
  </si>
  <si>
    <t>Revolving credits</t>
  </si>
  <si>
    <t>Term loans</t>
  </si>
  <si>
    <t>Bank overdraft</t>
  </si>
  <si>
    <t>Ringgit Malaysia</t>
  </si>
  <si>
    <t>Chinese Renminbi</t>
  </si>
  <si>
    <t>US Dollar</t>
  </si>
  <si>
    <t>B11.</t>
  </si>
  <si>
    <t>Derivative Financial Instruments</t>
  </si>
  <si>
    <t>As at the reporting date, the Group has no outstanding derivative financial instruments.</t>
  </si>
  <si>
    <t>B12.</t>
  </si>
  <si>
    <t>Changes in Material Litigations</t>
  </si>
  <si>
    <t>B13.</t>
  </si>
  <si>
    <t>Dividends</t>
  </si>
  <si>
    <t>The Directors have not proposed any dividend for the current financial year under review.</t>
  </si>
  <si>
    <t>B14.</t>
  </si>
  <si>
    <t>(a)</t>
  </si>
  <si>
    <t>(b)</t>
  </si>
  <si>
    <t>B15.</t>
  </si>
  <si>
    <t>Audit Report Qualification and Status of Matters Raised</t>
  </si>
  <si>
    <t>The audit report of the Group's annual financial statements for the year ended 31 January 2009 did not contain any qualification.</t>
  </si>
  <si>
    <t>Condensed Consolidated Financial Statements</t>
  </si>
  <si>
    <t>For the financial year ended 31 January 2010</t>
  </si>
  <si>
    <t>Condensed Consolidated Balance Sheets</t>
  </si>
  <si>
    <t>As at 31 January 2010</t>
  </si>
  <si>
    <t xml:space="preserve">Condensed Consolidated Statement of Changes in Equity </t>
  </si>
  <si>
    <t xml:space="preserve">Condensed Consolidated Cash Flow Statements </t>
  </si>
  <si>
    <t>Interim Financial Report</t>
  </si>
  <si>
    <t>Unusual Items Affecting Assets, Liabilities, Equity, Net Income or Cash Flows</t>
  </si>
  <si>
    <t>Accounting Policies and Methods of Computation</t>
  </si>
  <si>
    <t>Issuances, Repurchases, and Repayment of Debt and Equity Securities</t>
  </si>
  <si>
    <t>There were no issuances, repurchases, and repayments of debt and equity securities during the financial year ended 31 January 2010.</t>
  </si>
  <si>
    <t xml:space="preserve">On 26 January 2010, the Board of Directors of Goldis Berhad (“Goldis”) announced that GTower Sdn Bhd (“GTower”), a wholly-owned subsidiary of Goldis has acquired the entire issued and paid-up capital in Fantastic Venue Sdn Bhd comprising 2 ordinary shares of RM1.00 each for a cash consideration of RM2.00 resulting in Fantastic Venue Sdn Bhd becoming a wholly-owned subsidiary of GTower.
</t>
  </si>
  <si>
    <t>(v)</t>
  </si>
  <si>
    <t>The adoption of the other new and revised FRSs, IC Interpretations and Amendments has no significant impact to the Group's consolidated financial statements of the current quarter or the comparative consolidated financial statements of the prior financial year.</t>
  </si>
  <si>
    <t>The Group profit before taxation for the current quarter is RM4.7 million, representing a decrease of 65% or RM8.7 million from RM13.4 million in the preceding quarter. The decrease was mainly from the decrease in share of associate of RM5.7 million.</t>
  </si>
  <si>
    <t>Trust receipts and Bankers' acceptances</t>
  </si>
  <si>
    <t>As at the reporting date, there were no pending material litigations since the last financial year ended 31 January 2009 and up to the reporting date.</t>
  </si>
  <si>
    <t>Current Prospects</t>
  </si>
  <si>
    <t>Given the uncertainties in the economic conditions, the Board is of the opinion that the performance of the Group for financial year ending 31 January 2011 will be challenging.</t>
  </si>
  <si>
    <t>For the current year ended 31 January 2010, the Group revenue decreased by 6% or RM15.7 million to RM197.0 million from RM212.7 million in the corresponding preceding year. The decrease was from the paper manufacturing segment of RM45.9 million but it was offset by an increase from ICT segment of RM27.8 million. The Group profit before taxation decreased 13% or RM6.2 million to RM40.1 million from RM46.3 million in the corresponding preceding year. The decrease was mainly due from the decrease in property, investment and development, and hotels segment of RM10.1 million but it was offset by an increase from ICT segment of RM5.6 million .</t>
  </si>
  <si>
    <t>The Group revenue for the current quarter is RM51.1 million, representing a decrease of 2% from RM52.0 million in the preceding quarter.</t>
  </si>
  <si>
    <t xml:space="preserve">The Group revenue for the current quarter increased by 3% to RM51.1 million from RM49.5 million in the corresponding quarter preceding year. However, the Group profit before taxation decreased by 69% or RM10.3 million to RM4.7 million from RM14.9 million in the corresponding quarter preceding year. The decrease was mainly due from the decrease in property, investment and development, and hotels segment of RM9.4m and share of results of associate of RM4 million.
</t>
  </si>
  <si>
    <t xml:space="preserve">The Group did not disclose or announce any profit forecast or projection in a public document in the current quarter or prior financial year. In the Board of Directors' opinion, the internal targets set by management for the current financial year ended 31 January 2010 has been achieved. </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</si>
</sst>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0_-;\-* #,##0.00_-;_-* &quot;-&quot;??_-;_-@_-"/>
    <numFmt numFmtId="171" formatCode="_-* #,##0_-;\-* #,##0_-;_-* &quot;-&quot;_-;_-@_-"/>
    <numFmt numFmtId="172" formatCode="_-&quot;RM&quot;* #,##0.00_-;\-&quot;RM&quot;* #,##0.00_-;_-&quot;RM&quot;* &quot;-&quot;??_-;_-@_-"/>
    <numFmt numFmtId="173" formatCode="_-&quot;RM&quot;* #,##0_-;\-&quot;RM&quot;* #,##0_-;_-&quot;RM&quot;* &quot;-&quot;_-;_-@_-"/>
    <numFmt numFmtId="174" formatCode="_-* #,##0_-;\-* #,##0_-;_-* &quot;-&quot;??_-;_-@_-"/>
    <numFmt numFmtId="175" formatCode="_(* #,##0.00_);_(* \(#,##0.00\);_(* &quot;-&quot;_);_(@_)"/>
    <numFmt numFmtId="176" formatCode="#,##0.0000;\-#,##0.0000"/>
    <numFmt numFmtId="177" formatCode=";;;"/>
    <numFmt numFmtId="178" formatCode="#,##0.00000000000_);\(#,##0.00000000000\)"/>
    <numFmt numFmtId="179" formatCode="_(* #,##0_);_(* \(#,##0\);_(* &quot;-&quot;??_);_(@_)"/>
    <numFmt numFmtId="180" formatCode="#,##0;\(#,##0\)"/>
    <numFmt numFmtId="181" formatCode="0_);\(0\)"/>
    <numFmt numFmtId="182" formatCode="_(* #,##0.0000_);_(* \(#,##0.0000\);_(* &quot;-&quot;????_);_(@_)"/>
    <numFmt numFmtId="183" formatCode="0.0"/>
    <numFmt numFmtId="184" formatCode="_(* #,##0.0_);_(* \(#,##0.0\);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00_);_(* \(#,##0.000\);_(* &quot;-&quot;??_);_(@_)"/>
    <numFmt numFmtId="190" formatCode="_(* #,##0.0000_);_(* \(#,##0.0000\);_(* &quot;-&quot;??_);_(@_)"/>
    <numFmt numFmtId="191" formatCode="_(* #,##0.00000_);_(* \(#,##0.00000\);_(* &quot;-&quot;??_);_(@_)"/>
    <numFmt numFmtId="192" formatCode="_(* #,##0.000_);_(* \(#,##0.000\);_(* &quot;-&quot;???_);_(@_)"/>
    <numFmt numFmtId="193" formatCode="0.00000000"/>
    <numFmt numFmtId="194" formatCode="0.0000000"/>
    <numFmt numFmtId="195" formatCode="0.000000"/>
    <numFmt numFmtId="196" formatCode="0.00000"/>
    <numFmt numFmtId="197" formatCode="0.0000"/>
    <numFmt numFmtId="198" formatCode="0.000"/>
    <numFmt numFmtId="199" formatCode="_(* #,##0.0_);_(* \(#,##0.0\);_(* &quot;-&quot;_);_(@_)"/>
    <numFmt numFmtId="200" formatCode="#,##0.00000_);[Red]\(#,##0.00000\)"/>
    <numFmt numFmtId="201" formatCode="#,##0.0_);[Red]\(#,##0.0\)"/>
    <numFmt numFmtId="202" formatCode="0.0_);\(0.0\)"/>
    <numFmt numFmtId="203" formatCode="0.00_);\(0.00\)"/>
    <numFmt numFmtId="204" formatCode="_-* #,##0.0_-;\-* #,##0.0_-;_-* &quot;-&quot;??_-;_-@_-"/>
    <numFmt numFmtId="205" formatCode="[$-409]dddd\,\ mmmm\ dd\,\ yyyy"/>
    <numFmt numFmtId="206" formatCode="mm/dd/yy;@"/>
    <numFmt numFmtId="207" formatCode="_(* #,##0.00000000000_);_(* \(#,##0.00000000000\);_(* &quot;-&quot;???????????_);_(@_)"/>
  </numFmts>
  <fonts count="33">
    <font>
      <sz val="10"/>
      <name val="Arial"/>
      <family val="0"/>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mbria"/>
      <family val="1"/>
    </font>
    <font>
      <sz val="10"/>
      <name val="Cambria"/>
      <family val="1"/>
    </font>
    <font>
      <b/>
      <sz val="10"/>
      <name val="Cambria"/>
      <family val="1"/>
    </font>
    <font>
      <sz val="10"/>
      <color indexed="10"/>
      <name val="Cambria"/>
      <family val="1"/>
    </font>
    <font>
      <b/>
      <sz val="10"/>
      <color indexed="18"/>
      <name val="Cambria"/>
      <family val="1"/>
    </font>
    <font>
      <sz val="13.5"/>
      <name val="Cambria"/>
      <family val="1"/>
    </font>
    <font>
      <b/>
      <sz val="10"/>
      <color indexed="10"/>
      <name val="Cambria"/>
      <family val="1"/>
    </font>
    <font>
      <b/>
      <sz val="12"/>
      <name val="Cambria"/>
      <family val="1"/>
    </font>
    <font>
      <b/>
      <i/>
      <sz val="10"/>
      <name val="Cambria"/>
      <family val="1"/>
    </font>
    <font>
      <b/>
      <sz val="14"/>
      <name val="Cambria"/>
      <family val="1"/>
    </font>
    <font>
      <sz val="9"/>
      <name val="Cambria"/>
      <family val="1"/>
    </font>
    <font>
      <b/>
      <sz val="9"/>
      <name val="Cambria"/>
      <family val="1"/>
    </font>
    <font>
      <sz val="14"/>
      <name val="Cambria"/>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94">
    <xf numFmtId="0" fontId="0" fillId="0" borderId="0" xfId="0" applyAlignment="1">
      <alignment/>
    </xf>
    <xf numFmtId="0" fontId="20" fillId="0" borderId="0" xfId="0" applyFont="1" applyBorder="1" applyAlignment="1">
      <alignment/>
    </xf>
    <xf numFmtId="0" fontId="21" fillId="0" borderId="0" xfId="0" applyFont="1" applyFill="1" applyBorder="1" applyAlignment="1">
      <alignment horizontal="left"/>
    </xf>
    <xf numFmtId="0" fontId="21" fillId="0" borderId="0" xfId="0" applyFont="1" applyBorder="1" applyAlignment="1">
      <alignment/>
    </xf>
    <xf numFmtId="0" fontId="21" fillId="0" borderId="0" xfId="0" applyFont="1" applyFill="1" applyBorder="1" applyAlignment="1">
      <alignment/>
    </xf>
    <xf numFmtId="0" fontId="22" fillId="0" borderId="0" xfId="0" applyFont="1" applyBorder="1" applyAlignment="1">
      <alignment horizontal="left" vertical="top"/>
    </xf>
    <xf numFmtId="0" fontId="22" fillId="0" borderId="0" xfId="0" applyFont="1" applyBorder="1" applyAlignment="1">
      <alignment vertical="top"/>
    </xf>
    <xf numFmtId="0" fontId="22" fillId="0" borderId="0" xfId="0" applyFont="1" applyFill="1" applyBorder="1" applyAlignment="1">
      <alignment horizontal="center" vertical="top"/>
    </xf>
    <xf numFmtId="0" fontId="22" fillId="0" borderId="0" xfId="0" applyFont="1" applyFill="1" applyBorder="1" applyAlignment="1">
      <alignment vertical="top"/>
    </xf>
    <xf numFmtId="0" fontId="21" fillId="0" borderId="0" xfId="0" applyFont="1" applyFill="1" applyBorder="1" applyAlignment="1">
      <alignment vertical="top"/>
    </xf>
    <xf numFmtId="37" fontId="21" fillId="0" borderId="0" xfId="0" applyNumberFormat="1" applyFont="1" applyFill="1" applyBorder="1" applyAlignment="1">
      <alignment vertical="top"/>
    </xf>
    <xf numFmtId="0" fontId="23" fillId="0" borderId="0" xfId="0" applyFont="1" applyBorder="1" applyAlignment="1">
      <alignment vertical="top"/>
    </xf>
    <xf numFmtId="0" fontId="23" fillId="0" borderId="0" xfId="0" applyFont="1" applyFill="1" applyBorder="1" applyAlignment="1">
      <alignment vertical="top"/>
    </xf>
    <xf numFmtId="0" fontId="24" fillId="0" borderId="0" xfId="0" applyFont="1" applyFill="1" applyAlignment="1">
      <alignment vertical="top" wrapText="1"/>
    </xf>
    <xf numFmtId="37" fontId="23" fillId="0" borderId="0" xfId="0" applyNumberFormat="1" applyFont="1" applyFill="1" applyBorder="1" applyAlignment="1">
      <alignment vertical="top"/>
    </xf>
    <xf numFmtId="0" fontId="21" fillId="0" borderId="0" xfId="0" applyFont="1" applyFill="1" applyAlignment="1">
      <alignment horizontal="justify"/>
    </xf>
    <xf numFmtId="0" fontId="21" fillId="0" borderId="0" xfId="0" applyFont="1" applyFill="1" applyAlignment="1">
      <alignment/>
    </xf>
    <xf numFmtId="0" fontId="21" fillId="0" borderId="0" xfId="0" applyFont="1" applyFill="1" applyBorder="1" applyAlignment="1">
      <alignment horizontal="justify" vertical="top"/>
    </xf>
    <xf numFmtId="0" fontId="21" fillId="0" borderId="0" xfId="0" applyFont="1" applyAlignment="1">
      <alignment horizontal="justify"/>
    </xf>
    <xf numFmtId="0" fontId="21" fillId="0" borderId="0" xfId="0" applyFont="1" applyAlignment="1">
      <alignment/>
    </xf>
    <xf numFmtId="0" fontId="21" fillId="0" borderId="0" xfId="0" applyFont="1" applyBorder="1" applyAlignment="1">
      <alignment vertical="top"/>
    </xf>
    <xf numFmtId="0" fontId="21" fillId="0" borderId="0" xfId="0" applyFont="1" applyFill="1" applyBorder="1" applyAlignment="1">
      <alignment horizontal="center" vertical="top" wrapText="1"/>
    </xf>
    <xf numFmtId="41" fontId="21" fillId="0" borderId="0" xfId="0" applyNumberFormat="1" applyFont="1" applyFill="1" applyBorder="1" applyAlignment="1">
      <alignment vertical="top"/>
    </xf>
    <xf numFmtId="0" fontId="21" fillId="0" borderId="0" xfId="0" applyFont="1" applyBorder="1" applyAlignment="1">
      <alignment horizontal="center" vertical="top"/>
    </xf>
    <xf numFmtId="179" fontId="22" fillId="0" borderId="0" xfId="42" applyNumberFormat="1" applyFont="1" applyFill="1" applyBorder="1" applyAlignment="1">
      <alignment vertical="top"/>
    </xf>
    <xf numFmtId="179" fontId="21" fillId="0" borderId="0" xfId="42" applyNumberFormat="1" applyFont="1" applyFill="1" applyBorder="1" applyAlignment="1">
      <alignment vertical="top"/>
    </xf>
    <xf numFmtId="179" fontId="21" fillId="0" borderId="0" xfId="0" applyNumberFormat="1" applyFont="1" applyFill="1" applyBorder="1" applyAlignment="1">
      <alignment vertical="top"/>
    </xf>
    <xf numFmtId="0" fontId="21" fillId="0" borderId="0" xfId="0" applyFont="1" applyFill="1" applyBorder="1" applyAlignment="1">
      <alignment horizontal="justify" vertical="top" wrapText="1"/>
    </xf>
    <xf numFmtId="179" fontId="22" fillId="0" borderId="0" xfId="42" applyNumberFormat="1" applyFont="1" applyFill="1" applyBorder="1" applyAlignment="1">
      <alignment horizontal="center" vertical="top"/>
    </xf>
    <xf numFmtId="179" fontId="21" fillId="0" borderId="0" xfId="0" applyNumberFormat="1" applyFont="1" applyBorder="1" applyAlignment="1">
      <alignment vertical="top"/>
    </xf>
    <xf numFmtId="0" fontId="21" fillId="0" borderId="0" xfId="0" applyFont="1" applyFill="1" applyBorder="1" applyAlignment="1" quotePrefix="1">
      <alignment horizontal="center" vertical="top"/>
    </xf>
    <xf numFmtId="179" fontId="21" fillId="0" borderId="0" xfId="42" applyNumberFormat="1" applyFont="1" applyBorder="1" applyAlignment="1">
      <alignment vertical="top"/>
    </xf>
    <xf numFmtId="0" fontId="21" fillId="0" borderId="0" xfId="0" applyFont="1" applyFill="1" applyBorder="1" applyAlignment="1">
      <alignment vertical="top" wrapText="1"/>
    </xf>
    <xf numFmtId="0" fontId="21" fillId="0" borderId="0" xfId="0" applyFont="1" applyBorder="1" applyAlignment="1">
      <alignment horizontal="justify" vertical="top"/>
    </xf>
    <xf numFmtId="179" fontId="21" fillId="0" borderId="0" xfId="42" applyNumberFormat="1" applyFont="1" applyBorder="1" applyAlignment="1">
      <alignment horizontal="right" vertical="top"/>
    </xf>
    <xf numFmtId="0" fontId="21" fillId="0" borderId="0" xfId="0" applyFont="1" applyFill="1" applyBorder="1" applyAlignment="1">
      <alignment horizontal="right" vertical="top"/>
    </xf>
    <xf numFmtId="0" fontId="23" fillId="0" borderId="0" xfId="0" applyFont="1" applyBorder="1" applyAlignment="1">
      <alignment horizontal="left" vertical="top"/>
    </xf>
    <xf numFmtId="0" fontId="22" fillId="0" borderId="0" xfId="0" applyFont="1" applyBorder="1" applyAlignment="1">
      <alignment horizontal="left"/>
    </xf>
    <xf numFmtId="0" fontId="22" fillId="0" borderId="0" xfId="0" applyFont="1" applyBorder="1" applyAlignment="1">
      <alignment/>
    </xf>
    <xf numFmtId="0" fontId="21" fillId="0" borderId="0" xfId="0" applyFont="1" applyBorder="1" applyAlignment="1">
      <alignment horizontal="left"/>
    </xf>
    <xf numFmtId="0" fontId="21" fillId="0" borderId="0" xfId="0" applyNumberFormat="1" applyFont="1" applyBorder="1" applyAlignment="1">
      <alignment horizontal="justify" vertical="top" wrapText="1"/>
    </xf>
    <xf numFmtId="0" fontId="21" fillId="0" borderId="0" xfId="0" applyNumberFormat="1" applyFont="1" applyBorder="1" applyAlignment="1">
      <alignment horizontal="center"/>
    </xf>
    <xf numFmtId="0" fontId="21" fillId="0" borderId="0" xfId="0" applyFont="1" applyBorder="1" applyAlignment="1">
      <alignment/>
    </xf>
    <xf numFmtId="0" fontId="21" fillId="0" borderId="0" xfId="0" applyFont="1" applyFill="1" applyBorder="1" applyAlignment="1">
      <alignment/>
    </xf>
    <xf numFmtId="0" fontId="21" fillId="0" borderId="0" xfId="0" applyFont="1" applyBorder="1" applyAlignment="1">
      <alignment horizontal="justify" vertical="top" wrapText="1"/>
    </xf>
    <xf numFmtId="0" fontId="21" fillId="0" borderId="0" xfId="0" applyFont="1" applyBorder="1" applyAlignment="1">
      <alignment horizontal="left" vertical="top"/>
    </xf>
    <xf numFmtId="0" fontId="21" fillId="0" borderId="0" xfId="0" applyFont="1" applyAlignment="1">
      <alignment vertical="top"/>
    </xf>
    <xf numFmtId="0" fontId="22" fillId="0" borderId="0" xfId="0" applyFont="1" applyBorder="1" applyAlignment="1">
      <alignment horizontal="center" vertical="top"/>
    </xf>
    <xf numFmtId="0" fontId="22" fillId="0" borderId="0" xfId="0" applyFont="1" applyFill="1" applyBorder="1" applyAlignment="1">
      <alignment horizontal="left"/>
    </xf>
    <xf numFmtId="179" fontId="21" fillId="0" borderId="0" xfId="0" applyNumberFormat="1" applyFont="1" applyFill="1" applyBorder="1" applyAlignment="1">
      <alignment/>
    </xf>
    <xf numFmtId="179" fontId="22" fillId="0" borderId="0" xfId="0" applyNumberFormat="1" applyFont="1" applyFill="1" applyBorder="1" applyAlignment="1">
      <alignment/>
    </xf>
    <xf numFmtId="0" fontId="21" fillId="0" borderId="10" xfId="0" applyFont="1" applyFill="1" applyBorder="1" applyAlignment="1">
      <alignment vertical="top"/>
    </xf>
    <xf numFmtId="0" fontId="22" fillId="0" borderId="10" xfId="0" applyFont="1" applyFill="1" applyBorder="1" applyAlignment="1">
      <alignment vertical="top"/>
    </xf>
    <xf numFmtId="179" fontId="21" fillId="0" borderId="10" xfId="42" applyNumberFormat="1" applyFont="1" applyFill="1" applyBorder="1" applyAlignment="1">
      <alignment vertical="top"/>
    </xf>
    <xf numFmtId="0" fontId="21" fillId="0" borderId="10" xfId="0" applyFont="1" applyFill="1" applyBorder="1" applyAlignment="1">
      <alignment/>
    </xf>
    <xf numFmtId="0" fontId="21" fillId="0" borderId="11" xfId="0" applyFont="1" applyFill="1" applyBorder="1" applyAlignment="1">
      <alignment vertical="top"/>
    </xf>
    <xf numFmtId="179" fontId="21" fillId="0" borderId="11" xfId="42" applyNumberFormat="1" applyFont="1" applyFill="1" applyBorder="1" applyAlignment="1">
      <alignment vertical="top"/>
    </xf>
    <xf numFmtId="0" fontId="21" fillId="0" borderId="11" xfId="0" applyFont="1" applyFill="1" applyBorder="1" applyAlignment="1">
      <alignment/>
    </xf>
    <xf numFmtId="0" fontId="22" fillId="0" borderId="0" xfId="0" applyFont="1" applyFill="1" applyBorder="1" applyAlignment="1">
      <alignment horizontal="center"/>
    </xf>
    <xf numFmtId="0" fontId="22" fillId="0" borderId="0" xfId="0" applyFont="1" applyFill="1" applyBorder="1" applyAlignment="1">
      <alignment horizontal="left" vertical="top"/>
    </xf>
    <xf numFmtId="0" fontId="21" fillId="0" borderId="0" xfId="0" applyFont="1" applyFill="1" applyAlignment="1">
      <alignment horizontal="left" wrapText="1"/>
    </xf>
    <xf numFmtId="0" fontId="25" fillId="0" borderId="0" xfId="0" applyFont="1" applyFill="1" applyAlignment="1">
      <alignment/>
    </xf>
    <xf numFmtId="0" fontId="22" fillId="0" borderId="0" xfId="0" applyFont="1" applyFill="1" applyBorder="1" applyAlignment="1">
      <alignment/>
    </xf>
    <xf numFmtId="0" fontId="21" fillId="0" borderId="0" xfId="0" applyNumberFormat="1" applyFont="1" applyFill="1" applyBorder="1" applyAlignment="1">
      <alignment horizontal="left" vertical="top" wrapText="1"/>
    </xf>
    <xf numFmtId="0" fontId="23" fillId="0" borderId="0" xfId="0" applyFont="1" applyFill="1" applyBorder="1" applyAlignment="1">
      <alignment horizontal="left" vertical="top" wrapText="1"/>
    </xf>
    <xf numFmtId="179" fontId="21" fillId="0" borderId="0" xfId="42" applyNumberFormat="1" applyFont="1" applyFill="1" applyBorder="1" applyAlignment="1">
      <alignment/>
    </xf>
    <xf numFmtId="179" fontId="21" fillId="0" borderId="0" xfId="42" applyNumberFormat="1" applyFont="1" applyFill="1" applyBorder="1" applyAlignment="1">
      <alignment horizontal="center"/>
    </xf>
    <xf numFmtId="0" fontId="21" fillId="0" borderId="0" xfId="0" applyFont="1" applyFill="1" applyBorder="1" applyAlignment="1" quotePrefix="1">
      <alignment/>
    </xf>
    <xf numFmtId="37" fontId="21" fillId="0" borderId="0" xfId="0" applyNumberFormat="1" applyFont="1" applyFill="1" applyBorder="1" applyAlignment="1">
      <alignment horizontal="right"/>
    </xf>
    <xf numFmtId="0" fontId="26" fillId="0" borderId="0" xfId="0" applyFont="1" applyBorder="1" applyAlignment="1">
      <alignment/>
    </xf>
    <xf numFmtId="179" fontId="22" fillId="0" borderId="0" xfId="42" applyNumberFormat="1" applyFont="1" applyFill="1" applyBorder="1" applyAlignment="1">
      <alignment/>
    </xf>
    <xf numFmtId="0" fontId="26" fillId="0" borderId="0" xfId="0" applyFont="1" applyBorder="1" applyAlignment="1">
      <alignment horizontal="left"/>
    </xf>
    <xf numFmtId="0" fontId="26" fillId="0" borderId="0" xfId="0" applyFont="1" applyFill="1" applyBorder="1" applyAlignment="1">
      <alignment/>
    </xf>
    <xf numFmtId="0" fontId="23" fillId="0" borderId="0" xfId="0" applyFont="1" applyFill="1" applyBorder="1" applyAlignment="1">
      <alignment/>
    </xf>
    <xf numFmtId="0" fontId="23" fillId="0" borderId="0" xfId="0" applyFont="1" applyBorder="1" applyAlignment="1">
      <alignment/>
    </xf>
    <xf numFmtId="37" fontId="23" fillId="0" borderId="0" xfId="0" applyNumberFormat="1" applyFont="1" applyFill="1" applyBorder="1" applyAlignment="1">
      <alignment horizontal="right"/>
    </xf>
    <xf numFmtId="179" fontId="26" fillId="0" borderId="0" xfId="42" applyNumberFormat="1" applyFont="1" applyFill="1" applyBorder="1" applyAlignment="1">
      <alignment/>
    </xf>
    <xf numFmtId="0" fontId="26" fillId="0" borderId="0" xfId="0" applyFont="1" applyBorder="1" applyAlignment="1">
      <alignment/>
    </xf>
    <xf numFmtId="0" fontId="26" fillId="0" borderId="0" xfId="0" applyFont="1" applyFill="1" applyBorder="1" applyAlignment="1">
      <alignment/>
    </xf>
    <xf numFmtId="0" fontId="21" fillId="0" borderId="0" xfId="0" applyFont="1" applyFill="1" applyBorder="1" applyAlignment="1">
      <alignment horizontal="center"/>
    </xf>
    <xf numFmtId="0" fontId="21" fillId="0" borderId="0" xfId="0" applyFont="1" applyBorder="1" applyAlignment="1">
      <alignment vertical="center"/>
    </xf>
    <xf numFmtId="0" fontId="27" fillId="0" borderId="0" xfId="0" applyFont="1" applyFill="1" applyBorder="1" applyAlignment="1">
      <alignment horizontal="center" vertical="center"/>
    </xf>
    <xf numFmtId="206" fontId="21" fillId="0" borderId="0" xfId="0" applyNumberFormat="1" applyFont="1" applyFill="1" applyBorder="1" applyAlignment="1">
      <alignment horizontal="right"/>
    </xf>
    <xf numFmtId="0" fontId="21" fillId="0" borderId="0" xfId="0" applyFont="1" applyFill="1" applyBorder="1" applyAlignment="1">
      <alignment horizontal="right"/>
    </xf>
    <xf numFmtId="0" fontId="23" fillId="0" borderId="0" xfId="0" applyFont="1" applyBorder="1" applyAlignment="1">
      <alignment/>
    </xf>
    <xf numFmtId="0" fontId="23" fillId="0" borderId="0" xfId="0" applyFont="1" applyFill="1" applyBorder="1" applyAlignment="1">
      <alignment/>
    </xf>
    <xf numFmtId="179" fontId="21" fillId="0" borderId="0" xfId="42" applyNumberFormat="1" applyFont="1" applyFill="1" applyBorder="1" applyAlignment="1">
      <alignment horizontal="right"/>
    </xf>
    <xf numFmtId="179" fontId="21" fillId="0" borderId="11" xfId="42" applyNumberFormat="1" applyFont="1" applyFill="1" applyBorder="1" applyAlignment="1">
      <alignment horizontal="right"/>
    </xf>
    <xf numFmtId="0" fontId="21" fillId="0" borderId="12" xfId="0" applyFont="1" applyFill="1" applyBorder="1" applyAlignment="1">
      <alignment/>
    </xf>
    <xf numFmtId="179" fontId="21" fillId="0" borderId="12" xfId="42" applyNumberFormat="1" applyFont="1" applyFill="1" applyBorder="1" applyAlignment="1">
      <alignment horizontal="right"/>
    </xf>
    <xf numFmtId="0" fontId="22" fillId="0" borderId="10" xfId="0" applyFont="1" applyFill="1" applyBorder="1" applyAlignment="1">
      <alignment/>
    </xf>
    <xf numFmtId="179" fontId="21" fillId="0" borderId="10" xfId="42" applyNumberFormat="1" applyFont="1" applyFill="1" applyBorder="1" applyAlignment="1">
      <alignment horizontal="right"/>
    </xf>
    <xf numFmtId="179" fontId="21" fillId="0" borderId="0" xfId="42" applyNumberFormat="1" applyFont="1" applyFill="1" applyBorder="1" applyAlignment="1">
      <alignment horizontal="right" vertical="top"/>
    </xf>
    <xf numFmtId="179" fontId="22" fillId="0" borderId="0" xfId="42" applyNumberFormat="1" applyFont="1" applyFill="1" applyBorder="1" applyAlignment="1">
      <alignment horizontal="right"/>
    </xf>
    <xf numFmtId="0" fontId="21" fillId="0" borderId="0" xfId="0" applyFont="1" applyFill="1" applyAlignment="1">
      <alignment vertical="center"/>
    </xf>
    <xf numFmtId="0" fontId="21" fillId="0" borderId="0" xfId="0" applyFont="1" applyAlignment="1">
      <alignment vertical="center"/>
    </xf>
    <xf numFmtId="0" fontId="21" fillId="0" borderId="0" xfId="0" applyFont="1" applyFill="1" applyBorder="1" applyAlignment="1">
      <alignment vertical="center"/>
    </xf>
    <xf numFmtId="0" fontId="22" fillId="0" borderId="0" xfId="0" applyFont="1" applyFill="1" applyAlignment="1">
      <alignment/>
    </xf>
    <xf numFmtId="0" fontId="22" fillId="0" borderId="0" xfId="0" applyFont="1" applyFill="1" applyAlignment="1">
      <alignment vertical="center"/>
    </xf>
    <xf numFmtId="41" fontId="22" fillId="0" borderId="0" xfId="0" applyNumberFormat="1" applyFont="1" applyFill="1" applyBorder="1" applyAlignment="1">
      <alignment horizontal="center" wrapText="1"/>
    </xf>
    <xf numFmtId="41" fontId="28" fillId="0" borderId="0" xfId="0" applyNumberFormat="1" applyFont="1" applyFill="1" applyBorder="1" applyAlignment="1">
      <alignment horizontal="center" wrapText="1"/>
    </xf>
    <xf numFmtId="37" fontId="21" fillId="0" borderId="0" xfId="0" applyNumberFormat="1" applyFont="1" applyBorder="1" applyAlignment="1">
      <alignment/>
    </xf>
    <xf numFmtId="179" fontId="21" fillId="0" borderId="13" xfId="42" applyNumberFormat="1" applyFont="1" applyFill="1" applyBorder="1" applyAlignment="1">
      <alignment/>
    </xf>
    <xf numFmtId="37" fontId="21" fillId="0" borderId="13" xfId="42" applyNumberFormat="1" applyFont="1" applyFill="1" applyBorder="1" applyAlignment="1">
      <alignment/>
    </xf>
    <xf numFmtId="37" fontId="21" fillId="0" borderId="14" xfId="42" applyNumberFormat="1" applyFont="1" applyFill="1" applyBorder="1" applyAlignment="1">
      <alignment/>
    </xf>
    <xf numFmtId="0" fontId="21" fillId="0" borderId="0" xfId="0" applyFont="1" applyFill="1" applyBorder="1" applyAlignment="1">
      <alignment vertical="center" wrapText="1"/>
    </xf>
    <xf numFmtId="179" fontId="21" fillId="0" borderId="11" xfId="42" applyNumberFormat="1" applyFont="1" applyFill="1" applyBorder="1" applyAlignment="1">
      <alignment/>
    </xf>
    <xf numFmtId="179" fontId="21" fillId="0" borderId="11" xfId="42" applyNumberFormat="1" applyFont="1" applyFill="1" applyBorder="1" applyAlignment="1">
      <alignment vertical="center"/>
    </xf>
    <xf numFmtId="37" fontId="21" fillId="0" borderId="15" xfId="42" applyNumberFormat="1" applyFont="1" applyFill="1" applyBorder="1" applyAlignment="1">
      <alignment vertical="center" wrapText="1"/>
    </xf>
    <xf numFmtId="179" fontId="21" fillId="0" borderId="0" xfId="42" applyNumberFormat="1" applyFont="1" applyFill="1" applyBorder="1" applyAlignment="1">
      <alignment/>
    </xf>
    <xf numFmtId="37" fontId="21" fillId="0" borderId="0" xfId="42" applyNumberFormat="1" applyFont="1" applyFill="1" applyBorder="1" applyAlignment="1">
      <alignment wrapText="1"/>
    </xf>
    <xf numFmtId="0" fontId="21" fillId="0" borderId="0" xfId="0" applyFont="1" applyFill="1" applyBorder="1" applyAlignment="1" quotePrefix="1">
      <alignment wrapText="1"/>
    </xf>
    <xf numFmtId="43" fontId="21" fillId="0" borderId="0" xfId="42" applyFont="1" applyFill="1" applyBorder="1" applyAlignment="1">
      <alignment/>
    </xf>
    <xf numFmtId="37" fontId="21" fillId="0" borderId="0" xfId="42" applyNumberFormat="1" applyFont="1" applyFill="1" applyBorder="1" applyAlignment="1">
      <alignment vertical="center" wrapText="1"/>
    </xf>
    <xf numFmtId="0" fontId="21" fillId="0" borderId="0" xfId="0" applyFont="1" applyFill="1" applyBorder="1" applyAlignment="1">
      <alignment wrapText="1"/>
    </xf>
    <xf numFmtId="37" fontId="21" fillId="0" borderId="0" xfId="42" applyNumberFormat="1" applyFont="1" applyFill="1" applyBorder="1" applyAlignment="1">
      <alignment/>
    </xf>
    <xf numFmtId="179" fontId="21" fillId="0" borderId="10" xfId="42" applyNumberFormat="1" applyFont="1" applyFill="1" applyBorder="1" applyAlignment="1">
      <alignment/>
    </xf>
    <xf numFmtId="0" fontId="21" fillId="0" borderId="0" xfId="0" applyFont="1" applyFill="1" applyBorder="1" applyAlignment="1">
      <alignment horizontal="justify"/>
    </xf>
    <xf numFmtId="0" fontId="29" fillId="0" borderId="0" xfId="0" applyFont="1" applyAlignment="1">
      <alignment/>
    </xf>
    <xf numFmtId="0" fontId="22" fillId="0" borderId="0" xfId="0" applyFont="1" applyFill="1" applyBorder="1" applyAlignment="1">
      <alignment horizontal="center" vertical="center"/>
    </xf>
    <xf numFmtId="37" fontId="21" fillId="0" borderId="0" xfId="0" applyNumberFormat="1" applyFont="1" applyFill="1" applyBorder="1" applyAlignment="1">
      <alignment horizontal="center"/>
    </xf>
    <xf numFmtId="41" fontId="21" fillId="0" borderId="0" xfId="0" applyNumberFormat="1" applyFont="1" applyFill="1" applyBorder="1" applyAlignment="1">
      <alignment/>
    </xf>
    <xf numFmtId="41" fontId="21" fillId="0" borderId="0" xfId="0" applyNumberFormat="1" applyFont="1" applyFill="1" applyBorder="1" applyAlignment="1">
      <alignment/>
    </xf>
    <xf numFmtId="0" fontId="22" fillId="0" borderId="12" xfId="0" applyFont="1" applyFill="1" applyBorder="1" applyAlignment="1">
      <alignment/>
    </xf>
    <xf numFmtId="41" fontId="21" fillId="0" borderId="12" xfId="0" applyNumberFormat="1" applyFont="1" applyFill="1" applyBorder="1" applyAlignment="1">
      <alignment/>
    </xf>
    <xf numFmtId="41" fontId="21" fillId="0" borderId="0" xfId="0" applyNumberFormat="1" applyFont="1" applyAlignment="1">
      <alignment/>
    </xf>
    <xf numFmtId="0" fontId="22" fillId="0" borderId="11" xfId="0" applyFont="1" applyFill="1" applyBorder="1" applyAlignment="1">
      <alignment/>
    </xf>
    <xf numFmtId="41" fontId="21" fillId="0" borderId="11" xfId="0" applyNumberFormat="1" applyFont="1" applyFill="1" applyBorder="1" applyAlignment="1">
      <alignment/>
    </xf>
    <xf numFmtId="41" fontId="21" fillId="0" borderId="10" xfId="0" applyNumberFormat="1" applyFont="1" applyFill="1" applyBorder="1" applyAlignment="1">
      <alignment/>
    </xf>
    <xf numFmtId="0" fontId="22" fillId="0" borderId="0" xfId="0" applyFont="1" applyFill="1" applyBorder="1" applyAlignment="1">
      <alignment horizontal="left" vertical="top" wrapText="1"/>
    </xf>
    <xf numFmtId="0" fontId="22" fillId="0" borderId="16" xfId="0" applyFont="1" applyBorder="1" applyAlignment="1">
      <alignment horizontal="left" vertical="top" wrapText="1"/>
    </xf>
    <xf numFmtId="43" fontId="21" fillId="0" borderId="16" xfId="0" applyNumberFormat="1" applyFont="1" applyFill="1" applyBorder="1" applyAlignment="1">
      <alignment/>
    </xf>
    <xf numFmtId="0" fontId="22" fillId="0" borderId="0" xfId="0" applyFont="1" applyBorder="1" applyAlignment="1">
      <alignment horizontal="left" vertical="top" wrapText="1"/>
    </xf>
    <xf numFmtId="43" fontId="22" fillId="0" borderId="0" xfId="0" applyNumberFormat="1" applyFont="1" applyFill="1" applyBorder="1" applyAlignment="1">
      <alignment/>
    </xf>
    <xf numFmtId="43" fontId="21" fillId="0" borderId="0" xfId="0" applyNumberFormat="1" applyFont="1" applyFill="1" applyBorder="1" applyAlignment="1">
      <alignment/>
    </xf>
    <xf numFmtId="174" fontId="21" fillId="0" borderId="0" xfId="44" applyNumberFormat="1" applyFont="1" applyFill="1" applyBorder="1" applyAlignment="1">
      <alignment/>
    </xf>
    <xf numFmtId="0" fontId="21" fillId="0" borderId="0" xfId="0" applyFont="1" applyAlignment="1">
      <alignment horizontal="justify" wrapText="1"/>
    </xf>
    <xf numFmtId="206" fontId="21" fillId="0" borderId="0" xfId="0" applyNumberFormat="1" applyFont="1" applyFill="1" applyBorder="1" applyAlignment="1">
      <alignment/>
    </xf>
    <xf numFmtId="37" fontId="21" fillId="0" borderId="0" xfId="0" applyNumberFormat="1" applyFont="1" applyFill="1" applyBorder="1" applyAlignment="1">
      <alignment/>
    </xf>
    <xf numFmtId="37" fontId="21" fillId="0" borderId="11" xfId="0" applyNumberFormat="1" applyFont="1" applyFill="1" applyBorder="1" applyAlignment="1">
      <alignment/>
    </xf>
    <xf numFmtId="0" fontId="21" fillId="0" borderId="11" xfId="0" applyFont="1" applyFill="1" applyBorder="1" applyAlignment="1">
      <alignment horizontal="left" vertical="top" wrapText="1"/>
    </xf>
    <xf numFmtId="43" fontId="21" fillId="0" borderId="0" xfId="42" applyNumberFormat="1" applyFont="1" applyFill="1" applyBorder="1" applyAlignment="1">
      <alignment/>
    </xf>
    <xf numFmtId="0" fontId="21" fillId="0" borderId="16" xfId="0" applyFont="1" applyFill="1" applyBorder="1" applyAlignment="1">
      <alignment/>
    </xf>
    <xf numFmtId="1" fontId="21" fillId="0" borderId="0" xfId="0" applyNumberFormat="1" applyFont="1" applyFill="1" applyBorder="1" applyAlignment="1">
      <alignment/>
    </xf>
    <xf numFmtId="0" fontId="22" fillId="0" borderId="16" xfId="0" applyFont="1" applyFill="1" applyBorder="1" applyAlignment="1">
      <alignment/>
    </xf>
    <xf numFmtId="40" fontId="21" fillId="0" borderId="16" xfId="0" applyNumberFormat="1" applyFont="1" applyFill="1" applyBorder="1" applyAlignment="1">
      <alignment/>
    </xf>
    <xf numFmtId="38" fontId="22" fillId="0" borderId="0" xfId="0" applyNumberFormat="1" applyFont="1" applyFill="1" applyBorder="1" applyAlignment="1">
      <alignment/>
    </xf>
    <xf numFmtId="38" fontId="21" fillId="0" borderId="0" xfId="0" applyNumberFormat="1" applyFont="1" applyFill="1" applyBorder="1" applyAlignment="1">
      <alignment/>
    </xf>
    <xf numFmtId="0" fontId="30" fillId="0" borderId="0" xfId="0" applyFont="1" applyFill="1" applyBorder="1" applyAlignment="1">
      <alignment/>
    </xf>
    <xf numFmtId="37" fontId="31" fillId="0" borderId="0" xfId="0" applyNumberFormat="1" applyFont="1" applyFill="1" applyBorder="1" applyAlignment="1">
      <alignment/>
    </xf>
    <xf numFmtId="37" fontId="30" fillId="0" borderId="0" xfId="0" applyNumberFormat="1" applyFont="1" applyFill="1" applyBorder="1" applyAlignment="1">
      <alignment/>
    </xf>
    <xf numFmtId="0" fontId="21" fillId="0" borderId="0"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vertical="center"/>
    </xf>
    <xf numFmtId="0" fontId="22" fillId="0" borderId="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horizontal="left" vertical="center"/>
    </xf>
    <xf numFmtId="179" fontId="21" fillId="0" borderId="0" xfId="42" applyNumberFormat="1" applyFont="1" applyFill="1" applyBorder="1" applyAlignment="1">
      <alignment vertical="center"/>
    </xf>
    <xf numFmtId="37" fontId="21" fillId="0" borderId="0" xfId="0" applyNumberFormat="1" applyFont="1" applyFill="1" applyBorder="1" applyAlignment="1">
      <alignment horizontal="right" vertical="center"/>
    </xf>
    <xf numFmtId="37" fontId="21" fillId="0" borderId="0" xfId="0" applyNumberFormat="1" applyFont="1" applyFill="1" applyBorder="1" applyAlignment="1">
      <alignment vertical="center"/>
    </xf>
    <xf numFmtId="41"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0" fontId="21" fillId="0" borderId="0" xfId="0" applyFont="1" applyFill="1" applyBorder="1" applyAlignment="1">
      <alignment horizontal="justify" vertical="center" wrapText="1"/>
    </xf>
    <xf numFmtId="0" fontId="21" fillId="0" borderId="0" xfId="0" applyFont="1" applyFill="1" applyBorder="1" applyAlignment="1">
      <alignment horizontal="justify" vertical="center"/>
    </xf>
    <xf numFmtId="0" fontId="21" fillId="0" borderId="0" xfId="0" applyFont="1" applyBorder="1" applyAlignment="1">
      <alignment horizontal="left" vertical="center"/>
    </xf>
    <xf numFmtId="0" fontId="21" fillId="0" borderId="16" xfId="0" applyFont="1" applyBorder="1" applyAlignment="1">
      <alignment/>
    </xf>
    <xf numFmtId="0" fontId="21" fillId="0" borderId="16" xfId="0" applyFont="1" applyBorder="1" applyAlignment="1">
      <alignment horizontal="center" vertical="center"/>
    </xf>
    <xf numFmtId="0" fontId="21" fillId="0" borderId="0" xfId="0" applyFont="1" applyBorder="1" applyAlignment="1">
      <alignment horizontal="justify" vertical="center"/>
    </xf>
    <xf numFmtId="0" fontId="21" fillId="0" borderId="0" xfId="0" applyFont="1" applyAlignment="1">
      <alignment horizontal="center"/>
    </xf>
    <xf numFmtId="0" fontId="20" fillId="0" borderId="0" xfId="0" applyFont="1" applyFill="1" applyBorder="1" applyAlignment="1">
      <alignment/>
    </xf>
    <xf numFmtId="0" fontId="20" fillId="0" borderId="0" xfId="0" applyFont="1" applyFill="1" applyBorder="1" applyAlignment="1">
      <alignment vertical="center"/>
    </xf>
    <xf numFmtId="0" fontId="21" fillId="0" borderId="16" xfId="0" applyFont="1" applyFill="1" applyBorder="1" applyAlignment="1">
      <alignment horizontal="right"/>
    </xf>
    <xf numFmtId="37" fontId="21" fillId="0" borderId="16" xfId="0" applyNumberFormat="1" applyFont="1" applyFill="1" applyBorder="1" applyAlignment="1">
      <alignment horizontal="right"/>
    </xf>
    <xf numFmtId="0" fontId="27" fillId="0" borderId="0" xfId="0" applyFont="1" applyFill="1" applyBorder="1" applyAlignment="1">
      <alignment horizontal="left" vertical="center"/>
    </xf>
    <xf numFmtId="0" fontId="21" fillId="0" borderId="17" xfId="0" applyFont="1" applyFill="1" applyBorder="1" applyAlignment="1">
      <alignment/>
    </xf>
    <xf numFmtId="0" fontId="21" fillId="0" borderId="18" xfId="0" applyFont="1" applyFill="1" applyBorder="1" applyAlignment="1">
      <alignment vertical="center" wrapText="1"/>
    </xf>
    <xf numFmtId="0" fontId="32" fillId="0" borderId="0" xfId="0" applyFont="1" applyBorder="1" applyAlignment="1">
      <alignment/>
    </xf>
    <xf numFmtId="0" fontId="23" fillId="0" borderId="16" xfId="0" applyFont="1" applyFill="1" applyBorder="1" applyAlignment="1">
      <alignment/>
    </xf>
    <xf numFmtId="0" fontId="21" fillId="0" borderId="16" xfId="0" applyFont="1" applyBorder="1" applyAlignment="1">
      <alignment vertical="center"/>
    </xf>
    <xf numFmtId="0" fontId="26" fillId="0" borderId="0" xfId="0" applyFont="1" applyFill="1" applyBorder="1" applyAlignment="1">
      <alignment horizontal="left" vertical="top"/>
    </xf>
    <xf numFmtId="0" fontId="22" fillId="0" borderId="16" xfId="0" applyFont="1" applyBorder="1" applyAlignment="1">
      <alignment vertical="top"/>
    </xf>
    <xf numFmtId="0" fontId="22" fillId="0" borderId="0" xfId="0" applyFont="1" applyBorder="1" applyAlignment="1">
      <alignment vertical="top" wrapText="1"/>
    </xf>
    <xf numFmtId="0" fontId="21" fillId="0" borderId="16" xfId="0" applyFont="1" applyBorder="1" applyAlignment="1">
      <alignment horizontal="center"/>
    </xf>
    <xf numFmtId="206" fontId="22" fillId="20" borderId="0" xfId="0" applyNumberFormat="1" applyFont="1" applyFill="1" applyBorder="1" applyAlignment="1">
      <alignment horizontal="right"/>
    </xf>
    <xf numFmtId="0" fontId="22" fillId="20" borderId="16" xfId="0" applyFont="1" applyFill="1" applyBorder="1" applyAlignment="1">
      <alignment horizontal="right"/>
    </xf>
    <xf numFmtId="0" fontId="22" fillId="20" borderId="0" xfId="0" applyFont="1" applyFill="1" applyBorder="1" applyAlignment="1">
      <alignment/>
    </xf>
    <xf numFmtId="37" fontId="22" fillId="20" borderId="0" xfId="0" applyNumberFormat="1" applyFont="1" applyFill="1" applyBorder="1" applyAlignment="1">
      <alignment/>
    </xf>
    <xf numFmtId="37" fontId="22" fillId="20" borderId="11" xfId="0" applyNumberFormat="1" applyFont="1" applyFill="1" applyBorder="1" applyAlignment="1">
      <alignment/>
    </xf>
    <xf numFmtId="179" fontId="22" fillId="20" borderId="10" xfId="42" applyNumberFormat="1" applyFont="1" applyFill="1" applyBorder="1" applyAlignment="1">
      <alignment/>
    </xf>
    <xf numFmtId="179" fontId="22" fillId="20" borderId="0" xfId="42" applyNumberFormat="1" applyFont="1" applyFill="1" applyBorder="1" applyAlignment="1">
      <alignment/>
    </xf>
    <xf numFmtId="39" fontId="22" fillId="20" borderId="0" xfId="0" applyNumberFormat="1" applyFont="1" applyFill="1" applyBorder="1" applyAlignment="1">
      <alignment/>
    </xf>
    <xf numFmtId="39" fontId="22" fillId="20" borderId="16" xfId="42" applyNumberFormat="1" applyFont="1" applyFill="1" applyBorder="1" applyAlignment="1">
      <alignment/>
    </xf>
    <xf numFmtId="1" fontId="22" fillId="20" borderId="0" xfId="0" applyNumberFormat="1" applyFont="1" applyFill="1" applyBorder="1" applyAlignment="1">
      <alignment/>
    </xf>
    <xf numFmtId="40" fontId="22" fillId="20" borderId="16" xfId="0" applyNumberFormat="1" applyFont="1" applyFill="1" applyBorder="1" applyAlignment="1">
      <alignment/>
    </xf>
    <xf numFmtId="37" fontId="22" fillId="20" borderId="0" xfId="0" applyNumberFormat="1" applyFont="1" applyFill="1" applyBorder="1" applyAlignment="1">
      <alignment horizontal="right"/>
    </xf>
    <xf numFmtId="37" fontId="22" fillId="20" borderId="16" xfId="0" applyNumberFormat="1" applyFont="1" applyFill="1" applyBorder="1" applyAlignment="1">
      <alignment horizontal="right"/>
    </xf>
    <xf numFmtId="37" fontId="22" fillId="20" borderId="0" xfId="0" applyNumberFormat="1" applyFont="1" applyFill="1" applyBorder="1" applyAlignment="1">
      <alignment horizontal="center"/>
    </xf>
    <xf numFmtId="41" fontId="22" fillId="20" borderId="0" xfId="0" applyNumberFormat="1" applyFont="1" applyFill="1" applyBorder="1" applyAlignment="1">
      <alignment/>
    </xf>
    <xf numFmtId="41" fontId="22" fillId="20" borderId="12" xfId="0" applyNumberFormat="1" applyFont="1" applyFill="1" applyBorder="1" applyAlignment="1">
      <alignment/>
    </xf>
    <xf numFmtId="41" fontId="22" fillId="20" borderId="11" xfId="0" applyNumberFormat="1" applyFont="1" applyFill="1" applyBorder="1" applyAlignment="1">
      <alignment/>
    </xf>
    <xf numFmtId="41" fontId="22" fillId="20" borderId="10" xfId="0" applyNumberFormat="1" applyFont="1" applyFill="1" applyBorder="1" applyAlignment="1">
      <alignment/>
    </xf>
    <xf numFmtId="179" fontId="22" fillId="20" borderId="11" xfId="42" applyNumberFormat="1" applyFont="1" applyFill="1" applyBorder="1" applyAlignment="1">
      <alignment/>
    </xf>
    <xf numFmtId="0" fontId="21" fillId="20" borderId="0" xfId="0" applyFont="1" applyFill="1" applyBorder="1" applyAlignment="1">
      <alignment/>
    </xf>
    <xf numFmtId="43" fontId="22" fillId="20" borderId="16" xfId="0" applyNumberFormat="1" applyFont="1" applyFill="1" applyBorder="1" applyAlignment="1">
      <alignment/>
    </xf>
    <xf numFmtId="0" fontId="21" fillId="20" borderId="0" xfId="0" applyFont="1" applyFill="1" applyBorder="1" applyAlignment="1">
      <alignment vertical="center"/>
    </xf>
    <xf numFmtId="0" fontId="21" fillId="20" borderId="0" xfId="0" applyFont="1" applyFill="1" applyBorder="1" applyAlignment="1">
      <alignment/>
    </xf>
    <xf numFmtId="0" fontId="22" fillId="20" borderId="0" xfId="0" applyFont="1" applyFill="1" applyBorder="1" applyAlignment="1">
      <alignment horizontal="right" wrapText="1"/>
    </xf>
    <xf numFmtId="41" fontId="22" fillId="20" borderId="0" xfId="0" applyNumberFormat="1" applyFont="1" applyFill="1" applyBorder="1" applyAlignment="1">
      <alignment horizontal="right" wrapText="1"/>
    </xf>
    <xf numFmtId="0" fontId="21" fillId="20" borderId="16" xfId="0" applyFont="1" applyFill="1" applyBorder="1" applyAlignment="1">
      <alignment/>
    </xf>
    <xf numFmtId="41" fontId="22" fillId="20" borderId="16" xfId="0" applyNumberFormat="1" applyFont="1" applyFill="1" applyBorder="1" applyAlignment="1">
      <alignment horizontal="right" wrapText="1"/>
    </xf>
    <xf numFmtId="41" fontId="22" fillId="20" borderId="0" xfId="0" applyNumberFormat="1" applyFont="1" applyFill="1" applyBorder="1" applyAlignment="1">
      <alignment horizontal="center" wrapText="1"/>
    </xf>
    <xf numFmtId="37" fontId="22" fillId="20" borderId="0" xfId="42" applyNumberFormat="1" applyFont="1" applyFill="1" applyBorder="1" applyAlignment="1">
      <alignment/>
    </xf>
    <xf numFmtId="37" fontId="22" fillId="20" borderId="0" xfId="42" applyNumberFormat="1" applyFont="1" applyFill="1" applyBorder="1" applyAlignment="1">
      <alignment vertical="center" wrapText="1"/>
    </xf>
    <xf numFmtId="179" fontId="22" fillId="20" borderId="0" xfId="42" applyNumberFormat="1" applyFont="1" applyFill="1" applyBorder="1" applyAlignment="1">
      <alignment vertical="center" wrapText="1"/>
    </xf>
    <xf numFmtId="0" fontId="22" fillId="20" borderId="0" xfId="0" applyFont="1" applyFill="1" applyBorder="1" applyAlignment="1">
      <alignment wrapText="1"/>
    </xf>
    <xf numFmtId="179" fontId="22" fillId="20" borderId="0" xfId="42" applyNumberFormat="1" applyFont="1" applyFill="1" applyBorder="1" applyAlignment="1">
      <alignment/>
    </xf>
    <xf numFmtId="0" fontId="22" fillId="20" borderId="0" xfId="0" applyFont="1" applyFill="1" applyBorder="1" applyAlignment="1">
      <alignment vertical="center" wrapText="1"/>
    </xf>
    <xf numFmtId="179" fontId="22" fillId="20" borderId="0" xfId="42" applyNumberFormat="1" applyFont="1" applyFill="1" applyBorder="1" applyAlignment="1">
      <alignment vertical="center"/>
    </xf>
    <xf numFmtId="37" fontId="22" fillId="20" borderId="0" xfId="42" applyNumberFormat="1" applyFont="1" applyFill="1" applyBorder="1" applyAlignment="1">
      <alignment vertical="center"/>
    </xf>
    <xf numFmtId="0" fontId="22" fillId="20" borderId="10" xfId="0" applyFont="1" applyFill="1" applyBorder="1" applyAlignment="1">
      <alignment/>
    </xf>
    <xf numFmtId="179" fontId="22" fillId="20" borderId="0" xfId="42" applyNumberFormat="1" applyFont="1" applyFill="1" applyBorder="1" applyAlignment="1">
      <alignment horizontal="right"/>
    </xf>
    <xf numFmtId="179" fontId="22" fillId="20" borderId="11" xfId="42" applyNumberFormat="1" applyFont="1" applyFill="1" applyBorder="1" applyAlignment="1">
      <alignment horizontal="right"/>
    </xf>
    <xf numFmtId="179" fontId="22" fillId="20" borderId="12" xfId="42" applyNumberFormat="1" applyFont="1" applyFill="1" applyBorder="1" applyAlignment="1">
      <alignment horizontal="right"/>
    </xf>
    <xf numFmtId="179" fontId="22" fillId="20" borderId="10" xfId="42" applyNumberFormat="1" applyFont="1" applyFill="1" applyBorder="1" applyAlignment="1">
      <alignment horizontal="right"/>
    </xf>
    <xf numFmtId="179" fontId="22" fillId="20" borderId="0" xfId="42" applyNumberFormat="1" applyFont="1" applyFill="1" applyBorder="1" applyAlignment="1">
      <alignment horizontal="right" vertical="top"/>
    </xf>
    <xf numFmtId="0" fontId="22" fillId="20" borderId="0" xfId="0" applyFont="1" applyFill="1" applyBorder="1" applyAlignment="1">
      <alignment horizontal="right" vertical="top"/>
    </xf>
    <xf numFmtId="179" fontId="22" fillId="20" borderId="0" xfId="0" applyNumberFormat="1" applyFont="1" applyFill="1" applyBorder="1" applyAlignment="1">
      <alignment/>
    </xf>
    <xf numFmtId="179" fontId="22" fillId="20" borderId="10" xfId="42" applyNumberFormat="1" applyFont="1" applyFill="1" applyBorder="1" applyAlignment="1">
      <alignment vertical="top"/>
    </xf>
    <xf numFmtId="179" fontId="22" fillId="20" borderId="0" xfId="42" applyNumberFormat="1" applyFont="1" applyFill="1" applyBorder="1" applyAlignment="1">
      <alignment vertical="top"/>
    </xf>
    <xf numFmtId="0" fontId="22" fillId="20" borderId="0" xfId="0" applyFont="1" applyFill="1" applyBorder="1" applyAlignment="1">
      <alignment vertical="top"/>
    </xf>
    <xf numFmtId="179" fontId="22" fillId="20" borderId="11" xfId="0" applyNumberFormat="1" applyFont="1" applyFill="1" applyBorder="1" applyAlignment="1">
      <alignment/>
    </xf>
    <xf numFmtId="0" fontId="22" fillId="20" borderId="0" xfId="0" applyFont="1" applyFill="1" applyBorder="1" applyAlignment="1">
      <alignment horizontal="right"/>
    </xf>
    <xf numFmtId="0" fontId="22" fillId="20" borderId="0" xfId="0" applyFont="1" applyFill="1" applyBorder="1" applyAlignment="1">
      <alignment horizontal="center" vertical="top"/>
    </xf>
    <xf numFmtId="179" fontId="22" fillId="20" borderId="11" xfId="42" applyNumberFormat="1" applyFont="1" applyFill="1" applyBorder="1" applyAlignment="1">
      <alignment vertical="top"/>
    </xf>
    <xf numFmtId="179" fontId="22" fillId="20" borderId="0" xfId="42" applyNumberFormat="1" applyFont="1" applyFill="1" applyBorder="1" applyAlignment="1">
      <alignment horizontal="center" vertical="top"/>
    </xf>
    <xf numFmtId="179" fontId="22" fillId="20" borderId="16" xfId="42" applyNumberFormat="1" applyFont="1" applyFill="1" applyBorder="1" applyAlignment="1">
      <alignment vertical="top"/>
    </xf>
    <xf numFmtId="0" fontId="21" fillId="20" borderId="0" xfId="0" applyFont="1" applyFill="1" applyBorder="1" applyAlignment="1">
      <alignment vertical="top"/>
    </xf>
    <xf numFmtId="0" fontId="22" fillId="20" borderId="0" xfId="0" applyFont="1" applyFill="1" applyBorder="1" applyAlignment="1">
      <alignment horizontal="justify" vertical="top"/>
    </xf>
    <xf numFmtId="37" fontId="22" fillId="20" borderId="0" xfId="0" applyNumberFormat="1" applyFont="1" applyFill="1" applyBorder="1" applyAlignment="1">
      <alignment horizontal="right" vertical="top"/>
    </xf>
    <xf numFmtId="37" fontId="22" fillId="20" borderId="0" xfId="0" applyNumberFormat="1" applyFont="1" applyFill="1" applyBorder="1" applyAlignment="1">
      <alignment vertical="top"/>
    </xf>
    <xf numFmtId="179" fontId="22" fillId="20" borderId="10" xfId="0" applyNumberFormat="1" applyFont="1" applyFill="1" applyBorder="1" applyAlignment="1">
      <alignment vertical="top"/>
    </xf>
    <xf numFmtId="43" fontId="22" fillId="20" borderId="16" xfId="42" applyFont="1" applyFill="1" applyBorder="1" applyAlignment="1">
      <alignment vertical="top"/>
    </xf>
    <xf numFmtId="179" fontId="22" fillId="20" borderId="0" xfId="0" applyNumberFormat="1" applyFont="1" applyFill="1" applyBorder="1" applyAlignment="1">
      <alignment horizontal="center" vertical="top"/>
    </xf>
    <xf numFmtId="0" fontId="20" fillId="0" borderId="0" xfId="0" applyFont="1" applyFill="1" applyBorder="1" applyAlignment="1">
      <alignment horizontal="left" vertical="center"/>
    </xf>
    <xf numFmtId="0" fontId="21" fillId="0" borderId="0" xfId="0" applyFont="1" applyFill="1" applyBorder="1" applyAlignment="1">
      <alignment horizontal="right" vertical="center"/>
    </xf>
    <xf numFmtId="0" fontId="27" fillId="0" borderId="16" xfId="0" applyFont="1" applyFill="1" applyBorder="1" applyAlignment="1">
      <alignment vertical="center"/>
    </xf>
    <xf numFmtId="0" fontId="20" fillId="0" borderId="16" xfId="0" applyFont="1" applyFill="1" applyBorder="1" applyAlignment="1">
      <alignment horizontal="left" vertical="center"/>
    </xf>
    <xf numFmtId="0" fontId="21" fillId="0" borderId="16" xfId="0" applyFont="1" applyFill="1" applyBorder="1" applyAlignment="1">
      <alignment horizontal="center"/>
    </xf>
    <xf numFmtId="0" fontId="20" fillId="0" borderId="0" xfId="0" applyFont="1" applyAlignment="1">
      <alignment/>
    </xf>
    <xf numFmtId="0" fontId="20" fillId="0" borderId="16" xfId="0" applyFont="1" applyBorder="1" applyAlignment="1">
      <alignment/>
    </xf>
    <xf numFmtId="0" fontId="27" fillId="0" borderId="16" xfId="0" applyFont="1" applyBorder="1" applyAlignment="1">
      <alignment/>
    </xf>
    <xf numFmtId="179" fontId="22" fillId="20" borderId="16" xfId="42" applyNumberFormat="1" applyFont="1" applyFill="1" applyBorder="1" applyAlignment="1" quotePrefix="1">
      <alignment horizontal="center" vertical="top"/>
    </xf>
    <xf numFmtId="0" fontId="22" fillId="20" borderId="16" xfId="0" applyFont="1" applyFill="1" applyBorder="1" applyAlignment="1">
      <alignment vertical="top"/>
    </xf>
    <xf numFmtId="0" fontId="22" fillId="20" borderId="0" xfId="0" applyFont="1" applyFill="1" applyBorder="1" applyAlignment="1" quotePrefix="1">
      <alignment horizontal="center" vertical="top"/>
    </xf>
    <xf numFmtId="179" fontId="22" fillId="20" borderId="16" xfId="0" applyNumberFormat="1" applyFont="1" applyFill="1" applyBorder="1" applyAlignment="1" quotePrefix="1">
      <alignment horizontal="center" vertical="top"/>
    </xf>
    <xf numFmtId="179" fontId="22" fillId="20" borderId="0" xfId="42" applyNumberFormat="1" applyFont="1" applyFill="1" applyBorder="1" applyAlignment="1" quotePrefix="1">
      <alignment horizontal="center" vertical="top"/>
    </xf>
    <xf numFmtId="179" fontId="22" fillId="20" borderId="11" xfId="42" applyNumberFormat="1" applyFont="1" applyFill="1" applyBorder="1" applyAlignment="1">
      <alignment horizontal="right" vertical="top"/>
    </xf>
    <xf numFmtId="179" fontId="22" fillId="20" borderId="10" xfId="0" applyNumberFormat="1" applyFont="1" applyFill="1" applyBorder="1" applyAlignment="1">
      <alignment horizontal="center"/>
    </xf>
    <xf numFmtId="179" fontId="22" fillId="20" borderId="16" xfId="42" applyNumberFormat="1" applyFont="1" applyFill="1" applyBorder="1" applyAlignment="1">
      <alignment/>
    </xf>
    <xf numFmtId="0" fontId="21" fillId="0" borderId="0" xfId="0" applyFont="1" applyAlignment="1">
      <alignment horizontal="justify" vertical="top"/>
    </xf>
    <xf numFmtId="0" fontId="28" fillId="0" borderId="0" xfId="0" applyFont="1" applyFill="1" applyBorder="1" applyAlignment="1">
      <alignment horizontal="center"/>
    </xf>
    <xf numFmtId="0" fontId="21" fillId="0" borderId="0" xfId="0" applyFont="1" applyFill="1" applyBorder="1" applyAlignment="1">
      <alignment horizontal="left" vertical="top"/>
    </xf>
    <xf numFmtId="0" fontId="21" fillId="0" borderId="0" xfId="0" applyFont="1" applyFill="1" applyBorder="1" applyAlignment="1">
      <alignment horizontal="left" vertical="justify" wrapText="1"/>
    </xf>
    <xf numFmtId="0" fontId="21" fillId="0" borderId="0" xfId="0" applyFont="1" applyFill="1" applyBorder="1" applyAlignment="1">
      <alignment horizontal="left" vertical="justify"/>
    </xf>
    <xf numFmtId="0" fontId="22" fillId="0" borderId="0" xfId="0" applyFont="1" applyBorder="1" applyAlignment="1">
      <alignment horizontal="left" vertical="top"/>
    </xf>
    <xf numFmtId="0" fontId="21" fillId="0" borderId="0" xfId="0" applyFont="1" applyAlignment="1">
      <alignment vertical="top" wrapText="1"/>
    </xf>
    <xf numFmtId="0" fontId="22" fillId="0" borderId="0" xfId="0" applyFont="1" applyBorder="1" applyAlignment="1">
      <alignment horizontal="left" vertical="top" wrapText="1"/>
    </xf>
    <xf numFmtId="0" fontId="22" fillId="0" borderId="0" xfId="0" applyFont="1" applyBorder="1" applyAlignment="1">
      <alignment horizontal="left"/>
    </xf>
    <xf numFmtId="0" fontId="22" fillId="0" borderId="16" xfId="0" applyFont="1" applyBorder="1" applyAlignment="1">
      <alignment horizontal="left" vertical="center"/>
    </xf>
    <xf numFmtId="0" fontId="27" fillId="0" borderId="0" xfId="0" applyFont="1" applyAlignment="1">
      <alignment horizontal="left"/>
    </xf>
    <xf numFmtId="0" fontId="29" fillId="0" borderId="0" xfId="0" applyFont="1" applyAlignment="1">
      <alignment horizontal="left"/>
    </xf>
    <xf numFmtId="0" fontId="20" fillId="0" borderId="0" xfId="0" applyFont="1" applyFill="1" applyBorder="1" applyAlignment="1">
      <alignment horizontal="left" vertical="center"/>
    </xf>
    <xf numFmtId="0" fontId="21" fillId="0" borderId="0" xfId="0" applyFont="1" applyFill="1" applyBorder="1" applyAlignment="1">
      <alignment horizontal="justify" wrapText="1"/>
    </xf>
    <xf numFmtId="0" fontId="27" fillId="0" borderId="0" xfId="0" applyFont="1" applyFill="1" applyBorder="1" applyAlignment="1">
      <alignment horizontal="left" vertical="center"/>
    </xf>
    <xf numFmtId="41" fontId="22" fillId="20" borderId="11" xfId="0" applyNumberFormat="1" applyFont="1" applyFill="1" applyBorder="1" applyAlignment="1">
      <alignment horizontal="center" vertical="center" wrapText="1"/>
    </xf>
    <xf numFmtId="0" fontId="22" fillId="0" borderId="16" xfId="0" applyFont="1" applyFill="1" applyBorder="1" applyAlignment="1">
      <alignment horizontal="center" vertical="center"/>
    </xf>
    <xf numFmtId="0" fontId="21" fillId="0" borderId="0" xfId="0" applyFont="1" applyFill="1" applyBorder="1" applyAlignment="1">
      <alignment horizontal="justify"/>
    </xf>
    <xf numFmtId="0" fontId="22" fillId="0" borderId="0" xfId="0" applyFont="1" applyBorder="1" applyAlignment="1">
      <alignment horizontal="justify"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left" vertical="top"/>
    </xf>
    <xf numFmtId="0" fontId="21" fillId="0" borderId="0" xfId="0" applyFont="1" applyBorder="1" applyAlignment="1">
      <alignment horizontal="justify" vertical="top"/>
    </xf>
    <xf numFmtId="0" fontId="20" fillId="0" borderId="16" xfId="0" applyFont="1" applyBorder="1" applyAlignment="1">
      <alignment horizontal="left"/>
    </xf>
    <xf numFmtId="0" fontId="21" fillId="0" borderId="0" xfId="0" applyNumberFormat="1" applyFont="1" applyBorder="1" applyAlignment="1">
      <alignment horizontal="justify" vertical="top" wrapText="1"/>
    </xf>
    <xf numFmtId="0" fontId="21" fillId="0" borderId="0" xfId="0" applyFont="1" applyBorder="1" applyAlignment="1">
      <alignment horizontal="justify" vertical="top" wrapText="1"/>
    </xf>
    <xf numFmtId="0" fontId="23" fillId="0" borderId="0" xfId="0" applyFont="1" applyFill="1" applyBorder="1" applyAlignment="1">
      <alignment horizontal="left" vertical="justify" wrapText="1"/>
    </xf>
    <xf numFmtId="0" fontId="21" fillId="0" borderId="0" xfId="0" applyFont="1" applyFill="1" applyBorder="1" applyAlignment="1">
      <alignment horizontal="justify" vertical="top"/>
    </xf>
    <xf numFmtId="0" fontId="21" fillId="0" borderId="0" xfId="0" applyFont="1" applyFill="1" applyBorder="1" applyAlignment="1">
      <alignment horizontal="justify" vertical="top" wrapText="1"/>
    </xf>
    <xf numFmtId="0" fontId="21" fillId="0" borderId="0" xfId="0" applyNumberFormat="1" applyFont="1" applyFill="1" applyBorder="1" applyAlignment="1">
      <alignment horizontal="justify" vertical="top" wrapText="1"/>
    </xf>
    <xf numFmtId="0" fontId="22" fillId="0" borderId="0" xfId="0" applyFont="1" applyBorder="1" applyAlignment="1">
      <alignment horizontal="center" vertical="top"/>
    </xf>
    <xf numFmtId="0" fontId="21" fillId="0" borderId="0" xfId="0" applyFont="1" applyFill="1" applyAlignment="1">
      <alignment horizontal="justify" vertical="top" wrapText="1"/>
    </xf>
    <xf numFmtId="0" fontId="21" fillId="0" borderId="0" xfId="0" applyFont="1" applyFill="1" applyAlignment="1">
      <alignment horizontal="justify" vertical="top"/>
    </xf>
    <xf numFmtId="0" fontId="21" fillId="0" borderId="0"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heet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UEYCHI\Conso\2010\GOLDIS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UEYCHI\Conso\2010\Other%202010\Quoted%20Investment%20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UEYCHI\Conso\2010\Other%202010\EPS%202010%20(Q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FNotesJan10"/>
      <sheetName val="CFJan10"/>
      <sheetName val="Jan10"/>
      <sheetName val="Jan10 Adj"/>
      <sheetName val="Equity Jan10"/>
      <sheetName val="CFNotesOct09"/>
      <sheetName val="CFOct09"/>
      <sheetName val="Oct09"/>
      <sheetName val="Oct09 Adj"/>
      <sheetName val="Equity Oct09"/>
      <sheetName val="CFNotesJul09"/>
      <sheetName val="CFJul09"/>
      <sheetName val="Jul09"/>
      <sheetName val="Jul09 Adj"/>
      <sheetName val="Equity Jul09"/>
      <sheetName val="CFNotesApr09"/>
      <sheetName val="CFApr09"/>
      <sheetName val="Apr09"/>
      <sheetName val="Apr09 Adj"/>
      <sheetName val="Equity Apr09"/>
      <sheetName val="opening adj"/>
      <sheetName val="CFNotesJan09"/>
      <sheetName val="CFJan09"/>
      <sheetName val="Jan09"/>
      <sheetName val="Jan09 Adj"/>
      <sheetName val="Equity Jan09"/>
      <sheetName val="SubsiCapital"/>
      <sheetName val="Oct 06 Adj "/>
      <sheetName val="Oct 06"/>
      <sheetName val="CFOct06"/>
      <sheetName val="Equity Oct"/>
      <sheetName val="Jul 06"/>
      <sheetName val="Equity Jul"/>
      <sheetName val="Jul 06 Adj "/>
      <sheetName val="CFJul06"/>
      <sheetName val="Equity Apr"/>
      <sheetName val="Apr 06"/>
      <sheetName val="Apr 06 Adj"/>
      <sheetName val="CFApr06"/>
    </sheetNames>
    <sheetDataSet>
      <sheetData sheetId="1">
        <row r="124">
          <cell r="E124">
            <v>209578944.5</v>
          </cell>
        </row>
        <row r="125">
          <cell r="E125">
            <v>-158045416.3776207</v>
          </cell>
        </row>
        <row r="128">
          <cell r="E128">
            <v>-5970715.536818076</v>
          </cell>
        </row>
        <row r="129">
          <cell r="E129">
            <v>369101.54000000004</v>
          </cell>
        </row>
        <row r="131">
          <cell r="E131">
            <v>-511435.3069083042</v>
          </cell>
        </row>
        <row r="138">
          <cell r="E138">
            <v>-7302189</v>
          </cell>
        </row>
        <row r="148">
          <cell r="E148">
            <v>12861090</v>
          </cell>
        </row>
        <row r="155">
          <cell r="E155">
            <v>-12787</v>
          </cell>
        </row>
        <row r="157">
          <cell r="E157">
            <v>-107285733.34292838</v>
          </cell>
        </row>
        <row r="158">
          <cell r="E158">
            <v>-5315790.14</v>
          </cell>
        </row>
        <row r="160">
          <cell r="E160">
            <v>0</v>
          </cell>
        </row>
        <row r="162">
          <cell r="E162">
            <v>-790072</v>
          </cell>
        </row>
        <row r="171">
          <cell r="E171">
            <v>1278000.0600000024</v>
          </cell>
        </row>
        <row r="173">
          <cell r="E173">
            <v>-19673358</v>
          </cell>
        </row>
        <row r="174">
          <cell r="E174">
            <v>85750000</v>
          </cell>
        </row>
        <row r="176">
          <cell r="E176">
            <v>-291519</v>
          </cell>
        </row>
        <row r="177">
          <cell r="E177">
            <v>16604652.7</v>
          </cell>
        </row>
        <row r="178">
          <cell r="E178">
            <v>-488865.1453379999</v>
          </cell>
        </row>
        <row r="180">
          <cell r="E180">
            <v>-174800</v>
          </cell>
        </row>
        <row r="186">
          <cell r="E186">
            <v>-952347.2840759996</v>
          </cell>
        </row>
        <row r="195">
          <cell r="E195">
            <v>18398529.39</v>
          </cell>
        </row>
        <row r="196">
          <cell r="E196">
            <v>57716211.37543299</v>
          </cell>
        </row>
        <row r="197">
          <cell r="E197">
            <v>-177066</v>
          </cell>
        </row>
        <row r="199">
          <cell r="E199">
            <v>-3960567</v>
          </cell>
        </row>
      </sheetData>
      <sheetData sheetId="2">
        <row r="10">
          <cell r="W10">
            <v>197012629.12990475</v>
          </cell>
        </row>
        <row r="12">
          <cell r="W12">
            <v>-122360350.59350368</v>
          </cell>
        </row>
        <row r="16">
          <cell r="W16">
            <v>3714372.0171202105</v>
          </cell>
        </row>
        <row r="18">
          <cell r="W18">
            <v>-26867922.798945148</v>
          </cell>
        </row>
        <row r="20">
          <cell r="W20">
            <v>-51872687.58339211</v>
          </cell>
        </row>
        <row r="22">
          <cell r="W22">
            <v>-3324710.193821721</v>
          </cell>
        </row>
        <row r="28">
          <cell r="W28">
            <v>-5970715.536818076</v>
          </cell>
        </row>
        <row r="30">
          <cell r="W30">
            <v>49739924.599999994</v>
          </cell>
        </row>
        <row r="38">
          <cell r="W38">
            <v>642439.1888368957</v>
          </cell>
        </row>
        <row r="44">
          <cell r="W44">
            <v>38525281.14553121</v>
          </cell>
        </row>
        <row r="45">
          <cell r="W45">
            <v>2187697.0838499</v>
          </cell>
        </row>
        <row r="91">
          <cell r="W91">
            <v>119122580.93631585</v>
          </cell>
        </row>
        <row r="92">
          <cell r="W92">
            <v>296334162.5</v>
          </cell>
        </row>
        <row r="93">
          <cell r="W93">
            <v>4844159</v>
          </cell>
        </row>
        <row r="94">
          <cell r="W94">
            <v>13407083.3875458</v>
          </cell>
        </row>
        <row r="95">
          <cell r="W95">
            <v>7399519.882300001</v>
          </cell>
        </row>
        <row r="96">
          <cell r="W96">
            <v>3236649.3798098</v>
          </cell>
        </row>
        <row r="98">
          <cell r="W98">
            <v>909975429.5888541</v>
          </cell>
        </row>
        <row r="100">
          <cell r="W100">
            <v>1306990.625</v>
          </cell>
        </row>
        <row r="103">
          <cell r="W103">
            <v>3601638.5</v>
          </cell>
        </row>
        <row r="106">
          <cell r="W106">
            <v>0</v>
          </cell>
        </row>
        <row r="107">
          <cell r="W107">
            <v>21530275.490784712</v>
          </cell>
        </row>
        <row r="108">
          <cell r="W108">
            <v>3053696</v>
          </cell>
        </row>
        <row r="109">
          <cell r="W109">
            <v>49970172.80267769</v>
          </cell>
        </row>
        <row r="110">
          <cell r="W110">
            <v>3919778.4223903995</v>
          </cell>
        </row>
        <row r="111">
          <cell r="W111">
            <v>299871</v>
          </cell>
        </row>
        <row r="112">
          <cell r="W112">
            <v>4442457.180198</v>
          </cell>
        </row>
        <row r="113">
          <cell r="W113">
            <v>3739317.444845967</v>
          </cell>
        </row>
        <row r="114">
          <cell r="W114">
            <v>2120639.0949999997</v>
          </cell>
        </row>
        <row r="118">
          <cell r="W118">
            <v>48737</v>
          </cell>
        </row>
        <row r="119">
          <cell r="W119">
            <v>18398529.39</v>
          </cell>
        </row>
        <row r="120">
          <cell r="W120">
            <v>57716211.37543299</v>
          </cell>
        </row>
        <row r="124">
          <cell r="W124">
            <v>20873458.227445602</v>
          </cell>
        </row>
        <row r="125">
          <cell r="W125">
            <v>40446502.70246095</v>
          </cell>
        </row>
        <row r="126">
          <cell r="W126">
            <v>12305633.409292601</v>
          </cell>
        </row>
        <row r="127">
          <cell r="W127">
            <v>3081210.2928604</v>
          </cell>
        </row>
        <row r="128">
          <cell r="W128">
            <v>1371717.4500000002</v>
          </cell>
        </row>
        <row r="129">
          <cell r="W129">
            <v>502784.57812900003</v>
          </cell>
        </row>
        <row r="134">
          <cell r="W134">
            <v>260538493.10073</v>
          </cell>
        </row>
        <row r="135">
          <cell r="W135">
            <v>177066</v>
          </cell>
        </row>
        <row r="136">
          <cell r="W136">
            <v>86892.559407</v>
          </cell>
        </row>
        <row r="143">
          <cell r="W143">
            <v>118227</v>
          </cell>
        </row>
        <row r="144">
          <cell r="W144">
            <v>339697.777933</v>
          </cell>
        </row>
        <row r="145">
          <cell r="W145">
            <v>9846854</v>
          </cell>
        </row>
        <row r="148">
          <cell r="W148">
            <v>11793690.16</v>
          </cell>
        </row>
        <row r="156">
          <cell r="W156">
            <v>486711745</v>
          </cell>
        </row>
        <row r="157">
          <cell r="W157">
            <v>290905089</v>
          </cell>
        </row>
        <row r="159">
          <cell r="W159">
            <v>3500000</v>
          </cell>
        </row>
        <row r="160">
          <cell r="W160">
            <v>438127.00925599993</v>
          </cell>
        </row>
        <row r="162">
          <cell r="W162">
            <v>241531</v>
          </cell>
        </row>
        <row r="163">
          <cell r="W163">
            <v>362750931.56955445</v>
          </cell>
        </row>
        <row r="165">
          <cell r="W165">
            <v>18438247.873622965</v>
          </cell>
        </row>
        <row r="174">
          <cell r="V174">
            <v>12014217.067501891</v>
          </cell>
        </row>
        <row r="175">
          <cell r="V175">
            <v>-12532851.74</v>
          </cell>
        </row>
        <row r="176">
          <cell r="V176">
            <v>2938431.3430031645</v>
          </cell>
        </row>
        <row r="177">
          <cell r="V177">
            <v>-2590030.1212500054</v>
          </cell>
        </row>
        <row r="178">
          <cell r="V178">
            <v>1803954.1268015797</v>
          </cell>
        </row>
        <row r="179">
          <cell r="V179">
            <v>-3882688.716694353</v>
          </cell>
        </row>
        <row r="180">
          <cell r="V180">
            <v>-1449701.9819999998</v>
          </cell>
        </row>
        <row r="209">
          <cell r="C209">
            <v>67399788.2</v>
          </cell>
          <cell r="E209">
            <v>69353481.80584754</v>
          </cell>
          <cell r="F209">
            <v>53306956.784</v>
          </cell>
          <cell r="G209">
            <v>6328069.03505718</v>
          </cell>
          <cell r="H209">
            <v>618200.3050000002</v>
          </cell>
          <cell r="I209">
            <v>6133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r08"/>
      <sheetName val="Jul08"/>
      <sheetName val="Oct08"/>
      <sheetName val="Jan09"/>
      <sheetName val="Apr09"/>
      <sheetName val="Jul09"/>
      <sheetName val="Oct09"/>
      <sheetName val="Jan10"/>
      <sheetName val="Sheet2"/>
      <sheetName val="Sheet3"/>
    </sheetNames>
    <sheetDataSet>
      <sheetData sheetId="7">
        <row r="15">
          <cell r="C15">
            <v>3071994.5875000004</v>
          </cell>
          <cell r="E15">
            <v>3071994.5875000004</v>
          </cell>
          <cell r="F15">
            <v>3650302.7794399997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ighted"/>
      <sheetName val="EPSJan10"/>
      <sheetName val="EPS2010"/>
      <sheetName val="EPSJan09_revised"/>
      <sheetName val="EPSOct08_revised"/>
      <sheetName val="EPSJul08_revised"/>
      <sheetName val="DEPS2010"/>
      <sheetName val="SharePrice2010"/>
      <sheetName val="exercise"/>
    </sheetNames>
    <sheetDataSet>
      <sheetData sheetId="0">
        <row r="20">
          <cell r="G20">
            <v>487005067.4637681</v>
          </cell>
          <cell r="L20">
            <v>486707855.0456621</v>
          </cell>
        </row>
      </sheetData>
      <sheetData sheetId="1">
        <row r="19">
          <cell r="E19">
            <v>11738.526938851319</v>
          </cell>
          <cell r="G19">
            <v>11738.526938851319</v>
          </cell>
        </row>
        <row r="79">
          <cell r="E79">
            <v>2.2733228793489766</v>
          </cell>
          <cell r="G79">
            <v>8.533743708945428</v>
          </cell>
        </row>
        <row r="80">
          <cell r="E80">
            <v>2.270255166136474</v>
          </cell>
          <cell r="G80">
            <v>8.5222278925246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115"/>
  <sheetViews>
    <sheetView tabSelected="1" zoomScalePageLayoutView="0" workbookViewId="0" topLeftCell="A16">
      <selection activeCell="C27" sqref="C27"/>
    </sheetView>
  </sheetViews>
  <sheetFormatPr defaultColWidth="9.140625" defaultRowHeight="12.75"/>
  <cols>
    <col min="1" max="1" width="0.85546875" style="19" customWidth="1"/>
    <col min="2" max="2" width="5.00390625" style="169" customWidth="1"/>
    <col min="3" max="3" width="70.8515625" style="19" customWidth="1"/>
    <col min="4" max="16384" width="9.140625" style="19" customWidth="1"/>
  </cols>
  <sheetData>
    <row r="1" spans="1:5" ht="15" customHeight="1">
      <c r="A1" s="271" t="s">
        <v>221</v>
      </c>
      <c r="B1" s="271"/>
      <c r="C1" s="271"/>
      <c r="D1" s="271"/>
      <c r="E1" s="271"/>
    </row>
    <row r="2" spans="1:3" ht="15" customHeight="1">
      <c r="A2" s="270" t="s">
        <v>301</v>
      </c>
      <c r="B2" s="270"/>
      <c r="C2" s="270"/>
    </row>
    <row r="3" spans="1:5" ht="15" customHeight="1">
      <c r="A3" s="272" t="s">
        <v>296</v>
      </c>
      <c r="B3" s="272"/>
      <c r="C3" s="272"/>
      <c r="D3" s="272"/>
      <c r="E3" s="272"/>
    </row>
    <row r="4" s="3" customFormat="1" ht="15" customHeight="1">
      <c r="B4" s="151"/>
    </row>
    <row r="5" spans="1:5" s="3" customFormat="1" ht="15" customHeight="1" thickBot="1">
      <c r="A5" s="166"/>
      <c r="B5" s="183"/>
      <c r="C5" s="166"/>
      <c r="D5" s="166"/>
      <c r="E5" s="166"/>
    </row>
    <row r="6" spans="1:5" s="80" customFormat="1" ht="15" customHeight="1" thickBot="1">
      <c r="A6" s="269" t="s">
        <v>112</v>
      </c>
      <c r="B6" s="269"/>
      <c r="C6" s="269"/>
      <c r="D6" s="179"/>
      <c r="E6" s="179"/>
    </row>
    <row r="7" s="3" customFormat="1" ht="15" customHeight="1">
      <c r="B7" s="151"/>
    </row>
    <row r="8" spans="1:3" s="38" customFormat="1" ht="15" customHeight="1">
      <c r="A8" s="268" t="s">
        <v>29</v>
      </c>
      <c r="B8" s="268"/>
      <c r="C8" s="268"/>
    </row>
    <row r="9" s="38" customFormat="1" ht="15" customHeight="1">
      <c r="B9" s="152"/>
    </row>
    <row r="10" spans="1:2" s="153" customFormat="1" ht="15" customHeight="1">
      <c r="A10" s="153" t="s">
        <v>51</v>
      </c>
      <c r="B10" s="154"/>
    </row>
    <row r="11" s="153" customFormat="1" ht="15" customHeight="1">
      <c r="B11" s="154"/>
    </row>
    <row r="12" spans="1:2" s="153" customFormat="1" ht="15" customHeight="1">
      <c r="A12" s="153" t="s">
        <v>30</v>
      </c>
      <c r="B12" s="154"/>
    </row>
    <row r="13" s="153" customFormat="1" ht="15" customHeight="1">
      <c r="B13" s="154"/>
    </row>
    <row r="14" spans="1:2" s="153" customFormat="1" ht="15" customHeight="1">
      <c r="A14" s="153" t="s">
        <v>31</v>
      </c>
      <c r="B14" s="154"/>
    </row>
    <row r="15" s="80" customFormat="1" ht="15" customHeight="1">
      <c r="B15" s="155"/>
    </row>
    <row r="16" spans="1:2" s="80" customFormat="1" ht="15" customHeight="1">
      <c r="A16" s="153" t="s">
        <v>164</v>
      </c>
      <c r="B16" s="155"/>
    </row>
    <row r="17" spans="1:8" s="80" customFormat="1" ht="15" customHeight="1">
      <c r="A17" s="267" t="s">
        <v>220</v>
      </c>
      <c r="B17" s="267"/>
      <c r="C17" s="267"/>
      <c r="D17" s="267"/>
      <c r="E17" s="267"/>
      <c r="F17" s="182"/>
      <c r="G17" s="182"/>
      <c r="H17" s="182"/>
    </row>
    <row r="18" spans="2:3" s="80" customFormat="1" ht="15" customHeight="1">
      <c r="B18" s="165" t="s">
        <v>222</v>
      </c>
      <c r="C18" s="3" t="s">
        <v>303</v>
      </c>
    </row>
    <row r="19" spans="2:3" s="80" customFormat="1" ht="15" customHeight="1">
      <c r="B19" s="165" t="s">
        <v>226</v>
      </c>
      <c r="C19" s="80" t="s">
        <v>227</v>
      </c>
    </row>
    <row r="20" spans="2:3" s="80" customFormat="1" ht="15" customHeight="1">
      <c r="B20" s="165" t="s">
        <v>228</v>
      </c>
      <c r="C20" s="80" t="s">
        <v>302</v>
      </c>
    </row>
    <row r="21" spans="2:3" s="80" customFormat="1" ht="15" customHeight="1">
      <c r="B21" s="165" t="s">
        <v>230</v>
      </c>
      <c r="C21" s="80" t="s">
        <v>231</v>
      </c>
    </row>
    <row r="22" spans="2:3" s="80" customFormat="1" ht="15" customHeight="1">
      <c r="B22" s="165" t="s">
        <v>232</v>
      </c>
      <c r="C22" s="20" t="s">
        <v>304</v>
      </c>
    </row>
    <row r="23" spans="2:3" s="80" customFormat="1" ht="15" customHeight="1">
      <c r="B23" s="165" t="s">
        <v>234</v>
      </c>
      <c r="C23" s="9" t="s">
        <v>235</v>
      </c>
    </row>
    <row r="24" spans="2:3" s="80" customFormat="1" ht="15" customHeight="1">
      <c r="B24" s="165" t="s">
        <v>236</v>
      </c>
      <c r="C24" s="20" t="s">
        <v>60</v>
      </c>
    </row>
    <row r="25" spans="2:3" s="80" customFormat="1" ht="15" customHeight="1">
      <c r="B25" s="165" t="s">
        <v>239</v>
      </c>
      <c r="C25" s="2" t="s">
        <v>240</v>
      </c>
    </row>
    <row r="26" spans="2:3" s="80" customFormat="1" ht="15" customHeight="1">
      <c r="B26" s="165" t="s">
        <v>241</v>
      </c>
      <c r="C26" s="4" t="s">
        <v>242</v>
      </c>
    </row>
    <row r="27" spans="2:3" s="96" customFormat="1" ht="15" customHeight="1">
      <c r="B27" s="165" t="s">
        <v>243</v>
      </c>
      <c r="C27" s="4" t="s">
        <v>244</v>
      </c>
    </row>
    <row r="28" spans="2:7" s="96" customFormat="1" ht="15" customHeight="1">
      <c r="B28" s="165" t="s">
        <v>246</v>
      </c>
      <c r="C28" s="4" t="s">
        <v>26</v>
      </c>
      <c r="D28" s="156"/>
      <c r="E28" s="156"/>
      <c r="F28" s="156"/>
      <c r="G28" s="156"/>
    </row>
    <row r="29" spans="2:5" s="80" customFormat="1" ht="15" customHeight="1">
      <c r="B29" s="155"/>
      <c r="E29" s="159"/>
    </row>
    <row r="30" spans="1:5" s="80" customFormat="1" ht="15" customHeight="1">
      <c r="A30" s="153" t="s">
        <v>165</v>
      </c>
      <c r="B30" s="155"/>
      <c r="E30" s="159"/>
    </row>
    <row r="31" spans="1:8" s="80" customFormat="1" ht="15" customHeight="1">
      <c r="A31" s="267" t="s">
        <v>166</v>
      </c>
      <c r="B31" s="267"/>
      <c r="C31" s="267"/>
      <c r="D31" s="267"/>
      <c r="E31" s="267"/>
      <c r="F31" s="182"/>
      <c r="G31" s="182"/>
      <c r="H31" s="182"/>
    </row>
    <row r="32" spans="2:8" s="80" customFormat="1" ht="15" customHeight="1">
      <c r="B32" s="157" t="s">
        <v>249</v>
      </c>
      <c r="C32" s="9" t="s">
        <v>61</v>
      </c>
      <c r="D32" s="160"/>
      <c r="E32" s="160"/>
      <c r="F32" s="160"/>
      <c r="G32" s="160"/>
      <c r="H32" s="96"/>
    </row>
    <row r="33" spans="2:8" s="80" customFormat="1" ht="15" customHeight="1">
      <c r="B33" s="157" t="s">
        <v>250</v>
      </c>
      <c r="C33" s="9" t="s">
        <v>251</v>
      </c>
      <c r="D33" s="160"/>
      <c r="E33" s="160"/>
      <c r="F33" s="160"/>
      <c r="G33" s="160"/>
      <c r="H33" s="96"/>
    </row>
    <row r="34" spans="2:8" s="80" customFormat="1" ht="15" customHeight="1">
      <c r="B34" s="157" t="s">
        <v>252</v>
      </c>
      <c r="C34" s="9" t="s">
        <v>253</v>
      </c>
      <c r="D34" s="160"/>
      <c r="E34" s="160"/>
      <c r="F34" s="160"/>
      <c r="G34" s="160"/>
      <c r="H34" s="96"/>
    </row>
    <row r="35" spans="2:8" s="80" customFormat="1" ht="15" customHeight="1">
      <c r="B35" s="157" t="s">
        <v>254</v>
      </c>
      <c r="C35" s="9" t="s">
        <v>255</v>
      </c>
      <c r="D35" s="160"/>
      <c r="E35" s="161"/>
      <c r="F35" s="161"/>
      <c r="G35" s="161"/>
      <c r="H35" s="96"/>
    </row>
    <row r="36" spans="2:8" s="80" customFormat="1" ht="15" customHeight="1">
      <c r="B36" s="157" t="s">
        <v>257</v>
      </c>
      <c r="C36" s="9" t="s">
        <v>258</v>
      </c>
      <c r="D36" s="160"/>
      <c r="E36" s="161"/>
      <c r="F36" s="161"/>
      <c r="G36" s="161"/>
      <c r="H36" s="96"/>
    </row>
    <row r="37" spans="2:8" s="80" customFormat="1" ht="15" customHeight="1">
      <c r="B37" s="157" t="s">
        <v>259</v>
      </c>
      <c r="C37" s="9" t="s">
        <v>80</v>
      </c>
      <c r="D37" s="162"/>
      <c r="E37" s="162"/>
      <c r="F37" s="163"/>
      <c r="G37" s="163"/>
      <c r="H37" s="96"/>
    </row>
    <row r="38" spans="2:8" s="80" customFormat="1" ht="15" customHeight="1">
      <c r="B38" s="157" t="s">
        <v>261</v>
      </c>
      <c r="C38" s="9" t="s">
        <v>262</v>
      </c>
      <c r="D38" s="158"/>
      <c r="E38" s="158"/>
      <c r="F38" s="163"/>
      <c r="G38" s="163"/>
      <c r="H38" s="96"/>
    </row>
    <row r="39" spans="2:8" s="80" customFormat="1" ht="15" customHeight="1">
      <c r="B39" s="157" t="s">
        <v>265</v>
      </c>
      <c r="C39" s="9" t="s">
        <v>266</v>
      </c>
      <c r="F39" s="164"/>
      <c r="G39" s="164"/>
      <c r="H39" s="96"/>
    </row>
    <row r="40" spans="2:8" s="80" customFormat="1" ht="15" customHeight="1">
      <c r="B40" s="157" t="s">
        <v>270</v>
      </c>
      <c r="C40" s="20" t="s">
        <v>271</v>
      </c>
      <c r="F40" s="164"/>
      <c r="G40" s="164"/>
      <c r="H40" s="96"/>
    </row>
    <row r="41" spans="2:8" s="80" customFormat="1" ht="15" customHeight="1">
      <c r="B41" s="157" t="s">
        <v>272</v>
      </c>
      <c r="C41" s="20" t="s">
        <v>273</v>
      </c>
      <c r="F41" s="164"/>
      <c r="G41" s="164"/>
      <c r="H41" s="96"/>
    </row>
    <row r="42" spans="2:8" s="80" customFormat="1" ht="15" customHeight="1">
      <c r="B42" s="157" t="s">
        <v>281</v>
      </c>
      <c r="C42" s="20" t="s">
        <v>282</v>
      </c>
      <c r="F42" s="164"/>
      <c r="G42" s="164"/>
      <c r="H42" s="96"/>
    </row>
    <row r="43" spans="2:8" s="80" customFormat="1" ht="15" customHeight="1">
      <c r="B43" s="157" t="s">
        <v>284</v>
      </c>
      <c r="C43" s="20" t="s">
        <v>285</v>
      </c>
      <c r="F43" s="164"/>
      <c r="G43" s="164"/>
      <c r="H43" s="96"/>
    </row>
    <row r="44" spans="2:8" s="80" customFormat="1" ht="15" customHeight="1">
      <c r="B44" s="157" t="s">
        <v>286</v>
      </c>
      <c r="C44" s="20" t="s">
        <v>287</v>
      </c>
      <c r="F44" s="164"/>
      <c r="G44" s="164"/>
      <c r="H44" s="96"/>
    </row>
    <row r="45" spans="2:8" s="80" customFormat="1" ht="15" customHeight="1">
      <c r="B45" s="80" t="s">
        <v>289</v>
      </c>
      <c r="C45" s="20" t="s">
        <v>28</v>
      </c>
      <c r="D45" s="165"/>
      <c r="E45" s="165"/>
      <c r="F45" s="165"/>
      <c r="G45" s="165"/>
      <c r="H45" s="96"/>
    </row>
    <row r="46" spans="2:8" s="80" customFormat="1" ht="15" customHeight="1">
      <c r="B46" s="80" t="s">
        <v>292</v>
      </c>
      <c r="C46" s="20" t="s">
        <v>293</v>
      </c>
      <c r="D46" s="20"/>
      <c r="E46" s="20"/>
      <c r="F46" s="20"/>
      <c r="G46" s="20"/>
      <c r="H46" s="20"/>
    </row>
    <row r="47" spans="1:8" s="3" customFormat="1" ht="15" customHeight="1" thickBot="1">
      <c r="A47" s="166"/>
      <c r="B47" s="167"/>
      <c r="C47" s="181"/>
      <c r="D47" s="181"/>
      <c r="E47" s="181"/>
      <c r="F47" s="6"/>
      <c r="G47" s="6"/>
      <c r="H47" s="6"/>
    </row>
    <row r="48" spans="2:8" s="3" customFormat="1" ht="15" customHeight="1">
      <c r="B48" s="79"/>
      <c r="F48" s="17"/>
      <c r="G48" s="17"/>
      <c r="H48" s="4"/>
    </row>
    <row r="49" spans="2:8" s="3" customFormat="1" ht="15" customHeight="1">
      <c r="B49" s="79"/>
      <c r="C49" s="165"/>
      <c r="D49" s="165"/>
      <c r="E49" s="165"/>
      <c r="F49" s="165"/>
      <c r="G49" s="165"/>
      <c r="H49" s="4"/>
    </row>
    <row r="50" spans="2:8" s="3" customFormat="1" ht="15" customHeight="1">
      <c r="B50" s="155"/>
      <c r="C50" s="168"/>
      <c r="D50" s="168"/>
      <c r="E50" s="168"/>
      <c r="F50" s="168"/>
      <c r="G50" s="168"/>
      <c r="H50" s="4"/>
    </row>
    <row r="51" spans="2:8" s="3" customFormat="1" ht="15" customHeight="1">
      <c r="B51" s="79"/>
      <c r="C51" s="4"/>
      <c r="D51" s="138"/>
      <c r="E51" s="122"/>
      <c r="F51" s="122"/>
      <c r="G51" s="122"/>
      <c r="H51" s="4"/>
    </row>
    <row r="52" s="3" customFormat="1" ht="15" customHeight="1">
      <c r="B52" s="151"/>
    </row>
    <row r="53" s="3" customFormat="1" ht="15" customHeight="1">
      <c r="B53" s="151"/>
    </row>
    <row r="54" s="3" customFormat="1" ht="15" customHeight="1">
      <c r="B54" s="151"/>
    </row>
    <row r="55" s="3" customFormat="1" ht="15" customHeight="1">
      <c r="B55" s="151"/>
    </row>
    <row r="56" s="3" customFormat="1" ht="12.75">
      <c r="B56" s="151"/>
    </row>
    <row r="57" s="3" customFormat="1" ht="12.75">
      <c r="B57" s="151"/>
    </row>
    <row r="58" s="3" customFormat="1" ht="12.75">
      <c r="B58" s="151"/>
    </row>
    <row r="59" s="3" customFormat="1" ht="12.75">
      <c r="B59" s="151"/>
    </row>
    <row r="60" s="3" customFormat="1" ht="12.75">
      <c r="B60" s="151"/>
    </row>
    <row r="61" s="3" customFormat="1" ht="12.75">
      <c r="B61" s="151"/>
    </row>
    <row r="62" s="3" customFormat="1" ht="12.75">
      <c r="B62" s="151"/>
    </row>
    <row r="63" s="3" customFormat="1" ht="12.75">
      <c r="B63" s="151"/>
    </row>
    <row r="64" s="3" customFormat="1" ht="12.75">
      <c r="B64" s="151"/>
    </row>
    <row r="65" s="3" customFormat="1" ht="12.75">
      <c r="B65" s="151"/>
    </row>
    <row r="66" s="3" customFormat="1" ht="12.75">
      <c r="B66" s="151"/>
    </row>
    <row r="67" s="3" customFormat="1" ht="12.75">
      <c r="B67" s="151"/>
    </row>
    <row r="68" s="3" customFormat="1" ht="12.75">
      <c r="B68" s="151"/>
    </row>
    <row r="69" s="3" customFormat="1" ht="12.75">
      <c r="B69" s="151"/>
    </row>
    <row r="70" s="3" customFormat="1" ht="12.75">
      <c r="B70" s="151"/>
    </row>
    <row r="71" s="3" customFormat="1" ht="12.75">
      <c r="B71" s="151"/>
    </row>
    <row r="72" s="3" customFormat="1" ht="12.75">
      <c r="B72" s="151"/>
    </row>
    <row r="73" s="3" customFormat="1" ht="12.75">
      <c r="B73" s="151"/>
    </row>
    <row r="74" s="3" customFormat="1" ht="12.75">
      <c r="B74" s="151"/>
    </row>
    <row r="75" s="3" customFormat="1" ht="12.75">
      <c r="B75" s="151"/>
    </row>
    <row r="76" s="3" customFormat="1" ht="12.75">
      <c r="B76" s="151"/>
    </row>
    <row r="77" s="3" customFormat="1" ht="12.75">
      <c r="B77" s="151"/>
    </row>
    <row r="78" s="3" customFormat="1" ht="12.75">
      <c r="B78" s="151"/>
    </row>
    <row r="79" s="3" customFormat="1" ht="12.75">
      <c r="B79" s="151"/>
    </row>
    <row r="80" s="3" customFormat="1" ht="12.75">
      <c r="B80" s="151"/>
    </row>
    <row r="81" s="3" customFormat="1" ht="12.75">
      <c r="B81" s="151"/>
    </row>
    <row r="82" s="3" customFormat="1" ht="12.75">
      <c r="B82" s="151"/>
    </row>
    <row r="83" s="3" customFormat="1" ht="12.75">
      <c r="B83" s="151"/>
    </row>
    <row r="84" s="3" customFormat="1" ht="12.75">
      <c r="B84" s="151"/>
    </row>
    <row r="85" s="3" customFormat="1" ht="12.75">
      <c r="B85" s="151"/>
    </row>
    <row r="86" s="3" customFormat="1" ht="12.75">
      <c r="B86" s="151"/>
    </row>
    <row r="87" s="3" customFormat="1" ht="12.75">
      <c r="B87" s="151"/>
    </row>
    <row r="88" s="3" customFormat="1" ht="12.75">
      <c r="B88" s="151"/>
    </row>
    <row r="89" s="3" customFormat="1" ht="12.75">
      <c r="B89" s="151"/>
    </row>
    <row r="90" s="3" customFormat="1" ht="12.75">
      <c r="B90" s="151"/>
    </row>
    <row r="91" s="3" customFormat="1" ht="12.75">
      <c r="B91" s="151"/>
    </row>
    <row r="92" s="3" customFormat="1" ht="12.75">
      <c r="B92" s="151"/>
    </row>
    <row r="93" s="3" customFormat="1" ht="12.75">
      <c r="B93" s="151"/>
    </row>
    <row r="94" s="3" customFormat="1" ht="12.75">
      <c r="B94" s="151"/>
    </row>
    <row r="95" s="3" customFormat="1" ht="12.75">
      <c r="B95" s="151"/>
    </row>
    <row r="96" s="3" customFormat="1" ht="12.75">
      <c r="B96" s="151"/>
    </row>
    <row r="97" s="3" customFormat="1" ht="12.75">
      <c r="B97" s="151"/>
    </row>
    <row r="98" s="3" customFormat="1" ht="12.75">
      <c r="B98" s="151"/>
    </row>
    <row r="99" s="3" customFormat="1" ht="12.75">
      <c r="B99" s="151"/>
    </row>
    <row r="100" s="3" customFormat="1" ht="12.75">
      <c r="B100" s="151"/>
    </row>
    <row r="101" s="3" customFormat="1" ht="12.75">
      <c r="B101" s="151"/>
    </row>
    <row r="102" s="3" customFormat="1" ht="12.75">
      <c r="B102" s="151"/>
    </row>
    <row r="103" s="3" customFormat="1" ht="12.75">
      <c r="B103" s="151"/>
    </row>
    <row r="104" s="3" customFormat="1" ht="12.75">
      <c r="B104" s="151"/>
    </row>
    <row r="105" s="3" customFormat="1" ht="12.75">
      <c r="B105" s="151"/>
    </row>
    <row r="106" s="3" customFormat="1" ht="12.75">
      <c r="B106" s="151"/>
    </row>
    <row r="107" s="3" customFormat="1" ht="12.75">
      <c r="B107" s="151"/>
    </row>
    <row r="108" s="3" customFormat="1" ht="12.75">
      <c r="B108" s="151"/>
    </row>
    <row r="109" s="3" customFormat="1" ht="12.75">
      <c r="B109" s="151"/>
    </row>
    <row r="110" s="3" customFormat="1" ht="12.75">
      <c r="B110" s="151"/>
    </row>
    <row r="111" s="3" customFormat="1" ht="12.75">
      <c r="B111" s="151"/>
    </row>
    <row r="112" s="3" customFormat="1" ht="12.75">
      <c r="B112" s="151"/>
    </row>
    <row r="113" s="3" customFormat="1" ht="12.75">
      <c r="B113" s="151"/>
    </row>
    <row r="114" s="3" customFormat="1" ht="12.75">
      <c r="B114" s="151"/>
    </row>
    <row r="115" s="3" customFormat="1" ht="12.75">
      <c r="B115" s="151"/>
    </row>
  </sheetData>
  <sheetProtection/>
  <mergeCells count="7">
    <mergeCell ref="A2:C2"/>
    <mergeCell ref="A1:E1"/>
    <mergeCell ref="A3:E3"/>
    <mergeCell ref="A17:E17"/>
    <mergeCell ref="A31:E31"/>
    <mergeCell ref="A8:C8"/>
    <mergeCell ref="A6:C6"/>
  </mergeCells>
  <printOptions horizontalCentered="1"/>
  <pageMargins left="0.62992126" right="0.62" top="0.73" bottom="0.23" header="0.511811023622047" footer="0.21"/>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E87"/>
  <sheetViews>
    <sheetView zoomScalePageLayoutView="0" workbookViewId="0" topLeftCell="A13">
      <selection activeCell="C27" sqref="C27"/>
    </sheetView>
  </sheetViews>
  <sheetFormatPr defaultColWidth="9.140625" defaultRowHeight="12.75"/>
  <cols>
    <col min="1" max="1" width="30.421875" style="4" customWidth="1"/>
    <col min="2" max="2" width="16.7109375" style="62" customWidth="1"/>
    <col min="3" max="3" width="16.7109375" style="4" customWidth="1"/>
    <col min="4" max="4" width="16.7109375" style="62" customWidth="1"/>
    <col min="5" max="5" width="16.7109375" style="4" customWidth="1"/>
    <col min="6" max="16384" width="9.140625" style="4" customWidth="1"/>
  </cols>
  <sheetData>
    <row r="1" spans="1:5" s="170" customFormat="1" ht="15.75" customHeight="1">
      <c r="A1" s="271" t="s">
        <v>221</v>
      </c>
      <c r="B1" s="271"/>
      <c r="C1" s="271"/>
      <c r="D1" s="271"/>
      <c r="E1" s="271"/>
    </row>
    <row r="2" spans="1:5" s="171" customFormat="1" ht="15.75" customHeight="1">
      <c r="A2" s="274" t="s">
        <v>295</v>
      </c>
      <c r="B2" s="274"/>
      <c r="C2" s="274"/>
      <c r="D2" s="274"/>
      <c r="E2" s="274"/>
    </row>
    <row r="3" spans="1:5" s="171" customFormat="1" ht="15.75" customHeight="1">
      <c r="A3" s="272" t="s">
        <v>296</v>
      </c>
      <c r="B3" s="272"/>
      <c r="C3" s="272"/>
      <c r="D3" s="272"/>
      <c r="E3" s="272"/>
    </row>
    <row r="4" spans="1:5" s="171" customFormat="1" ht="15.75" customHeight="1">
      <c r="A4" s="244"/>
      <c r="B4" s="244"/>
      <c r="C4" s="244"/>
      <c r="D4" s="244"/>
      <c r="E4" s="244"/>
    </row>
    <row r="5" spans="1:5" s="171" customFormat="1" ht="15.75" customHeight="1" thickBot="1">
      <c r="A5" s="247"/>
      <c r="B5" s="247"/>
      <c r="C5" s="247"/>
      <c r="D5" s="247"/>
      <c r="E5" s="247"/>
    </row>
    <row r="6" spans="2:5" s="137" customFormat="1" ht="15.75" customHeight="1">
      <c r="B6" s="184" t="s">
        <v>123</v>
      </c>
      <c r="C6" s="82" t="s">
        <v>125</v>
      </c>
      <c r="D6" s="184" t="s">
        <v>123</v>
      </c>
      <c r="E6" s="82" t="s">
        <v>125</v>
      </c>
    </row>
    <row r="7" spans="2:5" s="137" customFormat="1" ht="15.75" customHeight="1">
      <c r="B7" s="184" t="s">
        <v>124</v>
      </c>
      <c r="C7" s="82" t="s">
        <v>124</v>
      </c>
      <c r="D7" s="184" t="s">
        <v>126</v>
      </c>
      <c r="E7" s="82" t="s">
        <v>126</v>
      </c>
    </row>
    <row r="8" spans="2:5" s="137" customFormat="1" ht="15.75" customHeight="1">
      <c r="B8" s="184" t="s">
        <v>188</v>
      </c>
      <c r="C8" s="82" t="s">
        <v>116</v>
      </c>
      <c r="D8" s="184" t="str">
        <f>B8</f>
        <v>31.01.10</v>
      </c>
      <c r="E8" s="82" t="str">
        <f>C8</f>
        <v>31.01.09</v>
      </c>
    </row>
    <row r="9" spans="1:5" ht="15.75" customHeight="1" thickBot="1">
      <c r="A9" s="142"/>
      <c r="B9" s="185" t="s">
        <v>6</v>
      </c>
      <c r="C9" s="172" t="s">
        <v>6</v>
      </c>
      <c r="D9" s="185" t="s">
        <v>6</v>
      </c>
      <c r="E9" s="172" t="s">
        <v>6</v>
      </c>
    </row>
    <row r="10" spans="2:4" ht="15.75" customHeight="1">
      <c r="B10" s="186"/>
      <c r="D10" s="186"/>
    </row>
    <row r="11" spans="1:5" ht="15.75" customHeight="1">
      <c r="A11" s="4" t="s">
        <v>7</v>
      </c>
      <c r="B11" s="187">
        <f>D11-145955</f>
        <v>51057.62912990476</v>
      </c>
      <c r="C11" s="138">
        <f>E11-163123</f>
        <v>49539</v>
      </c>
      <c r="D11" s="187">
        <f>'[1]Jan10'!$W$10/1000</f>
        <v>197012.62912990476</v>
      </c>
      <c r="E11" s="138">
        <v>212662</v>
      </c>
    </row>
    <row r="12" spans="1:5" ht="15.75" customHeight="1">
      <c r="A12" s="57" t="s">
        <v>8</v>
      </c>
      <c r="B12" s="188">
        <f>D12+98582</f>
        <v>-23778.35059350368</v>
      </c>
      <c r="C12" s="139">
        <f>E12+118194</f>
        <v>-28356</v>
      </c>
      <c r="D12" s="188">
        <f>'[1]Jan10'!$W$12/1000</f>
        <v>-122360.35059350368</v>
      </c>
      <c r="E12" s="139">
        <v>-146550</v>
      </c>
    </row>
    <row r="13" spans="1:5" ht="15.75" customHeight="1">
      <c r="A13" s="4" t="s">
        <v>9</v>
      </c>
      <c r="B13" s="187">
        <f>SUM(B11:B12)+1</f>
        <v>27280.278536401078</v>
      </c>
      <c r="C13" s="138">
        <f>SUM(C11:C12)</f>
        <v>21183</v>
      </c>
      <c r="D13" s="187">
        <f>SUM(D11:D12)+1</f>
        <v>74653.27853640108</v>
      </c>
      <c r="E13" s="138">
        <f>SUM(E11:E12)</f>
        <v>66112</v>
      </c>
    </row>
    <row r="14" spans="1:5" ht="15.75" customHeight="1">
      <c r="A14" s="4" t="s">
        <v>53</v>
      </c>
      <c r="B14" s="187">
        <f>D14-1430</f>
        <v>2284.3720171202103</v>
      </c>
      <c r="C14" s="138">
        <f>E14-4251</f>
        <v>9258</v>
      </c>
      <c r="D14" s="187">
        <f>'[1]Jan10'!$W$16/1000</f>
        <v>3714.3720171202103</v>
      </c>
      <c r="E14" s="138">
        <v>13509</v>
      </c>
    </row>
    <row r="15" spans="1:5" ht="15.75" customHeight="1">
      <c r="A15" s="4" t="s">
        <v>52</v>
      </c>
      <c r="B15" s="187">
        <f>D15+18633</f>
        <v>-8234.922798945146</v>
      </c>
      <c r="C15" s="138">
        <f>E15+19216</f>
        <v>-6527</v>
      </c>
      <c r="D15" s="187">
        <f>'[1]Jan10'!$W$18/1000</f>
        <v>-26867.922798945146</v>
      </c>
      <c r="E15" s="138">
        <v>-25743</v>
      </c>
    </row>
    <row r="16" spans="1:5" ht="15.75" customHeight="1">
      <c r="A16" s="57" t="s">
        <v>21</v>
      </c>
      <c r="B16" s="188">
        <f>D16+31319</f>
        <v>-23878.39777721383</v>
      </c>
      <c r="C16" s="139">
        <f>E16+29862</f>
        <v>-20824</v>
      </c>
      <c r="D16" s="188">
        <f>SUM('[1]Jan10'!$W$20+'[1]Jan10'!$W$22)/1000</f>
        <v>-55197.39777721383</v>
      </c>
      <c r="E16" s="139">
        <f>-45632-5054</f>
        <v>-50686</v>
      </c>
    </row>
    <row r="17" spans="1:5" ht="15.75" customHeight="1">
      <c r="A17" s="4" t="s">
        <v>96</v>
      </c>
      <c r="B17" s="187">
        <f>SUM(B13:B16)</f>
        <v>-2548.670022637689</v>
      </c>
      <c r="C17" s="138">
        <f>SUM(C13:C16)</f>
        <v>3090</v>
      </c>
      <c r="D17" s="187">
        <f>SUM(D13:D16)</f>
        <v>-3697.670022637685</v>
      </c>
      <c r="E17" s="138">
        <f>SUM(E13:E16)</f>
        <v>3192</v>
      </c>
    </row>
    <row r="18" spans="1:5" ht="15.75" customHeight="1">
      <c r="A18" s="4" t="s">
        <v>58</v>
      </c>
      <c r="B18" s="187">
        <f>D18+3409</f>
        <v>-2561.7155368180756</v>
      </c>
      <c r="C18" s="138">
        <f>E18+5409</f>
        <v>-1990</v>
      </c>
      <c r="D18" s="187">
        <f>'[1]Jan10'!$W$28/1000</f>
        <v>-5970.715536818076</v>
      </c>
      <c r="E18" s="138">
        <v>-7399</v>
      </c>
    </row>
    <row r="19" spans="1:5" ht="15.75" customHeight="1">
      <c r="A19" s="140" t="s">
        <v>173</v>
      </c>
      <c r="B19" s="188">
        <f>D19-39956</f>
        <v>9783.924599999991</v>
      </c>
      <c r="C19" s="139">
        <f>E19-36680</f>
        <v>13829</v>
      </c>
      <c r="D19" s="188">
        <f>'[1]Jan10'!$W$30/1000</f>
        <v>49739.92459999999</v>
      </c>
      <c r="E19" s="139">
        <v>50509</v>
      </c>
    </row>
    <row r="20" spans="1:5" ht="15.75" customHeight="1">
      <c r="A20" s="4" t="s">
        <v>54</v>
      </c>
      <c r="B20" s="187">
        <f>SUM(B17:B19)-1</f>
        <v>4672.539040544227</v>
      </c>
      <c r="C20" s="138">
        <f>SUM(C17:C19)</f>
        <v>14929</v>
      </c>
      <c r="D20" s="187">
        <f>SUM(D17:D19)-1</f>
        <v>40070.53904054423</v>
      </c>
      <c r="E20" s="138">
        <f>SUM(E17:E19)</f>
        <v>46302</v>
      </c>
    </row>
    <row r="21" spans="1:5" ht="15.75" customHeight="1">
      <c r="A21" s="4" t="s">
        <v>80</v>
      </c>
      <c r="B21" s="188">
        <f>D21+228</f>
        <v>870.4391888368957</v>
      </c>
      <c r="C21" s="138">
        <f>E21+507</f>
        <v>-2999</v>
      </c>
      <c r="D21" s="188">
        <f>'[1]Jan10'!$W$38/1000</f>
        <v>642.4391888368957</v>
      </c>
      <c r="E21" s="139">
        <v>-3506</v>
      </c>
    </row>
    <row r="22" spans="1:5" ht="15.75" customHeight="1" thickBot="1">
      <c r="A22" s="90" t="s">
        <v>114</v>
      </c>
      <c r="B22" s="189">
        <f>SUM(B20:B21)</f>
        <v>5542.978229381122</v>
      </c>
      <c r="C22" s="116">
        <f>SUM(C20:C21)</f>
        <v>11930</v>
      </c>
      <c r="D22" s="189">
        <f>SUM(D20:D21)</f>
        <v>40712.97822938113</v>
      </c>
      <c r="E22" s="116">
        <f>SUM(E20:E21)</f>
        <v>42796</v>
      </c>
    </row>
    <row r="23" spans="1:5" ht="15.75" customHeight="1">
      <c r="A23" s="62"/>
      <c r="B23" s="190"/>
      <c r="C23" s="65"/>
      <c r="D23" s="190"/>
      <c r="E23" s="65"/>
    </row>
    <row r="24" spans="1:5" ht="15.75" customHeight="1">
      <c r="A24" s="62" t="s">
        <v>55</v>
      </c>
      <c r="B24" s="190"/>
      <c r="C24" s="65"/>
      <c r="D24" s="190"/>
      <c r="E24" s="65"/>
    </row>
    <row r="25" spans="1:5" ht="15.75" customHeight="1">
      <c r="A25" s="4" t="s">
        <v>81</v>
      </c>
      <c r="B25" s="190">
        <f>D25-34024</f>
        <v>4501.281145531204</v>
      </c>
      <c r="C25" s="65">
        <f>E25-30399</f>
        <v>11039</v>
      </c>
      <c r="D25" s="190">
        <f>'[1]Jan10'!$W$44/1000</f>
        <v>38525.281145531204</v>
      </c>
      <c r="E25" s="65">
        <v>41438</v>
      </c>
    </row>
    <row r="26" spans="1:5" ht="15.75" customHeight="1">
      <c r="A26" s="4" t="s">
        <v>59</v>
      </c>
      <c r="B26" s="190">
        <f>D26-1146</f>
        <v>1041.6970838499</v>
      </c>
      <c r="C26" s="106">
        <f>E26-467</f>
        <v>891</v>
      </c>
      <c r="D26" s="190">
        <f>'[1]Jan10'!$W$45/1000</f>
        <v>2187.6970838499</v>
      </c>
      <c r="E26" s="65">
        <v>1358</v>
      </c>
    </row>
    <row r="27" spans="1:5" ht="15.75" customHeight="1" thickBot="1">
      <c r="A27" s="90" t="s">
        <v>114</v>
      </c>
      <c r="B27" s="189">
        <f>SUM(B25:B26)</f>
        <v>5542.978229381104</v>
      </c>
      <c r="C27" s="116">
        <f>SUM(C25:C26)</f>
        <v>11930</v>
      </c>
      <c r="D27" s="189">
        <f>SUM(D25:D26)</f>
        <v>40712.9782293811</v>
      </c>
      <c r="E27" s="116">
        <f>SUM(E25:E26)</f>
        <v>42796</v>
      </c>
    </row>
    <row r="28" spans="1:4" ht="15.75" customHeight="1">
      <c r="A28" s="62"/>
      <c r="B28" s="190"/>
      <c r="D28" s="190"/>
    </row>
    <row r="29" spans="1:4" ht="15.75" customHeight="1">
      <c r="A29" s="62"/>
      <c r="B29" s="190"/>
      <c r="D29" s="190"/>
    </row>
    <row r="30" spans="1:4" ht="15.75" customHeight="1">
      <c r="A30" s="62" t="s">
        <v>18</v>
      </c>
      <c r="B30" s="190"/>
      <c r="D30" s="190"/>
    </row>
    <row r="31" spans="1:5" ht="15.75" customHeight="1">
      <c r="A31" s="4" t="s">
        <v>19</v>
      </c>
      <c r="B31" s="191">
        <f>+'Notes-Part B'!F89</f>
        <v>0.9242780920069353</v>
      </c>
      <c r="C31" s="141">
        <f>'[3]EPSJan10'!$E$79</f>
        <v>2.2733228793489766</v>
      </c>
      <c r="D31" s="191">
        <f>+'Notes-Part B'!G89</f>
        <v>7.915483743716615</v>
      </c>
      <c r="E31" s="141">
        <f>'[3]EPSJan10'!$G$79</f>
        <v>8.533743708945428</v>
      </c>
    </row>
    <row r="32" spans="1:5" ht="15.75" customHeight="1" thickBot="1">
      <c r="A32" s="142" t="s">
        <v>20</v>
      </c>
      <c r="B32" s="192">
        <f>+'Notes-Part B'!F100</f>
        <v>0.9242558142063573</v>
      </c>
      <c r="C32" s="131">
        <f>'[3]EPSJan10'!$E$80</f>
        <v>2.270255166136474</v>
      </c>
      <c r="D32" s="192">
        <f>+'Notes-Part B'!G100</f>
        <v>7.9152928409455185</v>
      </c>
      <c r="E32" s="131">
        <f>'[3]EPSJan10'!$G$80</f>
        <v>8.5222278925246</v>
      </c>
    </row>
    <row r="33" spans="2:5" ht="15.75" customHeight="1">
      <c r="B33" s="193"/>
      <c r="C33" s="143"/>
      <c r="D33" s="193"/>
      <c r="E33" s="143"/>
    </row>
    <row r="34" spans="2:5" ht="15.75" customHeight="1">
      <c r="B34" s="193"/>
      <c r="C34" s="143"/>
      <c r="D34" s="193"/>
      <c r="E34" s="143"/>
    </row>
    <row r="35" spans="1:5" ht="15.75" customHeight="1" thickBot="1">
      <c r="A35" s="144" t="s">
        <v>32</v>
      </c>
      <c r="B35" s="194">
        <v>0</v>
      </c>
      <c r="C35" s="145">
        <f>E35</f>
        <v>0</v>
      </c>
      <c r="D35" s="194">
        <v>0</v>
      </c>
      <c r="E35" s="145">
        <v>0</v>
      </c>
    </row>
    <row r="36" spans="1:5" ht="15.75" customHeight="1">
      <c r="A36" s="62"/>
      <c r="B36" s="146"/>
      <c r="C36" s="147"/>
      <c r="D36" s="146"/>
      <c r="E36" s="147"/>
    </row>
    <row r="37" spans="1:5" ht="15.75" customHeight="1">
      <c r="A37" s="62"/>
      <c r="B37" s="146"/>
      <c r="C37" s="147"/>
      <c r="D37" s="146"/>
      <c r="E37" s="147"/>
    </row>
    <row r="38" spans="1:5" ht="15.75" customHeight="1">
      <c r="A38" s="62"/>
      <c r="B38" s="146"/>
      <c r="C38" s="147"/>
      <c r="D38" s="146"/>
      <c r="E38" s="147"/>
    </row>
    <row r="39" spans="1:5" ht="15.75" customHeight="1">
      <c r="A39" s="62"/>
      <c r="B39" s="146"/>
      <c r="C39" s="147"/>
      <c r="D39" s="146"/>
      <c r="E39" s="147"/>
    </row>
    <row r="40" spans="1:5" ht="15.75" customHeight="1">
      <c r="A40" s="62"/>
      <c r="B40" s="146"/>
      <c r="C40" s="147"/>
      <c r="D40" s="146"/>
      <c r="E40" s="147"/>
    </row>
    <row r="41" spans="1:5" ht="15.75" customHeight="1">
      <c r="A41" s="62"/>
      <c r="B41" s="146"/>
      <c r="C41" s="147"/>
      <c r="D41" s="146"/>
      <c r="E41" s="147"/>
    </row>
    <row r="42" spans="1:5" ht="15.75" customHeight="1">
      <c r="A42" s="62"/>
      <c r="B42" s="146"/>
      <c r="C42" s="147"/>
      <c r="D42" s="146"/>
      <c r="E42" s="147"/>
    </row>
    <row r="43" spans="1:5" ht="15.75" customHeight="1">
      <c r="A43" s="62"/>
      <c r="B43" s="146"/>
      <c r="C43" s="147"/>
      <c r="D43" s="146"/>
      <c r="E43" s="147"/>
    </row>
    <row r="44" s="62" customFormat="1" ht="15.75" customHeight="1"/>
    <row r="45" s="62" customFormat="1" ht="15.75" customHeight="1"/>
    <row r="46" s="62" customFormat="1" ht="15.75" customHeight="1"/>
    <row r="47" s="62" customFormat="1" ht="15.75" customHeight="1"/>
    <row r="48" s="62" customFormat="1" ht="15.75" customHeight="1"/>
    <row r="49" s="62" customFormat="1" ht="15.75" customHeight="1"/>
    <row r="50" s="62" customFormat="1" ht="15.75" customHeight="1"/>
    <row r="51" s="62" customFormat="1" ht="15.75" customHeight="1"/>
    <row r="52" spans="1:5" s="43" customFormat="1" ht="29.25" customHeight="1">
      <c r="A52" s="273" t="s">
        <v>127</v>
      </c>
      <c r="B52" s="273"/>
      <c r="C52" s="273"/>
      <c r="D52" s="273"/>
      <c r="E52" s="273"/>
    </row>
    <row r="87" spans="1:5" ht="12.75">
      <c r="A87" s="148"/>
      <c r="B87" s="149"/>
      <c r="C87" s="150"/>
      <c r="D87" s="149"/>
      <c r="E87" s="150"/>
    </row>
  </sheetData>
  <sheetProtection/>
  <mergeCells count="4">
    <mergeCell ref="A52:E52"/>
    <mergeCell ref="A1:E1"/>
    <mergeCell ref="A2:E2"/>
    <mergeCell ref="A3:E3"/>
  </mergeCells>
  <printOptions/>
  <pageMargins left="0.62" right="0.62" top="0.73" bottom="0.25" header="0.5" footer="0.21"/>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E67"/>
  <sheetViews>
    <sheetView zoomScalePageLayoutView="0" workbookViewId="0" topLeftCell="A37">
      <selection activeCell="E55" sqref="E55"/>
    </sheetView>
  </sheetViews>
  <sheetFormatPr defaultColWidth="9.140625" defaultRowHeight="12.75"/>
  <cols>
    <col min="1" max="1" width="66.8515625" style="19" customWidth="1"/>
    <col min="2" max="3" width="20.7109375" style="4" customWidth="1"/>
    <col min="4" max="16384" width="9.140625" style="19" customWidth="1"/>
  </cols>
  <sheetData>
    <row r="1" spans="1:5" ht="15.75" customHeight="1">
      <c r="A1" s="271" t="s">
        <v>221</v>
      </c>
      <c r="B1" s="271"/>
      <c r="C1" s="271"/>
      <c r="D1" s="271"/>
      <c r="E1" s="271"/>
    </row>
    <row r="2" spans="1:5" ht="15.75" customHeight="1">
      <c r="A2" s="274" t="s">
        <v>297</v>
      </c>
      <c r="B2" s="274"/>
      <c r="C2" s="274"/>
      <c r="D2" s="274"/>
      <c r="E2" s="274"/>
    </row>
    <row r="3" spans="1:5" ht="15.75" customHeight="1">
      <c r="A3" s="272" t="s">
        <v>298</v>
      </c>
      <c r="B3" s="272"/>
      <c r="C3" s="272"/>
      <c r="D3" s="171"/>
      <c r="E3" s="171"/>
    </row>
    <row r="4" spans="1:5" ht="15.75" customHeight="1">
      <c r="A4" s="244"/>
      <c r="B4" s="244"/>
      <c r="C4" s="244"/>
      <c r="D4" s="171"/>
      <c r="E4" s="171"/>
    </row>
    <row r="5" spans="1:3" s="95" customFormat="1" ht="15.75" customHeight="1" thickBot="1">
      <c r="A5" s="246"/>
      <c r="B5" s="246"/>
      <c r="C5" s="246"/>
    </row>
    <row r="6" spans="1:3" s="95" customFormat="1" ht="15" customHeight="1">
      <c r="A6" s="119"/>
      <c r="B6" s="195" t="s">
        <v>169</v>
      </c>
      <c r="C6" s="245" t="s">
        <v>169</v>
      </c>
    </row>
    <row r="7" spans="1:3" ht="15" customHeight="1">
      <c r="A7" s="4"/>
      <c r="B7" s="195" t="s">
        <v>188</v>
      </c>
      <c r="C7" s="68" t="s">
        <v>116</v>
      </c>
    </row>
    <row r="8" spans="1:3" ht="15" customHeight="1" thickBot="1">
      <c r="A8" s="142"/>
      <c r="B8" s="196" t="s">
        <v>6</v>
      </c>
      <c r="C8" s="173" t="s">
        <v>6</v>
      </c>
    </row>
    <row r="9" spans="1:3" ht="15" customHeight="1">
      <c r="A9" s="62" t="s">
        <v>74</v>
      </c>
      <c r="B9" s="197"/>
      <c r="C9" s="120"/>
    </row>
    <row r="10" spans="1:3" ht="15" customHeight="1">
      <c r="A10" s="4" t="s">
        <v>10</v>
      </c>
      <c r="B10" s="198">
        <f>SUM('[1]Jan10'!$W$91:$W$92)/1000</f>
        <v>415456.74343631585</v>
      </c>
      <c r="C10" s="121">
        <v>331935</v>
      </c>
    </row>
    <row r="11" spans="1:3" ht="15" customHeight="1">
      <c r="A11" s="4" t="s">
        <v>117</v>
      </c>
      <c r="B11" s="198">
        <f>'[1]Jan10'!$W$93/1000</f>
        <v>4844.159</v>
      </c>
      <c r="C11" s="122">
        <v>4945</v>
      </c>
    </row>
    <row r="12" spans="1:3" ht="15" customHeight="1">
      <c r="A12" s="4" t="s">
        <v>118</v>
      </c>
      <c r="B12" s="198">
        <f>'[1]Jan10'!$W$94/1000</f>
        <v>13407.0833875458</v>
      </c>
      <c r="C12" s="122">
        <v>14009</v>
      </c>
    </row>
    <row r="13" spans="1:3" ht="15" customHeight="1">
      <c r="A13" s="4" t="s">
        <v>72</v>
      </c>
      <c r="B13" s="198">
        <f>'[1]Jan10'!$W$95/1000+'[1]Jan10'!$W$96/1000</f>
        <v>10636.169262109801</v>
      </c>
      <c r="C13" s="122">
        <v>11311</v>
      </c>
    </row>
    <row r="14" spans="1:3" ht="15" customHeight="1">
      <c r="A14" s="4" t="s">
        <v>73</v>
      </c>
      <c r="B14" s="198">
        <f>'[1]Jan10'!$W$98/1000</f>
        <v>909975.4295888541</v>
      </c>
      <c r="C14" s="122">
        <v>874615</v>
      </c>
    </row>
    <row r="15" spans="1:3" ht="15" customHeight="1">
      <c r="A15" s="4" t="s">
        <v>119</v>
      </c>
      <c r="B15" s="198">
        <f>'[1]Jan10'!$W$100/1000</f>
        <v>1306.990625</v>
      </c>
      <c r="C15" s="122">
        <v>1304</v>
      </c>
    </row>
    <row r="16" spans="1:3" ht="15" customHeight="1">
      <c r="A16" s="4" t="s">
        <v>120</v>
      </c>
      <c r="B16" s="198">
        <v>0</v>
      </c>
      <c r="C16" s="122">
        <v>5452</v>
      </c>
    </row>
    <row r="17" spans="1:3" ht="15" customHeight="1">
      <c r="A17" s="4" t="s">
        <v>37</v>
      </c>
      <c r="B17" s="198">
        <f>'[1]Jan10'!$W$103/1000</f>
        <v>3601.6385</v>
      </c>
      <c r="C17" s="122">
        <v>2683</v>
      </c>
    </row>
    <row r="18" spans="1:3" ht="15" customHeight="1">
      <c r="A18" s="123"/>
      <c r="B18" s="199">
        <f>SUM(B10:B17)</f>
        <v>1359228.2137998254</v>
      </c>
      <c r="C18" s="124">
        <f>SUM(C10:C17)</f>
        <v>1246254</v>
      </c>
    </row>
    <row r="19" spans="1:3" ht="15" customHeight="1">
      <c r="A19" s="62" t="s">
        <v>75</v>
      </c>
      <c r="B19" s="198"/>
      <c r="C19" s="122"/>
    </row>
    <row r="20" spans="1:3" ht="15" customHeight="1">
      <c r="A20" s="4" t="s">
        <v>100</v>
      </c>
      <c r="B20" s="198">
        <f>'[1]Jan10'!$W$106</f>
        <v>0</v>
      </c>
      <c r="C20" s="122">
        <v>1250</v>
      </c>
    </row>
    <row r="21" spans="1:3" ht="15" customHeight="1">
      <c r="A21" s="4" t="s">
        <v>11</v>
      </c>
      <c r="B21" s="198">
        <f>'[1]Jan10'!$W$107/1000</f>
        <v>21530.275490784712</v>
      </c>
      <c r="C21" s="122">
        <v>17946</v>
      </c>
    </row>
    <row r="22" spans="1:3" ht="15" customHeight="1">
      <c r="A22" s="4" t="s">
        <v>22</v>
      </c>
      <c r="B22" s="190">
        <f>'[1]Jan10'!$W$108/1000</f>
        <v>3053.696</v>
      </c>
      <c r="C22" s="65">
        <v>3004</v>
      </c>
    </row>
    <row r="23" spans="1:3" ht="15" customHeight="1">
      <c r="A23" s="4" t="s">
        <v>76</v>
      </c>
      <c r="B23" s="190">
        <f>'[1]Jan10'!$W$118/1000</f>
        <v>48.737</v>
      </c>
      <c r="C23" s="65">
        <v>36</v>
      </c>
    </row>
    <row r="24" spans="1:3" ht="15" customHeight="1">
      <c r="A24" s="4" t="s">
        <v>56</v>
      </c>
      <c r="B24" s="198">
        <f>SUM('[1]Jan10'!$W$109:$W$113)/1000</f>
        <v>62371.59685011206</v>
      </c>
      <c r="C24" s="122">
        <v>73462</v>
      </c>
    </row>
    <row r="25" spans="1:3" ht="15" customHeight="1">
      <c r="A25" s="4" t="s">
        <v>77</v>
      </c>
      <c r="B25" s="198">
        <f>'[1]Jan10'!$W$114/1000</f>
        <v>2120.6390949999995</v>
      </c>
      <c r="C25" s="122">
        <v>2082</v>
      </c>
    </row>
    <row r="26" spans="1:4" ht="15" customHeight="1">
      <c r="A26" s="4" t="s">
        <v>78</v>
      </c>
      <c r="B26" s="198">
        <f>SUM('[1]Jan10'!$W$119:$W$120)/1000</f>
        <v>76114.74076543299</v>
      </c>
      <c r="C26" s="122">
        <v>67749</v>
      </c>
      <c r="D26" s="125"/>
    </row>
    <row r="27" spans="1:3" ht="15" customHeight="1">
      <c r="A27" s="123"/>
      <c r="B27" s="199">
        <f>SUM(B20:B26)+1</f>
        <v>165240.68520132976</v>
      </c>
      <c r="C27" s="124">
        <f>SUM(C20:C26)</f>
        <v>165529</v>
      </c>
    </row>
    <row r="28" spans="1:3" ht="15" customHeight="1">
      <c r="A28" s="62" t="s">
        <v>82</v>
      </c>
      <c r="B28" s="198"/>
      <c r="C28" s="122"/>
    </row>
    <row r="29" spans="1:3" ht="15" customHeight="1">
      <c r="A29" s="4" t="s">
        <v>121</v>
      </c>
      <c r="B29" s="198">
        <v>0</v>
      </c>
      <c r="C29" s="122">
        <v>36</v>
      </c>
    </row>
    <row r="30" spans="1:3" ht="15" customHeight="1">
      <c r="A30" s="4" t="s">
        <v>57</v>
      </c>
      <c r="B30" s="198">
        <f>SUM('[1]Jan10'!$W$124:$W$127)/1000</f>
        <v>76706.80463205956</v>
      </c>
      <c r="C30" s="122">
        <v>66861</v>
      </c>
    </row>
    <row r="31" spans="1:3" ht="15" customHeight="1">
      <c r="A31" s="4" t="s">
        <v>83</v>
      </c>
      <c r="B31" s="198">
        <f>'[1]Jan10'!$W$128/1000</f>
        <v>1371.71745</v>
      </c>
      <c r="C31" s="122">
        <v>1322</v>
      </c>
    </row>
    <row r="32" spans="1:3" ht="15" customHeight="1">
      <c r="A32" s="4" t="s">
        <v>85</v>
      </c>
      <c r="B32" s="198">
        <f>'[1]Jan10'!$W$136/1000</f>
        <v>86.892559407</v>
      </c>
      <c r="C32" s="122">
        <v>283</v>
      </c>
    </row>
    <row r="33" spans="1:3" ht="15" customHeight="1">
      <c r="A33" s="4" t="s">
        <v>88</v>
      </c>
      <c r="B33" s="198">
        <f>'[1]Jan10'!$W$129/1000</f>
        <v>502.784578129</v>
      </c>
      <c r="C33" s="122">
        <v>1012</v>
      </c>
    </row>
    <row r="34" spans="1:3" ht="15" customHeight="1">
      <c r="A34" s="4" t="s">
        <v>84</v>
      </c>
      <c r="B34" s="198">
        <f>SUM('[1]Jan10'!$W$134:$W$135)/1000</f>
        <v>260715.55910073</v>
      </c>
      <c r="C34" s="122">
        <v>194607</v>
      </c>
    </row>
    <row r="35" spans="1:3" ht="15" customHeight="1">
      <c r="A35" s="123"/>
      <c r="B35" s="199">
        <f>SUM(B29:B34)+1</f>
        <v>339384.7583203255</v>
      </c>
      <c r="C35" s="124">
        <f>SUM(C29:C34)</f>
        <v>264121</v>
      </c>
    </row>
    <row r="36" spans="1:3" ht="15" customHeight="1">
      <c r="A36" s="62"/>
      <c r="B36" s="198"/>
      <c r="C36" s="122"/>
    </row>
    <row r="37" spans="1:3" ht="15" customHeight="1">
      <c r="A37" s="126" t="s">
        <v>86</v>
      </c>
      <c r="B37" s="200">
        <f>+B27-B35</f>
        <v>-174144.07311899576</v>
      </c>
      <c r="C37" s="127">
        <f>+C27-C35</f>
        <v>-98592</v>
      </c>
    </row>
    <row r="38" spans="1:3" ht="15" customHeight="1">
      <c r="A38" s="62"/>
      <c r="B38" s="198"/>
      <c r="C38" s="122"/>
    </row>
    <row r="39" spans="1:3" ht="15" customHeight="1">
      <c r="A39" s="62" t="s">
        <v>87</v>
      </c>
      <c r="B39" s="198"/>
      <c r="C39" s="122"/>
    </row>
    <row r="40" spans="1:3" ht="15" customHeight="1">
      <c r="A40" s="4" t="s">
        <v>70</v>
      </c>
      <c r="B40" s="198">
        <f>'[1]Jan10'!$W$143/1000</f>
        <v>118.227</v>
      </c>
      <c r="C40" s="122">
        <v>118</v>
      </c>
    </row>
    <row r="41" spans="1:3" ht="15" customHeight="1">
      <c r="A41" s="4" t="s">
        <v>88</v>
      </c>
      <c r="B41" s="198">
        <f>'[1]Jan10'!$W$144/1000</f>
        <v>339.697777933</v>
      </c>
      <c r="C41" s="122">
        <v>319</v>
      </c>
    </row>
    <row r="42" spans="1:3" ht="15" customHeight="1">
      <c r="A42" s="4" t="s">
        <v>84</v>
      </c>
      <c r="B42" s="198">
        <f>'[1]Jan10'!$W$145/1000</f>
        <v>9846.854</v>
      </c>
      <c r="C42" s="122">
        <v>10800</v>
      </c>
    </row>
    <row r="43" spans="1:3" ht="15" customHeight="1">
      <c r="A43" s="88"/>
      <c r="B43" s="199">
        <f>SUM(B40:B42)</f>
        <v>10304.778777933</v>
      </c>
      <c r="C43" s="124">
        <f>SUM(C40:C42)</f>
        <v>11237</v>
      </c>
    </row>
    <row r="44" spans="1:3" ht="15" customHeight="1">
      <c r="A44" s="4"/>
      <c r="B44" s="198"/>
      <c r="C44" s="122"/>
    </row>
    <row r="45" spans="1:3" ht="15" customHeight="1">
      <c r="A45" s="4" t="s">
        <v>83</v>
      </c>
      <c r="B45" s="198">
        <f>'[1]Jan10'!$W$148/1000-1</f>
        <v>11792.69016</v>
      </c>
      <c r="C45" s="122">
        <v>12597</v>
      </c>
    </row>
    <row r="46" spans="1:3" ht="15" customHeight="1">
      <c r="A46" s="62"/>
      <c r="B46" s="198"/>
      <c r="C46" s="122"/>
    </row>
    <row r="47" spans="1:3" ht="15" customHeight="1" thickBot="1">
      <c r="A47" s="54"/>
      <c r="B47" s="201">
        <f>B18+B37-B43-B45-1</f>
        <v>1162985.6717428965</v>
      </c>
      <c r="C47" s="128">
        <f>C18+C37-C43-C45</f>
        <v>1123828</v>
      </c>
    </row>
    <row r="48" spans="1:3" ht="15" customHeight="1">
      <c r="A48" s="4"/>
      <c r="B48" s="198"/>
      <c r="C48" s="122"/>
    </row>
    <row r="49" spans="1:3" ht="15" customHeight="1">
      <c r="A49" s="129" t="s">
        <v>89</v>
      </c>
      <c r="B49" s="198"/>
      <c r="C49" s="122"/>
    </row>
    <row r="50" spans="1:3" ht="15" customHeight="1">
      <c r="A50" s="4" t="s">
        <v>33</v>
      </c>
      <c r="B50" s="198">
        <f>'[1]Jan10'!$W$156/1000</f>
        <v>486711.745</v>
      </c>
      <c r="C50" s="122">
        <v>323390</v>
      </c>
    </row>
    <row r="51" spans="1:3" ht="15" customHeight="1">
      <c r="A51" s="4" t="s">
        <v>122</v>
      </c>
      <c r="B51" s="198">
        <f>'[1]Jan10'!$W$159/1000</f>
        <v>3500</v>
      </c>
      <c r="C51" s="122">
        <v>3500</v>
      </c>
    </row>
    <row r="52" spans="1:3" ht="15" customHeight="1">
      <c r="A52" s="4" t="s">
        <v>90</v>
      </c>
      <c r="B52" s="198">
        <f>'[1]Jan10'!$W$157/1000</f>
        <v>290905.089</v>
      </c>
      <c r="C52" s="122">
        <v>452695</v>
      </c>
    </row>
    <row r="53" spans="1:3" ht="15" customHeight="1">
      <c r="A53" s="32" t="s">
        <v>91</v>
      </c>
      <c r="B53" s="198">
        <f>'[1]Jan10'!$W$160/1000</f>
        <v>438.12700925599995</v>
      </c>
      <c r="C53" s="122">
        <v>3058</v>
      </c>
    </row>
    <row r="54" spans="1:3" ht="15" customHeight="1">
      <c r="A54" s="4" t="s">
        <v>92</v>
      </c>
      <c r="B54" s="198">
        <f>'[1]Jan10'!$W$162/1000</f>
        <v>241.531</v>
      </c>
      <c r="C54" s="122">
        <v>495</v>
      </c>
    </row>
    <row r="55" spans="1:3" ht="15" customHeight="1">
      <c r="A55" s="57" t="s">
        <v>93</v>
      </c>
      <c r="B55" s="202">
        <f>'[1]Jan10'!$W$163/1000</f>
        <v>362750.93156955444</v>
      </c>
      <c r="C55" s="106">
        <v>324226</v>
      </c>
    </row>
    <row r="56" spans="2:3" ht="15" customHeight="1">
      <c r="B56" s="198">
        <f>SUM(B50:B55)+1</f>
        <v>1144548.4235788104</v>
      </c>
      <c r="C56" s="122">
        <f>SUM(C50:C55)</f>
        <v>1107364</v>
      </c>
    </row>
    <row r="57" spans="1:3" ht="15" customHeight="1">
      <c r="A57" s="4" t="s">
        <v>59</v>
      </c>
      <c r="B57" s="190">
        <f>'[1]Jan10'!$W$165/1000</f>
        <v>18438.247873622964</v>
      </c>
      <c r="C57" s="65">
        <v>16464</v>
      </c>
    </row>
    <row r="58" spans="1:3" ht="15" customHeight="1" thickBot="1">
      <c r="A58" s="54" t="s">
        <v>94</v>
      </c>
      <c r="B58" s="201">
        <f>+B56+B57-1</f>
        <v>1162985.6714524333</v>
      </c>
      <c r="C58" s="128">
        <f>+C56+C57</f>
        <v>1123828</v>
      </c>
    </row>
    <row r="59" ht="15" customHeight="1">
      <c r="B59" s="203"/>
    </row>
    <row r="60" ht="15" customHeight="1">
      <c r="B60" s="203"/>
    </row>
    <row r="61" spans="1:3" ht="15" customHeight="1" thickBot="1">
      <c r="A61" s="130" t="s">
        <v>71</v>
      </c>
      <c r="B61" s="204">
        <f>+B56/B50</f>
        <v>2.3515940088497564</v>
      </c>
      <c r="C61" s="131">
        <f>+C56/C50</f>
        <v>3.4242369893936115</v>
      </c>
    </row>
    <row r="62" spans="1:3" ht="12.75" customHeight="1">
      <c r="A62" s="132"/>
      <c r="B62" s="133"/>
      <c r="C62" s="134"/>
    </row>
    <row r="63" spans="1:3" ht="12.75" customHeight="1">
      <c r="A63" s="132"/>
      <c r="B63" s="133"/>
      <c r="C63" s="134"/>
    </row>
    <row r="64" spans="1:3" ht="12.75" customHeight="1">
      <c r="A64" s="132"/>
      <c r="B64" s="133"/>
      <c r="C64" s="134"/>
    </row>
    <row r="65" spans="1:4" ht="33" customHeight="1">
      <c r="A65" s="273" t="s">
        <v>128</v>
      </c>
      <c r="B65" s="273"/>
      <c r="C65" s="273"/>
      <c r="D65" s="136"/>
    </row>
    <row r="66" spans="1:3" ht="12.75">
      <c r="A66" s="4"/>
      <c r="B66" s="135"/>
      <c r="C66" s="135"/>
    </row>
    <row r="67" spans="2:3" ht="12.75">
      <c r="B67" s="135"/>
      <c r="C67" s="135"/>
    </row>
  </sheetData>
  <sheetProtection/>
  <mergeCells count="4">
    <mergeCell ref="A65:C65"/>
    <mergeCell ref="A1:E1"/>
    <mergeCell ref="A2:E2"/>
    <mergeCell ref="A3:C3"/>
  </mergeCells>
  <printOptions/>
  <pageMargins left="0.81" right="0.45" top="0.73" bottom="0.15" header="0.5" footer="0.5"/>
  <pageSetup fitToHeight="1" fitToWidth="1" horizontalDpi="180" verticalDpi="180" orientation="portrait" paperSize="9" scale="77" r:id="rId1"/>
</worksheet>
</file>

<file path=xl/worksheets/sheet4.xml><?xml version="1.0" encoding="utf-8"?>
<worksheet xmlns="http://schemas.openxmlformats.org/spreadsheetml/2006/main" xmlns:r="http://schemas.openxmlformats.org/officeDocument/2006/relationships">
  <dimension ref="A1:P37"/>
  <sheetViews>
    <sheetView zoomScalePageLayoutView="0" workbookViewId="0" topLeftCell="A19">
      <selection activeCell="C27" sqref="C27"/>
    </sheetView>
  </sheetViews>
  <sheetFormatPr defaultColWidth="9.140625" defaultRowHeight="12.75"/>
  <cols>
    <col min="1" max="1" width="38.421875" style="19" customWidth="1"/>
    <col min="2" max="2" width="13.7109375" style="16" customWidth="1"/>
    <col min="3" max="3" width="17.57421875" style="16" customWidth="1"/>
    <col min="4" max="9" width="13.7109375" style="16" customWidth="1"/>
    <col min="10" max="10" width="13.7109375" style="4" customWidth="1"/>
    <col min="11" max="11" width="13.7109375" style="16" customWidth="1"/>
    <col min="12" max="16" width="9.140625" style="16" customWidth="1"/>
    <col min="17" max="16384" width="9.140625" style="19" customWidth="1"/>
  </cols>
  <sheetData>
    <row r="1" spans="1:11" ht="15.75" customHeight="1">
      <c r="A1" s="271" t="s">
        <v>221</v>
      </c>
      <c r="B1" s="271"/>
      <c r="C1" s="271"/>
      <c r="D1" s="271"/>
      <c r="E1" s="271"/>
      <c r="F1" s="271"/>
      <c r="G1" s="271"/>
      <c r="H1" s="271"/>
      <c r="I1" s="271"/>
      <c r="J1" s="271"/>
      <c r="K1" s="271"/>
    </row>
    <row r="2" spans="1:16" s="95" customFormat="1" ht="15.75" customHeight="1">
      <c r="A2" s="274" t="s">
        <v>299</v>
      </c>
      <c r="B2" s="274"/>
      <c r="C2" s="274"/>
      <c r="D2" s="274"/>
      <c r="E2" s="274"/>
      <c r="F2" s="274"/>
      <c r="G2" s="274"/>
      <c r="H2" s="274"/>
      <c r="I2" s="274"/>
      <c r="J2" s="274"/>
      <c r="K2" s="274"/>
      <c r="L2" s="94"/>
      <c r="M2" s="94"/>
      <c r="N2" s="94"/>
      <c r="O2" s="94"/>
      <c r="P2" s="94"/>
    </row>
    <row r="3" spans="1:16" s="95" customFormat="1" ht="15.75" customHeight="1">
      <c r="A3" s="272" t="s">
        <v>296</v>
      </c>
      <c r="B3" s="272"/>
      <c r="C3" s="272"/>
      <c r="D3" s="272"/>
      <c r="E3" s="272"/>
      <c r="F3" s="272"/>
      <c r="G3" s="272"/>
      <c r="H3" s="272"/>
      <c r="I3" s="272"/>
      <c r="J3" s="272"/>
      <c r="K3" s="272"/>
      <c r="L3" s="94"/>
      <c r="M3" s="94"/>
      <c r="N3" s="94"/>
      <c r="O3" s="94"/>
      <c r="P3" s="94"/>
    </row>
    <row r="4" spans="1:16" s="80" customFormat="1" ht="15.75" customHeight="1">
      <c r="A4" s="174"/>
      <c r="B4" s="174"/>
      <c r="C4" s="174"/>
      <c r="D4" s="174"/>
      <c r="E4" s="174"/>
      <c r="F4" s="174"/>
      <c r="G4" s="174"/>
      <c r="H4" s="174"/>
      <c r="I4" s="174"/>
      <c r="J4" s="174"/>
      <c r="K4" s="174"/>
      <c r="L4" s="96"/>
      <c r="M4" s="96"/>
      <c r="N4" s="96"/>
      <c r="O4" s="96"/>
      <c r="P4" s="96"/>
    </row>
    <row r="5" spans="1:11" s="94" customFormat="1" ht="15.75" customHeight="1" thickBot="1">
      <c r="A5" s="276"/>
      <c r="B5" s="276"/>
      <c r="C5" s="276"/>
      <c r="D5" s="276"/>
      <c r="E5" s="276"/>
      <c r="F5" s="276"/>
      <c r="G5" s="276"/>
      <c r="H5" s="276"/>
      <c r="I5" s="276"/>
      <c r="J5" s="276"/>
      <c r="K5" s="276"/>
    </row>
    <row r="6" spans="1:11" s="96" customFormat="1" ht="15.75" customHeight="1">
      <c r="A6" s="205"/>
      <c r="B6" s="275" t="s">
        <v>98</v>
      </c>
      <c r="C6" s="275"/>
      <c r="D6" s="275"/>
      <c r="E6" s="275"/>
      <c r="F6" s="275"/>
      <c r="G6" s="275"/>
      <c r="H6" s="275"/>
      <c r="I6" s="275"/>
      <c r="J6" s="205"/>
      <c r="K6" s="205"/>
    </row>
    <row r="7" spans="1:11" s="43" customFormat="1" ht="38.25" customHeight="1">
      <c r="A7" s="206"/>
      <c r="B7" s="207" t="s">
        <v>110</v>
      </c>
      <c r="C7" s="208" t="s">
        <v>122</v>
      </c>
      <c r="D7" s="208" t="s">
        <v>12</v>
      </c>
      <c r="E7" s="208" t="s">
        <v>42</v>
      </c>
      <c r="F7" s="207" t="s">
        <v>44</v>
      </c>
      <c r="G7" s="207" t="s">
        <v>95</v>
      </c>
      <c r="H7" s="208" t="s">
        <v>43</v>
      </c>
      <c r="I7" s="208" t="s">
        <v>14</v>
      </c>
      <c r="J7" s="207" t="s">
        <v>64</v>
      </c>
      <c r="K7" s="207" t="s">
        <v>65</v>
      </c>
    </row>
    <row r="8" spans="1:11" s="4" customFormat="1" ht="15.75" customHeight="1" thickBot="1">
      <c r="A8" s="209"/>
      <c r="B8" s="210" t="s">
        <v>6</v>
      </c>
      <c r="C8" s="210" t="s">
        <v>6</v>
      </c>
      <c r="D8" s="210" t="s">
        <v>6</v>
      </c>
      <c r="E8" s="210" t="s">
        <v>6</v>
      </c>
      <c r="F8" s="210" t="s">
        <v>6</v>
      </c>
      <c r="G8" s="210" t="s">
        <v>6</v>
      </c>
      <c r="H8" s="210" t="s">
        <v>6</v>
      </c>
      <c r="I8" s="210" t="s">
        <v>6</v>
      </c>
      <c r="J8" s="210" t="s">
        <v>6</v>
      </c>
      <c r="K8" s="210" t="s">
        <v>6</v>
      </c>
    </row>
    <row r="9" spans="1:11" s="4" customFormat="1" ht="15.75" customHeight="1">
      <c r="A9" s="203"/>
      <c r="B9" s="211"/>
      <c r="C9" s="211"/>
      <c r="D9" s="211"/>
      <c r="E9" s="211"/>
      <c r="F9" s="211"/>
      <c r="G9" s="211"/>
      <c r="H9" s="211"/>
      <c r="I9" s="211"/>
      <c r="J9" s="211"/>
      <c r="K9" s="211"/>
    </row>
    <row r="10" spans="1:11" s="97" customFormat="1" ht="15.75" customHeight="1">
      <c r="A10" s="186" t="s">
        <v>167</v>
      </c>
      <c r="B10" s="190">
        <v>323390</v>
      </c>
      <c r="C10" s="190">
        <v>3500</v>
      </c>
      <c r="D10" s="190">
        <v>452695</v>
      </c>
      <c r="E10" s="190">
        <v>3058</v>
      </c>
      <c r="F10" s="190">
        <v>0</v>
      </c>
      <c r="G10" s="190">
        <v>495</v>
      </c>
      <c r="H10" s="190">
        <v>324226</v>
      </c>
      <c r="I10" s="190">
        <f aca="true" t="shared" si="0" ref="I10:I15">SUM(B10:H10)</f>
        <v>1107364</v>
      </c>
      <c r="J10" s="212">
        <v>16465</v>
      </c>
      <c r="K10" s="187">
        <f aca="true" t="shared" si="1" ref="K10:K15">SUM(I10:J10)</f>
        <v>1123829</v>
      </c>
    </row>
    <row r="11" spans="1:11" s="97" customFormat="1" ht="15.75" customHeight="1">
      <c r="A11" s="186" t="s">
        <v>23</v>
      </c>
      <c r="B11" s="190">
        <v>0</v>
      </c>
      <c r="C11" s="190">
        <v>0</v>
      </c>
      <c r="D11" s="190">
        <v>0</v>
      </c>
      <c r="E11" s="190">
        <v>-2620</v>
      </c>
      <c r="F11" s="190">
        <v>0</v>
      </c>
      <c r="G11" s="190">
        <v>0</v>
      </c>
      <c r="H11" s="190">
        <v>0</v>
      </c>
      <c r="I11" s="190">
        <f t="shared" si="0"/>
        <v>-2620</v>
      </c>
      <c r="J11" s="212">
        <v>-40</v>
      </c>
      <c r="K11" s="212">
        <f t="shared" si="1"/>
        <v>-2660</v>
      </c>
    </row>
    <row r="12" spans="1:11" s="97" customFormat="1" ht="15.75" customHeight="1">
      <c r="A12" s="186" t="s">
        <v>171</v>
      </c>
      <c r="B12" s="190">
        <v>0</v>
      </c>
      <c r="C12" s="190">
        <v>0</v>
      </c>
      <c r="D12" s="190">
        <v>0</v>
      </c>
      <c r="E12" s="190">
        <v>0</v>
      </c>
      <c r="F12" s="190">
        <v>0</v>
      </c>
      <c r="G12" s="190">
        <v>0</v>
      </c>
      <c r="H12" s="190">
        <f>+PL!D25</f>
        <v>38525.281145531204</v>
      </c>
      <c r="I12" s="190">
        <f t="shared" si="0"/>
        <v>38525.281145531204</v>
      </c>
      <c r="J12" s="212">
        <f>+PL!D26</f>
        <v>2187.6970838499</v>
      </c>
      <c r="K12" s="213">
        <f t="shared" si="1"/>
        <v>40712.9782293811</v>
      </c>
    </row>
    <row r="13" spans="1:11" s="97" customFormat="1" ht="15.75" customHeight="1">
      <c r="A13" s="186" t="s">
        <v>183</v>
      </c>
      <c r="B13" s="190">
        <v>162195</v>
      </c>
      <c r="C13" s="190">
        <v>0</v>
      </c>
      <c r="D13" s="190">
        <v>-162195</v>
      </c>
      <c r="E13" s="190">
        <v>0</v>
      </c>
      <c r="F13" s="190">
        <v>0</v>
      </c>
      <c r="G13" s="190">
        <v>0</v>
      </c>
      <c r="H13" s="190">
        <v>0</v>
      </c>
      <c r="I13" s="190">
        <f t="shared" si="0"/>
        <v>0</v>
      </c>
      <c r="J13" s="190">
        <v>0</v>
      </c>
      <c r="K13" s="214">
        <f t="shared" si="1"/>
        <v>0</v>
      </c>
    </row>
    <row r="14" spans="1:11" s="97" customFormat="1" ht="15.75" customHeight="1">
      <c r="A14" s="186" t="s">
        <v>186</v>
      </c>
      <c r="B14" s="190">
        <v>0</v>
      </c>
      <c r="C14" s="190">
        <v>0</v>
      </c>
      <c r="D14" s="190">
        <v>0</v>
      </c>
      <c r="E14" s="190">
        <v>0</v>
      </c>
      <c r="F14" s="190">
        <v>0</v>
      </c>
      <c r="G14" s="190">
        <v>0</v>
      </c>
      <c r="H14" s="190">
        <v>0</v>
      </c>
      <c r="I14" s="190">
        <f t="shared" si="0"/>
        <v>0</v>
      </c>
      <c r="J14" s="190">
        <v>-175</v>
      </c>
      <c r="K14" s="214">
        <f t="shared" si="1"/>
        <v>-175</v>
      </c>
    </row>
    <row r="15" spans="1:11" s="97" customFormat="1" ht="26.25" customHeight="1">
      <c r="A15" s="215" t="s">
        <v>115</v>
      </c>
      <c r="B15" s="190">
        <v>1127</v>
      </c>
      <c r="C15" s="190">
        <v>0</v>
      </c>
      <c r="D15" s="190">
        <f>151+254</f>
        <v>405</v>
      </c>
      <c r="E15" s="190">
        <v>0</v>
      </c>
      <c r="F15" s="190">
        <v>0</v>
      </c>
      <c r="G15" s="190">
        <v>-253</v>
      </c>
      <c r="H15" s="190">
        <v>0</v>
      </c>
      <c r="I15" s="190">
        <f t="shared" si="0"/>
        <v>1279</v>
      </c>
      <c r="J15" s="190">
        <v>0</v>
      </c>
      <c r="K15" s="216">
        <f t="shared" si="1"/>
        <v>1279</v>
      </c>
    </row>
    <row r="16" spans="1:11" s="98" customFormat="1" ht="15.75" customHeight="1">
      <c r="A16" s="217"/>
      <c r="B16" s="218"/>
      <c r="C16" s="218"/>
      <c r="D16" s="218"/>
      <c r="E16" s="218"/>
      <c r="F16" s="218"/>
      <c r="G16" s="218"/>
      <c r="H16" s="218"/>
      <c r="I16" s="218"/>
      <c r="J16" s="219"/>
      <c r="K16" s="213"/>
    </row>
    <row r="17" spans="1:11" s="97" customFormat="1" ht="15.75" customHeight="1" thickBot="1">
      <c r="A17" s="220" t="s">
        <v>198</v>
      </c>
      <c r="B17" s="189">
        <f>SUM(B10:B16)</f>
        <v>486712</v>
      </c>
      <c r="C17" s="189">
        <f>SUM(C10:C15)</f>
        <v>3500</v>
      </c>
      <c r="D17" s="189">
        <f aca="true" t="shared" si="2" ref="D17:K17">SUM(D10:D16)</f>
        <v>290905</v>
      </c>
      <c r="E17" s="189">
        <f t="shared" si="2"/>
        <v>438</v>
      </c>
      <c r="F17" s="189">
        <f t="shared" si="2"/>
        <v>0</v>
      </c>
      <c r="G17" s="189">
        <f t="shared" si="2"/>
        <v>242</v>
      </c>
      <c r="H17" s="189">
        <f t="shared" si="2"/>
        <v>362751.2811455312</v>
      </c>
      <c r="I17" s="189">
        <f t="shared" si="2"/>
        <v>1144548.2811455312</v>
      </c>
      <c r="J17" s="189">
        <f t="shared" si="2"/>
        <v>18437.6970838499</v>
      </c>
      <c r="K17" s="189">
        <f t="shared" si="2"/>
        <v>1162985.9782293811</v>
      </c>
    </row>
    <row r="18" spans="2:11" s="4" customFormat="1" ht="15.75" customHeight="1">
      <c r="B18" s="99"/>
      <c r="C18" s="99"/>
      <c r="D18" s="99"/>
      <c r="E18" s="99"/>
      <c r="F18" s="99"/>
      <c r="G18" s="99"/>
      <c r="H18" s="99"/>
      <c r="I18" s="99"/>
      <c r="J18" s="99"/>
      <c r="K18" s="99"/>
    </row>
    <row r="19" spans="2:9" s="4" customFormat="1" ht="15.75" customHeight="1">
      <c r="B19" s="100"/>
      <c r="C19" s="99"/>
      <c r="D19" s="99"/>
      <c r="E19" s="99"/>
      <c r="H19" s="99"/>
      <c r="I19" s="99"/>
    </row>
    <row r="20" spans="1:11" s="3" customFormat="1" ht="15.75" customHeight="1">
      <c r="A20" s="4" t="s">
        <v>101</v>
      </c>
      <c r="B20" s="65">
        <v>323334</v>
      </c>
      <c r="C20" s="65">
        <v>0</v>
      </c>
      <c r="D20" s="65">
        <v>385717</v>
      </c>
      <c r="E20" s="65">
        <v>-587</v>
      </c>
      <c r="F20" s="65">
        <v>2343</v>
      </c>
      <c r="G20" s="65">
        <v>1307</v>
      </c>
      <c r="H20" s="65">
        <v>287378</v>
      </c>
      <c r="I20" s="65">
        <v>999492</v>
      </c>
      <c r="J20" s="101">
        <v>19452</v>
      </c>
      <c r="K20" s="101">
        <v>1018944</v>
      </c>
    </row>
    <row r="21" spans="1:12" ht="15.75" customHeight="1">
      <c r="A21" s="175" t="s">
        <v>23</v>
      </c>
      <c r="B21" s="102">
        <v>0</v>
      </c>
      <c r="C21" s="102">
        <v>0</v>
      </c>
      <c r="D21" s="102">
        <v>0</v>
      </c>
      <c r="E21" s="102">
        <v>3645</v>
      </c>
      <c r="F21" s="102">
        <v>0</v>
      </c>
      <c r="G21" s="102">
        <v>0</v>
      </c>
      <c r="H21" s="102">
        <v>0</v>
      </c>
      <c r="I21" s="102">
        <f>SUM(B21:H21)</f>
        <v>3645</v>
      </c>
      <c r="J21" s="103">
        <v>169</v>
      </c>
      <c r="K21" s="104">
        <f>SUM(I21:J21)</f>
        <v>3814</v>
      </c>
      <c r="L21" s="4"/>
    </row>
    <row r="22" spans="1:12" ht="15.75" customHeight="1">
      <c r="A22" s="176" t="s">
        <v>114</v>
      </c>
      <c r="B22" s="106">
        <v>0</v>
      </c>
      <c r="C22" s="106">
        <v>0</v>
      </c>
      <c r="D22" s="106">
        <v>0</v>
      </c>
      <c r="E22" s="106">
        <v>0</v>
      </c>
      <c r="F22" s="106">
        <v>0</v>
      </c>
      <c r="G22" s="106">
        <v>0</v>
      </c>
      <c r="H22" s="106">
        <v>41438</v>
      </c>
      <c r="I22" s="107">
        <f>SUM(B22:H22)</f>
        <v>41438</v>
      </c>
      <c r="J22" s="107">
        <v>1358</v>
      </c>
      <c r="K22" s="108">
        <f>SUM(I22:J22)</f>
        <v>42796</v>
      </c>
      <c r="L22" s="4"/>
    </row>
    <row r="23" spans="1:12" ht="29.25" customHeight="1">
      <c r="A23" s="105" t="s">
        <v>190</v>
      </c>
      <c r="B23" s="65">
        <f>SUM(B21:B22)</f>
        <v>0</v>
      </c>
      <c r="C23" s="65">
        <f aca="true" t="shared" si="3" ref="C23:K23">SUM(C21:C22)</f>
        <v>0</v>
      </c>
      <c r="D23" s="65">
        <f t="shared" si="3"/>
        <v>0</v>
      </c>
      <c r="E23" s="65">
        <f t="shared" si="3"/>
        <v>3645</v>
      </c>
      <c r="F23" s="65">
        <f t="shared" si="3"/>
        <v>0</v>
      </c>
      <c r="G23" s="65">
        <f t="shared" si="3"/>
        <v>0</v>
      </c>
      <c r="H23" s="65">
        <f t="shared" si="3"/>
        <v>41438</v>
      </c>
      <c r="I23" s="65">
        <f t="shared" si="3"/>
        <v>45083</v>
      </c>
      <c r="J23" s="65">
        <f t="shared" si="3"/>
        <v>1527</v>
      </c>
      <c r="K23" s="65">
        <f t="shared" si="3"/>
        <v>46610</v>
      </c>
      <c r="L23" s="4"/>
    </row>
    <row r="24" spans="1:12" ht="15.75" customHeight="1">
      <c r="A24" s="105" t="s">
        <v>191</v>
      </c>
      <c r="B24" s="65"/>
      <c r="C24" s="65"/>
      <c r="D24" s="65"/>
      <c r="E24" s="65"/>
      <c r="F24" s="65"/>
      <c r="G24" s="65"/>
      <c r="H24" s="65"/>
      <c r="I24" s="65"/>
      <c r="J24" s="109"/>
      <c r="K24" s="110"/>
      <c r="L24" s="4"/>
    </row>
    <row r="25" spans="1:11" ht="15.75" customHeight="1">
      <c r="A25" s="111" t="s">
        <v>192</v>
      </c>
      <c r="B25" s="65">
        <v>0</v>
      </c>
      <c r="C25" s="65">
        <v>3500</v>
      </c>
      <c r="D25" s="65">
        <v>66500</v>
      </c>
      <c r="E25" s="65">
        <v>0</v>
      </c>
      <c r="F25" s="65">
        <v>0</v>
      </c>
      <c r="G25" s="65">
        <v>0</v>
      </c>
      <c r="H25" s="65">
        <v>0</v>
      </c>
      <c r="I25" s="65">
        <f aca="true" t="shared" si="4" ref="I25:I30">SUM(B25:H25)</f>
        <v>70000</v>
      </c>
      <c r="J25" s="112">
        <v>0</v>
      </c>
      <c r="K25" s="113">
        <f aca="true" t="shared" si="5" ref="K25:K30">SUM(I25:J25)</f>
        <v>70000</v>
      </c>
    </row>
    <row r="26" spans="1:11" ht="15.75" customHeight="1">
      <c r="A26" s="111" t="s">
        <v>193</v>
      </c>
      <c r="B26" s="65">
        <v>56</v>
      </c>
      <c r="C26" s="65">
        <v>0</v>
      </c>
      <c r="D26" s="65">
        <v>478</v>
      </c>
      <c r="E26" s="65">
        <v>0</v>
      </c>
      <c r="F26" s="65">
        <v>0</v>
      </c>
      <c r="G26" s="65">
        <v>-470</v>
      </c>
      <c r="H26" s="65">
        <v>0</v>
      </c>
      <c r="I26" s="65">
        <f t="shared" si="4"/>
        <v>64</v>
      </c>
      <c r="J26" s="112">
        <v>0</v>
      </c>
      <c r="K26" s="113">
        <f t="shared" si="5"/>
        <v>64</v>
      </c>
    </row>
    <row r="27" spans="1:11" ht="24.75" customHeight="1">
      <c r="A27" s="114" t="s">
        <v>194</v>
      </c>
      <c r="B27" s="65">
        <v>0</v>
      </c>
      <c r="C27" s="65">
        <v>0</v>
      </c>
      <c r="D27" s="65">
        <v>0</v>
      </c>
      <c r="E27" s="65">
        <v>0</v>
      </c>
      <c r="F27" s="65">
        <v>-2343</v>
      </c>
      <c r="G27" s="65">
        <v>0</v>
      </c>
      <c r="H27" s="65">
        <v>2343</v>
      </c>
      <c r="I27" s="65">
        <f t="shared" si="4"/>
        <v>0</v>
      </c>
      <c r="J27" s="112">
        <v>0</v>
      </c>
      <c r="K27" s="113">
        <f t="shared" si="5"/>
        <v>0</v>
      </c>
    </row>
    <row r="28" spans="1:11" ht="27.75" customHeight="1">
      <c r="A28" s="114" t="s">
        <v>195</v>
      </c>
      <c r="B28" s="65">
        <v>0</v>
      </c>
      <c r="C28" s="65">
        <v>0</v>
      </c>
      <c r="D28" s="65">
        <v>0</v>
      </c>
      <c r="E28" s="65">
        <v>0</v>
      </c>
      <c r="F28" s="65">
        <v>0</v>
      </c>
      <c r="G28" s="65">
        <v>-343</v>
      </c>
      <c r="H28" s="65">
        <f>-G28</f>
        <v>343</v>
      </c>
      <c r="I28" s="65">
        <f t="shared" si="4"/>
        <v>0</v>
      </c>
      <c r="J28" s="112">
        <v>0</v>
      </c>
      <c r="K28" s="113">
        <f t="shared" si="5"/>
        <v>0</v>
      </c>
    </row>
    <row r="29" spans="1:11" ht="15.75" customHeight="1">
      <c r="A29" s="114" t="s">
        <v>196</v>
      </c>
      <c r="B29" s="65">
        <v>0</v>
      </c>
      <c r="C29" s="65">
        <v>0</v>
      </c>
      <c r="D29" s="65">
        <v>0</v>
      </c>
      <c r="E29" s="65">
        <v>0</v>
      </c>
      <c r="F29" s="65">
        <v>0</v>
      </c>
      <c r="G29" s="65">
        <v>0</v>
      </c>
      <c r="H29" s="65">
        <v>0</v>
      </c>
      <c r="I29" s="65">
        <f t="shared" si="4"/>
        <v>0</v>
      </c>
      <c r="J29" s="112">
        <v>-4514</v>
      </c>
      <c r="K29" s="113">
        <f t="shared" si="5"/>
        <v>-4514</v>
      </c>
    </row>
    <row r="30" spans="1:11" ht="24.75" customHeight="1">
      <c r="A30" s="114" t="s">
        <v>197</v>
      </c>
      <c r="B30" s="65">
        <v>0</v>
      </c>
      <c r="C30" s="65">
        <v>0</v>
      </c>
      <c r="D30" s="65">
        <v>0</v>
      </c>
      <c r="E30" s="65">
        <v>0</v>
      </c>
      <c r="F30" s="65">
        <v>0</v>
      </c>
      <c r="G30" s="65">
        <v>0</v>
      </c>
      <c r="H30" s="65">
        <v>-7276</v>
      </c>
      <c r="I30" s="65">
        <f t="shared" si="4"/>
        <v>-7276</v>
      </c>
      <c r="J30" s="112">
        <v>0</v>
      </c>
      <c r="K30" s="113">
        <f t="shared" si="5"/>
        <v>-7276</v>
      </c>
    </row>
    <row r="31" spans="1:11" ht="15.75" customHeight="1">
      <c r="A31" s="4"/>
      <c r="B31" s="65"/>
      <c r="C31" s="65"/>
      <c r="D31" s="65"/>
      <c r="E31" s="65"/>
      <c r="F31" s="65"/>
      <c r="G31" s="65"/>
      <c r="H31" s="65"/>
      <c r="I31" s="65"/>
      <c r="J31" s="115"/>
      <c r="K31" s="115"/>
    </row>
    <row r="32" spans="1:11" ht="15.75" customHeight="1" thickBot="1">
      <c r="A32" s="54" t="s">
        <v>189</v>
      </c>
      <c r="B32" s="116">
        <f>B20+SUM(B23:B30)</f>
        <v>323390</v>
      </c>
      <c r="C32" s="116">
        <f aca="true" t="shared" si="6" ref="C32:K32">C20+SUM(C23:C30)</f>
        <v>3500</v>
      </c>
      <c r="D32" s="116">
        <f t="shared" si="6"/>
        <v>452695</v>
      </c>
      <c r="E32" s="116">
        <f t="shared" si="6"/>
        <v>3058</v>
      </c>
      <c r="F32" s="116">
        <f t="shared" si="6"/>
        <v>0</v>
      </c>
      <c r="G32" s="116">
        <f t="shared" si="6"/>
        <v>494</v>
      </c>
      <c r="H32" s="116">
        <f t="shared" si="6"/>
        <v>324226</v>
      </c>
      <c r="I32" s="116">
        <f t="shared" si="6"/>
        <v>1107363</v>
      </c>
      <c r="J32" s="116">
        <f t="shared" si="6"/>
        <v>16465</v>
      </c>
      <c r="K32" s="116">
        <f t="shared" si="6"/>
        <v>1123828</v>
      </c>
    </row>
    <row r="33" spans="1:16" s="3" customFormat="1" ht="15.75" customHeight="1">
      <c r="A33" s="4"/>
      <c r="B33" s="65"/>
      <c r="C33" s="65"/>
      <c r="D33" s="65"/>
      <c r="E33" s="65"/>
      <c r="F33" s="65"/>
      <c r="G33" s="65"/>
      <c r="H33" s="65"/>
      <c r="I33" s="65"/>
      <c r="J33" s="115"/>
      <c r="K33" s="115"/>
      <c r="L33" s="65"/>
      <c r="M33" s="65"/>
      <c r="N33" s="65"/>
      <c r="O33" s="4"/>
      <c r="P33" s="4"/>
    </row>
    <row r="34" spans="1:16" s="3" customFormat="1" ht="15.75" customHeight="1">
      <c r="A34" s="4"/>
      <c r="B34" s="65"/>
      <c r="C34" s="65"/>
      <c r="D34" s="65"/>
      <c r="E34" s="65"/>
      <c r="F34" s="65"/>
      <c r="G34" s="65"/>
      <c r="H34" s="65"/>
      <c r="I34" s="65"/>
      <c r="J34" s="115"/>
      <c r="K34" s="115"/>
      <c r="L34" s="65"/>
      <c r="M34" s="65"/>
      <c r="N34" s="65"/>
      <c r="O34" s="4"/>
      <c r="P34" s="4"/>
    </row>
    <row r="35" spans="1:16" ht="15.75" customHeight="1">
      <c r="A35" s="273" t="s">
        <v>129</v>
      </c>
      <c r="B35" s="273"/>
      <c r="C35" s="273"/>
      <c r="D35" s="273"/>
      <c r="E35" s="273"/>
      <c r="F35" s="273"/>
      <c r="G35" s="273"/>
      <c r="H35" s="273"/>
      <c r="I35" s="273"/>
      <c r="J35" s="273"/>
      <c r="K35" s="273"/>
      <c r="M35" s="19"/>
      <c r="N35" s="19"/>
      <c r="O35" s="19"/>
      <c r="P35" s="19"/>
    </row>
    <row r="36" spans="1:16" ht="25.5" customHeight="1">
      <c r="A36" s="273"/>
      <c r="B36" s="273"/>
      <c r="C36" s="273"/>
      <c r="D36" s="273"/>
      <c r="E36" s="273"/>
      <c r="F36" s="273"/>
      <c r="G36" s="273"/>
      <c r="H36" s="273"/>
      <c r="I36" s="273"/>
      <c r="J36" s="273"/>
      <c r="K36" s="273"/>
      <c r="L36" s="117"/>
      <c r="M36" s="19"/>
      <c r="N36" s="19"/>
      <c r="O36" s="19"/>
      <c r="P36" s="19"/>
    </row>
    <row r="37" spans="1:16" ht="12.75">
      <c r="A37" s="4"/>
      <c r="M37" s="19"/>
      <c r="N37" s="19"/>
      <c r="O37" s="19"/>
      <c r="P37" s="19"/>
    </row>
  </sheetData>
  <sheetProtection/>
  <mergeCells count="6">
    <mergeCell ref="B6:I6"/>
    <mergeCell ref="A35:K36"/>
    <mergeCell ref="A1:K1"/>
    <mergeCell ref="A2:K2"/>
    <mergeCell ref="A5:K5"/>
    <mergeCell ref="A3:K3"/>
  </mergeCells>
  <printOptions horizontalCentered="1"/>
  <pageMargins left="0.2755905511811024" right="0.15748031496062992" top="0.5118110236220472" bottom="0.31496062992125984" header="0.5118110236220472" footer="0.2362204724409449"/>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K75"/>
  <sheetViews>
    <sheetView zoomScalePageLayoutView="0" workbookViewId="0" topLeftCell="A1">
      <selection activeCell="C27" sqref="C27"/>
    </sheetView>
  </sheetViews>
  <sheetFormatPr defaultColWidth="9.140625" defaultRowHeight="12.75"/>
  <cols>
    <col min="1" max="1" width="73.7109375" style="84" customWidth="1"/>
    <col min="2" max="2" width="20.7109375" style="62" customWidth="1"/>
    <col min="3" max="3" width="20.7109375" style="3" customWidth="1"/>
    <col min="4" max="16384" width="9.140625" style="84" customWidth="1"/>
  </cols>
  <sheetData>
    <row r="1" spans="1:11" s="177" customFormat="1" ht="15.75" customHeight="1">
      <c r="A1" s="118" t="s">
        <v>221</v>
      </c>
      <c r="B1" s="118"/>
      <c r="C1" s="118"/>
      <c r="D1" s="118"/>
      <c r="E1" s="118"/>
      <c r="F1" s="118"/>
      <c r="G1" s="118"/>
      <c r="H1" s="118"/>
      <c r="I1" s="118"/>
      <c r="J1" s="118"/>
      <c r="K1" s="118"/>
    </row>
    <row r="2" spans="1:11" s="3" customFormat="1" ht="15.75" customHeight="1">
      <c r="A2" s="174" t="s">
        <v>300</v>
      </c>
      <c r="B2" s="174"/>
      <c r="C2" s="174"/>
      <c r="D2" s="174"/>
      <c r="E2" s="174"/>
      <c r="F2" s="174"/>
      <c r="G2" s="174"/>
      <c r="H2" s="174"/>
      <c r="I2" s="174"/>
      <c r="J2" s="174"/>
      <c r="K2" s="174"/>
    </row>
    <row r="3" spans="1:11" s="3" customFormat="1" ht="15.75" customHeight="1">
      <c r="A3" s="171" t="s">
        <v>296</v>
      </c>
      <c r="B3" s="171"/>
      <c r="C3" s="171"/>
      <c r="D3" s="171"/>
      <c r="E3" s="171"/>
      <c r="F3" s="171"/>
      <c r="G3" s="171"/>
      <c r="H3" s="171"/>
      <c r="I3" s="171"/>
      <c r="J3" s="171"/>
      <c r="K3" s="171"/>
    </row>
    <row r="4" spans="1:11" s="3" customFormat="1" ht="15.75" customHeight="1">
      <c r="A4" s="171"/>
      <c r="B4" s="171"/>
      <c r="C4" s="171"/>
      <c r="D4" s="171"/>
      <c r="E4" s="171"/>
      <c r="F4" s="171"/>
      <c r="G4" s="171"/>
      <c r="H4" s="171"/>
      <c r="I4" s="171"/>
      <c r="J4" s="171"/>
      <c r="K4" s="171"/>
    </row>
    <row r="5" spans="1:3" s="3" customFormat="1" ht="15" customHeight="1" thickBot="1">
      <c r="A5" s="248"/>
      <c r="B5" s="144"/>
      <c r="C5" s="166"/>
    </row>
    <row r="6" spans="1:3" s="80" customFormat="1" ht="15" customHeight="1">
      <c r="A6" s="81"/>
      <c r="B6" s="184" t="s">
        <v>123</v>
      </c>
      <c r="C6" s="82" t="s">
        <v>125</v>
      </c>
    </row>
    <row r="7" spans="1:3" s="80" customFormat="1" ht="15" customHeight="1">
      <c r="A7" s="81"/>
      <c r="B7" s="184" t="s">
        <v>124</v>
      </c>
      <c r="C7" s="82" t="s">
        <v>124</v>
      </c>
    </row>
    <row r="8" spans="1:3" ht="15" customHeight="1">
      <c r="A8" s="78"/>
      <c r="B8" s="195" t="s">
        <v>188</v>
      </c>
      <c r="C8" s="83" t="s">
        <v>116</v>
      </c>
    </row>
    <row r="9" spans="1:3" ht="15" customHeight="1" thickBot="1">
      <c r="A9" s="178"/>
      <c r="B9" s="196" t="s">
        <v>6</v>
      </c>
      <c r="C9" s="172" t="s">
        <v>6</v>
      </c>
    </row>
    <row r="10" spans="1:3" s="3" customFormat="1" ht="15" customHeight="1">
      <c r="A10" s="62" t="s">
        <v>132</v>
      </c>
      <c r="B10" s="197"/>
      <c r="C10" s="79"/>
    </row>
    <row r="11" spans="1:3" s="3" customFormat="1" ht="15" customHeight="1">
      <c r="A11" s="4" t="s">
        <v>133</v>
      </c>
      <c r="B11" s="221">
        <f>'[1]CFJan10'!$E$124/1000</f>
        <v>209578.9445</v>
      </c>
      <c r="C11" s="86">
        <v>217131</v>
      </c>
    </row>
    <row r="12" spans="1:3" s="3" customFormat="1" ht="15" customHeight="1">
      <c r="A12" s="57" t="s">
        <v>134</v>
      </c>
      <c r="B12" s="222">
        <f>'[1]CFJan10'!$E$125/1000</f>
        <v>-158045.41637762068</v>
      </c>
      <c r="C12" s="87">
        <v>-179595</v>
      </c>
    </row>
    <row r="13" spans="1:3" s="3" customFormat="1" ht="15" customHeight="1">
      <c r="A13" s="4" t="s">
        <v>172</v>
      </c>
      <c r="B13" s="221">
        <f>+B11+B12</f>
        <v>51533.52812237933</v>
      </c>
      <c r="C13" s="86">
        <f>SUM(C11:C12)</f>
        <v>37536</v>
      </c>
    </row>
    <row r="14" spans="1:3" s="3" customFormat="1" ht="15" customHeight="1">
      <c r="A14" s="4" t="s">
        <v>199</v>
      </c>
      <c r="B14" s="221">
        <v>0</v>
      </c>
      <c r="C14" s="86">
        <v>269</v>
      </c>
    </row>
    <row r="15" spans="1:3" s="3" customFormat="1" ht="15" customHeight="1">
      <c r="A15" s="4" t="s">
        <v>177</v>
      </c>
      <c r="B15" s="221">
        <v>0</v>
      </c>
      <c r="C15" s="86">
        <v>17722</v>
      </c>
    </row>
    <row r="16" spans="1:3" s="3" customFormat="1" ht="15" customHeight="1">
      <c r="A16" s="4" t="s">
        <v>136</v>
      </c>
      <c r="B16" s="221">
        <f>'[1]CFJan10'!$E$129/1000</f>
        <v>369.10154000000006</v>
      </c>
      <c r="C16" s="86">
        <v>1099</v>
      </c>
    </row>
    <row r="17" spans="1:3" s="3" customFormat="1" ht="15" customHeight="1">
      <c r="A17" s="4" t="s">
        <v>135</v>
      </c>
      <c r="B17" s="221">
        <f>'[1]CFJan10'!$E$128/1000</f>
        <v>-5970.715536818076</v>
      </c>
      <c r="C17" s="86">
        <v>-7399</v>
      </c>
    </row>
    <row r="18" spans="1:3" s="3" customFormat="1" ht="15" customHeight="1">
      <c r="A18" s="4" t="s">
        <v>200</v>
      </c>
      <c r="B18" s="221">
        <v>0</v>
      </c>
      <c r="C18" s="86">
        <v>954</v>
      </c>
    </row>
    <row r="19" spans="1:3" s="3" customFormat="1" ht="15" customHeight="1">
      <c r="A19" s="4" t="s">
        <v>201</v>
      </c>
      <c r="B19" s="222">
        <f>'[1]CFJan10'!$E$131/1000</f>
        <v>-511.4353069083042</v>
      </c>
      <c r="C19" s="87">
        <v>-689</v>
      </c>
    </row>
    <row r="20" spans="1:3" s="3" customFormat="1" ht="15" customHeight="1">
      <c r="A20" s="88" t="s">
        <v>113</v>
      </c>
      <c r="B20" s="223">
        <f>SUM(B13:B19)</f>
        <v>45420.478818652955</v>
      </c>
      <c r="C20" s="89">
        <f>SUM(C13:C19)</f>
        <v>49492</v>
      </c>
    </row>
    <row r="21" spans="1:3" s="3" customFormat="1" ht="15" customHeight="1">
      <c r="A21" s="4"/>
      <c r="B21" s="221"/>
      <c r="C21" s="86"/>
    </row>
    <row r="22" spans="1:3" s="3" customFormat="1" ht="15" customHeight="1">
      <c r="A22" s="62" t="s">
        <v>137</v>
      </c>
      <c r="B22" s="221"/>
      <c r="C22" s="86"/>
    </row>
    <row r="23" spans="1:3" s="3" customFormat="1" ht="15" customHeight="1">
      <c r="A23" s="4" t="s">
        <v>177</v>
      </c>
      <c r="B23" s="221">
        <v>0</v>
      </c>
      <c r="C23" s="86">
        <v>19</v>
      </c>
    </row>
    <row r="24" spans="1:3" s="3" customFormat="1" ht="15" customHeight="1">
      <c r="A24" s="4" t="s">
        <v>202</v>
      </c>
      <c r="B24" s="221">
        <v>0</v>
      </c>
      <c r="C24" s="86">
        <v>-180</v>
      </c>
    </row>
    <row r="25" spans="1:3" s="3" customFormat="1" ht="15" customHeight="1">
      <c r="A25" s="4" t="s">
        <v>203</v>
      </c>
      <c r="B25" s="221">
        <f>'[1]CFJan10'!$E$138/1000</f>
        <v>-7302.189</v>
      </c>
      <c r="C25" s="86">
        <v>-1000</v>
      </c>
    </row>
    <row r="26" spans="1:3" s="3" customFormat="1" ht="15" customHeight="1">
      <c r="A26" s="4" t="s">
        <v>178</v>
      </c>
      <c r="B26" s="221">
        <v>0</v>
      </c>
      <c r="C26" s="86">
        <v>-5500</v>
      </c>
    </row>
    <row r="27" spans="1:3" s="3" customFormat="1" ht="15" customHeight="1">
      <c r="A27" s="4" t="s">
        <v>138</v>
      </c>
      <c r="B27" s="221"/>
      <c r="C27" s="86"/>
    </row>
    <row r="28" spans="1:3" s="3" customFormat="1" ht="15" customHeight="1">
      <c r="A28" s="67" t="s">
        <v>139</v>
      </c>
      <c r="B28" s="221">
        <v>0</v>
      </c>
      <c r="C28" s="86">
        <v>-20302</v>
      </c>
    </row>
    <row r="29" spans="1:3" s="3" customFormat="1" ht="15" customHeight="1">
      <c r="A29" s="67" t="s">
        <v>204</v>
      </c>
      <c r="B29" s="221">
        <v>0</v>
      </c>
      <c r="C29" s="86">
        <v>-5744</v>
      </c>
    </row>
    <row r="30" spans="1:3" s="3" customFormat="1" ht="15" customHeight="1">
      <c r="A30" s="67" t="s">
        <v>179</v>
      </c>
      <c r="B30" s="221">
        <v>0</v>
      </c>
      <c r="C30" s="86">
        <v>-1008</v>
      </c>
    </row>
    <row r="31" spans="1:3" s="3" customFormat="1" ht="15" customHeight="1">
      <c r="A31" s="4" t="s">
        <v>205</v>
      </c>
      <c r="B31" s="221"/>
      <c r="C31" s="86"/>
    </row>
    <row r="32" spans="1:3" s="3" customFormat="1" ht="15" customHeight="1">
      <c r="A32" s="67" t="s">
        <v>206</v>
      </c>
      <c r="B32" s="221">
        <v>0</v>
      </c>
      <c r="C32" s="86">
        <v>1020</v>
      </c>
    </row>
    <row r="33" spans="1:3" s="3" customFormat="1" ht="15" customHeight="1">
      <c r="A33" s="67" t="s">
        <v>207</v>
      </c>
      <c r="B33" s="221">
        <f>'[1]CFJan10'!$E$148/1000</f>
        <v>12861.09</v>
      </c>
      <c r="C33" s="86">
        <v>9465</v>
      </c>
    </row>
    <row r="34" spans="1:3" s="3" customFormat="1" ht="15" customHeight="1">
      <c r="A34" s="67" t="s">
        <v>208</v>
      </c>
      <c r="B34" s="221">
        <v>0</v>
      </c>
      <c r="C34" s="86">
        <v>4021</v>
      </c>
    </row>
    <row r="35" spans="1:3" s="3" customFormat="1" ht="15" customHeight="1">
      <c r="A35" s="4" t="s">
        <v>148</v>
      </c>
      <c r="B35" s="221"/>
      <c r="C35" s="86"/>
    </row>
    <row r="36" spans="1:3" s="3" customFormat="1" ht="15" customHeight="1">
      <c r="A36" s="67" t="s">
        <v>147</v>
      </c>
      <c r="B36" s="221">
        <f>'[1]CFJan10'!$E$157/1000+'[1]CFJan10'!$E$160/1000</f>
        <v>-107285.73334292838</v>
      </c>
      <c r="C36" s="86">
        <v>-105996</v>
      </c>
    </row>
    <row r="37" spans="1:3" s="3" customFormat="1" ht="15" customHeight="1">
      <c r="A37" s="67" t="s">
        <v>149</v>
      </c>
      <c r="B37" s="221">
        <v>0</v>
      </c>
      <c r="C37" s="86">
        <v>1594</v>
      </c>
    </row>
    <row r="38" spans="1:3" s="3" customFormat="1" ht="15" customHeight="1">
      <c r="A38" s="4" t="s">
        <v>209</v>
      </c>
      <c r="B38" s="221">
        <f>'[1]CFJan10'!$E$162/1000</f>
        <v>-790.072</v>
      </c>
      <c r="C38" s="86">
        <v>-83</v>
      </c>
    </row>
    <row r="39" spans="1:3" s="3" customFormat="1" ht="15" customHeight="1">
      <c r="A39" s="4" t="s">
        <v>210</v>
      </c>
      <c r="B39" s="221">
        <v>0</v>
      </c>
      <c r="C39" s="86">
        <v>-100</v>
      </c>
    </row>
    <row r="40" spans="1:3" s="3" customFormat="1" ht="15" customHeight="1">
      <c r="A40" s="4" t="s">
        <v>211</v>
      </c>
      <c r="B40" s="221">
        <v>0</v>
      </c>
      <c r="C40" s="86">
        <v>-686</v>
      </c>
    </row>
    <row r="41" spans="1:3" s="3" customFormat="1" ht="15" customHeight="1">
      <c r="A41" s="4" t="s">
        <v>212</v>
      </c>
      <c r="B41" s="221">
        <v>0</v>
      </c>
      <c r="C41" s="86">
        <v>-300</v>
      </c>
    </row>
    <row r="42" spans="1:3" s="3" customFormat="1" ht="15" customHeight="1">
      <c r="A42" s="4" t="s">
        <v>213</v>
      </c>
      <c r="B42" s="221">
        <f>'[1]CFJan10'!$E$155/1000</f>
        <v>-12.787</v>
      </c>
      <c r="C42" s="86">
        <v>0</v>
      </c>
    </row>
    <row r="43" spans="1:3" s="3" customFormat="1" ht="15" customHeight="1">
      <c r="A43" s="4" t="s">
        <v>135</v>
      </c>
      <c r="B43" s="221">
        <f>'[1]CFJan10'!$E$158/1000</f>
        <v>-5315.79014</v>
      </c>
      <c r="C43" s="86">
        <v>0</v>
      </c>
    </row>
    <row r="44" spans="1:3" s="3" customFormat="1" ht="15" customHeight="1">
      <c r="A44" s="88" t="s">
        <v>131</v>
      </c>
      <c r="B44" s="223">
        <f>SUM(B24:B43)</f>
        <v>-107845.48148292837</v>
      </c>
      <c r="C44" s="89">
        <f>SUM(C23:C43)</f>
        <v>-124780</v>
      </c>
    </row>
    <row r="45" spans="1:3" s="3" customFormat="1" ht="15" customHeight="1">
      <c r="A45" s="4"/>
      <c r="B45" s="221"/>
      <c r="C45" s="86"/>
    </row>
    <row r="46" spans="1:3" s="3" customFormat="1" ht="15" customHeight="1">
      <c r="A46" s="62" t="s">
        <v>140</v>
      </c>
      <c r="B46" s="221"/>
      <c r="C46" s="86"/>
    </row>
    <row r="47" spans="1:3" s="3" customFormat="1" ht="15" customHeight="1">
      <c r="A47" s="4" t="s">
        <v>141</v>
      </c>
      <c r="B47" s="221">
        <f>'[1]CFJan10'!$E$171/1000</f>
        <v>1278.0000600000023</v>
      </c>
      <c r="C47" s="86">
        <v>65</v>
      </c>
    </row>
    <row r="48" spans="1:3" s="3" customFormat="1" ht="15" customHeight="1">
      <c r="A48" s="4" t="s">
        <v>142</v>
      </c>
      <c r="B48" s="221">
        <v>0</v>
      </c>
      <c r="C48" s="86">
        <v>70000</v>
      </c>
    </row>
    <row r="49" spans="1:3" s="3" customFormat="1" ht="15" customHeight="1">
      <c r="A49" s="4" t="s">
        <v>150</v>
      </c>
      <c r="B49" s="221">
        <f>SUM('[1]CFJan10'!$E$173:$E$174)/1000</f>
        <v>66076.642</v>
      </c>
      <c r="C49" s="86">
        <v>1536</v>
      </c>
    </row>
    <row r="50" spans="1:3" s="3" customFormat="1" ht="15" customHeight="1">
      <c r="A50" s="4" t="s">
        <v>199</v>
      </c>
      <c r="B50" s="221">
        <v>0</v>
      </c>
      <c r="C50" s="86">
        <v>687</v>
      </c>
    </row>
    <row r="51" spans="1:3" s="3" customFormat="1" ht="15" customHeight="1">
      <c r="A51" s="4" t="s">
        <v>168</v>
      </c>
      <c r="B51" s="221">
        <f>SUM('[1]CFJan10'!$E$176:$E$177)/1000</f>
        <v>16313.133699999998</v>
      </c>
      <c r="C51" s="86">
        <v>-82</v>
      </c>
    </row>
    <row r="52" spans="1:3" s="3" customFormat="1" ht="15" customHeight="1">
      <c r="A52" s="4" t="s">
        <v>143</v>
      </c>
      <c r="B52" s="221">
        <f>'[1]CFJan10'!$E$178/1000</f>
        <v>-488.86514533799993</v>
      </c>
      <c r="C52" s="86">
        <v>-1293</v>
      </c>
    </row>
    <row r="53" spans="1:3" s="3" customFormat="1" ht="15" customHeight="1">
      <c r="A53" s="4" t="s">
        <v>180</v>
      </c>
      <c r="B53" s="221">
        <v>0</v>
      </c>
      <c r="C53" s="86">
        <v>-7276</v>
      </c>
    </row>
    <row r="54" spans="1:3" s="3" customFormat="1" ht="15" customHeight="1">
      <c r="A54" s="4" t="s">
        <v>187</v>
      </c>
      <c r="B54" s="222">
        <f>'[1]CFJan10'!$E$180/1000</f>
        <v>-174.8</v>
      </c>
      <c r="C54" s="87">
        <v>0</v>
      </c>
    </row>
    <row r="55" spans="1:3" s="3" customFormat="1" ht="15" customHeight="1">
      <c r="A55" s="88" t="s">
        <v>144</v>
      </c>
      <c r="B55" s="222">
        <f>SUM(B47:B54)</f>
        <v>83004.11061466201</v>
      </c>
      <c r="C55" s="87">
        <f>SUM(C47:C54)</f>
        <v>63637</v>
      </c>
    </row>
    <row r="56" spans="1:3" s="3" customFormat="1" ht="15" customHeight="1">
      <c r="A56" s="4"/>
      <c r="B56" s="221"/>
      <c r="C56" s="86"/>
    </row>
    <row r="57" spans="1:3" s="3" customFormat="1" ht="15" customHeight="1">
      <c r="A57" s="27" t="s">
        <v>185</v>
      </c>
      <c r="B57" s="221">
        <f>+B55+B44+B20</f>
        <v>20579.1079503866</v>
      </c>
      <c r="C57" s="86">
        <f>C20+C44+C55</f>
        <v>-11651</v>
      </c>
    </row>
    <row r="58" spans="1:3" s="3" customFormat="1" ht="15" customHeight="1">
      <c r="A58" s="27" t="s">
        <v>214</v>
      </c>
      <c r="B58" s="221">
        <v>0</v>
      </c>
      <c r="C58" s="86">
        <v>-6</v>
      </c>
    </row>
    <row r="59" spans="1:3" s="3" customFormat="1" ht="15" customHeight="1">
      <c r="A59" s="4" t="s">
        <v>23</v>
      </c>
      <c r="B59" s="221">
        <f>'[1]CFJan10'!$E$186/1000</f>
        <v>-952.3472840759996</v>
      </c>
      <c r="C59" s="86">
        <v>2742</v>
      </c>
    </row>
    <row r="60" spans="1:3" s="3" customFormat="1" ht="15" customHeight="1">
      <c r="A60" s="4" t="s">
        <v>145</v>
      </c>
      <c r="B60" s="221">
        <v>52350</v>
      </c>
      <c r="C60" s="86">
        <v>61265</v>
      </c>
    </row>
    <row r="61" spans="1:3" s="3" customFormat="1" ht="15" customHeight="1" thickBot="1">
      <c r="A61" s="90" t="s">
        <v>146</v>
      </c>
      <c r="B61" s="224">
        <f>SUM(B57:B60)</f>
        <v>71976.7606663106</v>
      </c>
      <c r="C61" s="91">
        <f>SUM(C57:C60)</f>
        <v>52350</v>
      </c>
    </row>
    <row r="62" spans="1:3" s="3" customFormat="1" ht="15" customHeight="1">
      <c r="A62" s="4"/>
      <c r="B62" s="221"/>
      <c r="C62" s="86"/>
    </row>
    <row r="63" spans="1:3" s="3" customFormat="1" ht="15" customHeight="1">
      <c r="A63" s="4"/>
      <c r="B63" s="221"/>
      <c r="C63" s="86"/>
    </row>
    <row r="64" spans="1:3" s="20" customFormat="1" ht="15" customHeight="1">
      <c r="A64" s="32" t="s">
        <v>66</v>
      </c>
      <c r="B64" s="225"/>
      <c r="C64" s="92"/>
    </row>
    <row r="65" spans="1:3" s="3" customFormat="1" ht="15" customHeight="1">
      <c r="A65" s="4" t="s">
        <v>67</v>
      </c>
      <c r="B65" s="221">
        <f>'[1]CFJan10'!$E$195/1000</f>
        <v>18398.52939</v>
      </c>
      <c r="C65" s="86">
        <v>20735</v>
      </c>
    </row>
    <row r="66" spans="1:3" s="3" customFormat="1" ht="15" customHeight="1">
      <c r="A66" s="4" t="s">
        <v>215</v>
      </c>
      <c r="B66" s="221">
        <v>0</v>
      </c>
      <c r="C66" s="86">
        <v>3385</v>
      </c>
    </row>
    <row r="67" spans="1:3" s="3" customFormat="1" ht="15" customHeight="1">
      <c r="A67" s="57" t="s">
        <v>68</v>
      </c>
      <c r="B67" s="222">
        <f>'[1]CFJan10'!$E$196/1000</f>
        <v>57716.21137543299</v>
      </c>
      <c r="C67" s="87">
        <v>43629</v>
      </c>
    </row>
    <row r="68" spans="1:3" s="3" customFormat="1" ht="15" customHeight="1">
      <c r="A68" s="4" t="s">
        <v>78</v>
      </c>
      <c r="B68" s="221">
        <f>SUM(B65:B67)</f>
        <v>76114.74076543299</v>
      </c>
      <c r="C68" s="86">
        <f>SUM(C65:C67)</f>
        <v>67749</v>
      </c>
    </row>
    <row r="69" spans="1:3" s="3" customFormat="1" ht="15" customHeight="1">
      <c r="A69" s="57" t="s">
        <v>69</v>
      </c>
      <c r="B69" s="222">
        <f>'[1]CFJan10'!$E$197/1000</f>
        <v>-177.066</v>
      </c>
      <c r="C69" s="87">
        <v>-138</v>
      </c>
    </row>
    <row r="70" spans="1:3" s="3" customFormat="1" ht="15" customHeight="1">
      <c r="A70" s="4"/>
      <c r="B70" s="221">
        <f>SUM(B68:B69)</f>
        <v>75937.67476543298</v>
      </c>
      <c r="C70" s="86">
        <f>SUM(C68:C69)</f>
        <v>67611</v>
      </c>
    </row>
    <row r="71" spans="1:3" s="3" customFormat="1" ht="15" customHeight="1">
      <c r="A71" s="4" t="s">
        <v>111</v>
      </c>
      <c r="B71" s="221">
        <f>'[1]CFJan10'!$E$199/1000</f>
        <v>-3960.567</v>
      </c>
      <c r="C71" s="86">
        <v>-15261</v>
      </c>
    </row>
    <row r="72" spans="1:3" s="3" customFormat="1" ht="15" customHeight="1" thickBot="1">
      <c r="A72" s="90" t="s">
        <v>146</v>
      </c>
      <c r="B72" s="224">
        <f>SUM(B70:B71)</f>
        <v>71977.10776543299</v>
      </c>
      <c r="C72" s="91">
        <f>SUM(C70:C71)</f>
        <v>52350</v>
      </c>
    </row>
    <row r="73" spans="1:3" s="3" customFormat="1" ht="15" customHeight="1">
      <c r="A73" s="4"/>
      <c r="B73" s="93"/>
      <c r="C73" s="86"/>
    </row>
    <row r="74" spans="1:3" ht="46.5" customHeight="1">
      <c r="A74" s="277" t="s">
        <v>130</v>
      </c>
      <c r="B74" s="277"/>
      <c r="C74" s="277"/>
    </row>
    <row r="75" ht="12.75">
      <c r="A75" s="85"/>
    </row>
  </sheetData>
  <sheetProtection/>
  <mergeCells count="1">
    <mergeCell ref="A74:C74"/>
  </mergeCells>
  <printOptions/>
  <pageMargins left="0.826771653543307" right="0.39" top="0.669291338582677" bottom="0.15" header="0.511811023622047" footer="0.23"/>
  <pageSetup fitToHeight="1" fitToWidth="1"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M100"/>
  <sheetViews>
    <sheetView zoomScaleSheetLayoutView="100" zoomScalePageLayoutView="0" workbookViewId="0" topLeftCell="A70">
      <selection activeCell="C27" sqref="C27"/>
    </sheetView>
  </sheetViews>
  <sheetFormatPr defaultColWidth="9.140625" defaultRowHeight="12.75"/>
  <cols>
    <col min="1" max="1" width="4.7109375" style="39" customWidth="1"/>
    <col min="2" max="2" width="4.140625" style="3" customWidth="1"/>
    <col min="3" max="3" width="3.8515625" style="3" customWidth="1"/>
    <col min="4" max="4" width="14.57421875" style="3" customWidth="1"/>
    <col min="5" max="5" width="3.28125" style="3" customWidth="1"/>
    <col min="6" max="6" width="10.7109375" style="3" customWidth="1"/>
    <col min="7" max="7" width="26.57421875" style="3" customWidth="1"/>
    <col min="8" max="8" width="15.7109375" style="3" customWidth="1"/>
    <col min="9" max="9" width="15.7109375" style="4" customWidth="1"/>
    <col min="10" max="10" width="12.421875" style="3" customWidth="1"/>
    <col min="11" max="16384" width="9.140625" style="3" customWidth="1"/>
  </cols>
  <sheetData>
    <row r="1" spans="1:9" s="1" customFormat="1" ht="18">
      <c r="A1" s="271" t="s">
        <v>221</v>
      </c>
      <c r="B1" s="271"/>
      <c r="C1" s="271"/>
      <c r="D1" s="271"/>
      <c r="E1" s="271"/>
      <c r="F1" s="271"/>
      <c r="G1" s="271"/>
      <c r="H1" s="271"/>
      <c r="I1" s="271"/>
    </row>
    <row r="2" spans="1:9" s="1" customFormat="1" ht="16.5" thickBot="1">
      <c r="A2" s="283" t="s">
        <v>218</v>
      </c>
      <c r="B2" s="283"/>
      <c r="C2" s="283"/>
      <c r="D2" s="283"/>
      <c r="E2" s="283"/>
      <c r="F2" s="283"/>
      <c r="G2" s="283"/>
      <c r="H2" s="283"/>
      <c r="I2" s="283"/>
    </row>
    <row r="3" ht="12.75">
      <c r="A3" s="2"/>
    </row>
    <row r="4" ht="12.75">
      <c r="A4" s="2"/>
    </row>
    <row r="5" spans="1:9" s="6" customFormat="1" ht="12.75" customHeight="1">
      <c r="A5" s="5" t="s">
        <v>219</v>
      </c>
      <c r="B5" s="278" t="s">
        <v>220</v>
      </c>
      <c r="C5" s="278"/>
      <c r="D5" s="278"/>
      <c r="E5" s="278"/>
      <c r="F5" s="278"/>
      <c r="G5" s="278"/>
      <c r="H5" s="278"/>
      <c r="I5" s="278"/>
    </row>
    <row r="7" spans="1:2" ht="12.75">
      <c r="A7" s="37" t="s">
        <v>222</v>
      </c>
      <c r="B7" s="38" t="s">
        <v>303</v>
      </c>
    </row>
    <row r="8" spans="2:10" ht="27.75" customHeight="1">
      <c r="B8" s="284" t="s">
        <v>223</v>
      </c>
      <c r="C8" s="284"/>
      <c r="D8" s="284"/>
      <c r="E8" s="284"/>
      <c r="F8" s="284"/>
      <c r="G8" s="284"/>
      <c r="H8" s="284"/>
      <c r="I8" s="284"/>
      <c r="J8" s="40"/>
    </row>
    <row r="9" spans="2:10" ht="12.75" customHeight="1">
      <c r="B9" s="41"/>
      <c r="C9" s="41"/>
      <c r="D9" s="41"/>
      <c r="E9" s="41"/>
      <c r="F9" s="41"/>
      <c r="G9" s="41"/>
      <c r="H9" s="42"/>
      <c r="I9" s="43"/>
      <c r="J9" s="42"/>
    </row>
    <row r="10" spans="2:9" ht="54" customHeight="1">
      <c r="B10" s="285" t="s">
        <v>224</v>
      </c>
      <c r="C10" s="285"/>
      <c r="D10" s="285"/>
      <c r="E10" s="285"/>
      <c r="F10" s="285"/>
      <c r="G10" s="285"/>
      <c r="H10" s="285"/>
      <c r="I10" s="285"/>
    </row>
    <row r="11" spans="2:9" ht="12.75" customHeight="1">
      <c r="B11" s="44" t="s">
        <v>49</v>
      </c>
      <c r="C11" s="282" t="s">
        <v>225</v>
      </c>
      <c r="D11" s="282"/>
      <c r="E11" s="282"/>
      <c r="F11" s="282"/>
      <c r="G11" s="282"/>
      <c r="H11" s="282"/>
      <c r="I11" s="282"/>
    </row>
    <row r="12" spans="1:9" ht="12.75" customHeight="1">
      <c r="A12" s="37"/>
      <c r="C12" s="45" t="s">
        <v>151</v>
      </c>
      <c r="E12" s="45"/>
      <c r="F12" s="279" t="s">
        <v>152</v>
      </c>
      <c r="G12" s="279"/>
      <c r="H12" s="279"/>
      <c r="I12" s="279"/>
    </row>
    <row r="13" spans="1:9" ht="12.75" customHeight="1">
      <c r="A13" s="37"/>
      <c r="C13" s="45" t="s">
        <v>153</v>
      </c>
      <c r="E13" s="45"/>
      <c r="F13" s="279" t="s">
        <v>158</v>
      </c>
      <c r="G13" s="279"/>
      <c r="H13" s="279"/>
      <c r="I13" s="279"/>
    </row>
    <row r="14" spans="1:9" ht="12.75" customHeight="1">
      <c r="A14" s="37"/>
      <c r="C14" s="46" t="s">
        <v>154</v>
      </c>
      <c r="E14" s="46"/>
      <c r="F14" s="46" t="s">
        <v>159</v>
      </c>
      <c r="G14" s="46"/>
      <c r="H14" s="46"/>
      <c r="I14" s="3"/>
    </row>
    <row r="15" spans="1:9" ht="28.5" customHeight="1">
      <c r="A15" s="37"/>
      <c r="C15" s="46" t="s">
        <v>155</v>
      </c>
      <c r="E15" s="46"/>
      <c r="F15" s="280" t="s">
        <v>160</v>
      </c>
      <c r="G15" s="280"/>
      <c r="H15" s="280"/>
      <c r="I15" s="280"/>
    </row>
    <row r="16" spans="1:9" ht="12.75" customHeight="1">
      <c r="A16" s="37"/>
      <c r="C16" s="46" t="s">
        <v>156</v>
      </c>
      <c r="E16" s="46"/>
      <c r="F16" s="281" t="s">
        <v>161</v>
      </c>
      <c r="G16" s="281"/>
      <c r="H16" s="281"/>
      <c r="I16" s="281"/>
    </row>
    <row r="17" spans="1:9" ht="12.75" customHeight="1">
      <c r="A17" s="37"/>
      <c r="C17" s="46" t="s">
        <v>157</v>
      </c>
      <c r="E17" s="46"/>
      <c r="F17" s="46" t="s">
        <v>162</v>
      </c>
      <c r="G17" s="46"/>
      <c r="H17" s="46"/>
      <c r="I17" s="3"/>
    </row>
    <row r="18" spans="1:9" ht="12.75" customHeight="1">
      <c r="A18" s="37"/>
      <c r="B18" s="23"/>
      <c r="C18" s="46"/>
      <c r="D18" s="46"/>
      <c r="E18" s="46"/>
      <c r="F18" s="46"/>
      <c r="G18" s="46"/>
      <c r="H18" s="46"/>
      <c r="I18" s="46"/>
    </row>
    <row r="19" spans="2:9" ht="40.5" customHeight="1">
      <c r="B19" s="282" t="s">
        <v>308</v>
      </c>
      <c r="C19" s="282"/>
      <c r="D19" s="282"/>
      <c r="E19" s="282"/>
      <c r="F19" s="282"/>
      <c r="G19" s="282"/>
      <c r="H19" s="282"/>
      <c r="I19" s="282"/>
    </row>
    <row r="20" spans="2:9" ht="12.75" customHeight="1">
      <c r="B20" s="45"/>
      <c r="C20" s="45"/>
      <c r="D20" s="45"/>
      <c r="E20" s="45"/>
      <c r="F20" s="45"/>
      <c r="G20" s="45"/>
      <c r="H20" s="20"/>
      <c r="I20" s="9"/>
    </row>
    <row r="21" spans="1:9" ht="12.75">
      <c r="A21" s="37" t="s">
        <v>226</v>
      </c>
      <c r="B21" s="6" t="s">
        <v>227</v>
      </c>
      <c r="C21" s="20"/>
      <c r="D21" s="20"/>
      <c r="E21" s="20"/>
      <c r="F21" s="20"/>
      <c r="G21" s="20"/>
      <c r="H21" s="20"/>
      <c r="I21" s="9"/>
    </row>
    <row r="22" spans="1:9" ht="27.75" customHeight="1">
      <c r="A22" s="37"/>
      <c r="B22" s="287" t="s">
        <v>233</v>
      </c>
      <c r="C22" s="287"/>
      <c r="D22" s="287"/>
      <c r="E22" s="287"/>
      <c r="F22" s="287"/>
      <c r="G22" s="287"/>
      <c r="H22" s="287"/>
      <c r="I22" s="287"/>
    </row>
    <row r="23" spans="1:9" ht="14.25" customHeight="1">
      <c r="A23" s="37"/>
      <c r="B23" s="17"/>
      <c r="C23" s="17"/>
      <c r="D23" s="17"/>
      <c r="E23" s="17"/>
      <c r="F23" s="17"/>
      <c r="G23" s="17"/>
      <c r="H23" s="20"/>
      <c r="I23" s="9"/>
    </row>
    <row r="24" spans="1:9" ht="12.75">
      <c r="A24" s="37" t="s">
        <v>228</v>
      </c>
      <c r="B24" s="6" t="s">
        <v>229</v>
      </c>
      <c r="C24" s="20"/>
      <c r="D24" s="20"/>
      <c r="E24" s="20"/>
      <c r="F24" s="20"/>
      <c r="G24" s="20"/>
      <c r="H24" s="20"/>
      <c r="I24" s="9"/>
    </row>
    <row r="25" spans="1:10" ht="27" customHeight="1">
      <c r="A25" s="37"/>
      <c r="B25" s="282" t="s">
        <v>264</v>
      </c>
      <c r="C25" s="282"/>
      <c r="D25" s="282"/>
      <c r="E25" s="282"/>
      <c r="F25" s="282"/>
      <c r="G25" s="282"/>
      <c r="H25" s="282"/>
      <c r="I25" s="282"/>
      <c r="J25" s="33"/>
    </row>
    <row r="26" spans="1:9" ht="12.75" customHeight="1">
      <c r="A26" s="37"/>
      <c r="B26" s="290"/>
      <c r="C26" s="290"/>
      <c r="D26" s="290"/>
      <c r="E26" s="290"/>
      <c r="F26" s="290"/>
      <c r="G26" s="290"/>
      <c r="H26" s="20"/>
      <c r="I26" s="9"/>
    </row>
    <row r="27" spans="1:9" ht="12.75">
      <c r="A27" s="37" t="s">
        <v>230</v>
      </c>
      <c r="B27" s="6" t="s">
        <v>231</v>
      </c>
      <c r="C27" s="20"/>
      <c r="D27" s="20"/>
      <c r="E27" s="20"/>
      <c r="F27" s="20"/>
      <c r="G27" s="20"/>
      <c r="H27" s="20"/>
      <c r="I27" s="9"/>
    </row>
    <row r="28" spans="1:9" ht="12.75" customHeight="1">
      <c r="A28" s="37"/>
      <c r="B28" s="282" t="s">
        <v>216</v>
      </c>
      <c r="C28" s="282"/>
      <c r="D28" s="282"/>
      <c r="E28" s="282"/>
      <c r="F28" s="282"/>
      <c r="G28" s="282"/>
      <c r="H28" s="282"/>
      <c r="I28" s="282"/>
    </row>
    <row r="29" spans="1:9" ht="12.75" customHeight="1">
      <c r="A29" s="37"/>
      <c r="B29" s="6"/>
      <c r="C29" s="20"/>
      <c r="D29" s="20"/>
      <c r="E29" s="20"/>
      <c r="F29" s="20"/>
      <c r="G29" s="20"/>
      <c r="H29" s="20"/>
      <c r="I29" s="9"/>
    </row>
    <row r="30" spans="1:9" ht="12.75">
      <c r="A30" s="37" t="s">
        <v>232</v>
      </c>
      <c r="B30" s="6" t="s">
        <v>304</v>
      </c>
      <c r="C30" s="20"/>
      <c r="D30" s="20"/>
      <c r="E30" s="20"/>
      <c r="F30" s="20"/>
      <c r="G30" s="20"/>
      <c r="H30" s="20"/>
      <c r="I30" s="9"/>
    </row>
    <row r="31" spans="1:9" ht="26.25" customHeight="1">
      <c r="A31" s="37"/>
      <c r="B31" s="288" t="s">
        <v>305</v>
      </c>
      <c r="C31" s="288"/>
      <c r="D31" s="288"/>
      <c r="E31" s="288"/>
      <c r="F31" s="288"/>
      <c r="G31" s="288"/>
      <c r="H31" s="288"/>
      <c r="I31" s="288"/>
    </row>
    <row r="32" spans="1:9" ht="12.75" customHeight="1">
      <c r="A32" s="37"/>
      <c r="B32" s="47"/>
      <c r="C32" s="47"/>
      <c r="D32" s="47"/>
      <c r="E32" s="47"/>
      <c r="F32" s="47"/>
      <c r="G32" s="47"/>
      <c r="H32" s="20"/>
      <c r="I32" s="9"/>
    </row>
    <row r="33" spans="1:9" ht="12.75">
      <c r="A33" s="37" t="s">
        <v>234</v>
      </c>
      <c r="B33" s="8" t="s">
        <v>235</v>
      </c>
      <c r="C33" s="9"/>
      <c r="D33" s="9"/>
      <c r="E33" s="9"/>
      <c r="F33" s="9"/>
      <c r="G33" s="9"/>
      <c r="H33" s="9"/>
      <c r="I33" s="9"/>
    </row>
    <row r="34" spans="1:10" ht="13.5" customHeight="1">
      <c r="A34" s="37"/>
      <c r="B34" s="288" t="s">
        <v>217</v>
      </c>
      <c r="C34" s="288"/>
      <c r="D34" s="288"/>
      <c r="E34" s="288"/>
      <c r="F34" s="288"/>
      <c r="G34" s="288"/>
      <c r="H34" s="288"/>
      <c r="I34" s="288"/>
      <c r="J34" s="44"/>
    </row>
    <row r="35" spans="1:9" ht="12.75" customHeight="1">
      <c r="A35" s="37"/>
      <c r="B35" s="20"/>
      <c r="C35" s="20"/>
      <c r="D35" s="20"/>
      <c r="E35" s="20"/>
      <c r="F35" s="20"/>
      <c r="G35" s="20"/>
      <c r="H35" s="20"/>
      <c r="I35" s="9"/>
    </row>
    <row r="36" spans="1:9" ht="12.75">
      <c r="A36" s="37" t="s">
        <v>236</v>
      </c>
      <c r="B36" s="6" t="s">
        <v>60</v>
      </c>
      <c r="C36" s="20"/>
      <c r="D36" s="20"/>
      <c r="E36" s="20"/>
      <c r="F36" s="20"/>
      <c r="G36" s="20"/>
      <c r="H36" s="20"/>
      <c r="I36" s="9"/>
    </row>
    <row r="37" spans="1:9" ht="12.75" customHeight="1">
      <c r="A37" s="37"/>
      <c r="B37" s="6"/>
      <c r="C37" s="20"/>
      <c r="D37" s="20"/>
      <c r="H37" s="226" t="s">
        <v>237</v>
      </c>
      <c r="I37" s="226" t="s">
        <v>238</v>
      </c>
    </row>
    <row r="38" spans="1:9" ht="12.75" customHeight="1">
      <c r="A38" s="37"/>
      <c r="B38" s="20"/>
      <c r="C38" s="20"/>
      <c r="H38" s="226" t="s">
        <v>188</v>
      </c>
      <c r="I38" s="226" t="s">
        <v>188</v>
      </c>
    </row>
    <row r="39" spans="1:13" ht="12.75">
      <c r="A39" s="37"/>
      <c r="C39" s="20"/>
      <c r="D39" s="20"/>
      <c r="H39" s="226" t="s">
        <v>6</v>
      </c>
      <c r="I39" s="226" t="s">
        <v>6</v>
      </c>
      <c r="M39" s="4"/>
    </row>
    <row r="40" spans="1:13" ht="12.75">
      <c r="A40" s="37"/>
      <c r="B40" s="6" t="s">
        <v>24</v>
      </c>
      <c r="C40" s="20"/>
      <c r="D40" s="20"/>
      <c r="H40" s="226"/>
      <c r="I40" s="226"/>
      <c r="K40" s="4"/>
      <c r="M40" s="4"/>
    </row>
    <row r="41" spans="1:13" s="4" customFormat="1" ht="12.75" customHeight="1">
      <c r="A41" s="48"/>
      <c r="B41" s="9"/>
      <c r="C41" s="9" t="s">
        <v>45</v>
      </c>
      <c r="D41" s="25"/>
      <c r="H41" s="227">
        <f>I41-50183</f>
        <v>17216.78820000001</v>
      </c>
      <c r="I41" s="227">
        <f>'[1]Jan10'!$C$209/1000</f>
        <v>67399.78820000001</v>
      </c>
      <c r="J41" s="49"/>
      <c r="K41" s="50"/>
      <c r="L41" s="49"/>
      <c r="M41" s="50"/>
    </row>
    <row r="42" spans="1:13" s="4" customFormat="1" ht="12.75" customHeight="1">
      <c r="A42" s="48"/>
      <c r="B42" s="8"/>
      <c r="C42" s="9" t="s">
        <v>109</v>
      </c>
      <c r="D42" s="25"/>
      <c r="H42" s="227">
        <f>I42-48065</f>
        <v>21289.481805847536</v>
      </c>
      <c r="I42" s="227">
        <f>'[1]Jan10'!$E$209/1000+1</f>
        <v>69354.48180584754</v>
      </c>
      <c r="J42" s="49"/>
      <c r="K42" s="50"/>
      <c r="L42" s="49"/>
      <c r="M42" s="50"/>
    </row>
    <row r="43" spans="1:13" s="4" customFormat="1" ht="12.75" customHeight="1">
      <c r="A43" s="48"/>
      <c r="B43" s="9"/>
      <c r="C43" s="9" t="s">
        <v>46</v>
      </c>
      <c r="D43" s="25"/>
      <c r="H43" s="227">
        <f>I43-42460</f>
        <v>10846.956784000002</v>
      </c>
      <c r="I43" s="227">
        <f>'[1]Jan10'!$F$209/1000</f>
        <v>53306.956784</v>
      </c>
      <c r="J43" s="49"/>
      <c r="K43" s="50"/>
      <c r="L43" s="49"/>
      <c r="M43" s="50"/>
    </row>
    <row r="44" spans="1:13" s="4" customFormat="1" ht="12.75" customHeight="1">
      <c r="A44" s="48"/>
      <c r="B44" s="9"/>
      <c r="C44" s="9" t="s">
        <v>97</v>
      </c>
      <c r="D44" s="25"/>
      <c r="H44" s="227">
        <f>I44-4746</f>
        <v>1582.0690350571795</v>
      </c>
      <c r="I44" s="227">
        <f>'[1]Jan10'!$G$209/1000</f>
        <v>6328.0690350571795</v>
      </c>
      <c r="J44" s="49"/>
      <c r="K44" s="50"/>
      <c r="M44" s="50"/>
    </row>
    <row r="45" spans="1:13" s="4" customFormat="1" ht="12.75" customHeight="1">
      <c r="A45" s="48"/>
      <c r="B45" s="9"/>
      <c r="C45" s="9" t="s">
        <v>99</v>
      </c>
      <c r="D45" s="25"/>
      <c r="H45" s="227">
        <f>I45-495</f>
        <v>123.20030500000018</v>
      </c>
      <c r="I45" s="227">
        <f>'[1]Jan10'!$H$209/1000</f>
        <v>618.2003050000002</v>
      </c>
      <c r="J45" s="49"/>
      <c r="K45" s="50"/>
      <c r="M45" s="50"/>
    </row>
    <row r="46" spans="1:11" s="4" customFormat="1" ht="12.75" customHeight="1">
      <c r="A46" s="48"/>
      <c r="B46" s="9"/>
      <c r="C46" s="9" t="s">
        <v>13</v>
      </c>
      <c r="D46" s="25"/>
      <c r="H46" s="227">
        <f>I46-6</f>
        <v>0.133</v>
      </c>
      <c r="I46" s="227">
        <f>'[1]Jan10'!$I$209/1000</f>
        <v>6.133</v>
      </c>
      <c r="J46" s="49"/>
      <c r="K46" s="50"/>
    </row>
    <row r="47" spans="1:10" s="4" customFormat="1" ht="13.5" thickBot="1">
      <c r="A47" s="2"/>
      <c r="B47" s="51"/>
      <c r="C47" s="52" t="s">
        <v>47</v>
      </c>
      <c r="D47" s="53"/>
      <c r="E47" s="54"/>
      <c r="F47" s="54"/>
      <c r="G47" s="54"/>
      <c r="H47" s="228">
        <f>+SUM(H41:H46)-1</f>
        <v>51057.62912990473</v>
      </c>
      <c r="I47" s="228">
        <f>+SUM(I41:I46)-1</f>
        <v>197012.62912990476</v>
      </c>
      <c r="J47" s="49"/>
    </row>
    <row r="48" spans="1:9" s="4" customFormat="1" ht="12.75" customHeight="1">
      <c r="A48" s="2"/>
      <c r="B48" s="9"/>
      <c r="C48" s="9"/>
      <c r="D48" s="25"/>
      <c r="H48" s="229"/>
      <c r="I48" s="229"/>
    </row>
    <row r="49" spans="1:9" s="4" customFormat="1" ht="12.75">
      <c r="A49" s="2"/>
      <c r="B49" s="8" t="s">
        <v>25</v>
      </c>
      <c r="C49" s="9"/>
      <c r="D49" s="25"/>
      <c r="H49" s="230"/>
      <c r="I49" s="230"/>
    </row>
    <row r="50" spans="1:12" s="4" customFormat="1" ht="12.75" customHeight="1">
      <c r="A50" s="2"/>
      <c r="B50" s="9"/>
      <c r="C50" s="9" t="s">
        <v>45</v>
      </c>
      <c r="D50" s="25"/>
      <c r="H50" s="227">
        <f>I50-9300</f>
        <v>2714.2170675018915</v>
      </c>
      <c r="I50" s="227">
        <f>'[1]Jan10'!$V$174/1000</f>
        <v>12014.217067501892</v>
      </c>
      <c r="J50" s="49"/>
      <c r="K50" s="49"/>
      <c r="L50" s="49"/>
    </row>
    <row r="51" spans="1:12" s="4" customFormat="1" ht="12.75" customHeight="1">
      <c r="A51" s="2"/>
      <c r="B51" s="9"/>
      <c r="C51" s="9" t="s">
        <v>48</v>
      </c>
      <c r="D51" s="25"/>
      <c r="H51" s="227">
        <f>I51+5963</f>
        <v>-6569.85174</v>
      </c>
      <c r="I51" s="227">
        <f>'[1]Jan10'!$V$175/1000</f>
        <v>-12532.85174</v>
      </c>
      <c r="J51" s="49"/>
      <c r="K51" s="49"/>
      <c r="L51" s="49"/>
    </row>
    <row r="52" spans="1:12" s="4" customFormat="1" ht="12.75" customHeight="1">
      <c r="A52" s="2"/>
      <c r="B52" s="9"/>
      <c r="C52" s="9" t="s">
        <v>109</v>
      </c>
      <c r="D52" s="25"/>
      <c r="H52" s="227">
        <f>I52-1559</f>
        <v>1380.4313430031643</v>
      </c>
      <c r="I52" s="227">
        <f>'[1]Jan10'!$V$176/1000+1</f>
        <v>2939.4313430031643</v>
      </c>
      <c r="J52" s="49"/>
      <c r="K52" s="49"/>
      <c r="L52" s="49"/>
    </row>
    <row r="53" spans="1:12" s="4" customFormat="1" ht="12.75" customHeight="1">
      <c r="A53" s="2"/>
      <c r="B53" s="9"/>
      <c r="C53" s="9" t="s">
        <v>46</v>
      </c>
      <c r="D53" s="25"/>
      <c r="H53" s="227">
        <f>I53+2656</f>
        <v>65.96987874999468</v>
      </c>
      <c r="I53" s="227">
        <f>'[1]Jan10'!$V$177/1000</f>
        <v>-2590.0301212500053</v>
      </c>
      <c r="J53" s="49"/>
      <c r="K53" s="49"/>
      <c r="L53" s="49"/>
    </row>
    <row r="54" spans="1:12" s="4" customFormat="1" ht="12.75" customHeight="1">
      <c r="A54" s="2"/>
      <c r="B54" s="9"/>
      <c r="C54" s="9" t="s">
        <v>97</v>
      </c>
      <c r="D54" s="25"/>
      <c r="H54" s="227">
        <f>I54-134</f>
        <v>1669.9541268015798</v>
      </c>
      <c r="I54" s="227">
        <f>'[1]Jan10'!$V$178/1000</f>
        <v>1803.9541268015798</v>
      </c>
      <c r="J54" s="49"/>
      <c r="K54" s="49"/>
      <c r="L54" s="49"/>
    </row>
    <row r="55" spans="1:12" s="4" customFormat="1" ht="12.75" customHeight="1">
      <c r="A55" s="2"/>
      <c r="B55" s="9"/>
      <c r="C55" s="9" t="s">
        <v>99</v>
      </c>
      <c r="D55" s="25"/>
      <c r="H55" s="227">
        <f>I55+2364</f>
        <v>-1517.688716694353</v>
      </c>
      <c r="I55" s="227">
        <f>'[1]Jan10'!$V$179/1000+1</f>
        <v>-3881.688716694353</v>
      </c>
      <c r="J55" s="49"/>
      <c r="K55" s="49"/>
      <c r="L55" s="49"/>
    </row>
    <row r="56" spans="1:12" s="4" customFormat="1" ht="12.75" customHeight="1">
      <c r="A56" s="2"/>
      <c r="B56" s="55"/>
      <c r="C56" s="55" t="s">
        <v>13</v>
      </c>
      <c r="D56" s="56"/>
      <c r="E56" s="57"/>
      <c r="F56" s="57"/>
      <c r="G56" s="57"/>
      <c r="H56" s="231">
        <f>I56+1159</f>
        <v>-290.7019819999998</v>
      </c>
      <c r="I56" s="231">
        <f>'[1]Jan10'!$V$180/1000</f>
        <v>-1449.7019819999998</v>
      </c>
      <c r="J56" s="49"/>
      <c r="K56" s="49"/>
      <c r="L56" s="49"/>
    </row>
    <row r="57" spans="1:12" s="4" customFormat="1" ht="12.75" customHeight="1">
      <c r="A57" s="2"/>
      <c r="B57" s="9"/>
      <c r="C57" s="9" t="s">
        <v>96</v>
      </c>
      <c r="D57" s="25"/>
      <c r="H57" s="227">
        <f>SUM(H50:H56)-1</f>
        <v>-2548.6700226377225</v>
      </c>
      <c r="I57" s="227">
        <f>SUM(I50:I56)-1</f>
        <v>-3697.6700226377225</v>
      </c>
      <c r="J57" s="49"/>
      <c r="K57" s="49"/>
      <c r="L57" s="49"/>
    </row>
    <row r="58" spans="1:12" s="4" customFormat="1" ht="12.75" customHeight="1">
      <c r="A58" s="2"/>
      <c r="B58" s="9"/>
      <c r="C58" s="9" t="s">
        <v>58</v>
      </c>
      <c r="D58" s="25"/>
      <c r="H58" s="227">
        <f>I58+3409</f>
        <v>-2561.7155368180756</v>
      </c>
      <c r="I58" s="227">
        <f>+PL!D18</f>
        <v>-5970.715536818076</v>
      </c>
      <c r="J58" s="49"/>
      <c r="K58" s="3"/>
      <c r="L58" s="49"/>
    </row>
    <row r="59" spans="1:12" s="4" customFormat="1" ht="12.75">
      <c r="A59" s="2"/>
      <c r="B59" s="9"/>
      <c r="C59" s="293" t="s">
        <v>79</v>
      </c>
      <c r="D59" s="293"/>
      <c r="E59" s="293"/>
      <c r="F59" s="293"/>
      <c r="H59" s="227">
        <f>I59-39956</f>
        <v>9783.924599999991</v>
      </c>
      <c r="I59" s="227">
        <f>+PL!D19</f>
        <v>49739.92459999999</v>
      </c>
      <c r="J59" s="49"/>
      <c r="L59" s="49"/>
    </row>
    <row r="60" spans="1:12" s="4" customFormat="1" ht="13.5" thickBot="1">
      <c r="A60" s="2"/>
      <c r="B60" s="51"/>
      <c r="C60" s="52" t="s">
        <v>54</v>
      </c>
      <c r="D60" s="53"/>
      <c r="E60" s="54"/>
      <c r="F60" s="54"/>
      <c r="G60" s="54"/>
      <c r="H60" s="228">
        <f>SUM(H57:H59)-1</f>
        <v>4672.539040544193</v>
      </c>
      <c r="I60" s="228">
        <f>SUM(I57:I59)-1</f>
        <v>40070.539040544194</v>
      </c>
      <c r="J60" s="49"/>
      <c r="L60" s="49"/>
    </row>
    <row r="61" spans="1:9" s="4" customFormat="1" ht="12.75" customHeight="1">
      <c r="A61" s="2"/>
      <c r="H61" s="9"/>
      <c r="I61" s="9"/>
    </row>
    <row r="62" spans="1:8" s="4" customFormat="1" ht="12.75">
      <c r="A62" s="48" t="s">
        <v>239</v>
      </c>
      <c r="B62" s="48" t="s">
        <v>240</v>
      </c>
      <c r="C62" s="58"/>
      <c r="D62" s="58"/>
      <c r="E62" s="58"/>
      <c r="F62" s="58"/>
      <c r="G62" s="58"/>
      <c r="H62" s="58"/>
    </row>
    <row r="63" spans="1:9" s="9" customFormat="1" ht="12.75" customHeight="1">
      <c r="A63" s="59"/>
      <c r="B63" s="291" t="s">
        <v>184</v>
      </c>
      <c r="C63" s="292"/>
      <c r="D63" s="292"/>
      <c r="E63" s="292"/>
      <c r="F63" s="292"/>
      <c r="G63" s="292"/>
      <c r="H63" s="292"/>
      <c r="I63" s="292"/>
    </row>
    <row r="64" spans="1:8" s="4" customFormat="1" ht="12.75" customHeight="1">
      <c r="A64" s="48"/>
      <c r="B64" s="60"/>
      <c r="C64" s="61"/>
      <c r="D64" s="60"/>
      <c r="E64" s="60"/>
      <c r="F64" s="60"/>
      <c r="G64" s="60"/>
      <c r="H64" s="58"/>
    </row>
    <row r="65" spans="1:8" s="4" customFormat="1" ht="12.75">
      <c r="A65" s="48" t="s">
        <v>241</v>
      </c>
      <c r="B65" s="62" t="s">
        <v>242</v>
      </c>
      <c r="D65" s="58"/>
      <c r="E65" s="58"/>
      <c r="F65" s="58"/>
      <c r="G65" s="58"/>
      <c r="H65" s="58"/>
    </row>
    <row r="66" spans="1:9" s="4" customFormat="1" ht="76.5" customHeight="1">
      <c r="A66" s="48"/>
      <c r="B66" s="63" t="s">
        <v>49</v>
      </c>
      <c r="C66" s="289" t="s">
        <v>174</v>
      </c>
      <c r="D66" s="289"/>
      <c r="E66" s="289"/>
      <c r="F66" s="289"/>
      <c r="G66" s="289"/>
      <c r="H66" s="289"/>
      <c r="I66" s="289"/>
    </row>
    <row r="67" spans="1:9" s="4" customFormat="1" ht="63.75" customHeight="1">
      <c r="A67" s="48"/>
      <c r="B67" s="32" t="s">
        <v>50</v>
      </c>
      <c r="C67" s="288" t="s">
        <v>175</v>
      </c>
      <c r="D67" s="288"/>
      <c r="E67" s="288"/>
      <c r="F67" s="288"/>
      <c r="G67" s="288"/>
      <c r="H67" s="288"/>
      <c r="I67" s="288"/>
    </row>
    <row r="68" spans="1:9" s="4" customFormat="1" ht="84" customHeight="1">
      <c r="A68" s="48"/>
      <c r="B68" s="32" t="s">
        <v>163</v>
      </c>
      <c r="C68" s="288" t="s">
        <v>176</v>
      </c>
      <c r="D68" s="288"/>
      <c r="E68" s="288"/>
      <c r="F68" s="288"/>
      <c r="G68" s="288"/>
      <c r="H68" s="288"/>
      <c r="I68" s="288"/>
    </row>
    <row r="69" spans="1:9" s="4" customFormat="1" ht="60" customHeight="1">
      <c r="A69" s="48"/>
      <c r="B69" s="32" t="s">
        <v>181</v>
      </c>
      <c r="C69" s="288" t="s">
        <v>182</v>
      </c>
      <c r="D69" s="287"/>
      <c r="E69" s="287"/>
      <c r="F69" s="287"/>
      <c r="G69" s="287"/>
      <c r="H69" s="287"/>
      <c r="I69" s="287"/>
    </row>
    <row r="70" spans="1:9" s="4" customFormat="1" ht="60" customHeight="1">
      <c r="A70" s="48"/>
      <c r="B70" s="32" t="s">
        <v>307</v>
      </c>
      <c r="C70" s="263" t="s">
        <v>306</v>
      </c>
      <c r="D70" s="264"/>
      <c r="E70" s="264"/>
      <c r="F70" s="264"/>
      <c r="G70" s="264"/>
      <c r="H70" s="264"/>
      <c r="I70" s="264"/>
    </row>
    <row r="71" spans="1:9" s="4" customFormat="1" ht="12.75" customHeight="1">
      <c r="A71" s="48"/>
      <c r="B71" s="64"/>
      <c r="C71" s="64"/>
      <c r="D71" s="64"/>
      <c r="E71" s="64"/>
      <c r="F71" s="64"/>
      <c r="G71" s="64"/>
      <c r="H71" s="64"/>
      <c r="I71" s="64"/>
    </row>
    <row r="72" spans="1:8" s="4" customFormat="1" ht="12.75" customHeight="1">
      <c r="A72" s="48" t="s">
        <v>243</v>
      </c>
      <c r="B72" s="62" t="s">
        <v>244</v>
      </c>
      <c r="D72" s="65"/>
      <c r="E72" s="65"/>
      <c r="F72" s="65"/>
      <c r="G72" s="65"/>
      <c r="H72" s="65"/>
    </row>
    <row r="73" spans="1:9" s="4" customFormat="1" ht="27" customHeight="1">
      <c r="A73" s="48"/>
      <c r="B73" s="288" t="s">
        <v>245</v>
      </c>
      <c r="C73" s="288"/>
      <c r="D73" s="288"/>
      <c r="E73" s="288"/>
      <c r="F73" s="288"/>
      <c r="G73" s="288"/>
      <c r="H73" s="288"/>
      <c r="I73" s="288"/>
    </row>
    <row r="74" spans="1:8" s="4" customFormat="1" ht="12.75" customHeight="1">
      <c r="A74" s="48"/>
      <c r="B74" s="261"/>
      <c r="C74" s="261"/>
      <c r="D74" s="261"/>
      <c r="E74" s="261"/>
      <c r="F74" s="261"/>
      <c r="G74" s="261"/>
      <c r="H74" s="65"/>
    </row>
    <row r="75" spans="1:8" s="4" customFormat="1" ht="12.75">
      <c r="A75" s="48" t="s">
        <v>246</v>
      </c>
      <c r="B75" s="62" t="s">
        <v>26</v>
      </c>
      <c r="D75" s="65"/>
      <c r="E75" s="65"/>
      <c r="F75" s="65"/>
      <c r="G75" s="65"/>
      <c r="H75" s="65"/>
    </row>
    <row r="76" spans="1:9" s="4" customFormat="1" ht="25.5" customHeight="1">
      <c r="A76" s="2"/>
      <c r="B76" s="273" t="s">
        <v>247</v>
      </c>
      <c r="C76" s="273"/>
      <c r="D76" s="273"/>
      <c r="E76" s="273"/>
      <c r="F76" s="273"/>
      <c r="G76" s="273"/>
      <c r="H76" s="273"/>
      <c r="I76" s="273"/>
    </row>
    <row r="77" spans="1:9" s="4" customFormat="1" ht="12.75">
      <c r="A77" s="48"/>
      <c r="B77" s="62"/>
      <c r="D77" s="65"/>
      <c r="E77" s="65"/>
      <c r="F77" s="65"/>
      <c r="G77" s="65"/>
      <c r="H77" s="65"/>
      <c r="I77" s="232" t="s">
        <v>6</v>
      </c>
    </row>
    <row r="78" spans="1:9" s="4" customFormat="1" ht="12.75" customHeight="1">
      <c r="A78" s="48"/>
      <c r="B78" s="262" t="s">
        <v>106</v>
      </c>
      <c r="C78" s="262"/>
      <c r="D78" s="262"/>
      <c r="E78" s="262"/>
      <c r="F78" s="262"/>
      <c r="G78" s="66"/>
      <c r="H78" s="65"/>
      <c r="I78" s="233"/>
    </row>
    <row r="79" spans="1:10" ht="12.75" customHeight="1" thickBot="1">
      <c r="A79" s="37"/>
      <c r="B79" s="67" t="s">
        <v>107</v>
      </c>
      <c r="C79" s="4"/>
      <c r="G79" s="68"/>
      <c r="I79" s="259">
        <v>82000</v>
      </c>
      <c r="J79" s="69"/>
    </row>
    <row r="80" spans="1:10" ht="12.75" customHeight="1">
      <c r="A80" s="37"/>
      <c r="B80" s="67"/>
      <c r="C80" s="4"/>
      <c r="G80" s="68"/>
      <c r="I80" s="70"/>
      <c r="J80" s="69"/>
    </row>
    <row r="81" spans="1:10" s="74" customFormat="1" ht="12.75" customHeight="1">
      <c r="A81" s="71"/>
      <c r="B81" s="72"/>
      <c r="C81" s="73"/>
      <c r="G81" s="75"/>
      <c r="I81" s="76"/>
      <c r="J81" s="77"/>
    </row>
    <row r="82" spans="1:10" s="74" customFormat="1" ht="26.25" customHeight="1">
      <c r="A82" s="71"/>
      <c r="B82" s="286"/>
      <c r="C82" s="286"/>
      <c r="D82" s="286"/>
      <c r="E82" s="286"/>
      <c r="F82" s="286"/>
      <c r="G82" s="286"/>
      <c r="H82" s="286"/>
      <c r="I82" s="286"/>
      <c r="J82" s="77"/>
    </row>
    <row r="83" spans="1:10" ht="12.75" customHeight="1">
      <c r="A83" s="37"/>
      <c r="B83" s="67"/>
      <c r="C83" s="4"/>
      <c r="G83" s="68"/>
      <c r="I83" s="70"/>
      <c r="J83" s="69"/>
    </row>
    <row r="84" spans="1:10" ht="12.75" customHeight="1">
      <c r="A84" s="37"/>
      <c r="B84" s="67"/>
      <c r="C84" s="4"/>
      <c r="G84" s="68"/>
      <c r="I84" s="70"/>
      <c r="J84" s="69"/>
    </row>
    <row r="85" spans="1:10" ht="12.75" customHeight="1">
      <c r="A85" s="37"/>
      <c r="B85" s="67"/>
      <c r="C85" s="4"/>
      <c r="G85" s="68"/>
      <c r="I85" s="70"/>
      <c r="J85" s="69"/>
    </row>
    <row r="86" spans="1:10" s="4" customFormat="1" ht="12.75" customHeight="1">
      <c r="A86" s="48"/>
      <c r="B86" s="67"/>
      <c r="G86" s="68"/>
      <c r="I86" s="70"/>
      <c r="J86" s="78"/>
    </row>
    <row r="87" spans="1:10" s="4" customFormat="1" ht="12.75" customHeight="1">
      <c r="A87" s="48"/>
      <c r="B87" s="67"/>
      <c r="G87" s="68"/>
      <c r="I87" s="70"/>
      <c r="J87" s="78"/>
    </row>
    <row r="88" spans="1:9" ht="12.75" customHeight="1">
      <c r="A88" s="37"/>
      <c r="B88" s="67"/>
      <c r="C88" s="4"/>
      <c r="G88" s="68"/>
      <c r="I88" s="70"/>
    </row>
    <row r="89" spans="1:9" ht="12.75" customHeight="1">
      <c r="A89" s="37"/>
      <c r="C89" s="4"/>
      <c r="G89" s="68"/>
      <c r="I89" s="50"/>
    </row>
    <row r="90" spans="1:7" ht="12.75" customHeight="1">
      <c r="A90" s="37"/>
      <c r="B90" s="38"/>
      <c r="G90" s="68"/>
    </row>
    <row r="91" ht="12.75" customHeight="1">
      <c r="A91" s="37"/>
    </row>
    <row r="93" spans="2:8" ht="12.75">
      <c r="B93" s="260"/>
      <c r="C93" s="260"/>
      <c r="D93" s="260"/>
      <c r="E93" s="260"/>
      <c r="F93" s="260"/>
      <c r="G93" s="260"/>
      <c r="H93" s="260"/>
    </row>
    <row r="96" spans="2:9" ht="12.75">
      <c r="B96" s="19"/>
      <c r="I96" s="3"/>
    </row>
    <row r="97" spans="2:9" ht="12.75">
      <c r="B97" s="19"/>
      <c r="I97" s="3"/>
    </row>
    <row r="98" spans="2:9" ht="12.75">
      <c r="B98" s="19"/>
      <c r="I98" s="3"/>
    </row>
    <row r="99" spans="2:9" ht="12.75">
      <c r="B99" s="19"/>
      <c r="I99" s="3"/>
    </row>
    <row r="100" spans="2:9" ht="12.75">
      <c r="B100" s="19"/>
      <c r="I100" s="3"/>
    </row>
  </sheetData>
  <sheetProtection/>
  <mergeCells count="30">
    <mergeCell ref="B93:H93"/>
    <mergeCell ref="B74:G74"/>
    <mergeCell ref="B73:I73"/>
    <mergeCell ref="B78:F78"/>
    <mergeCell ref="B19:I19"/>
    <mergeCell ref="C66:I66"/>
    <mergeCell ref="B25:I25"/>
    <mergeCell ref="B26:G26"/>
    <mergeCell ref="B34:I34"/>
    <mergeCell ref="B63:I63"/>
    <mergeCell ref="C59:F59"/>
    <mergeCell ref="B76:I76"/>
    <mergeCell ref="B82:I82"/>
    <mergeCell ref="B28:I28"/>
    <mergeCell ref="B22:I22"/>
    <mergeCell ref="B31:I31"/>
    <mergeCell ref="C67:I67"/>
    <mergeCell ref="C69:I69"/>
    <mergeCell ref="C68:I68"/>
    <mergeCell ref="C70:I70"/>
    <mergeCell ref="F16:I16"/>
    <mergeCell ref="C11:I11"/>
    <mergeCell ref="A1:I1"/>
    <mergeCell ref="A2:I2"/>
    <mergeCell ref="B8:I8"/>
    <mergeCell ref="B10:I10"/>
    <mergeCell ref="B5:I5"/>
    <mergeCell ref="F12:I12"/>
    <mergeCell ref="F13:I13"/>
    <mergeCell ref="F15:I15"/>
  </mergeCells>
  <printOptions/>
  <pageMargins left="0.46" right="0.31496062992126" top="0.62" bottom="0.236220472440945" header="0.511811023622047" footer="0.196850393700787"/>
  <pageSetup horizontalDpi="600" verticalDpi="600" orientation="portrait" paperSize="9" scale="95" r:id="rId1"/>
  <rowBreaks count="1" manualBreakCount="1">
    <brk id="47" max="8" man="1"/>
  </rowBreaks>
</worksheet>
</file>

<file path=xl/worksheets/sheet7.xml><?xml version="1.0" encoding="utf-8"?>
<worksheet xmlns="http://schemas.openxmlformats.org/spreadsheetml/2006/main" xmlns:r="http://schemas.openxmlformats.org/officeDocument/2006/relationships">
  <dimension ref="A1:M104"/>
  <sheetViews>
    <sheetView zoomScalePageLayoutView="0" workbookViewId="0" topLeftCell="A17">
      <selection activeCell="R26" sqref="R26"/>
    </sheetView>
  </sheetViews>
  <sheetFormatPr defaultColWidth="9.140625" defaultRowHeight="12.75"/>
  <cols>
    <col min="1" max="1" width="4.7109375" style="20" customWidth="1"/>
    <col min="2" max="2" width="3.28125" style="20" customWidth="1"/>
    <col min="3" max="3" width="34.421875" style="20" customWidth="1"/>
    <col min="4" max="4" width="12.28125" style="20" customWidth="1"/>
    <col min="5" max="5" width="14.7109375" style="20" customWidth="1"/>
    <col min="6" max="6" width="15.28125" style="20" customWidth="1"/>
    <col min="7" max="7" width="15.140625" style="20" customWidth="1"/>
    <col min="8" max="8" width="9.140625" style="20" customWidth="1"/>
    <col min="9" max="9" width="3.00390625" style="20" hidden="1" customWidth="1"/>
    <col min="10" max="12" width="0" style="20" hidden="1" customWidth="1"/>
    <col min="13" max="14" width="9.140625" style="20" customWidth="1"/>
    <col min="15" max="15" width="10.00390625" style="20" bestFit="1" customWidth="1"/>
    <col min="16" max="16384" width="9.140625" style="20" customWidth="1"/>
  </cols>
  <sheetData>
    <row r="1" spans="1:9" s="1" customFormat="1" ht="15.75">
      <c r="A1" s="270" t="s">
        <v>221</v>
      </c>
      <c r="B1" s="270"/>
      <c r="C1" s="270"/>
      <c r="D1" s="270"/>
      <c r="E1" s="270"/>
      <c r="F1" s="270"/>
      <c r="G1" s="270"/>
      <c r="H1" s="270"/>
      <c r="I1" s="270"/>
    </row>
    <row r="2" spans="1:9" s="1" customFormat="1" ht="16.5" thickBot="1">
      <c r="A2" s="250" t="s">
        <v>218</v>
      </c>
      <c r="B2" s="251"/>
      <c r="C2" s="251"/>
      <c r="D2" s="250"/>
      <c r="E2" s="250"/>
      <c r="F2" s="250"/>
      <c r="G2" s="250"/>
      <c r="H2" s="249"/>
      <c r="I2" s="249"/>
    </row>
    <row r="3" spans="1:9" s="3" customFormat="1" ht="12.75">
      <c r="A3" s="2"/>
      <c r="I3" s="4"/>
    </row>
    <row r="4" spans="1:9" s="3" customFormat="1" ht="12.75">
      <c r="A4" s="2"/>
      <c r="I4" s="4"/>
    </row>
    <row r="5" spans="1:9" s="6" customFormat="1" ht="12.75" customHeight="1">
      <c r="A5" s="5" t="s">
        <v>248</v>
      </c>
      <c r="B5" s="278" t="s">
        <v>166</v>
      </c>
      <c r="C5" s="278"/>
      <c r="D5" s="278"/>
      <c r="E5" s="278"/>
      <c r="F5" s="278"/>
      <c r="G5" s="278"/>
      <c r="H5" s="278"/>
      <c r="I5" s="278"/>
    </row>
    <row r="6" ht="12.75">
      <c r="A6" s="45"/>
    </row>
    <row r="7" spans="1:7" s="11" customFormat="1" ht="14.25" customHeight="1">
      <c r="A7" s="59" t="s">
        <v>249</v>
      </c>
      <c r="B7" s="8" t="s">
        <v>61</v>
      </c>
      <c r="C7" s="9"/>
      <c r="D7" s="10"/>
      <c r="E7" s="10"/>
      <c r="F7" s="10"/>
      <c r="G7" s="10"/>
    </row>
    <row r="8" spans="1:7" s="11" customFormat="1" ht="64.5" customHeight="1">
      <c r="A8" s="59"/>
      <c r="B8" s="288" t="s">
        <v>316</v>
      </c>
      <c r="C8" s="288"/>
      <c r="D8" s="288"/>
      <c r="E8" s="288"/>
      <c r="F8" s="288"/>
      <c r="G8" s="288"/>
    </row>
    <row r="9" spans="1:7" s="11" customFormat="1" ht="12.75" customHeight="1">
      <c r="A9" s="59"/>
      <c r="B9" s="8"/>
      <c r="C9" s="9"/>
      <c r="D9" s="10"/>
      <c r="E9" s="10"/>
      <c r="F9" s="10"/>
      <c r="G9" s="10"/>
    </row>
    <row r="10" spans="1:7" s="11" customFormat="1" ht="76.5" customHeight="1">
      <c r="A10" s="59"/>
      <c r="B10" s="288" t="s">
        <v>314</v>
      </c>
      <c r="C10" s="287"/>
      <c r="D10" s="287"/>
      <c r="E10" s="287"/>
      <c r="F10" s="287"/>
      <c r="G10" s="287"/>
    </row>
    <row r="11" spans="1:9" s="12" customFormat="1" ht="12.75" customHeight="1">
      <c r="A11" s="180"/>
      <c r="C11" s="13"/>
      <c r="D11" s="14"/>
      <c r="E11" s="14"/>
      <c r="F11" s="14"/>
      <c r="G11" s="14"/>
      <c r="H11" s="15"/>
      <c r="I11" s="16"/>
    </row>
    <row r="12" spans="1:9" s="9" customFormat="1" ht="13.5" customHeight="1">
      <c r="A12" s="59" t="s">
        <v>250</v>
      </c>
      <c r="B12" s="8" t="s">
        <v>251</v>
      </c>
      <c r="D12" s="10"/>
      <c r="E12" s="10"/>
      <c r="F12" s="10"/>
      <c r="G12" s="10"/>
      <c r="H12" s="15"/>
      <c r="I12" s="16"/>
    </row>
    <row r="13" spans="1:9" s="9" customFormat="1" ht="27.75" customHeight="1">
      <c r="A13" s="59"/>
      <c r="B13" s="287" t="s">
        <v>315</v>
      </c>
      <c r="C13" s="287"/>
      <c r="D13" s="287"/>
      <c r="E13" s="287"/>
      <c r="F13" s="287"/>
      <c r="G13" s="287"/>
      <c r="H13" s="15"/>
      <c r="I13" s="16"/>
    </row>
    <row r="14" spans="1:9" ht="12.75" customHeight="1">
      <c r="A14" s="59"/>
      <c r="B14" s="17"/>
      <c r="C14" s="17"/>
      <c r="D14" s="17"/>
      <c r="E14" s="17"/>
      <c r="F14" s="17"/>
      <c r="G14" s="17"/>
      <c r="H14" s="18"/>
      <c r="I14" s="19"/>
    </row>
    <row r="15" spans="1:9" ht="39" customHeight="1">
      <c r="A15" s="59"/>
      <c r="B15" s="287" t="s">
        <v>309</v>
      </c>
      <c r="C15" s="287"/>
      <c r="D15" s="287"/>
      <c r="E15" s="287"/>
      <c r="F15" s="287"/>
      <c r="G15" s="287"/>
      <c r="H15" s="18"/>
      <c r="I15" s="19"/>
    </row>
    <row r="16" spans="1:9" ht="12.75" customHeight="1">
      <c r="A16" s="59"/>
      <c r="B16" s="17"/>
      <c r="C16" s="17"/>
      <c r="D16" s="17"/>
      <c r="E16" s="17"/>
      <c r="F16" s="17"/>
      <c r="G16" s="17"/>
      <c r="H16" s="18"/>
      <c r="I16" s="19"/>
    </row>
    <row r="17" spans="1:9" ht="14.25" customHeight="1">
      <c r="A17" s="59" t="s">
        <v>252</v>
      </c>
      <c r="B17" s="8" t="s">
        <v>312</v>
      </c>
      <c r="C17" s="9"/>
      <c r="D17" s="10"/>
      <c r="E17" s="10"/>
      <c r="F17" s="10"/>
      <c r="G17" s="10"/>
      <c r="H17" s="18"/>
      <c r="I17" s="19"/>
    </row>
    <row r="18" spans="1:9" ht="27" customHeight="1">
      <c r="A18" s="59"/>
      <c r="B18" s="287" t="s">
        <v>313</v>
      </c>
      <c r="C18" s="287"/>
      <c r="D18" s="287"/>
      <c r="E18" s="287"/>
      <c r="F18" s="287"/>
      <c r="G18" s="287"/>
      <c r="H18" s="18"/>
      <c r="I18" s="19"/>
    </row>
    <row r="19" spans="1:7" ht="12.75" customHeight="1">
      <c r="A19" s="59"/>
      <c r="B19" s="21"/>
      <c r="C19" s="21"/>
      <c r="D19" s="21"/>
      <c r="E19" s="21"/>
      <c r="F19" s="21"/>
      <c r="G19" s="21"/>
    </row>
    <row r="20" spans="1:7" ht="14.25" customHeight="1">
      <c r="A20" s="59" t="s">
        <v>254</v>
      </c>
      <c r="B20" s="8" t="s">
        <v>255</v>
      </c>
      <c r="C20" s="9"/>
      <c r="D20" s="10"/>
      <c r="E20" s="10"/>
      <c r="F20" s="22"/>
      <c r="G20" s="22"/>
    </row>
    <row r="21" spans="1:7" ht="12.75" customHeight="1">
      <c r="A21" s="59"/>
      <c r="B21" s="287" t="s">
        <v>256</v>
      </c>
      <c r="C21" s="287"/>
      <c r="D21" s="287"/>
      <c r="E21" s="287"/>
      <c r="F21" s="287"/>
      <c r="G21" s="287"/>
    </row>
    <row r="22" spans="1:7" ht="12.75" customHeight="1">
      <c r="A22" s="59"/>
      <c r="B22" s="9"/>
      <c r="C22" s="9"/>
      <c r="D22" s="10"/>
      <c r="E22" s="10"/>
      <c r="F22" s="22"/>
      <c r="G22" s="22"/>
    </row>
    <row r="23" spans="1:7" ht="12.75" customHeight="1">
      <c r="A23" s="59" t="s">
        <v>257</v>
      </c>
      <c r="B23" s="8" t="s">
        <v>258</v>
      </c>
      <c r="C23" s="9"/>
      <c r="D23" s="10"/>
      <c r="E23" s="10"/>
      <c r="F23" s="22"/>
      <c r="G23" s="22"/>
    </row>
    <row r="24" spans="1:7" ht="39.75" customHeight="1">
      <c r="A24" s="59"/>
      <c r="B24" s="287" t="s">
        <v>317</v>
      </c>
      <c r="C24" s="287"/>
      <c r="D24" s="287"/>
      <c r="E24" s="287"/>
      <c r="F24" s="287"/>
      <c r="G24" s="287"/>
    </row>
    <row r="25" spans="1:7" ht="12.75" customHeight="1">
      <c r="A25" s="59"/>
      <c r="B25" s="8"/>
      <c r="C25" s="9"/>
      <c r="D25" s="10"/>
      <c r="E25" s="10"/>
      <c r="F25" s="22"/>
      <c r="G25" s="22"/>
    </row>
    <row r="26" spans="1:5" ht="13.5" customHeight="1">
      <c r="A26" s="59" t="s">
        <v>259</v>
      </c>
      <c r="B26" s="8" t="s">
        <v>80</v>
      </c>
      <c r="C26" s="9"/>
      <c r="D26" s="10"/>
      <c r="E26" s="10"/>
    </row>
    <row r="27" spans="1:7" ht="13.5" customHeight="1">
      <c r="A27" s="59"/>
      <c r="B27" s="8"/>
      <c r="C27" s="9"/>
      <c r="D27" s="10"/>
      <c r="E27" s="10"/>
      <c r="F27" s="233" t="s">
        <v>237</v>
      </c>
      <c r="G27" s="233" t="s">
        <v>238</v>
      </c>
    </row>
    <row r="28" spans="1:7" ht="12.75" customHeight="1">
      <c r="A28" s="59"/>
      <c r="B28" s="20" t="s">
        <v>63</v>
      </c>
      <c r="E28" s="23"/>
      <c r="F28" s="226" t="s">
        <v>6</v>
      </c>
      <c r="G28" s="226" t="s">
        <v>6</v>
      </c>
    </row>
    <row r="29" spans="1:13" s="9" customFormat="1" ht="12.75" customHeight="1">
      <c r="A29" s="59"/>
      <c r="C29" s="9" t="s">
        <v>62</v>
      </c>
      <c r="F29" s="229">
        <f>+G29-224</f>
        <v>-864</v>
      </c>
      <c r="G29" s="229">
        <v>-640</v>
      </c>
      <c r="M29" s="24"/>
    </row>
    <row r="30" spans="1:13" s="9" customFormat="1" ht="12.75" customHeight="1">
      <c r="A30" s="59"/>
      <c r="C30" s="9" t="s">
        <v>27</v>
      </c>
      <c r="E30" s="25"/>
      <c r="F30" s="234">
        <f>+G30-4</f>
        <v>-6</v>
      </c>
      <c r="G30" s="234">
        <v>-2</v>
      </c>
      <c r="M30" s="24"/>
    </row>
    <row r="31" spans="1:13" s="9" customFormat="1" ht="12.75" customHeight="1">
      <c r="A31" s="59"/>
      <c r="E31" s="25"/>
      <c r="F31" s="229">
        <f>SUM(F29:F30)</f>
        <v>-870</v>
      </c>
      <c r="G31" s="229">
        <f>SUM(G29:G30)</f>
        <v>-642</v>
      </c>
      <c r="M31" s="26"/>
    </row>
    <row r="32" spans="1:13" s="9" customFormat="1" ht="12.75" customHeight="1">
      <c r="A32" s="59"/>
      <c r="B32" s="9" t="s">
        <v>38</v>
      </c>
      <c r="E32" s="25"/>
      <c r="F32" s="229">
        <v>0</v>
      </c>
      <c r="G32" s="229">
        <v>0</v>
      </c>
      <c r="M32" s="26"/>
    </row>
    <row r="33" spans="1:13" s="9" customFormat="1" ht="12.75" customHeight="1" thickBot="1">
      <c r="A33" s="59"/>
      <c r="E33" s="26"/>
      <c r="F33" s="228">
        <f>SUM(F31:F32)</f>
        <v>-870</v>
      </c>
      <c r="G33" s="228">
        <f>SUM(G31:G32)</f>
        <v>-642</v>
      </c>
      <c r="M33" s="26"/>
    </row>
    <row r="34" spans="1:7" s="9" customFormat="1" ht="12.75" customHeight="1">
      <c r="A34" s="59"/>
      <c r="B34" s="17"/>
      <c r="C34" s="17"/>
      <c r="D34" s="17"/>
      <c r="E34" s="17"/>
      <c r="F34" s="17"/>
      <c r="G34" s="17"/>
    </row>
    <row r="35" spans="1:7" s="9" customFormat="1" ht="39" customHeight="1">
      <c r="A35" s="59"/>
      <c r="B35" s="287" t="s">
        <v>260</v>
      </c>
      <c r="C35" s="287"/>
      <c r="D35" s="287"/>
      <c r="E35" s="287"/>
      <c r="F35" s="287"/>
      <c r="G35" s="287"/>
    </row>
    <row r="36" spans="1:7" s="9" customFormat="1" ht="12.75" customHeight="1">
      <c r="A36" s="59"/>
      <c r="B36" s="17"/>
      <c r="C36" s="17"/>
      <c r="D36" s="17"/>
      <c r="E36" s="17"/>
      <c r="F36" s="17"/>
      <c r="G36" s="17"/>
    </row>
    <row r="37" spans="1:7" ht="14.25" customHeight="1">
      <c r="A37" s="59" t="s">
        <v>261</v>
      </c>
      <c r="B37" s="8" t="s">
        <v>262</v>
      </c>
      <c r="C37" s="9"/>
      <c r="D37" s="9"/>
      <c r="E37" s="26"/>
      <c r="F37" s="26"/>
      <c r="G37" s="27"/>
    </row>
    <row r="38" spans="1:7" s="9" customFormat="1" ht="12.75" customHeight="1">
      <c r="A38" s="59"/>
      <c r="B38" s="287" t="s">
        <v>263</v>
      </c>
      <c r="C38" s="287"/>
      <c r="D38" s="287"/>
      <c r="E38" s="287"/>
      <c r="F38" s="287"/>
      <c r="G38" s="287"/>
    </row>
    <row r="39" spans="1:7" s="9" customFormat="1" ht="12.75" customHeight="1">
      <c r="A39" s="59"/>
      <c r="E39" s="25"/>
      <c r="F39" s="25"/>
      <c r="G39" s="27"/>
    </row>
    <row r="40" spans="1:7" ht="13.5" customHeight="1">
      <c r="A40" s="59" t="s">
        <v>265</v>
      </c>
      <c r="B40" s="8" t="s">
        <v>266</v>
      </c>
      <c r="C40" s="9"/>
      <c r="D40" s="9"/>
      <c r="E40" s="25"/>
      <c r="F40" s="25"/>
      <c r="G40" s="27"/>
    </row>
    <row r="41" spans="1:7" ht="13.5" customHeight="1">
      <c r="A41" s="59"/>
      <c r="B41" s="9" t="s">
        <v>267</v>
      </c>
      <c r="C41" s="9"/>
      <c r="D41" s="9"/>
      <c r="E41" s="25"/>
      <c r="F41" s="25"/>
      <c r="G41" s="27"/>
    </row>
    <row r="42" spans="1:7" ht="12.75" customHeight="1">
      <c r="A42" s="59"/>
      <c r="C42" s="9"/>
      <c r="D42" s="9"/>
      <c r="E42" s="9"/>
      <c r="F42" s="7"/>
      <c r="G42" s="226" t="s">
        <v>6</v>
      </c>
    </row>
    <row r="43" spans="1:7" ht="12.75" customHeight="1">
      <c r="A43" s="59"/>
      <c r="B43" s="9"/>
      <c r="C43" s="9" t="s">
        <v>108</v>
      </c>
      <c r="D43" s="9"/>
      <c r="E43" s="9"/>
      <c r="F43" s="28"/>
      <c r="G43" s="235">
        <f>'[2]Jan10'!$C$15/1000</f>
        <v>3071.9945875000003</v>
      </c>
    </row>
    <row r="44" spans="1:7" ht="12.75" customHeight="1">
      <c r="A44" s="59"/>
      <c r="B44" s="9"/>
      <c r="C44" s="9" t="s">
        <v>268</v>
      </c>
      <c r="D44" s="9"/>
      <c r="E44" s="9"/>
      <c r="F44" s="24"/>
      <c r="G44" s="229">
        <f>'[2]Jan10'!$E$15/1000</f>
        <v>3071.9945875000003</v>
      </c>
    </row>
    <row r="45" spans="1:7" ht="12.75" customHeight="1" thickBot="1">
      <c r="A45" s="59"/>
      <c r="B45" s="9"/>
      <c r="C45" s="9" t="s">
        <v>269</v>
      </c>
      <c r="D45" s="9"/>
      <c r="E45" s="9"/>
      <c r="F45" s="24"/>
      <c r="G45" s="236">
        <f>'[2]Jan10'!$F$15/1000</f>
        <v>3650.3027794399995</v>
      </c>
    </row>
    <row r="46" spans="1:7" ht="12.75" customHeight="1">
      <c r="A46" s="59"/>
      <c r="B46" s="9"/>
      <c r="C46" s="9"/>
      <c r="D46" s="9"/>
      <c r="E46" s="9"/>
      <c r="F46" s="24"/>
      <c r="G46" s="24"/>
    </row>
    <row r="47" spans="1:7" ht="15" customHeight="1">
      <c r="A47" s="59" t="s">
        <v>270</v>
      </c>
      <c r="B47" s="6" t="s">
        <v>271</v>
      </c>
      <c r="G47" s="17"/>
    </row>
    <row r="48" spans="1:7" ht="12.75" customHeight="1">
      <c r="A48" s="59"/>
      <c r="B48" s="279" t="s">
        <v>0</v>
      </c>
      <c r="C48" s="279"/>
      <c r="D48" s="279"/>
      <c r="E48" s="279"/>
      <c r="F48" s="279"/>
      <c r="G48" s="279"/>
    </row>
    <row r="49" spans="1:7" ht="12.75" customHeight="1">
      <c r="A49" s="59"/>
      <c r="G49" s="17"/>
    </row>
    <row r="50" spans="1:13" ht="13.5" customHeight="1">
      <c r="A50" s="59" t="s">
        <v>272</v>
      </c>
      <c r="B50" s="6" t="s">
        <v>273</v>
      </c>
      <c r="G50" s="17"/>
      <c r="M50" s="9"/>
    </row>
    <row r="51" spans="1:13" ht="12.75" customHeight="1">
      <c r="A51" s="59"/>
      <c r="B51" s="20" t="s">
        <v>274</v>
      </c>
      <c r="F51" s="9"/>
      <c r="G51" s="7"/>
      <c r="M51" s="9"/>
    </row>
    <row r="52" spans="1:13" ht="12.75" customHeight="1">
      <c r="A52" s="59"/>
      <c r="F52" s="9"/>
      <c r="G52" s="7"/>
      <c r="M52" s="9"/>
    </row>
    <row r="53" spans="1:13" ht="12.75" customHeight="1">
      <c r="A53" s="59"/>
      <c r="E53" s="233" t="s">
        <v>15</v>
      </c>
      <c r="F53" s="233" t="s">
        <v>16</v>
      </c>
      <c r="G53" s="233" t="s">
        <v>14</v>
      </c>
      <c r="M53" s="9"/>
    </row>
    <row r="54" spans="1:13" ht="12.75" customHeight="1">
      <c r="A54" s="59"/>
      <c r="B54" s="6" t="s">
        <v>1</v>
      </c>
      <c r="E54" s="233" t="s">
        <v>6</v>
      </c>
      <c r="F54" s="233" t="s">
        <v>6</v>
      </c>
      <c r="G54" s="233" t="s">
        <v>6</v>
      </c>
      <c r="M54" s="9"/>
    </row>
    <row r="55" spans="1:13" ht="12.75" customHeight="1">
      <c r="A55" s="59"/>
      <c r="C55" s="20" t="s">
        <v>275</v>
      </c>
      <c r="E55" s="256">
        <f>201008183/1000</f>
        <v>201008.183</v>
      </c>
      <c r="F55" s="229">
        <f>19960000/1000</f>
        <v>19960</v>
      </c>
      <c r="G55" s="229">
        <f>SUM(E55:F55)</f>
        <v>220968.183</v>
      </c>
      <c r="M55" s="9"/>
    </row>
    <row r="56" spans="1:13" ht="12.75" customHeight="1">
      <c r="A56" s="59"/>
      <c r="C56" s="20" t="s">
        <v>276</v>
      </c>
      <c r="E56" s="256">
        <f>((46724770/1000)-E61)</f>
        <v>36877.916</v>
      </c>
      <c r="F56" s="229">
        <v>0</v>
      </c>
      <c r="G56" s="229">
        <f>SUM(E56:F56)</f>
        <v>36877.916</v>
      </c>
      <c r="M56" s="9"/>
    </row>
    <row r="57" spans="1:13" ht="12.75" customHeight="1">
      <c r="A57" s="59"/>
      <c r="C57" s="20" t="s">
        <v>310</v>
      </c>
      <c r="E57" s="256">
        <f>2692395/1000</f>
        <v>2692.395</v>
      </c>
      <c r="F57" s="229"/>
      <c r="G57" s="229">
        <f>SUM(E57:F57)</f>
        <v>2692.395</v>
      </c>
      <c r="M57" s="9"/>
    </row>
    <row r="58" spans="1:13" ht="12.75" customHeight="1">
      <c r="A58" s="59"/>
      <c r="C58" s="20" t="s">
        <v>277</v>
      </c>
      <c r="E58" s="256">
        <f>177066/1000</f>
        <v>177.066</v>
      </c>
      <c r="F58" s="229"/>
      <c r="G58" s="229">
        <f>SUM(E58:F58)</f>
        <v>177.066</v>
      </c>
      <c r="M58" s="9"/>
    </row>
    <row r="59" spans="1:13" ht="12.75" customHeight="1" thickBot="1">
      <c r="A59" s="59"/>
      <c r="E59" s="228">
        <f>SUM(E55:E58)</f>
        <v>240755.55999999997</v>
      </c>
      <c r="F59" s="228">
        <f>SUM(F55:F58)</f>
        <v>19960</v>
      </c>
      <c r="G59" s="228">
        <f>SUM(G55:G58)</f>
        <v>260715.55999999997</v>
      </c>
      <c r="H59" s="29"/>
      <c r="M59" s="9"/>
    </row>
    <row r="60" spans="1:13" ht="12.75" customHeight="1">
      <c r="A60" s="59"/>
      <c r="B60" s="6" t="s">
        <v>2</v>
      </c>
      <c r="E60" s="237"/>
      <c r="F60" s="237"/>
      <c r="G60" s="238"/>
      <c r="M60" s="9"/>
    </row>
    <row r="61" spans="1:13" ht="12.75" customHeight="1" thickBot="1">
      <c r="A61" s="59"/>
      <c r="C61" s="20" t="s">
        <v>276</v>
      </c>
      <c r="E61" s="252">
        <f>9846854/1000</f>
        <v>9846.854</v>
      </c>
      <c r="F61" s="253">
        <v>0</v>
      </c>
      <c r="G61" s="236">
        <f>SUM(E61:F61)</f>
        <v>9846.854</v>
      </c>
      <c r="M61" s="9"/>
    </row>
    <row r="62" spans="1:13" ht="12.75" customHeight="1">
      <c r="A62" s="59"/>
      <c r="E62" s="254"/>
      <c r="F62" s="230"/>
      <c r="G62" s="229"/>
      <c r="M62" s="9"/>
    </row>
    <row r="63" spans="1:13" ht="12.75" customHeight="1" thickBot="1">
      <c r="A63" s="59"/>
      <c r="B63" s="20" t="s">
        <v>14</v>
      </c>
      <c r="E63" s="255">
        <f>E59+E61</f>
        <v>250602.41399999996</v>
      </c>
      <c r="F63" s="255">
        <f>F59+F61</f>
        <v>19960</v>
      </c>
      <c r="G63" s="255">
        <f>G59+G61</f>
        <v>270562.414</v>
      </c>
      <c r="M63" s="9"/>
    </row>
    <row r="64" spans="1:13" ht="12.75" customHeight="1">
      <c r="A64" s="59"/>
      <c r="E64" s="30"/>
      <c r="F64" s="9"/>
      <c r="G64" s="24"/>
      <c r="M64" s="9"/>
    </row>
    <row r="65" spans="1:13" ht="12.75" customHeight="1">
      <c r="A65" s="59"/>
      <c r="B65" s="20" t="s">
        <v>3</v>
      </c>
      <c r="D65" s="31"/>
      <c r="E65" s="30"/>
      <c r="F65" s="9"/>
      <c r="G65" s="17"/>
      <c r="M65" s="9"/>
    </row>
    <row r="66" spans="1:13" ht="12.75" customHeight="1">
      <c r="A66" s="59"/>
      <c r="E66" s="9"/>
      <c r="F66" s="233" t="s">
        <v>34</v>
      </c>
      <c r="G66" s="235" t="s">
        <v>35</v>
      </c>
      <c r="M66" s="9"/>
    </row>
    <row r="67" spans="1:13" ht="12.75" customHeight="1">
      <c r="A67" s="59"/>
      <c r="E67" s="9"/>
      <c r="F67" s="233" t="s">
        <v>36</v>
      </c>
      <c r="G67" s="233" t="s">
        <v>36</v>
      </c>
      <c r="M67" s="9"/>
    </row>
    <row r="68" spans="1:13" ht="12.75" customHeight="1">
      <c r="A68" s="59"/>
      <c r="C68" s="20" t="s">
        <v>278</v>
      </c>
      <c r="E68" s="9"/>
      <c r="F68" s="229">
        <f>G68</f>
        <v>219926.331</v>
      </c>
      <c r="G68" s="229">
        <f>219926331/1000</f>
        <v>219926.331</v>
      </c>
      <c r="M68" s="9"/>
    </row>
    <row r="69" spans="1:13" ht="12.75" customHeight="1">
      <c r="A69" s="59"/>
      <c r="C69" s="20" t="s">
        <v>279</v>
      </c>
      <c r="E69" s="9"/>
      <c r="F69" s="239">
        <f>71850000/1000</f>
        <v>71850</v>
      </c>
      <c r="G69" s="229">
        <f>35927900/1000</f>
        <v>35927.9</v>
      </c>
      <c r="M69" s="9"/>
    </row>
    <row r="70" spans="1:13" ht="12.75" customHeight="1">
      <c r="A70" s="59"/>
      <c r="C70" s="20" t="s">
        <v>280</v>
      </c>
      <c r="E70" s="9"/>
      <c r="F70" s="239">
        <f>4312500/1000</f>
        <v>4312.5</v>
      </c>
      <c r="G70" s="229">
        <f>14708183/1000</f>
        <v>14708.183</v>
      </c>
      <c r="M70" s="9"/>
    </row>
    <row r="71" spans="1:13" ht="12.75" customHeight="1" thickBot="1">
      <c r="A71" s="59"/>
      <c r="E71" s="9"/>
      <c r="F71" s="240"/>
      <c r="G71" s="241">
        <f>SUM(G68:G70)</f>
        <v>270562.414</v>
      </c>
      <c r="M71" s="9"/>
    </row>
    <row r="72" spans="1:13" ht="12.75" customHeight="1">
      <c r="A72" s="59"/>
      <c r="E72" s="9"/>
      <c r="F72" s="9"/>
      <c r="G72" s="30"/>
      <c r="M72" s="9"/>
    </row>
    <row r="73" spans="1:7" ht="14.25" customHeight="1">
      <c r="A73" s="59" t="s">
        <v>281</v>
      </c>
      <c r="B73" s="6" t="s">
        <v>282</v>
      </c>
      <c r="G73" s="17"/>
    </row>
    <row r="74" spans="1:7" ht="13.5" customHeight="1">
      <c r="A74" s="59"/>
      <c r="B74" s="20" t="s">
        <v>283</v>
      </c>
      <c r="G74" s="17"/>
    </row>
    <row r="75" spans="1:7" ht="12.75" customHeight="1">
      <c r="A75" s="59"/>
      <c r="G75" s="17"/>
    </row>
    <row r="76" spans="1:7" ht="13.5" customHeight="1">
      <c r="A76" s="59" t="s">
        <v>284</v>
      </c>
      <c r="B76" s="6" t="s">
        <v>285</v>
      </c>
      <c r="G76" s="17"/>
    </row>
    <row r="77" spans="1:7" ht="27" customHeight="1">
      <c r="A77" s="59"/>
      <c r="B77" s="260" t="s">
        <v>311</v>
      </c>
      <c r="C77" s="260"/>
      <c r="D77" s="260"/>
      <c r="E77" s="260"/>
      <c r="F77" s="260"/>
      <c r="G77" s="260"/>
    </row>
    <row r="78" spans="1:7" ht="12.75" customHeight="1">
      <c r="A78" s="59"/>
      <c r="G78" s="17"/>
    </row>
    <row r="79" spans="1:7" ht="12.75" customHeight="1">
      <c r="A79" s="59" t="s">
        <v>286</v>
      </c>
      <c r="B79" s="6" t="s">
        <v>287</v>
      </c>
      <c r="G79" s="17"/>
    </row>
    <row r="80" spans="1:8" ht="12.75" customHeight="1">
      <c r="A80" s="59"/>
      <c r="B80" s="287" t="s">
        <v>288</v>
      </c>
      <c r="C80" s="287"/>
      <c r="D80" s="287"/>
      <c r="E80" s="287"/>
      <c r="F80" s="287"/>
      <c r="G80" s="287"/>
      <c r="H80" s="32"/>
    </row>
    <row r="81" spans="1:7" ht="12.75" customHeight="1">
      <c r="A81" s="59"/>
      <c r="B81" s="17"/>
      <c r="C81" s="17"/>
      <c r="D81" s="17"/>
      <c r="E81" s="17"/>
      <c r="F81" s="17"/>
      <c r="G81" s="17"/>
    </row>
    <row r="82" spans="1:7" ht="15" customHeight="1">
      <c r="A82" s="59" t="s">
        <v>289</v>
      </c>
      <c r="B82" s="6" t="s">
        <v>28</v>
      </c>
      <c r="G82" s="17"/>
    </row>
    <row r="83" spans="1:7" ht="12.75" customHeight="1">
      <c r="A83" s="59"/>
      <c r="B83" s="6" t="s">
        <v>290</v>
      </c>
      <c r="C83" s="6" t="s">
        <v>4</v>
      </c>
      <c r="G83" s="17"/>
    </row>
    <row r="84" spans="1:7" ht="28.5" customHeight="1">
      <c r="A84" s="59"/>
      <c r="B84" s="6"/>
      <c r="C84" s="282" t="s">
        <v>170</v>
      </c>
      <c r="D84" s="282"/>
      <c r="E84" s="282"/>
      <c r="F84" s="282"/>
      <c r="G84" s="282"/>
    </row>
    <row r="85" spans="1:7" ht="12.75" customHeight="1">
      <c r="A85" s="59"/>
      <c r="B85" s="6"/>
      <c r="C85" s="33"/>
      <c r="D85" s="33"/>
      <c r="E85" s="33"/>
      <c r="F85" s="33"/>
      <c r="G85" s="33"/>
    </row>
    <row r="86" spans="1:7" ht="12.75" customHeight="1">
      <c r="A86" s="59"/>
      <c r="B86" s="6"/>
      <c r="C86" s="33"/>
      <c r="D86" s="33"/>
      <c r="E86" s="33"/>
      <c r="F86" s="233" t="s">
        <v>237</v>
      </c>
      <c r="G86" s="233" t="s">
        <v>238</v>
      </c>
    </row>
    <row r="87" spans="1:7" ht="12.75" customHeight="1">
      <c r="A87" s="59"/>
      <c r="C87" s="20" t="s">
        <v>103</v>
      </c>
      <c r="E87" s="34"/>
      <c r="F87" s="225">
        <f>+PL!B25</f>
        <v>4501.281145531204</v>
      </c>
      <c r="G87" s="225">
        <f>+PL!D25</f>
        <v>38525.281145531204</v>
      </c>
    </row>
    <row r="88" spans="1:7" ht="12.75" customHeight="1">
      <c r="A88" s="59"/>
      <c r="C88" s="285" t="s">
        <v>40</v>
      </c>
      <c r="D88" s="266"/>
      <c r="E88" s="34"/>
      <c r="F88" s="225">
        <f>'[3]weighted'!$G$20/1000</f>
        <v>487005.0674637681</v>
      </c>
      <c r="G88" s="225">
        <f>'[3]weighted'!$L$20/1000</f>
        <v>486707.8550456621</v>
      </c>
    </row>
    <row r="89" spans="1:7" ht="12.75" customHeight="1" thickBot="1">
      <c r="A89" s="59"/>
      <c r="C89" s="20" t="s">
        <v>17</v>
      </c>
      <c r="F89" s="242">
        <f>(F87/F88)*100</f>
        <v>0.9242780920069353</v>
      </c>
      <c r="G89" s="242">
        <f>(G87/G88)*100</f>
        <v>7.915483743716615</v>
      </c>
    </row>
    <row r="90" spans="1:5" ht="12.75" customHeight="1">
      <c r="A90" s="59"/>
      <c r="D90" s="9"/>
      <c r="E90" s="9"/>
    </row>
    <row r="91" spans="1:6" ht="12.75" customHeight="1">
      <c r="A91" s="59"/>
      <c r="B91" s="6" t="s">
        <v>291</v>
      </c>
      <c r="C91" s="6" t="s">
        <v>5</v>
      </c>
      <c r="D91" s="35"/>
      <c r="E91" s="35"/>
      <c r="F91" s="35"/>
    </row>
    <row r="92" spans="1:7" ht="39.75" customHeight="1">
      <c r="A92" s="59"/>
      <c r="B92" s="6"/>
      <c r="C92" s="282" t="s">
        <v>102</v>
      </c>
      <c r="D92" s="282"/>
      <c r="E92" s="282"/>
      <c r="F92" s="282"/>
      <c r="G92" s="282"/>
    </row>
    <row r="93" spans="1:7" ht="12.75" customHeight="1">
      <c r="A93" s="59"/>
      <c r="B93" s="6"/>
      <c r="C93" s="33"/>
      <c r="D93" s="33"/>
      <c r="E93" s="33"/>
      <c r="F93" s="233" t="s">
        <v>237</v>
      </c>
      <c r="G93" s="233" t="s">
        <v>238</v>
      </c>
    </row>
    <row r="94" spans="1:7" ht="12.75" customHeight="1">
      <c r="A94" s="59"/>
      <c r="C94" s="20" t="s">
        <v>103</v>
      </c>
      <c r="E94" s="23"/>
      <c r="F94" s="243">
        <f>+F87</f>
        <v>4501.281145531204</v>
      </c>
      <c r="G94" s="243">
        <f>+G87</f>
        <v>38525.281145531204</v>
      </c>
    </row>
    <row r="95" spans="1:7" ht="12.75" customHeight="1">
      <c r="A95" s="59"/>
      <c r="E95" s="34"/>
      <c r="F95" s="225"/>
      <c r="G95" s="225"/>
    </row>
    <row r="96" spans="1:7" ht="12.75" customHeight="1">
      <c r="A96" s="59"/>
      <c r="C96" s="285" t="s">
        <v>40</v>
      </c>
      <c r="D96" s="266"/>
      <c r="E96" s="34"/>
      <c r="F96" s="225">
        <f>+F88</f>
        <v>487005.0674637681</v>
      </c>
      <c r="G96" s="225">
        <f>+G88</f>
        <v>486707.8550456621</v>
      </c>
    </row>
    <row r="97" spans="1:7" ht="14.25" customHeight="1">
      <c r="A97" s="59"/>
      <c r="C97" s="33" t="s">
        <v>104</v>
      </c>
      <c r="E97" s="34"/>
      <c r="F97" s="257">
        <f>'[3]EPSJan10'!$E$19/1000</f>
        <v>11.738526938851319</v>
      </c>
      <c r="G97" s="257">
        <f>'[3]EPSJan10'!$G$19/1000</f>
        <v>11.738526938851319</v>
      </c>
    </row>
    <row r="98" spans="1:7" ht="27" customHeight="1" thickBot="1">
      <c r="A98" s="59"/>
      <c r="C98" s="279" t="s">
        <v>105</v>
      </c>
      <c r="D98" s="279"/>
      <c r="E98" s="279"/>
      <c r="F98" s="258">
        <f>SUM(F96:F97)</f>
        <v>487016.80599070695</v>
      </c>
      <c r="G98" s="258">
        <f>SUM(G96:G97)</f>
        <v>486719.5935726009</v>
      </c>
    </row>
    <row r="99" spans="1:7" ht="12.75" customHeight="1">
      <c r="A99" s="59"/>
      <c r="C99" s="20" t="s">
        <v>41</v>
      </c>
      <c r="F99" s="243"/>
      <c r="G99" s="243"/>
    </row>
    <row r="100" spans="1:7" ht="12.75" customHeight="1" thickBot="1">
      <c r="A100" s="59"/>
      <c r="C100" s="20" t="s">
        <v>39</v>
      </c>
      <c r="F100" s="242">
        <f>+(F94/F98)*100</f>
        <v>0.9242558142063573</v>
      </c>
      <c r="G100" s="242">
        <f>+(G94/G98)*100</f>
        <v>7.9152928409455185</v>
      </c>
    </row>
    <row r="101" spans="1:6" ht="12.75" customHeight="1">
      <c r="A101" s="59"/>
      <c r="B101" s="6"/>
      <c r="C101" s="6"/>
      <c r="D101" s="35"/>
      <c r="E101" s="35"/>
      <c r="F101" s="35"/>
    </row>
    <row r="102" spans="1:7" ht="12.75" customHeight="1">
      <c r="A102" s="59" t="s">
        <v>292</v>
      </c>
      <c r="B102" s="265" t="s">
        <v>293</v>
      </c>
      <c r="C102" s="265"/>
      <c r="D102" s="265"/>
      <c r="E102" s="265"/>
      <c r="F102" s="265"/>
      <c r="G102" s="265"/>
    </row>
    <row r="103" spans="1:7" ht="27" customHeight="1">
      <c r="A103" s="59"/>
      <c r="B103" s="282" t="s">
        <v>294</v>
      </c>
      <c r="C103" s="282"/>
      <c r="D103" s="282"/>
      <c r="E103" s="282"/>
      <c r="F103" s="282"/>
      <c r="G103" s="282"/>
    </row>
    <row r="104" spans="1:7" ht="12.75" customHeight="1">
      <c r="A104" s="7"/>
      <c r="B104" s="36"/>
      <c r="C104" s="5"/>
      <c r="D104" s="5"/>
      <c r="E104" s="5"/>
      <c r="F104" s="5"/>
      <c r="G104" s="5"/>
    </row>
  </sheetData>
  <sheetProtection/>
  <mergeCells count="21">
    <mergeCell ref="B80:G80"/>
    <mergeCell ref="B77:G77"/>
    <mergeCell ref="C98:E98"/>
    <mergeCell ref="B18:G18"/>
    <mergeCell ref="B48:G48"/>
    <mergeCell ref="B24:G24"/>
    <mergeCell ref="B21:G21"/>
    <mergeCell ref="B8:G8"/>
    <mergeCell ref="B10:G10"/>
    <mergeCell ref="B13:G13"/>
    <mergeCell ref="B15:G15"/>
    <mergeCell ref="A1:I1"/>
    <mergeCell ref="B5:I5"/>
    <mergeCell ref="B35:G35"/>
    <mergeCell ref="B38:G38"/>
    <mergeCell ref="B103:G103"/>
    <mergeCell ref="B102:G102"/>
    <mergeCell ref="C92:G92"/>
    <mergeCell ref="C84:G84"/>
    <mergeCell ref="C88:D88"/>
    <mergeCell ref="C96:D96"/>
  </mergeCells>
  <printOptions horizontalCentered="1"/>
  <pageMargins left="0.22" right="0.354330708661417" top="0.62" bottom="0.31496062992126" header="0.511811023622047" footer="0.31496062992126"/>
  <pageSetup horizontalDpi="600" verticalDpi="600" orientation="portrait" paperSize="9" scale="94" r:id="rId1"/>
  <rowBreaks count="2" manualBreakCount="2">
    <brk id="38" max="6" man="1"/>
    <brk id="8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Tan &amp; Tan Developments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Ivy Lee</dc:creator>
  <cp:keywords/>
  <dc:description/>
  <cp:lastModifiedBy>Jane Lee</cp:lastModifiedBy>
  <cp:lastPrinted>2010-03-29T09:19:25Z</cp:lastPrinted>
  <dcterms:created xsi:type="dcterms:W3CDTF">2003-06-03T01:38:44Z</dcterms:created>
  <dcterms:modified xsi:type="dcterms:W3CDTF">2010-03-30T08:16:20Z</dcterms:modified>
  <cp:category/>
  <cp:version/>
  <cp:contentType/>
  <cp:contentStatus/>
</cp:coreProperties>
</file>