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240" windowWidth="9390" windowHeight="1185" tabRatio="598" activeTab="4"/>
  </bookViews>
  <sheets>
    <sheet name="PL" sheetId="9" r:id="rId1"/>
    <sheet name="BS" sheetId="2" r:id="rId2"/>
    <sheet name="Equity" sheetId="6" r:id="rId3"/>
    <sheet name="Cashflow" sheetId="10" r:id="rId4"/>
    <sheet name="Notes(Pursuant to FRS 134" sheetId="3" r:id="rId5"/>
    <sheet name="Notes (Pursuant to Bursa Malay)" sheetId="11" r:id="rId6"/>
    <sheet name="Sheet1" sheetId="12" r:id="rId7"/>
  </sheets>
  <externalReferences>
    <externalReference r:id="rId8"/>
    <externalReference r:id="rId9"/>
  </externalReferences>
  <definedNames>
    <definedName name="_xlnm.Print_Area" localSheetId="1">BS!$A$1:$G$52</definedName>
    <definedName name="_xlnm.Print_Area" localSheetId="3">Cashflow!$A$1:$F$75</definedName>
    <definedName name="_xlnm.Print_Area" localSheetId="2">Equity!$A$1:$S$38</definedName>
    <definedName name="_xlnm.Print_Area" localSheetId="5">'Notes (Pursuant to Bursa Malay)'!$A$1:$T$263</definedName>
    <definedName name="_xlnm.Print_Area" localSheetId="4">'Notes(Pursuant to FRS 134'!$A$1:$R$311</definedName>
    <definedName name="_xlnm.Print_Area" localSheetId="0">PL!$A$1:$N$54</definedName>
    <definedName name="_xlnm.Print_Titles" localSheetId="1">BS!$1:$2</definedName>
  </definedNames>
  <calcPr calcId="144525"/>
</workbook>
</file>

<file path=xl/calcChain.xml><?xml version="1.0" encoding="utf-8"?>
<calcChain xmlns="http://schemas.openxmlformats.org/spreadsheetml/2006/main">
  <c r="D36" i="10" l="1"/>
  <c r="D13" i="10"/>
  <c r="L116" i="3" l="1"/>
  <c r="G66" i="10" l="1"/>
  <c r="D19" i="2" l="1"/>
  <c r="D18" i="2" s="1"/>
  <c r="K31" i="6" l="1"/>
  <c r="M30" i="6"/>
  <c r="D61" i="10" l="1"/>
  <c r="F64" i="10"/>
  <c r="R98" i="3"/>
  <c r="R92" i="3"/>
  <c r="D40" i="2" l="1"/>
  <c r="D22" i="2"/>
  <c r="D12" i="2"/>
  <c r="D44" i="2" l="1"/>
  <c r="D34" i="2"/>
  <c r="D9" i="2"/>
  <c r="R105" i="3"/>
  <c r="D42" i="2" l="1"/>
  <c r="D20" i="2" l="1"/>
  <c r="D16" i="2"/>
  <c r="F18" i="2"/>
  <c r="D18" i="10" l="1"/>
  <c r="D23" i="10"/>
  <c r="D22" i="10" s="1"/>
  <c r="N104" i="11" l="1"/>
  <c r="N105" i="11"/>
  <c r="N106" i="11" l="1"/>
  <c r="N149" i="3" l="1"/>
  <c r="Q32" i="6"/>
  <c r="L20" i="9"/>
  <c r="N151" i="3" l="1"/>
  <c r="L149" i="3" l="1"/>
  <c r="R218" i="3" l="1"/>
  <c r="L179" i="11" l="1"/>
  <c r="P151" i="3" l="1"/>
  <c r="L151" i="3"/>
  <c r="L144" i="3"/>
  <c r="L115" i="3" s="1"/>
  <c r="P147" i="3"/>
  <c r="P118" i="3" s="1"/>
  <c r="L147" i="3"/>
  <c r="L118" i="3" s="1"/>
  <c r="P145" i="3"/>
  <c r="P116" i="3" s="1"/>
  <c r="P123" i="3"/>
  <c r="P122" i="3"/>
  <c r="P120" i="3"/>
  <c r="N122" i="3"/>
  <c r="N120" i="3"/>
  <c r="N116" i="3"/>
  <c r="L123" i="3"/>
  <c r="L122" i="3"/>
  <c r="L120" i="3"/>
  <c r="N67" i="11"/>
  <c r="N68" i="11"/>
  <c r="N66" i="11"/>
  <c r="N60" i="11"/>
  <c r="N61" i="11"/>
  <c r="N59" i="11"/>
  <c r="D60" i="10" l="1"/>
  <c r="D62" i="10" s="1"/>
  <c r="D64" i="10" s="1"/>
  <c r="R156" i="11" l="1"/>
  <c r="N246" i="11"/>
  <c r="S31" i="6" l="1"/>
  <c r="L27" i="9"/>
  <c r="L26" i="9" l="1"/>
  <c r="L25" i="9" l="1"/>
  <c r="R160" i="11" l="1"/>
  <c r="P49" i="9"/>
  <c r="P48" i="9"/>
  <c r="P45" i="9"/>
  <c r="P36" i="9"/>
  <c r="P27" i="9"/>
  <c r="P26" i="9"/>
  <c r="P25" i="9"/>
  <c r="P20" i="9"/>
  <c r="P23" i="9" s="1"/>
  <c r="P31" i="9" l="1"/>
  <c r="P35" i="9" s="1"/>
  <c r="P38" i="9" s="1"/>
  <c r="P46" i="9" s="1"/>
  <c r="H21" i="9"/>
  <c r="L177" i="11" l="1"/>
  <c r="N118" i="3" l="1"/>
  <c r="N115" i="3"/>
  <c r="K29" i="6" l="1"/>
  <c r="W247" i="11"/>
  <c r="P246" i="11" l="1"/>
  <c r="P237" i="11"/>
  <c r="W250" i="11" l="1"/>
  <c r="R22" i="11" l="1"/>
  <c r="I12" i="2" l="1"/>
  <c r="W26" i="11" l="1"/>
  <c r="V26" i="11"/>
  <c r="W9" i="11"/>
  <c r="X26" i="11" l="1"/>
  <c r="Y26" i="11" s="1"/>
  <c r="T22" i="11" l="1"/>
  <c r="R21" i="11"/>
  <c r="T21" i="11" s="1"/>
  <c r="R20" i="11"/>
  <c r="T20" i="11" s="1"/>
  <c r="R15" i="11"/>
  <c r="T15" i="11" s="1"/>
  <c r="R14" i="11"/>
  <c r="T14" i="11" s="1"/>
  <c r="R13" i="11"/>
  <c r="T13" i="11" s="1"/>
  <c r="P115" i="3" l="1"/>
  <c r="M115" i="3"/>
  <c r="O115" i="3"/>
  <c r="M116" i="3"/>
  <c r="O116" i="3"/>
  <c r="L188" i="11"/>
  <c r="R116" i="3" l="1"/>
  <c r="R152" i="3" l="1"/>
  <c r="R149" i="3"/>
  <c r="T149" i="3" s="1"/>
  <c r="Q146" i="3"/>
  <c r="Q148" i="3" s="1"/>
  <c r="Q150" i="3" s="1"/>
  <c r="Q153" i="3" s="1"/>
  <c r="P146" i="3"/>
  <c r="O146" i="3"/>
  <c r="O148" i="3" s="1"/>
  <c r="O150" i="3" s="1"/>
  <c r="O153" i="3" s="1"/>
  <c r="N146" i="3"/>
  <c r="N148" i="3" s="1"/>
  <c r="N150" i="3" s="1"/>
  <c r="M146" i="3"/>
  <c r="M148" i="3" s="1"/>
  <c r="M150" i="3" s="1"/>
  <c r="M153" i="3" s="1"/>
  <c r="R145" i="3"/>
  <c r="R115" i="3"/>
  <c r="X50" i="11"/>
  <c r="W50" i="11"/>
  <c r="P148" i="3" l="1"/>
  <c r="P150" i="3" s="1"/>
  <c r="P153" i="3" s="1"/>
  <c r="R151" i="3"/>
  <c r="R147" i="3"/>
  <c r="N153" i="3"/>
  <c r="R144" i="3"/>
  <c r="R146" i="3" s="1"/>
  <c r="T146" i="3" s="1"/>
  <c r="L146" i="3"/>
  <c r="L148" i="3" s="1"/>
  <c r="L150" i="3" s="1"/>
  <c r="L153" i="3" s="1"/>
  <c r="R148" i="3" l="1"/>
  <c r="R150" i="3" s="1"/>
  <c r="R153" i="3" s="1"/>
  <c r="R161" i="11" l="1"/>
  <c r="Q26" i="6"/>
  <c r="M26" i="6"/>
  <c r="K28" i="6"/>
  <c r="T147" i="3" l="1"/>
  <c r="H19" i="9"/>
  <c r="V9" i="11" l="1"/>
  <c r="X9" i="11" s="1"/>
  <c r="Y9" i="11" s="1"/>
  <c r="R224" i="3"/>
  <c r="K27" i="6" l="1"/>
  <c r="O27" i="6" s="1"/>
  <c r="S27" i="6" s="1"/>
  <c r="P245" i="11" l="1"/>
  <c r="P247" i="11" s="1"/>
  <c r="H43" i="9" l="1"/>
  <c r="H42" i="9"/>
  <c r="H36" i="9"/>
  <c r="H33" i="9"/>
  <c r="H26" i="9"/>
  <c r="H28" i="9"/>
  <c r="H29" i="9"/>
  <c r="H25" i="9"/>
  <c r="H27" i="9"/>
  <c r="H20" i="9"/>
  <c r="P108" i="11" l="1"/>
  <c r="P109" i="11" s="1"/>
  <c r="N108" i="11"/>
  <c r="N109" i="11" s="1"/>
  <c r="T235" i="11"/>
  <c r="R235" i="11"/>
  <c r="P235" i="11"/>
  <c r="N235" i="11"/>
  <c r="P243" i="11" l="1"/>
  <c r="N243" i="11"/>
  <c r="R167" i="3"/>
  <c r="R166" i="3"/>
  <c r="R164" i="3"/>
  <c r="T164" i="3" s="1"/>
  <c r="R162" i="3"/>
  <c r="T162" i="3" s="1"/>
  <c r="Q161" i="3"/>
  <c r="Q163" i="3" s="1"/>
  <c r="Q165" i="3" s="1"/>
  <c r="Q168" i="3" s="1"/>
  <c r="P161" i="3"/>
  <c r="P163" i="3" s="1"/>
  <c r="P165" i="3" s="1"/>
  <c r="P168" i="3" s="1"/>
  <c r="O161" i="3"/>
  <c r="O163" i="3" s="1"/>
  <c r="O165" i="3" s="1"/>
  <c r="O168" i="3" s="1"/>
  <c r="N161" i="3"/>
  <c r="N163" i="3" s="1"/>
  <c r="N165" i="3" s="1"/>
  <c r="N168" i="3" s="1"/>
  <c r="M161" i="3"/>
  <c r="M163" i="3" s="1"/>
  <c r="M165" i="3" s="1"/>
  <c r="M168" i="3" s="1"/>
  <c r="L161" i="3"/>
  <c r="L163" i="3" s="1"/>
  <c r="L165" i="3" s="1"/>
  <c r="L168" i="3" s="1"/>
  <c r="R160" i="3"/>
  <c r="R159" i="3"/>
  <c r="N45" i="9"/>
  <c r="L45" i="9"/>
  <c r="N23" i="9"/>
  <c r="N31" i="9" s="1"/>
  <c r="N35" i="9" s="1"/>
  <c r="L23" i="9"/>
  <c r="L31" i="9" s="1"/>
  <c r="L35" i="9" s="1"/>
  <c r="N38" i="9" l="1"/>
  <c r="N46" i="9" s="1"/>
  <c r="F11" i="10"/>
  <c r="L38" i="9"/>
  <c r="D11" i="10"/>
  <c r="T153" i="3"/>
  <c r="W47" i="11"/>
  <c r="X47" i="11" s="1"/>
  <c r="P249" i="11"/>
  <c r="J49" i="9" s="1"/>
  <c r="P239" i="11"/>
  <c r="J48" i="9" s="1"/>
  <c r="R161" i="3"/>
  <c r="T161" i="3" s="1"/>
  <c r="L46" i="9" l="1"/>
  <c r="R163" i="3"/>
  <c r="R165" i="3" s="1"/>
  <c r="R168" i="3" s="1"/>
  <c r="T168" i="3" s="1"/>
  <c r="R68" i="11"/>
  <c r="T68" i="11" s="1"/>
  <c r="R67" i="11"/>
  <c r="T67" i="11" s="1"/>
  <c r="R66" i="11"/>
  <c r="T66" i="11" s="1"/>
  <c r="R61" i="11"/>
  <c r="T61" i="11" s="1"/>
  <c r="R60" i="11"/>
  <c r="T60" i="11" s="1"/>
  <c r="R59" i="11"/>
  <c r="T59" i="11" s="1"/>
  <c r="R39" i="11" l="1"/>
  <c r="T39" i="11" s="1"/>
  <c r="R38" i="11"/>
  <c r="T38" i="11" s="1"/>
  <c r="R37" i="11"/>
  <c r="T37" i="11" s="1"/>
  <c r="R31" i="11" l="1"/>
  <c r="T31" i="11" s="1"/>
  <c r="R32" i="11"/>
  <c r="T32" i="11" s="1"/>
  <c r="R30" i="11"/>
  <c r="T30" i="11" s="1"/>
  <c r="O16" i="6" l="1"/>
  <c r="S16" i="6" s="1"/>
  <c r="N74" i="11"/>
  <c r="R74" i="11" s="1"/>
  <c r="T74" i="11" s="1"/>
  <c r="H75" i="11"/>
  <c r="H74" i="11"/>
  <c r="D37" i="2" l="1"/>
  <c r="R231" i="3"/>
  <c r="R267" i="3"/>
  <c r="R260" i="3"/>
  <c r="P67" i="3" l="1"/>
  <c r="P65" i="3" s="1"/>
  <c r="P72" i="3" l="1"/>
  <c r="T72" i="3" s="1"/>
  <c r="R261" i="3"/>
  <c r="R254" i="3"/>
  <c r="R268" i="3" s="1"/>
  <c r="R269" i="3" s="1"/>
  <c r="Q190" i="3" l="1"/>
  <c r="O190" i="3"/>
  <c r="N190" i="3"/>
  <c r="M190" i="3"/>
  <c r="L190" i="3"/>
  <c r="P189" i="3"/>
  <c r="P190" i="3" s="1"/>
  <c r="Q187" i="3"/>
  <c r="P187" i="3"/>
  <c r="O187" i="3"/>
  <c r="N187" i="3"/>
  <c r="M187" i="3"/>
  <c r="L187" i="3"/>
  <c r="R186" i="3"/>
  <c r="R187" i="3" s="1"/>
  <c r="R134" i="3"/>
  <c r="R132" i="3"/>
  <c r="Q131" i="3"/>
  <c r="Q133" i="3" s="1"/>
  <c r="Q135" i="3" s="1"/>
  <c r="P131" i="3"/>
  <c r="P133" i="3" s="1"/>
  <c r="P135" i="3" s="1"/>
  <c r="O131" i="3"/>
  <c r="O133" i="3" s="1"/>
  <c r="O135" i="3" s="1"/>
  <c r="N131" i="3"/>
  <c r="N133" i="3" s="1"/>
  <c r="N135" i="3" s="1"/>
  <c r="M131" i="3"/>
  <c r="M133" i="3" s="1"/>
  <c r="M135" i="3" s="1"/>
  <c r="L131" i="3"/>
  <c r="L133" i="3" s="1"/>
  <c r="L135" i="3" s="1"/>
  <c r="R130" i="3"/>
  <c r="R129" i="3"/>
  <c r="R131" i="3" l="1"/>
  <c r="R133" i="3" s="1"/>
  <c r="R135" i="3" s="1"/>
  <c r="R189" i="3"/>
  <c r="R190" i="3" s="1"/>
  <c r="T122" i="11" l="1"/>
  <c r="T126" i="11" s="1"/>
  <c r="T165" i="11"/>
  <c r="T156" i="11"/>
  <c r="T161" i="11" s="1"/>
  <c r="T168" i="11" l="1"/>
  <c r="O28" i="6"/>
  <c r="S28" i="6" s="1"/>
  <c r="K30" i="6"/>
  <c r="O30" i="6" s="1"/>
  <c r="S30" i="6" s="1"/>
  <c r="K32" i="6"/>
  <c r="O32" i="6" s="1"/>
  <c r="S32" i="6" s="1"/>
  <c r="K20" i="6"/>
  <c r="O20" i="6" s="1"/>
  <c r="S20" i="6" s="1"/>
  <c r="K19" i="6"/>
  <c r="O19" i="6" s="1"/>
  <c r="S19" i="6" s="1"/>
  <c r="K18" i="6"/>
  <c r="O18" i="6" s="1"/>
  <c r="S18" i="6" s="1"/>
  <c r="K17" i="6"/>
  <c r="O17" i="6" s="1"/>
  <c r="S17" i="6" s="1"/>
  <c r="K15" i="6"/>
  <c r="O15" i="6" s="1"/>
  <c r="S15" i="6" s="1"/>
  <c r="K12" i="6"/>
  <c r="O12" i="6" s="1"/>
  <c r="S12" i="6" s="1"/>
  <c r="D14" i="6"/>
  <c r="K14" i="6" s="1"/>
  <c r="O14" i="6" s="1"/>
  <c r="S14" i="6" s="1"/>
  <c r="F40" i="2"/>
  <c r="F43" i="2" s="1"/>
  <c r="F45" i="2" s="1"/>
  <c r="F37" i="2"/>
  <c r="F29" i="2"/>
  <c r="F31" i="2" s="1"/>
  <c r="F21" i="2"/>
  <c r="F23" i="2" s="1"/>
  <c r="F10" i="2"/>
  <c r="F9" i="2"/>
  <c r="F46" i="2" l="1"/>
  <c r="T190" i="3" s="1"/>
  <c r="F14" i="2"/>
  <c r="F24" i="2"/>
  <c r="F47" i="2" l="1"/>
  <c r="F48" i="2"/>
  <c r="K26" i="6"/>
  <c r="K13" i="6"/>
  <c r="O13" i="6" s="1"/>
  <c r="R289" i="3" l="1"/>
  <c r="R168" i="11" l="1"/>
  <c r="V168" i="11" l="1"/>
  <c r="W188" i="11"/>
  <c r="H45" i="9"/>
  <c r="H23" i="9" l="1"/>
  <c r="R23" i="9" s="1"/>
  <c r="H31" i="9" l="1"/>
  <c r="H35" i="9" s="1"/>
  <c r="R225" i="3"/>
  <c r="R232" i="3"/>
  <c r="R67" i="3"/>
  <c r="T67" i="3"/>
  <c r="H38" i="9" l="1"/>
  <c r="H46" i="9" s="1"/>
  <c r="N75" i="11"/>
  <c r="R75" i="11" s="1"/>
  <c r="T75" i="11" s="1"/>
  <c r="H33" i="10"/>
  <c r="R233" i="3"/>
  <c r="T269" i="3" l="1"/>
  <c r="U269" i="3" s="1"/>
  <c r="T233" i="3"/>
  <c r="R137" i="3"/>
  <c r="R136" i="3"/>
  <c r="T134" i="3"/>
  <c r="T132" i="3"/>
  <c r="Q138" i="3"/>
  <c r="P138" i="3"/>
  <c r="O138" i="3"/>
  <c r="N138" i="3"/>
  <c r="M138" i="3"/>
  <c r="L138" i="3"/>
  <c r="R123" i="3"/>
  <c r="T123" i="3" s="1"/>
  <c r="R122" i="3"/>
  <c r="R118" i="3"/>
  <c r="T118" i="3" s="1"/>
  <c r="Q117" i="3"/>
  <c r="Q119" i="3" s="1"/>
  <c r="Q121" i="3" s="1"/>
  <c r="Q124" i="3" s="1"/>
  <c r="P117" i="3"/>
  <c r="O117" i="3"/>
  <c r="O119" i="3" s="1"/>
  <c r="O121" i="3" s="1"/>
  <c r="O124" i="3" s="1"/>
  <c r="M117" i="3"/>
  <c r="M119" i="3" s="1"/>
  <c r="M121" i="3" s="1"/>
  <c r="M124" i="3" s="1"/>
  <c r="N117" i="3"/>
  <c r="N119" i="3" s="1"/>
  <c r="N121" i="3" s="1"/>
  <c r="N124" i="3" s="1"/>
  <c r="L117" i="3"/>
  <c r="D52" i="10"/>
  <c r="F52" i="10"/>
  <c r="T131" i="3" l="1"/>
  <c r="L119" i="3"/>
  <c r="L121" i="3" s="1"/>
  <c r="L124" i="3" s="1"/>
  <c r="P119" i="3"/>
  <c r="P121" i="3" s="1"/>
  <c r="P124" i="3" s="1"/>
  <c r="R120" i="3"/>
  <c r="T120" i="3" s="1"/>
  <c r="R138" i="3"/>
  <c r="R117" i="3"/>
  <c r="T117" i="3" s="1"/>
  <c r="S23" i="9" l="1"/>
  <c r="T23" i="9"/>
  <c r="R119" i="3"/>
  <c r="R121" i="3" s="1"/>
  <c r="R124" i="3" s="1"/>
  <c r="U23" i="9" l="1"/>
  <c r="G56" i="2"/>
  <c r="Q22" i="6"/>
  <c r="M22" i="6"/>
  <c r="I22" i="6"/>
  <c r="G22" i="6"/>
  <c r="D22" i="6"/>
  <c r="B22" i="6"/>
  <c r="F56" i="2" l="1"/>
  <c r="F49" i="2" s="1"/>
  <c r="J23" i="9"/>
  <c r="J31" i="9" s="1"/>
  <c r="J35" i="9" s="1"/>
  <c r="F41" i="10"/>
  <c r="Q25" i="6"/>
  <c r="J45" i="9"/>
  <c r="T243" i="11"/>
  <c r="R243" i="11"/>
  <c r="T245" i="11"/>
  <c r="T187" i="3"/>
  <c r="R180" i="3"/>
  <c r="R181" i="3" s="1"/>
  <c r="P181" i="3"/>
  <c r="N181" i="3"/>
  <c r="L181" i="3"/>
  <c r="R177" i="3"/>
  <c r="R178" i="3" s="1"/>
  <c r="P178" i="3"/>
  <c r="N178" i="3"/>
  <c r="L178" i="3"/>
  <c r="D43" i="2"/>
  <c r="D45" i="2" s="1"/>
  <c r="D46" i="2" s="1"/>
  <c r="D14" i="2"/>
  <c r="D21" i="2"/>
  <c r="Q181" i="3"/>
  <c r="O181" i="3"/>
  <c r="M181" i="3"/>
  <c r="M178" i="3"/>
  <c r="O178" i="3"/>
  <c r="Q178" i="3"/>
  <c r="D41" i="10"/>
  <c r="O26" i="6"/>
  <c r="D29" i="2"/>
  <c r="R108" i="11"/>
  <c r="T108" i="11"/>
  <c r="T109" i="11" s="1"/>
  <c r="I25" i="6"/>
  <c r="I34" i="6" s="1"/>
  <c r="G25" i="6"/>
  <c r="G34" i="6" s="1"/>
  <c r="B25" i="6"/>
  <c r="D25" i="6"/>
  <c r="D34" i="6" s="1"/>
  <c r="F22" i="6"/>
  <c r="M25" i="6"/>
  <c r="S13" i="6"/>
  <c r="A100" i="6"/>
  <c r="T181" i="3" l="1"/>
  <c r="W44" i="11"/>
  <c r="V44" i="11"/>
  <c r="D24" i="2"/>
  <c r="T178" i="3" s="1"/>
  <c r="D23" i="2"/>
  <c r="R109" i="11"/>
  <c r="Q34" i="6"/>
  <c r="Q39" i="6" s="1"/>
  <c r="F25" i="6"/>
  <c r="F34" i="6" s="1"/>
  <c r="K22" i="6"/>
  <c r="T138" i="3"/>
  <c r="M34" i="6"/>
  <c r="M39" i="6" s="1"/>
  <c r="B34" i="6"/>
  <c r="D31" i="2"/>
  <c r="D47" i="2" s="1"/>
  <c r="S22" i="6"/>
  <c r="O22" i="6"/>
  <c r="U22" i="6" s="1"/>
  <c r="F15" i="10"/>
  <c r="T239" i="11"/>
  <c r="N48" i="9" s="1"/>
  <c r="T247" i="11"/>
  <c r="J38" i="9"/>
  <c r="J46" i="9" s="1"/>
  <c r="D56" i="2" l="1"/>
  <c r="D49" i="2" s="1"/>
  <c r="T249" i="11"/>
  <c r="N237" i="11"/>
  <c r="K25" i="6"/>
  <c r="O25" i="6" s="1"/>
  <c r="O34" i="6" s="1"/>
  <c r="U34" i="6" s="1"/>
  <c r="K34" i="6"/>
  <c r="K39" i="6" s="1"/>
  <c r="F20" i="10"/>
  <c r="F29" i="10" s="1"/>
  <c r="F54" i="10" s="1"/>
  <c r="F57" i="10" s="1"/>
  <c r="T124" i="3"/>
  <c r="S26" i="6"/>
  <c r="D48" i="2"/>
  <c r="D15" i="10"/>
  <c r="R237" i="11" l="1"/>
  <c r="N49" i="9"/>
  <c r="N245" i="11"/>
  <c r="N247" i="11" s="1"/>
  <c r="N249" i="11" s="1"/>
  <c r="H49" i="9" s="1"/>
  <c r="N239" i="11"/>
  <c r="H48" i="9" s="1"/>
  <c r="S25" i="6"/>
  <c r="S34" i="6" s="1"/>
  <c r="D20" i="10"/>
  <c r="D29" i="10" s="1"/>
  <c r="R245" i="11" l="1"/>
  <c r="D54" i="10"/>
  <c r="D57" i="10" s="1"/>
  <c r="R239" i="11"/>
  <c r="T34" i="6"/>
  <c r="R122" i="11"/>
  <c r="R126" i="11" s="1"/>
  <c r="V126" i="11" s="1"/>
  <c r="R247" i="11" l="1"/>
  <c r="L48" i="9"/>
  <c r="R127" i="11"/>
  <c r="R249" i="11" l="1"/>
  <c r="L49" i="9" l="1"/>
  <c r="W90" i="11"/>
  <c r="D68" i="10" l="1"/>
  <c r="D67" i="10"/>
  <c r="D74" i="10" s="1"/>
  <c r="D77" i="10"/>
  <c r="F67" i="10"/>
  <c r="F74" i="10" l="1"/>
  <c r="F76" i="10"/>
  <c r="G67" i="10"/>
  <c r="D76" i="10"/>
</calcChain>
</file>

<file path=xl/sharedStrings.xml><?xml version="1.0" encoding="utf-8"?>
<sst xmlns="http://schemas.openxmlformats.org/spreadsheetml/2006/main" count="768" uniqueCount="460">
  <si>
    <t>The Group does not have any financial instruments with off balance sheet risk as at the date of this announcement.</t>
  </si>
  <si>
    <t>(Incorporated in Malaysia)</t>
  </si>
  <si>
    <t>Taxation</t>
  </si>
  <si>
    <t>RM'000</t>
  </si>
  <si>
    <t>Contingent Liabilities</t>
  </si>
  <si>
    <t>Off Balance Sheet Financial Instruments</t>
  </si>
  <si>
    <t>By Order of the Board</t>
  </si>
  <si>
    <t>Current liabilities</t>
  </si>
  <si>
    <t>(unaudited)</t>
  </si>
  <si>
    <t>Revenue</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</si>
  <si>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</si>
  <si>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</si>
  <si>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</si>
  <si>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</si>
  <si>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</si>
  <si>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</si>
  <si>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</si>
  <si>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</si>
  <si>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</si>
  <si>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</si>
  <si>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</si>
  <si>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</si>
  <si>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'000</t>
  </si>
  <si>
    <t>Basic earnings per share</t>
  </si>
  <si>
    <t>sen</t>
  </si>
  <si>
    <t>Earnings per share (sen) :</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</si>
  <si>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</si>
  <si>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</si>
  <si>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</si>
  <si>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</si>
  <si>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</si>
  <si>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</si>
  <si>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</si>
  <si>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</si>
  <si>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</si>
  <si>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</si>
  <si>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</si>
  <si>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</si>
  <si>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</si>
  <si>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</si>
  <si>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</si>
  <si>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</si>
  <si>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</si>
  <si>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</si>
  <si>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</si>
  <si>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</si>
  <si>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</si>
  <si>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Provision of management services</t>
  </si>
  <si>
    <t>Material Litigation</t>
  </si>
  <si>
    <t>Authorisation For Issue</t>
  </si>
  <si>
    <t>Gross profit</t>
  </si>
  <si>
    <t>Profit from operations</t>
  </si>
  <si>
    <t>Attributable to:</t>
  </si>
  <si>
    <t>Weighted average number of ordinary shares in issue</t>
  </si>
  <si>
    <t>Preceding</t>
  </si>
  <si>
    <t>Year</t>
  </si>
  <si>
    <t>Interests</t>
  </si>
  <si>
    <t>Lembaga Tabung Haji</t>
  </si>
  <si>
    <t>Lease of land</t>
  </si>
  <si>
    <t>Diluted earnings per share</t>
  </si>
  <si>
    <t>Rental of office</t>
  </si>
  <si>
    <t>Approved but not contracted for</t>
  </si>
  <si>
    <t>Approved and contracted for</t>
  </si>
  <si>
    <t>Relationship</t>
  </si>
  <si>
    <t>Transacting Parties</t>
  </si>
  <si>
    <t>Related Company</t>
  </si>
  <si>
    <t>Quoted Investments</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</si>
  <si>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</si>
  <si>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</si>
  <si>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</si>
  <si>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</si>
  <si>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</si>
  <si>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</si>
  <si>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</si>
  <si>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</si>
  <si>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</si>
  <si>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</si>
  <si>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</si>
  <si>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</si>
  <si>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</si>
  <si>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</si>
  <si>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Sub-total</t>
  </si>
  <si>
    <t>As at</t>
  </si>
  <si>
    <t>Auditors' Report on Preceding Annual Financial Statements</t>
  </si>
  <si>
    <t>Net tangible assets per share (RM)</t>
  </si>
  <si>
    <t>Acquisition of property, plant and equipment</t>
  </si>
  <si>
    <t>Proceeds from disposal of prepaid lease payments</t>
  </si>
  <si>
    <t>Loans and borrowings</t>
  </si>
  <si>
    <t>Non-distributable</t>
  </si>
  <si>
    <t>Proceed from disposal of property, plant and equipment</t>
  </si>
  <si>
    <t>Current tax liabilities</t>
  </si>
  <si>
    <t>Prepaid lease payments</t>
  </si>
  <si>
    <t>Other income</t>
  </si>
  <si>
    <t>Zakat expense</t>
  </si>
  <si>
    <t>Attributable to equity holders of the Company</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</si>
  <si>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</si>
  <si>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</si>
  <si>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</si>
  <si>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</si>
  <si>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</si>
  <si>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Dividends paid to shareholders of the Company</t>
  </si>
  <si>
    <t>Deposits with licensed banks</t>
  </si>
  <si>
    <t>Deposits pledged</t>
  </si>
  <si>
    <t>Profit before tax</t>
  </si>
  <si>
    <t>Finance costs</t>
  </si>
  <si>
    <t>Total current liabilities</t>
  </si>
  <si>
    <t>Other investment</t>
  </si>
  <si>
    <t>earnings</t>
  </si>
  <si>
    <t>UNAUDITED</t>
  </si>
  <si>
    <t>reserve</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</si>
  <si>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</si>
  <si>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</si>
  <si>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</si>
  <si>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</si>
  <si>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</si>
  <si>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</si>
  <si>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</si>
  <si>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</si>
  <si>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</si>
  <si>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Transactions with THP</t>
  </si>
  <si>
    <t>reserves</t>
  </si>
  <si>
    <t>(i)</t>
  </si>
  <si>
    <t>(ii)</t>
  </si>
  <si>
    <t>TH Travel Services Sdn Bhd</t>
  </si>
  <si>
    <t>NOTES PART A: EXPLANATORY NOTES PURSUANT TO FRS 134</t>
  </si>
  <si>
    <t>NOTES PART B: EXPLANATORY NOTES PURSUANT TO APPENDIX 9B OF THE MAIN MARKET LISTING REQUIREMENTS OF BURSA MALAYSIA SECURITIES BERHAD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</si>
  <si>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</si>
  <si>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</si>
  <si>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</si>
  <si>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</si>
  <si>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</si>
  <si>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</si>
  <si>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</si>
  <si>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</si>
  <si>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</si>
  <si>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</si>
  <si>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</si>
  <si>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</si>
  <si>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</si>
  <si>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</si>
  <si>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 xml:space="preserve">PT. TH Indo Plantations </t>
  </si>
  <si>
    <t>Purchase of flight tickets</t>
  </si>
  <si>
    <t>Transactions with THP Agro Management Sdn Bhd (wholly owned subsidiary of THP)</t>
  </si>
  <si>
    <t xml:space="preserve">There were no unusual items affecting assets, liabilities, equity and net income. </t>
  </si>
  <si>
    <t>Adjusted weighted average number of ordinary shares in issue</t>
  </si>
  <si>
    <t>CONDENSED CONSOLIDATED STATEMENT OF FINANCIAL POSITION</t>
  </si>
  <si>
    <t>CONDENSED CONSOLIDATED STATEMENT OF CASH FLOWS</t>
  </si>
  <si>
    <t>Realised</t>
  </si>
  <si>
    <t>Unrealised</t>
  </si>
  <si>
    <t>The unrealised portion of retained earnings comprise mainly of deferred tax expense.</t>
  </si>
  <si>
    <t>Exercise price per share (RM)</t>
  </si>
  <si>
    <t>No. of shares issued ('000)</t>
  </si>
  <si>
    <t>Administrative expenses</t>
  </si>
  <si>
    <t>Non-Controlling Interests</t>
  </si>
  <si>
    <t>Non-controlling interests</t>
  </si>
  <si>
    <t>Non-controlling</t>
  </si>
  <si>
    <t>and inter-company receivables</t>
  </si>
  <si>
    <t>Holding Corporation</t>
  </si>
  <si>
    <t>Purchase of fertilisers</t>
  </si>
  <si>
    <t>CCM Fertilizers Sdn Bhd</t>
  </si>
  <si>
    <t>Dividends to non-controlling interests</t>
  </si>
  <si>
    <t>Profit/ Total comprehensive income for the year</t>
  </si>
  <si>
    <t>Unusual Items Due To Their Nature, Size Or Incidence</t>
  </si>
  <si>
    <t>Realised and Unrealised Profits</t>
  </si>
  <si>
    <t xml:space="preserve">(a) </t>
  </si>
  <si>
    <t>Share option granted under ESOS</t>
  </si>
  <si>
    <t>Syarikat Takaful Malaysia</t>
  </si>
  <si>
    <t>Effect of dilution    (ESOS    outstanding)</t>
  </si>
  <si>
    <t>Depreciation</t>
  </si>
  <si>
    <t>Depreciation and amortisation</t>
  </si>
  <si>
    <t>Dividends to shareholders of the Company</t>
  </si>
  <si>
    <t xml:space="preserve">Dividends </t>
  </si>
  <si>
    <t>Transactions with THP Group</t>
  </si>
  <si>
    <t>31.12.2011</t>
  </si>
  <si>
    <t>(b)</t>
  </si>
  <si>
    <t>Cash and cash equivalents at beginning of the year</t>
  </si>
  <si>
    <t>Cash flows from operating activities</t>
  </si>
  <si>
    <t>Adjustment for non-cash flow items</t>
  </si>
  <si>
    <t xml:space="preserve">Operating profit before changes in working capital </t>
  </si>
  <si>
    <t xml:space="preserve">Changes in working capital </t>
  </si>
  <si>
    <t>Cash and cash equivalents comprise:</t>
  </si>
  <si>
    <t>Cash flows from financing activities</t>
  </si>
  <si>
    <t>Cash flows from investing activities</t>
  </si>
  <si>
    <t>Trade and other payables</t>
  </si>
  <si>
    <t>Capital And Other Commitments Outstanding Not Provided For In The Interim Financial Report</t>
  </si>
  <si>
    <t>Valuation Of Property, Plant And Equipment</t>
  </si>
  <si>
    <t>Nature of transactions</t>
  </si>
  <si>
    <t>At 1 January 2012</t>
  </si>
  <si>
    <t>(Metric tonnes)</t>
  </si>
  <si>
    <t>Sales Volume</t>
  </si>
  <si>
    <t>(RM/tonne)</t>
  </si>
  <si>
    <t>(audited)</t>
  </si>
  <si>
    <t>Income tax is calculated at the Malaysian statutory tax rate of 25% of the estimated assessable profit for the quarter.</t>
  </si>
  <si>
    <t>Repayment of loans and borrowings</t>
  </si>
  <si>
    <t>(a)</t>
  </si>
  <si>
    <t xml:space="preserve">(b) </t>
  </si>
  <si>
    <t>Projection of Targets Previously Announced</t>
  </si>
  <si>
    <t xml:space="preserve">Review Of Performance </t>
  </si>
  <si>
    <t>Significant Accounting Policies</t>
  </si>
  <si>
    <t>Commentary on Prospects</t>
  </si>
  <si>
    <t>(iii)</t>
  </si>
  <si>
    <t>30.09.2012</t>
  </si>
  <si>
    <t>Property, plant and equipment</t>
  </si>
  <si>
    <t>Net cash outflow</t>
  </si>
  <si>
    <t xml:space="preserve">Trade and other receivables </t>
  </si>
  <si>
    <t xml:space="preserve">Cost of sales </t>
  </si>
  <si>
    <t>Owners of the Company</t>
  </si>
  <si>
    <t>Net cash used in investing activities</t>
  </si>
  <si>
    <t>Cash and bank balances</t>
  </si>
  <si>
    <t>Estimates</t>
  </si>
  <si>
    <t>Operating segments</t>
  </si>
  <si>
    <t xml:space="preserve">   interim financial statements</t>
  </si>
  <si>
    <t xml:space="preserve">Total Group retained earnings as per consolidated </t>
  </si>
  <si>
    <t>Less: Consolidation adjustments</t>
  </si>
  <si>
    <t>There were no purchases of quoted investments for the current quarter under review.</t>
  </si>
  <si>
    <t>Cost</t>
  </si>
  <si>
    <t>Carrying amounts</t>
  </si>
  <si>
    <t>о</t>
  </si>
  <si>
    <t>The following summarises the major classes of consideration transferred, and the recognised amounts of assets acquired and liabilities assumed at the acquisition date:</t>
  </si>
  <si>
    <t>Identifiable assets acquired and liabilities assumed</t>
  </si>
  <si>
    <t>Deferred tax liability</t>
  </si>
  <si>
    <t>Total identifiable net assets</t>
  </si>
  <si>
    <t>Net cash arising from acquisition of subsidiary</t>
  </si>
  <si>
    <t>Total consideration transferred</t>
  </si>
  <si>
    <t>Fair value of identifiable net assets</t>
  </si>
  <si>
    <t>(c)</t>
  </si>
  <si>
    <t xml:space="preserve">The recoverable amount of the cash-generating unit was based on value in use. </t>
  </si>
  <si>
    <t>A pre-tax discount rate of 10% was applied in determining the recoverable amount of the units. The discount rate was estimated based on an industry average weighted cost of capital.</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</si>
  <si>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 They do not include all of the information required for full annual financial statements.</t>
    </r>
  </si>
  <si>
    <t>The Group has two reportable segments, which are the Group's strategic business units. For each of the strategic business units, the Chief Executive Officer reviews internal management reports on quarterly basis.</t>
  </si>
  <si>
    <t>Cash and bank balances acquired</t>
  </si>
  <si>
    <t>Average realised prices</t>
  </si>
  <si>
    <r>
      <t xml:space="preserve">The determination of realised and unrealised profits is based on Guidance of Special Matter No. 1, </t>
    </r>
    <r>
      <rPr>
        <i/>
        <sz val="11"/>
        <rFont val="Tahoma"/>
        <family val="2"/>
      </rPr>
      <t>Determination of Realised and Unrealised Profits or Losses in the context of Disclosures Pursuant to Bursa Malaysia Securities Berhad Listing Requirements,</t>
    </r>
    <r>
      <rPr>
        <sz val="11"/>
        <rFont val="Tahoma"/>
        <family val="2"/>
      </rPr>
      <t xml:space="preserve"> issued by Malaysian Institute of Accountants on 20 December 2010.</t>
    </r>
  </si>
  <si>
    <t>Property, plant &amp; equipment</t>
  </si>
  <si>
    <t xml:space="preserve">Loans and borrowings </t>
  </si>
  <si>
    <t>Loan and borrowings</t>
  </si>
  <si>
    <t>As at 31.12.12</t>
  </si>
  <si>
    <t>Profit margin expenses on inter-company payables</t>
  </si>
  <si>
    <t>31.12.2012</t>
  </si>
  <si>
    <t>AS AT 31 DECEMBER 2012</t>
  </si>
  <si>
    <t>Secured:</t>
  </si>
  <si>
    <t>Ijarah Term Financing-i Facility</t>
  </si>
  <si>
    <t>Tawarruq Flexi Term Financing-i</t>
  </si>
  <si>
    <t>Acquisition related costs</t>
  </si>
  <si>
    <t>Note</t>
  </si>
  <si>
    <t>SUKUK Murabahah Medium Term Notes</t>
  </si>
  <si>
    <t>Proceeds from issuance of Murabahah Medium Term Notes</t>
  </si>
  <si>
    <t>Cash and cash equivalents</t>
  </si>
  <si>
    <t xml:space="preserve">Proceeds from  issuance of SUKUK Murabahah </t>
  </si>
  <si>
    <t>Dividend received</t>
  </si>
  <si>
    <t>Flexi Term Financing-i</t>
  </si>
  <si>
    <t>Capital reserve</t>
  </si>
  <si>
    <t>Adjustments on premium of shares issued on acquisition of subsidiaries</t>
  </si>
  <si>
    <t>Intangible assets</t>
  </si>
  <si>
    <t>The values assigned to the key assumptions represent management's assessment of future trends in the oil palm plantation industry and are based on both external sources and internal historical data.</t>
  </si>
  <si>
    <t>Intangible assets was recognised as a result of the acquisition as follows:</t>
  </si>
  <si>
    <t xml:space="preserve">Intangible assets </t>
  </si>
  <si>
    <t xml:space="preserve">Capital </t>
  </si>
  <si>
    <t>CONDENSED CONSOLIDATED STATEMENT OF PROFIT OR LOSS AND OTHER COMPREHENSIVE INCOME</t>
  </si>
  <si>
    <t>The Condensed Consolidated Statement Of Comprehensive Income should be read in conjunction with the Audited Financial Statements for the year ended 31 December 2012 and the accompanying explanatory notes attached to the interim financial statements.</t>
  </si>
  <si>
    <t>The Condensed Consolidated Statement of Financial Position should be read in conjunction with the Audited Financial Statements for the year ended 31 December 2012 and the accompanying explanatory notes attached to the interim financial statements.</t>
  </si>
  <si>
    <t>At 31 December 2012 (audited)</t>
  </si>
  <si>
    <t>At 1 January 2013</t>
  </si>
  <si>
    <t>The Condensed Consolidated Statement of Changes in Equity should be read in conjunction with the Audited Financial Statements for the year ended 31 December 2012 and the accompanying explanatory notes attached to the interim financial statements.</t>
  </si>
  <si>
    <t>The Condensed Consolidated Statement of Cash Flows  should be read in conjunction with the Audited Financial Statements for the year ended 31 December 2012 and the accompanying explanatory notes attached to the interim financial statements.</t>
  </si>
  <si>
    <t>The accounting policies applied by the Group in these condensed consolidated interim financial statements are the same as those applied by the Group in its consolidated annual financial statements as at and for the year ended 31 December 2012.</t>
  </si>
  <si>
    <t>The auditors have expressed an unqualified opinion on the Group's statutory consolidated financial statements for the year ended 31 December 2012 in their report dated 27 February 2013.</t>
  </si>
  <si>
    <t>27.2.2013</t>
  </si>
  <si>
    <t>Trade and other receivables</t>
  </si>
  <si>
    <t>Proceeds from  loan drawdown</t>
  </si>
  <si>
    <t xml:space="preserve">On 22 April 2013, the Group announced that its target was to achieve 6.5% return on equity ("ROE"), 20.50 mt/ha FFB yield per matured hectare and to distribute approximately 50% of Group's annual net profit after tax as dividend. </t>
  </si>
  <si>
    <t>The comparison of the Group revenue and profit before taxation for the current and preceding quarter is as follows:</t>
  </si>
  <si>
    <t>Variance</t>
  </si>
  <si>
    <t>%</t>
  </si>
  <si>
    <t>Net cash  generated from financing activities</t>
  </si>
  <si>
    <t>The Group incurred acquisition related costs of RM135,000 relating to legal fees and due diligence costs. The legal fees and due diligence costs have been included in other expenses in the statement of comprehensive income.</t>
  </si>
  <si>
    <t>**Note:</t>
  </si>
  <si>
    <t xml:space="preserve">Other income </t>
  </si>
  <si>
    <t>Apart from the above, there were no other issuances, cancellations, repurchases, resale of debt and equity securities in the period.</t>
  </si>
  <si>
    <t>Acquisition of subsidiaries</t>
  </si>
  <si>
    <t>Prepayments and other assets</t>
  </si>
  <si>
    <r>
      <t>Revenue</t>
    </r>
    <r>
      <rPr>
        <sz val="11"/>
        <rFont val="Tahoma"/>
        <family val="2"/>
      </rPr>
      <t xml:space="preserve"> </t>
    </r>
  </si>
  <si>
    <t>Tax expense</t>
  </si>
  <si>
    <t xml:space="preserve">Diluted earnings per share </t>
  </si>
  <si>
    <t xml:space="preserve">Issuance of new ordinary shares issued on acquisition of subsidiaries </t>
  </si>
  <si>
    <t>The interim financial statements should be read in conjunction with the audited financial statements for the year ended 31 December 2012. The explanatory notes attached to the interim financial statements provide an explanation of events and transactions that are significant to an understanding of the changes in the financial position and performance of the Group since the year ended 31 December 2012.</t>
  </si>
  <si>
    <t>On 27 February 2013 the Company completed its acquisition of 100% equity interest in BSV for an indicative cash consideration of RM212,504,000. BSV is principally involved in oil palm cultivations.</t>
  </si>
  <si>
    <t>On 27 February 2013 the Company had completed its acquisition of 100% equity interest in MWM for an indicative cash consideration of RM42,081,000. MWM is principally engaged in the letting of investment property.</t>
  </si>
  <si>
    <t>Maturity  analysis</t>
  </si>
  <si>
    <t>1-2 years</t>
  </si>
  <si>
    <t>Final adjusted purchase consideration settled in cash and cash equivalents^^</t>
  </si>
  <si>
    <t>Note:</t>
  </si>
  <si>
    <t>^^</t>
  </si>
  <si>
    <t>2-3 years</t>
  </si>
  <si>
    <t>3-4 years</t>
  </si>
  <si>
    <t>4-5 years</t>
  </si>
  <si>
    <t>5-6 years</t>
  </si>
  <si>
    <t>6-7 years</t>
  </si>
  <si>
    <t>7-8 years</t>
  </si>
  <si>
    <t>8-9 years</t>
  </si>
  <si>
    <t>11-12 years</t>
  </si>
  <si>
    <t>12-13 years</t>
  </si>
  <si>
    <t>13-14 years</t>
  </si>
  <si>
    <t>14-15 years</t>
  </si>
  <si>
    <t>Amount Non Current</t>
  </si>
  <si>
    <t>4.85-6.41</t>
  </si>
  <si>
    <t>4.85-5.39</t>
  </si>
  <si>
    <t xml:space="preserve"> 9-10  years</t>
  </si>
  <si>
    <t>10-11  years</t>
  </si>
  <si>
    <t>4.85-6.10</t>
  </si>
  <si>
    <t>Tenure</t>
  </si>
  <si>
    <t>Year of maturity</t>
  </si>
  <si>
    <t>Final adjusted purchase consideration was based on adjusted net assets as at 31 January 2013 plus additional plantation development expenditures incurred between 1 June 2012 to 31 January 2013 for non-matured plantations.</t>
  </si>
  <si>
    <t>CUMULATIVE QUARTER</t>
  </si>
  <si>
    <t>Proceeds from Commodity Murabahah Term Financing</t>
  </si>
  <si>
    <t>RESULTS FOR 3 MONTHS</t>
  </si>
  <si>
    <t>Current quarter</t>
  </si>
  <si>
    <t>The company issued:</t>
  </si>
  <si>
    <t>146,176,995 new ordinary shares of RM0.50 on the basis of one bonus share for every five existing THP shares held in THP.</t>
  </si>
  <si>
    <t>Sistem Komunikasi Gelombang Sdn Bhd</t>
  </si>
  <si>
    <t>Telecommunication service</t>
  </si>
  <si>
    <t>Issuance of ordinary shares-Bonus issue</t>
  </si>
  <si>
    <t>Adjustment on fair value of ESOS after bonus issue</t>
  </si>
  <si>
    <t xml:space="preserve">Crude palm oil </t>
  </si>
  <si>
    <t xml:space="preserve">Palm kernel </t>
  </si>
  <si>
    <t xml:space="preserve">FFB </t>
  </si>
  <si>
    <t>Palm kernel</t>
  </si>
  <si>
    <t>*</t>
  </si>
  <si>
    <t>* Note:</t>
  </si>
  <si>
    <t>The Group incurred acquisition related costs of RM1,847,000 relating to legal fees and due diligence costs. The legal fees and due diligence costs have been included in other expenses in the statement of comprehensive income.</t>
  </si>
  <si>
    <t>Profit attributable to shareholders</t>
  </si>
  <si>
    <t>outstanding esos 31/12/2012</t>
  </si>
  <si>
    <t>new esos arising from bonus issue</t>
  </si>
  <si>
    <t>Forfieted</t>
  </si>
  <si>
    <t>Insurance premium</t>
  </si>
  <si>
    <t>Quarter3</t>
  </si>
  <si>
    <t>Exercised 30/9/2013</t>
  </si>
  <si>
    <t xml:space="preserve">Exercise price per share after adjustment of bonus isue (RM) </t>
  </si>
  <si>
    <t>Increase in deposits pledged</t>
  </si>
  <si>
    <t>Cash generated from operations</t>
  </si>
  <si>
    <t xml:space="preserve">The Kuching High Court Suit No. 22-249-98-III(I) (The Court of  Appeal Civil Appeal No. Q-01-136-03/2012 and Civil Appeal No. Q- 01-137-03/2012) </t>
  </si>
  <si>
    <t xml:space="preserve">The Kuching High Court Civil Suit No. 22-43-2002-I (The Court of Appeal Civil Appeal No. Q-01-166-2011,  Civil Appeal No. Q-01-164-2011 and Civil Appeal No. Q-02-756-2011  </t>
  </si>
  <si>
    <t>Profit margin</t>
  </si>
  <si>
    <t>In preparing these condensed consolidated interim financial statements, certain judgements made by management in applying the Group's accounting policies and the key sources of estimation, were the same as those applied to the financial statements as at and for the year ended 31 December 2012.</t>
  </si>
  <si>
    <t>The Group's plantation operations are affected by seasonal crop production and weather conditions.</t>
  </si>
  <si>
    <t>Upon completion of the acquisition, certain matured areas have been reclassified as immature to be consistent with Group's policy. Therefore, intangible asset has been adjusted accordingly to reflect this.</t>
  </si>
  <si>
    <t>The Directors have pleasure in announcing the unaudited consolidated results for the year ended 31 December 2013.</t>
  </si>
  <si>
    <t>QUARTERLY REPORT FOR THE YEAR ENDED 31 DECEMBER 2013</t>
  </si>
  <si>
    <t>31.12.13</t>
  </si>
  <si>
    <t>31.12.12</t>
  </si>
  <si>
    <t>As at 31.12.13</t>
  </si>
  <si>
    <t>CONDENSED CONSOLIDATED STATEMENT OF CHANGES IN EQUITY FOR THE YEAR ENDED 31 DECEMBER 2013</t>
  </si>
  <si>
    <t>At 31 December 2013 (unaudited)</t>
  </si>
  <si>
    <t>FOR THE YEAR ENDED 31 DECEMBER 2013</t>
  </si>
  <si>
    <t>FOR THE YEAR ENDED</t>
  </si>
  <si>
    <t>31.12.2013</t>
  </si>
  <si>
    <t>As at 31.12.2013</t>
  </si>
  <si>
    <t>For the year ended 31.12.2013</t>
  </si>
  <si>
    <t>Quarter4</t>
  </si>
  <si>
    <t>Year todate</t>
  </si>
  <si>
    <t>Fourth Quarter</t>
  </si>
  <si>
    <t>Over provision</t>
  </si>
  <si>
    <t>The effective tax rate of the Group for the quarter under review is lower than its statutory rate as a result of higher deferred tax recognised arising from unabsorbed capital allowances and unutilised tax losses.</t>
  </si>
  <si>
    <t>Year Todate</t>
  </si>
  <si>
    <t>As at 31 December 2013, the total secured borrowings, which are denominated in Ringgit Malaysia, are as follows:</t>
  </si>
  <si>
    <t>RM510 million SUKUK Murabahah ("SUKUK") with maturity periods ranging from 6 to 10 years from the date of issuance at effective profit margin rates ranging from 5.39% to 6.11%.</t>
  </si>
  <si>
    <t xml:space="preserve">5,980,000 new ordinary shares of RM0.50 each being shares exercised by eligible employees  pursuant to THP Employee Share Option Scheme ("ESOS")  as follows: </t>
  </si>
  <si>
    <t>Investment from non-controlling interests</t>
  </si>
  <si>
    <t>ENDED 31 DECEMBER 2013</t>
  </si>
  <si>
    <t>ENDED 30 DECEMBER 2012</t>
  </si>
  <si>
    <t>RESULTS FOR THE YEAR</t>
  </si>
  <si>
    <t>ENDED 31 DECEMBER 2012</t>
  </si>
  <si>
    <t>AS AT 31 DECEMBER 2013</t>
  </si>
  <si>
    <t xml:space="preserve">Proceeds from issuance of new shares </t>
  </si>
  <si>
    <t>On 23 October 2013, TH PELITA Sadong Sdn Bhd and TH PELITA Gedong Sdn Bhd had filed an application for leave to appeal to the Federal Court against the decision of the Court of Appeal. Todate, the court has yet to fix the date for hearing of the said application.</t>
  </si>
  <si>
    <t xml:space="preserve">The Kuching High Court Suit No. 22-134/6-2012 </t>
  </si>
  <si>
    <t xml:space="preserve">The Court has fixed 27 March 2014 as the date of hearing in respect of TH PELITA Sadong Sdn Bhd’s and TH PELITA Gedong Sdn Bhd’s Notice of Appeal against the decision of the Kuching High Court made on 22 August 2013 allowing the Defendant’s Application to Strike Out the Plaintiff’s Writ of Summons and Statement of Claim. </t>
  </si>
  <si>
    <t xml:space="preserve">High Court at Kuantan, Civil Suit No.:22NCVC-64-11/2013
Abdul Aziz Bin Embong And Abdul Aziz Bin Arshad vs Lembaga Tabung Haji and TH Plantations Berhad
</t>
  </si>
  <si>
    <t xml:space="preserve">The above Civil Suit via a Writ of Summons and Statement of Claim dated 29 November 2013, had been received by Lembaga Tabung Haji (“LTH”) as the 1st Defendant and the Company as the 2nd Defendant on 24 December 2013. The Civil Suit was initiated by Abdul Aziz bin Embong and Ab. Aziz bin Arshad (representing himself and smallholders in Kampung Meripoh, Kampung Lubuk Batu, Kampung Alai and surrounding areas in Mukim Keratong, Daerah Rompin, Negeri Pahang) (“Plaintiffs”). 
</t>
  </si>
  <si>
    <t xml:space="preserve">In the Civil Suit, the Plaintiffs are claiming for amongst others; </t>
  </si>
  <si>
    <t>a)</t>
  </si>
  <si>
    <t>i)</t>
  </si>
  <si>
    <t>ii)</t>
  </si>
  <si>
    <t>H.S. (D) 3737 (formerly known as H.S. (D) (83)) No. P.T. 289, Mukim Keratong, Daerah Rompin, Negeri Pahang);</t>
  </si>
  <si>
    <t>iii)</t>
  </si>
  <si>
    <t>iv)</t>
  </si>
  <si>
    <t>H.S. (D) 3782 (formerly known as H.S. (D) (146)) No. P.T. 305, Mukim Keratong, Daerah Rompin, Negeri Pahang);</t>
  </si>
  <si>
    <t xml:space="preserve">H.S. (D) 3783 (formerly known as H.S. (D) (147)) No. P.T. 306, Mukim Keratong, Daerah Rompin, Negeri Pahang); </t>
  </si>
  <si>
    <t>v)</t>
  </si>
  <si>
    <t>vi)</t>
  </si>
  <si>
    <t>H.S. (D) 1447 No. P.T. 452 Mukim Keratong, Daerah Rompin, Negeri Pahang; and</t>
  </si>
  <si>
    <t>H.S. (D) 1419 No. P.T. 2549, Mukim Keratong, Daerah Rompin, Negeri Pahang. (The registered proprietor is THP).</t>
  </si>
  <si>
    <t>for an order that a portion of the Lands measuring 2,080 acres be transferred into the names of the Plaintiffs.</t>
  </si>
  <si>
    <t>The Plaintiffs have alleged that their entitlement to profit and ownership of 2,080 acres of the Lands as set out in (a) and (b) above arose from certain express terms (“syarat nyata”) imposed by the State Government of Pahang as conditions for the alienation of the Lands.</t>
  </si>
  <si>
    <t>THP had in 2005, submitted an application to the State Government of Pahang for these “syarat nyata” to be waived and this application was subsequently approved save for the condition that the Lands can only be utilised for cultivation for oil palm.</t>
  </si>
  <si>
    <r>
      <t>(all of the six (6) land titles above are collectively referred to as “</t>
    </r>
    <r>
      <rPr>
        <b/>
        <sz val="11"/>
        <rFont val="Tahoma"/>
        <family val="2"/>
      </rPr>
      <t>Lands</t>
    </r>
    <r>
      <rPr>
        <sz val="11"/>
        <rFont val="Tahoma"/>
        <family val="2"/>
      </rPr>
      <t>”);</t>
    </r>
  </si>
  <si>
    <r>
      <t>The facts and claims under this Civil Suit appear to be similar to a suit which was previously commenced by one Shamsudin Bin Abd Hamid (for himself and on behalf of 300 smallholders in Kampung Kota Bahagia, Kampung Lubuk Batu, Kampung Meripoh and the areas surrounding Mukim Keratong) in Kuala Lumpur High Court Suit No. 22NCVC-1210-10/2012 (“</t>
    </r>
    <r>
      <rPr>
        <b/>
        <sz val="11"/>
        <color rgb="FF000000"/>
        <rFont val="Tahoma"/>
        <family val="2"/>
      </rPr>
      <t>Shamsudin Suit</t>
    </r>
    <r>
      <rPr>
        <sz val="11"/>
        <color rgb="FF000000"/>
        <rFont val="Tahoma"/>
        <family val="2"/>
      </rPr>
      <t>”). THP had successfully obtained a Court Order to strike out the Shamsudin Suit on 22 February 2013. The appeal by the Plaintiffs in the Shamsudin Suit against the Court Order dated 22 February 2013 was dismissed with costs by the Court of Appeal on 9 July 2013.</t>
    </r>
  </si>
  <si>
    <t>THP has appointed the law firm of Zaid Ibrahim &amp; Co. to act on its behalf and to advise it on the proprietary of the Plaintiffs’ claims whereby THP will appropriately instruct its solicitors to vigorously defend the Civil Suit</t>
  </si>
  <si>
    <t>Save for legal expenses, the Civil Suit has no material financial and operational impact on THP at present. THP is currently collating the relevant information in order to make an assessment of any expected losses arising from the Civil Suit</t>
  </si>
  <si>
    <t xml:space="preserve">The Defendants had filed a Statement of Defence on 8 January 2014 and the Court further allowed the Defendants liberty to file a Striking-out Application on or before 22 January 2014. </t>
  </si>
  <si>
    <t>On 22 January 2014, the Defendants had filed in the Court an Application to Strike-Out the Plaintiff’s Statement of Claim (‘Striking-Out Application’). The Striking-Out Application is fixed for hearing on 10 March 2014.</t>
  </si>
  <si>
    <t>Revenue  was higher by 18.7% mainly due to higher sales volume for CPO and FFB as compared to the preceding quarter. Profit before tax was higher as compared to the preceding quarter mainly due to higher revenue.</t>
  </si>
  <si>
    <t>FOURTH QUARTER</t>
  </si>
  <si>
    <t>Net cash acquired arising from acquisition of subsidiaries</t>
  </si>
  <si>
    <t>Total comprehensive income for the year</t>
  </si>
  <si>
    <t>Value in use of the company was determined by discounting the future cash flows expected to be generated from the continuing use of the units. Value in use as at 31 December 2013 was based on the following key assumptions:</t>
  </si>
  <si>
    <t>Net cash generated from/(used in) operating activities</t>
  </si>
  <si>
    <t>Cash and cash equivalents at end of the year</t>
  </si>
  <si>
    <t>Profit after tax /Total comprehensive income for the year</t>
  </si>
  <si>
    <t>Balance at the end of year</t>
  </si>
  <si>
    <t>5.88-6.11</t>
  </si>
  <si>
    <t>Current tax assets</t>
  </si>
  <si>
    <t>Assets classified as held for sale</t>
  </si>
  <si>
    <t>Liabilities classified as held for sale</t>
  </si>
  <si>
    <t>Assets/ liabilities held for sale</t>
  </si>
  <si>
    <t>a</t>
  </si>
  <si>
    <t>Note a</t>
  </si>
  <si>
    <t>Accumulated depreciation</t>
  </si>
  <si>
    <t xml:space="preserve">There were no purchases or disposals of unquoted investments for the current quarter under review other than as disclosed in Note 15. </t>
  </si>
  <si>
    <t xml:space="preserve">There are no other corporate proposals announced other than as disclosed in Note 14. </t>
  </si>
  <si>
    <t>19 (a)</t>
  </si>
  <si>
    <t>19 (b)</t>
  </si>
  <si>
    <t>Net cash acquired arising from acquisition of subsidiary-Bumi Suria Ventures Sdn Bhd ("BSV") Note 15 (a)</t>
  </si>
  <si>
    <t>Net cash acquired arising from acquisition of subsidiary-Maju Warisanmas Sdn Bhd ("MWM") Note 15 (b)</t>
  </si>
  <si>
    <t>Transfer to assets held for sale</t>
  </si>
  <si>
    <t>Intangible asset</t>
  </si>
  <si>
    <t>Payables and accruals</t>
  </si>
  <si>
    <t>`</t>
  </si>
  <si>
    <t>Deposit and prepayment</t>
  </si>
  <si>
    <t>Changes In The Composition Of The Group (continued)</t>
  </si>
  <si>
    <t>Operating segments (continued)</t>
  </si>
  <si>
    <t xml:space="preserve">Investment in subsidiary, TH Bakti Sdn. Bhd. is presented as an asset held for sale following the approval of Board of Directors to sell the whole investment in TH Bakti Sdn. Bhd. on 30 May 2013. Efforts to sell the company has commenced, and a sale is expected by June 2014. Asset classified as held for sale is as below: </t>
  </si>
  <si>
    <t xml:space="preserve">As at 31 December 2013, the Group had achieved 5.47% ROE and FFB production of 23.86 mt/ha which is higher than its targeted yield by 16.39%. </t>
  </si>
  <si>
    <t>For the current quarter ended 31 December 2013, the Group recorded a 56% increase in its revenue compared to the corresponding period last year. For the current quarter, the Group’s revenue stood at RM154.55 million (4Q12: RM99.11 million), driven mainly by higher production and sales of CPO and PK as well as higher average commodity prices realised.</t>
  </si>
  <si>
    <t xml:space="preserve">The Group recorded a 25% increase in its full year revenue of RM469.95 million for the year ended 31 December 2013 compared to the preceding year (FY12: RM375.85 million). The Group’s FY2013 double digit growth in production and sales of CPO, catalysed by the land bank acquisitions made in 2012 and early 2013, ensured that the Group’s revenue remain robust despite the lower average commodity prices realised for the year 2013. </t>
  </si>
  <si>
    <t xml:space="preserve">Profit before tax for the current quarter ended 31 December 2013 stood at RM30.80 million. Excluding other non-cash and non-operational income of RM101 million recognised in 4Q12 arising from surplus over fair value of net assets acquired, the 4Q13 profit before tax is 101.35% higher than the corresponding period last year. The strong performance can be attributed to higher production and sales of CPO and PK, improved efficiency and economies of scale, as well as higher average realised prices seen in the quarter under review. </t>
  </si>
  <si>
    <t xml:space="preserve">Profit before tax for the year ended 31 December 2013 stood at RM71.04 million. Excluding other non-cash and non-operational income of RM101 million recognised in FY12 arising from surplus over fair value of net assets acquired, the FY13 profit before tax is 16.27% lower than the corresponding year. </t>
  </si>
  <si>
    <t>The impact of lower average selling prices was partially offset by the double digit growth in its CPO and PK production and sales respectively. The Group’s lower unit cost of production, on the back of increased operational efficiency and productivity, also contributed to the bottom line. Nevertheless, the Group’s profit before tax was impacted by additional costs incurred following the sizeable expansion undertaken in 2012 and early 2013 as following:</t>
  </si>
  <si>
    <t xml:space="preserve">• </t>
  </si>
  <si>
    <t>Higher depreciation and amortisation (non-cash expenses)</t>
  </si>
  <si>
    <t>Higher finance cost due to additional issuance of SUKUK Murabahah amounting to RM510 million of which RM336.11 million was related to acquisition of new subsidiaries</t>
  </si>
  <si>
    <t>Higher administration costs arising from fees and expenses incurred in relation to acquisition exercises</t>
  </si>
  <si>
    <t>a declaration that the alleged profit derived from the revenue of palm crop cultivated on the following lands which had been developed and managed by THP as oil palm plantations under a lease given by LTH as the proprietor of the said lands in the sum of RM468,461,563.00 including interest belong to the Plaintiffs and that the Defendants return such sums to the Plaintiff. These lands were alienated to LTH by the State Government of Pahang in 1972 for oil palm development:</t>
  </si>
  <si>
    <t>Cash flows were projected based on past experiences, actual operating results and the 30 year business plan. Management believes that this 30-year forecast period was justified due to the long-term nature of the oil palm plantation.</t>
  </si>
  <si>
    <t xml:space="preserve">There was no valuation of the property, plant and equipment in the current quarter under review except as disclosed in the Note 15. </t>
  </si>
  <si>
    <t>Acquisition through business combinations (see note 15 (a) and (b))</t>
  </si>
  <si>
    <t>Net increase/ (decrease) in cash and cash equivalents</t>
  </si>
  <si>
    <t>On 11 November 2011, the Company had entered into A Conditional Sale and Purchase of Shares Agreement with Indonesian shareholders namely Drs. H. Rajasa Abdurachman and Ir. Badai Sakti Daniel, to acquire 5,580,000 shares of Rp1,000 each held collectively by the sellers in the share capital of PT Persada Kencana Prima (“PKP”) which has been issued "izin lokasi" for approximately 11,400 hectares, representing 93% of the total issued and fully paid-up share capital of PKP, for a total purchase consideration ("PC") of Rp46,211,960,000. The RM equivalent of the total PC is RM16,822,701 based on the exchange rate as at 10 November 2011 of Rp2,747:RM1.00. The transaction was completed on 10 January 2014.</t>
  </si>
  <si>
    <t>Property, plant and equipment held for sale comprise the following:</t>
  </si>
  <si>
    <t>As a result of the acquisitions undertaken in 2012 and 2013, the Group is confident in sustaining growth in its FFB, CPO and PK production in 2014. The Group shall continue to derive improved operational efficiencies and productivity across its operations, as well as explore opportunities to diversify its income stream in the longer term.</t>
  </si>
  <si>
    <t xml:space="preserve">Notwithstanding the volatility of commodity prices, the Group is optimistic in being able to achieve improved profit in the coming quarters. </t>
  </si>
  <si>
    <t>H.S. (D) 3736 (formerly known as H.S. (D) (82)) No. P.T. 288, Mukim Keratong, Daerah Rompin, Negeri Pahang);</t>
  </si>
  <si>
    <t>The preparation of interim financial statements requires management to make judgements, estimates and assumptions that affect the reported amounts of assets, liabilities, income and expenses. Actual results may differ from these estimates.</t>
  </si>
  <si>
    <t>Acquisistion of subsidiaries, net cash acquired (Note 15)**</t>
  </si>
  <si>
    <t>The Directors have proposed a final ordinary dividend in respect of year 31 December 2013, of 3.62 sen under the single tier system amounting to RM 31.86 million subject to shareholders' approval at the forthcoming Annual General Meeting of the Company.</t>
  </si>
  <si>
    <t>The directors have recommended a final dividend of 3.62 sen per share which is equivalent to approximately 50% of Group's annual net profit after tax and non-controlling interests.</t>
  </si>
  <si>
    <t>Balance at the beginning of year</t>
  </si>
  <si>
    <t>26 February 2014</t>
  </si>
  <si>
    <t>The interim financial statements were authorised for issue by the Board of Directors in accordance with a resolution of the Directors dated 26 February 2014.</t>
  </si>
  <si>
    <t xml:space="preserve">The Directors are of the opinion that the Group has no contingent liabilities which may have a material impact on the financial position and business of the Group as at 26 February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</si>
</sst>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_);\(#,##0\);&quot;   -   &quot;"/>
    <numFmt numFmtId="167" formatCode="_(* #,##0.0_);_(* \(#,##0.0\);_(* &quot;-&quot;??_);_(@_)"/>
  </numFmts>
  <fonts count="37" x14ac:knownFonts="1">
    <font>
      <sz val="10"/>
      <name val="Arial"/>
    </font>
    <font>
      <sz val="10"/>
      <name val="Arial"/>
      <family val="2"/>
    </font>
    <font>
      <b/>
      <u/>
      <sz val="11"/>
      <name val="Tahoma"/>
      <family val="2"/>
    </font>
    <font>
      <sz val="11"/>
      <name val="Tahoma"/>
      <family val="2"/>
    </font>
    <font>
      <b/>
      <sz val="11"/>
      <name val="Tahoma"/>
      <family val="2"/>
    </font>
    <font>
      <sz val="10"/>
      <name val="Tahoma"/>
      <family val="2"/>
    </font>
    <font>
      <b/>
      <sz val="10"/>
      <name val="Tahoma"/>
      <family val="2"/>
    </font>
    <font>
      <u/>
      <sz val="11"/>
      <name val="Tahoma"/>
      <family val="2"/>
    </font>
    <font>
      <b/>
      <sz val="14"/>
      <name val="Tahoma"/>
      <family val="2"/>
    </font>
    <font>
      <sz val="9"/>
      <name val="Tahoma"/>
      <family val="2"/>
    </font>
    <font>
      <b/>
      <sz val="9"/>
      <name val="Tahoma"/>
      <family val="2"/>
    </font>
    <font>
      <b/>
      <u/>
      <sz val="10"/>
      <name val="Tahoma"/>
      <family val="2"/>
    </font>
    <font>
      <b/>
      <i/>
      <sz val="11"/>
      <name val="Tahoma"/>
      <family val="2"/>
    </font>
    <font>
      <b/>
      <sz val="10.5"/>
      <name val="Tahoma"/>
      <family val="2"/>
    </font>
    <font>
      <sz val="11"/>
      <color indexed="10"/>
      <name val="Tahoma"/>
      <family val="2"/>
    </font>
    <font>
      <b/>
      <sz val="11"/>
      <color indexed="47"/>
      <name val="Tahoma"/>
      <family val="2"/>
    </font>
    <font>
      <sz val="11"/>
      <color indexed="47"/>
      <name val="Tahoma"/>
      <family val="2"/>
    </font>
    <font>
      <i/>
      <sz val="11"/>
      <name val="Tahoma"/>
      <family val="2"/>
    </font>
    <font>
      <i/>
      <sz val="10"/>
      <name val="Arial"/>
      <family val="2"/>
    </font>
    <font>
      <sz val="11"/>
      <color theme="0"/>
      <name val="Tahoma"/>
      <family val="2"/>
    </font>
    <font>
      <b/>
      <sz val="11"/>
      <color rgb="FFFF0000"/>
      <name val="Tahoma"/>
      <family val="2"/>
    </font>
    <font>
      <sz val="11"/>
      <color rgb="FFFF0000"/>
      <name val="Tahoma"/>
      <family val="2"/>
    </font>
    <font>
      <sz val="14"/>
      <name val="Tahoma"/>
      <family val="2"/>
    </font>
    <font>
      <b/>
      <sz val="11"/>
      <color theme="1"/>
      <name val="Tahoma"/>
      <family val="2"/>
    </font>
    <font>
      <sz val="11"/>
      <color theme="1"/>
      <name val="Tahoma"/>
      <family val="2"/>
    </font>
    <font>
      <sz val="10"/>
      <color theme="1"/>
      <name val="Arial"/>
      <family val="2"/>
    </font>
    <font>
      <sz val="11"/>
      <color theme="9" tint="0.39997558519241921"/>
      <name val="Tahoma"/>
      <family val="2"/>
    </font>
    <font>
      <b/>
      <sz val="11"/>
      <color theme="9" tint="0.39997558519241921"/>
      <name val="Tahoma"/>
      <family val="2"/>
    </font>
    <font>
      <sz val="11"/>
      <color theme="1"/>
      <name val="Calibri"/>
      <family val="2"/>
    </font>
    <font>
      <sz val="11"/>
      <name val="Arial"/>
      <family val="2"/>
    </font>
    <font>
      <b/>
      <u/>
      <sz val="11"/>
      <color rgb="FF0000FF"/>
      <name val="Tahoma"/>
      <family val="2"/>
    </font>
    <font>
      <i/>
      <u/>
      <sz val="11"/>
      <name val="Tahoma"/>
      <family val="2"/>
    </font>
    <font>
      <b/>
      <sz val="10"/>
      <name val="Arial"/>
      <family val="2"/>
    </font>
    <font>
      <b/>
      <i/>
      <u/>
      <sz val="11"/>
      <name val="Tahoma"/>
      <family val="2"/>
    </font>
    <font>
      <b/>
      <sz val="11"/>
      <color theme="0"/>
      <name val="Tahoma"/>
      <family val="2"/>
    </font>
    <font>
      <sz val="11"/>
      <color rgb="FF000000"/>
      <name val="Tahoma"/>
      <family val="2"/>
    </font>
    <font>
      <b/>
      <sz val="11"/>
      <color rgb="FF000000"/>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707">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justify" vertical="top" wrapText="1"/>
    </xf>
    <xf numFmtId="0" fontId="3" fillId="0" borderId="0" xfId="0" applyFont="1" applyFill="1" applyAlignment="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vertical="top"/>
    </xf>
    <xf numFmtId="0" fontId="3" fillId="0" borderId="0" xfId="0" applyFont="1" applyFill="1" applyAlignment="1">
      <alignment vertical="top" wrapText="1"/>
    </xf>
    <xf numFmtId="0" fontId="3"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Border="1" applyAlignment="1"/>
    <xf numFmtId="0" fontId="4" fillId="0" borderId="0" xfId="0" applyFont="1" applyFill="1" applyBorder="1" applyAlignment="1">
      <alignment horizontal="center"/>
    </xf>
    <xf numFmtId="0" fontId="5" fillId="0" borderId="0" xfId="0" applyFont="1" applyFill="1"/>
    <xf numFmtId="0" fontId="3" fillId="0" borderId="0" xfId="0" applyFont="1" applyFill="1" applyAlignment="1">
      <alignment horizontal="right"/>
    </xf>
    <xf numFmtId="0" fontId="4" fillId="0" borderId="0" xfId="0" quotePrefix="1" applyFont="1" applyFill="1"/>
    <xf numFmtId="0" fontId="3" fillId="0" borderId="0" xfId="0" applyFont="1" applyFill="1" applyBorder="1"/>
    <xf numFmtId="164" fontId="4" fillId="0" borderId="0" xfId="1" applyNumberFormat="1" applyFont="1" applyFill="1" applyBorder="1"/>
    <xf numFmtId="164" fontId="4" fillId="0" borderId="0" xfId="1" applyNumberFormat="1" applyFont="1" applyFill="1"/>
    <xf numFmtId="164" fontId="4" fillId="0" borderId="0" xfId="1" applyNumberFormat="1" applyFont="1" applyFill="1" applyBorder="1" applyAlignment="1">
      <alignment horizontal="right"/>
    </xf>
    <xf numFmtId="164" fontId="3" fillId="0" borderId="0" xfId="0" applyNumberFormat="1" applyFont="1" applyFill="1"/>
    <xf numFmtId="0" fontId="6" fillId="0" borderId="0" xfId="0" applyFont="1" applyFill="1"/>
    <xf numFmtId="0" fontId="4" fillId="0" borderId="0" xfId="0" applyFont="1" applyFill="1" applyAlignment="1">
      <alignment horizontal="center" wrapText="1"/>
    </xf>
    <xf numFmtId="164" fontId="4" fillId="0" borderId="1" xfId="1" applyNumberFormat="1" applyFont="1" applyFill="1" applyBorder="1"/>
    <xf numFmtId="164" fontId="3" fillId="0" borderId="0" xfId="1" applyNumberFormat="1" applyFont="1" applyFill="1" applyBorder="1"/>
    <xf numFmtId="164" fontId="3" fillId="0" borderId="0" xfId="1" applyNumberFormat="1" applyFont="1" applyFill="1" applyBorder="1" applyAlignment="1">
      <alignment horizontal="right"/>
    </xf>
    <xf numFmtId="164" fontId="3" fillId="0" borderId="0" xfId="1" applyNumberFormat="1" applyFont="1" applyFill="1"/>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164" fontId="4" fillId="0" borderId="0" xfId="1" applyNumberFormat="1" applyFont="1" applyFill="1" applyBorder="1" applyAlignment="1">
      <alignment horizontal="left" vertical="top" wrapText="1"/>
    </xf>
    <xf numFmtId="164" fontId="3" fillId="0" borderId="0" xfId="1"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0" xfId="1" applyNumberFormat="1" applyFont="1" applyFill="1" applyBorder="1" applyAlignment="1">
      <alignment horizontal="justify" vertical="center" wrapText="1"/>
    </xf>
    <xf numFmtId="164" fontId="4" fillId="0" borderId="0" xfId="1" applyNumberFormat="1" applyFont="1" applyFill="1" applyAlignment="1">
      <alignment horizontal="right"/>
    </xf>
    <xf numFmtId="0" fontId="3" fillId="0" borderId="0" xfId="0" quotePrefix="1" applyFont="1" applyFill="1"/>
    <xf numFmtId="0" fontId="4" fillId="0" borderId="0" xfId="0" applyFont="1" applyFill="1" applyAlignment="1">
      <alignment horizontal="justify" vertical="top"/>
    </xf>
    <xf numFmtId="0" fontId="3" fillId="0" borderId="0" xfId="0" applyFont="1" applyFill="1" applyAlignment="1">
      <alignment horizontal="left" indent="1"/>
    </xf>
    <xf numFmtId="0" fontId="3" fillId="0" borderId="0" xfId="0" applyFont="1" applyFill="1" applyAlignment="1">
      <alignment horizontal="justify" vertical="center"/>
    </xf>
    <xf numFmtId="0" fontId="4" fillId="0" borderId="0" xfId="0" quotePrefix="1" applyFont="1" applyFill="1" applyAlignment="1">
      <alignment horizontal="center" vertical="top"/>
    </xf>
    <xf numFmtId="0" fontId="4" fillId="0" borderId="0" xfId="0" applyFont="1" applyFill="1" applyAlignment="1">
      <alignment horizontal="left"/>
    </xf>
    <xf numFmtId="43" fontId="4" fillId="0" borderId="2" xfId="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vertical="top"/>
    </xf>
    <xf numFmtId="165" fontId="10" fillId="0" borderId="0" xfId="0" applyNumberFormat="1" applyFont="1" applyFill="1" applyAlignment="1">
      <alignment horizontal="right" vertical="top" wrapText="1"/>
    </xf>
    <xf numFmtId="165" fontId="9" fillId="0" borderId="0" xfId="0" applyNumberFormat="1" applyFont="1" applyFill="1" applyAlignment="1">
      <alignment horizontal="right" vertical="top" wrapText="1"/>
    </xf>
    <xf numFmtId="43" fontId="3" fillId="0" borderId="0" xfId="1" applyNumberFormat="1" applyFont="1" applyFill="1"/>
    <xf numFmtId="166" fontId="4" fillId="0" borderId="0" xfId="0" applyNumberFormat="1" applyFont="1" applyFill="1" applyAlignment="1">
      <alignment horizontal="right"/>
    </xf>
    <xf numFmtId="0" fontId="4" fillId="0" borderId="0" xfId="0" applyFont="1" applyFill="1" applyAlignment="1">
      <alignment horizontal="center" vertical="top" wrapText="1"/>
    </xf>
    <xf numFmtId="164" fontId="4" fillId="0" borderId="3" xfId="1" applyNumberFormat="1" applyFont="1" applyFill="1" applyBorder="1" applyAlignment="1">
      <alignment vertical="center"/>
    </xf>
    <xf numFmtId="164" fontId="4" fillId="0" borderId="0" xfId="1" applyNumberFormat="1" applyFont="1" applyFill="1" applyBorder="1" applyAlignment="1">
      <alignment vertical="center"/>
    </xf>
    <xf numFmtId="0" fontId="3" fillId="0" borderId="0" xfId="0" applyFont="1" applyFill="1" applyAlignment="1">
      <alignment wrapText="1"/>
    </xf>
    <xf numFmtId="0" fontId="4" fillId="0" borderId="0" xfId="0" applyFont="1" applyFill="1" applyAlignment="1">
      <alignment vertical="top"/>
    </xf>
    <xf numFmtId="166" fontId="4" fillId="0" borderId="4" xfId="0" applyNumberFormat="1" applyFont="1" applyFill="1" applyBorder="1" applyAlignment="1">
      <alignment horizontal="right"/>
    </xf>
    <xf numFmtId="164" fontId="4" fillId="0" borderId="0" xfId="1" applyNumberFormat="1" applyFont="1" applyFill="1" applyBorder="1" applyAlignment="1">
      <alignment vertical="top" wrapText="1"/>
    </xf>
    <xf numFmtId="164" fontId="3" fillId="0" borderId="0" xfId="1" applyNumberFormat="1" applyFont="1" applyFill="1" applyBorder="1" applyAlignment="1">
      <alignment horizontal="justify" vertical="top" wrapText="1"/>
    </xf>
    <xf numFmtId="164" fontId="3" fillId="0" borderId="0" xfId="1" applyNumberFormat="1" applyFont="1" applyFill="1" applyBorder="1" applyAlignment="1">
      <alignment vertical="center"/>
    </xf>
    <xf numFmtId="164" fontId="4" fillId="0" borderId="0" xfId="1" applyNumberFormat="1" applyFont="1" applyFill="1" applyBorder="1" applyAlignment="1">
      <alignment horizontal="center" vertical="center"/>
    </xf>
    <xf numFmtId="0" fontId="13" fillId="0" borderId="0" xfId="0" applyFont="1" applyFill="1" applyAlignment="1">
      <alignment horizontal="center" vertical="top" wrapText="1"/>
    </xf>
    <xf numFmtId="164" fontId="4" fillId="0" borderId="5" xfId="1" applyNumberFormat="1" applyFont="1" applyFill="1" applyBorder="1"/>
    <xf numFmtId="14" fontId="4" fillId="0" borderId="0" xfId="0" quotePrefix="1" applyNumberFormat="1" applyFont="1" applyFill="1" applyAlignment="1">
      <alignment horizontal="center"/>
    </xf>
    <xf numFmtId="166" fontId="4" fillId="0" borderId="0" xfId="0" applyNumberFormat="1" applyFont="1" applyFill="1" applyBorder="1" applyAlignment="1">
      <alignment horizontal="right"/>
    </xf>
    <xf numFmtId="166" fontId="4" fillId="0" borderId="5" xfId="0" applyNumberFormat="1" applyFont="1" applyFill="1" applyBorder="1" applyAlignment="1">
      <alignment horizontal="right"/>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pplyProtection="1">
      <alignment vertical="top" wrapText="1"/>
      <protection locked="0"/>
    </xf>
    <xf numFmtId="164" fontId="4" fillId="0" borderId="4" xfId="1" applyNumberFormat="1" applyFont="1" applyFill="1" applyBorder="1" applyAlignment="1">
      <alignment vertical="center"/>
    </xf>
    <xf numFmtId="0" fontId="3" fillId="0" borderId="0" xfId="0" applyFont="1" applyFill="1" applyAlignment="1"/>
    <xf numFmtId="0" fontId="4" fillId="0" borderId="0" xfId="0" applyFont="1"/>
    <xf numFmtId="43" fontId="4" fillId="0" borderId="2" xfId="0" applyNumberFormat="1" applyFont="1" applyFill="1" applyBorder="1"/>
    <xf numFmtId="0" fontId="3" fillId="0" borderId="0" xfId="0" applyFont="1" applyFill="1" applyAlignment="1" applyProtection="1">
      <alignment vertical="center" wrapText="1"/>
      <protection locked="0"/>
    </xf>
    <xf numFmtId="164" fontId="4" fillId="0" borderId="4" xfId="1" applyNumberFormat="1" applyFont="1" applyFill="1" applyBorder="1"/>
    <xf numFmtId="164" fontId="4" fillId="0" borderId="0" xfId="1" applyNumberFormat="1" applyFont="1" applyFill="1" applyAlignment="1">
      <alignment vertical="center"/>
    </xf>
    <xf numFmtId="164" fontId="4" fillId="0" borderId="0" xfId="1" applyNumberFormat="1" applyFont="1" applyFill="1" applyAlignment="1"/>
    <xf numFmtId="164" fontId="4" fillId="0" borderId="0" xfId="1" applyNumberFormat="1" applyFont="1" applyFill="1" applyBorder="1" applyAlignment="1"/>
    <xf numFmtId="0" fontId="3" fillId="0" borderId="0" xfId="0" applyFont="1" applyFill="1" applyAlignment="1" applyProtection="1">
      <alignment horizontal="justify" vertical="center" wrapText="1"/>
      <protection locked="0"/>
    </xf>
    <xf numFmtId="164" fontId="4" fillId="0" borderId="0" xfId="1" applyNumberFormat="1" applyFont="1" applyFill="1" applyBorder="1" applyAlignment="1">
      <alignment vertical="top"/>
    </xf>
    <xf numFmtId="164" fontId="4" fillId="0" borderId="4" xfId="1" applyNumberFormat="1" applyFont="1" applyFill="1" applyBorder="1" applyAlignment="1">
      <alignment vertical="top"/>
    </xf>
    <xf numFmtId="0" fontId="5" fillId="0" borderId="0" xfId="0" applyFont="1" applyFill="1" applyAlignment="1"/>
    <xf numFmtId="0" fontId="4" fillId="0" borderId="0" xfId="0" applyFont="1" applyFill="1" applyAlignment="1">
      <alignment wrapText="1"/>
    </xf>
    <xf numFmtId="0" fontId="4" fillId="0" borderId="0" xfId="0" applyNumberFormat="1" applyFont="1" applyFill="1" applyBorder="1" applyAlignment="1">
      <alignment vertical="top" wrapText="1"/>
    </xf>
    <xf numFmtId="0" fontId="6" fillId="0" borderId="0" xfId="0" applyFont="1" applyFill="1" applyAlignment="1">
      <alignment vertical="top"/>
    </xf>
    <xf numFmtId="166" fontId="3" fillId="0" borderId="0" xfId="0" applyNumberFormat="1" applyFont="1" applyFill="1"/>
    <xf numFmtId="0" fontId="11" fillId="0" borderId="0" xfId="0" applyFont="1" applyFill="1" applyBorder="1" applyAlignment="1"/>
    <xf numFmtId="0" fontId="11" fillId="0" borderId="0" xfId="0" applyFont="1" applyFill="1" applyAlignment="1"/>
    <xf numFmtId="166" fontId="4" fillId="0" borderId="0" xfId="0" applyNumberFormat="1" applyFont="1" applyFill="1" applyBorder="1" applyAlignment="1"/>
    <xf numFmtId="166" fontId="4" fillId="0" borderId="0" xfId="0" applyNumberFormat="1" applyFont="1" applyFill="1"/>
    <xf numFmtId="166" fontId="4" fillId="0" borderId="0" xfId="0" applyNumberFormat="1" applyFont="1" applyFill="1" applyAlignment="1">
      <alignment horizontal="center"/>
    </xf>
    <xf numFmtId="166" fontId="4" fillId="0" borderId="0" xfId="0" applyNumberFormat="1" applyFont="1" applyFill="1" applyBorder="1" applyAlignment="1">
      <alignment horizontal="center"/>
    </xf>
    <xf numFmtId="166" fontId="7" fillId="0" borderId="0" xfId="0" applyNumberFormat="1" applyFont="1" applyFill="1"/>
    <xf numFmtId="166" fontId="2" fillId="0" borderId="0" xfId="0" applyNumberFormat="1" applyFont="1" applyFill="1" applyAlignment="1">
      <alignment horizontal="center"/>
    </xf>
    <xf numFmtId="166" fontId="3" fillId="0" borderId="0" xfId="0" applyNumberFormat="1" applyFont="1" applyFill="1" applyBorder="1"/>
    <xf numFmtId="166" fontId="4" fillId="0" borderId="0" xfId="0" applyNumberFormat="1" applyFont="1" applyFill="1" applyBorder="1"/>
    <xf numFmtId="166" fontId="4" fillId="0" borderId="3" xfId="0" applyNumberFormat="1" applyFont="1" applyFill="1" applyBorder="1"/>
    <xf numFmtId="166" fontId="3" fillId="0" borderId="0" xfId="0" applyNumberFormat="1" applyFont="1" applyFill="1" applyAlignment="1">
      <alignment vertical="top" wrapText="1"/>
    </xf>
    <xf numFmtId="166" fontId="4" fillId="0" borderId="7" xfId="0" applyNumberFormat="1" applyFont="1" applyFill="1" applyBorder="1" applyAlignment="1">
      <alignment horizontal="right"/>
    </xf>
    <xf numFmtId="166" fontId="4" fillId="0" borderId="1" xfId="0" applyNumberFormat="1" applyFont="1" applyFill="1" applyBorder="1" applyAlignment="1">
      <alignment horizontal="right"/>
    </xf>
    <xf numFmtId="166" fontId="3" fillId="0" borderId="0" xfId="0" applyNumberFormat="1" applyFont="1" applyFill="1" applyAlignment="1">
      <alignment horizontal="right"/>
    </xf>
    <xf numFmtId="166" fontId="3" fillId="0" borderId="0" xfId="0" applyNumberFormat="1" applyFont="1" applyFill="1" applyAlignment="1">
      <alignment wrapText="1"/>
    </xf>
    <xf numFmtId="164" fontId="3" fillId="0" borderId="0" xfId="1" applyNumberFormat="1" applyFont="1" applyFill="1" applyAlignment="1">
      <alignment vertical="top"/>
    </xf>
    <xf numFmtId="166" fontId="3" fillId="0" borderId="0" xfId="0" applyNumberFormat="1" applyFont="1" applyFill="1" applyBorder="1" applyAlignment="1">
      <alignment wrapText="1"/>
    </xf>
    <xf numFmtId="0" fontId="12" fillId="0" borderId="0" xfId="0" applyFont="1" applyFill="1"/>
    <xf numFmtId="0" fontId="3" fillId="0" borderId="0" xfId="0" applyFont="1" applyFill="1" applyAlignment="1">
      <alignment horizontal="justify"/>
    </xf>
    <xf numFmtId="164" fontId="4" fillId="0" borderId="2" xfId="1" applyNumberFormat="1" applyFont="1" applyFill="1" applyBorder="1" applyAlignment="1">
      <alignment horizontal="justify"/>
    </xf>
    <xf numFmtId="0" fontId="4" fillId="0" borderId="0" xfId="0" quotePrefix="1" applyFont="1" applyFill="1" applyAlignment="1">
      <alignment horizontal="center"/>
    </xf>
    <xf numFmtId="0" fontId="4" fillId="0" borderId="0" xfId="0" applyNumberFormat="1" applyFont="1" applyFill="1" applyAlignment="1">
      <alignment horizontal="center" vertical="center"/>
    </xf>
    <xf numFmtId="164" fontId="4" fillId="0" borderId="1" xfId="1" applyNumberFormat="1"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horizontal="right"/>
    </xf>
    <xf numFmtId="166" fontId="4" fillId="0" borderId="0" xfId="0" applyNumberFormat="1" applyFont="1" applyFill="1" applyBorder="1" applyAlignment="1">
      <alignment wrapText="1"/>
    </xf>
    <xf numFmtId="166" fontId="4" fillId="0" borderId="0" xfId="0" applyNumberFormat="1" applyFont="1" applyFill="1" applyBorder="1" applyAlignment="1">
      <alignment vertical="top" wrapText="1"/>
    </xf>
    <xf numFmtId="166" fontId="4" fillId="0" borderId="4" xfId="0" applyNumberFormat="1" applyFont="1" applyFill="1" applyBorder="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vertical="top"/>
    </xf>
    <xf numFmtId="0" fontId="0" fillId="0" borderId="0" xfId="0" applyAlignment="1"/>
    <xf numFmtId="164" fontId="14" fillId="0" borderId="0" xfId="0" applyNumberFormat="1" applyFont="1" applyFill="1" applyAlignment="1">
      <alignment vertical="top"/>
    </xf>
    <xf numFmtId="164" fontId="3" fillId="0" borderId="0" xfId="0" applyNumberFormat="1" applyFont="1" applyFill="1" applyBorder="1"/>
    <xf numFmtId="166" fontId="14" fillId="0" borderId="0" xfId="0" applyNumberFormat="1" applyFont="1" applyFill="1"/>
    <xf numFmtId="0" fontId="0" fillId="0" borderId="0" xfId="0" applyFill="1" applyAlignment="1">
      <alignment wrapText="1"/>
    </xf>
    <xf numFmtId="0" fontId="5"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horizontal="justify" vertical="top"/>
    </xf>
    <xf numFmtId="0" fontId="4" fillId="0" borderId="0" xfId="0" quotePrefix="1" applyFont="1" applyFill="1" applyBorder="1" applyAlignment="1">
      <alignment horizontal="center"/>
    </xf>
    <xf numFmtId="0" fontId="3" fillId="0" borderId="0" xfId="0" applyFont="1" applyFill="1" applyBorder="1" applyAlignment="1">
      <alignment horizontal="justify" vertical="center"/>
    </xf>
    <xf numFmtId="0" fontId="0" fillId="0" borderId="0" xfId="0" applyFill="1" applyAlignment="1"/>
    <xf numFmtId="164" fontId="3" fillId="0" borderId="0" xfId="1" applyNumberFormat="1" applyFont="1" applyFill="1" applyAlignment="1">
      <alignment vertical="center"/>
    </xf>
    <xf numFmtId="0" fontId="3" fillId="0" borderId="0" xfId="0" applyFont="1" applyFill="1" applyAlignment="1">
      <alignment horizontal="center" vertical="top"/>
    </xf>
    <xf numFmtId="0" fontId="3" fillId="2" borderId="0" xfId="0" applyFont="1" applyFill="1" applyAlignment="1">
      <alignment horizontal="justify" vertical="top"/>
    </xf>
    <xf numFmtId="164" fontId="15" fillId="0" borderId="0" xfId="2" applyNumberFormat="1" applyFont="1" applyFill="1" applyBorder="1" applyAlignment="1">
      <alignment vertical="center"/>
    </xf>
    <xf numFmtId="164" fontId="15" fillId="0" borderId="0" xfId="0" applyNumberFormat="1" applyFont="1" applyFill="1" applyBorder="1" applyAlignment="1">
      <alignment vertical="center"/>
    </xf>
    <xf numFmtId="0" fontId="16" fillId="0" borderId="0" xfId="0" applyFont="1" applyFill="1" applyAlignment="1">
      <alignment vertical="center"/>
    </xf>
    <xf numFmtId="39" fontId="4" fillId="0" borderId="2" xfId="0" applyNumberFormat="1" applyFont="1" applyFill="1" applyBorder="1" applyAlignment="1">
      <alignment horizontal="center" vertical="center"/>
    </xf>
    <xf numFmtId="39" fontId="3" fillId="0" borderId="0" xfId="0" applyNumberFormat="1" applyFont="1" applyFill="1" applyBorder="1" applyAlignment="1">
      <alignment horizontal="center" vertical="center"/>
    </xf>
    <xf numFmtId="39" fontId="3" fillId="0" borderId="0" xfId="0" applyNumberFormat="1" applyFont="1" applyFill="1" applyAlignment="1">
      <alignment horizontal="center" vertical="center"/>
    </xf>
    <xf numFmtId="164" fontId="4" fillId="0" borderId="0" xfId="1" applyNumberFormat="1" applyFont="1" applyFill="1" applyAlignment="1">
      <alignment horizontal="justify"/>
    </xf>
    <xf numFmtId="164" fontId="4" fillId="0" borderId="0" xfId="1" applyNumberFormat="1" applyFont="1" applyFill="1" applyAlignment="1">
      <alignment horizontal="justify" vertical="top"/>
    </xf>
    <xf numFmtId="164" fontId="3" fillId="0" borderId="0" xfId="1" applyNumberFormat="1" applyFont="1" applyFill="1" applyAlignment="1">
      <alignment horizontal="justify" vertical="top"/>
    </xf>
    <xf numFmtId="164" fontId="3" fillId="0" borderId="0" xfId="1" applyNumberFormat="1" applyFont="1" applyFill="1" applyAlignment="1">
      <alignment horizontal="justify"/>
    </xf>
    <xf numFmtId="0" fontId="3" fillId="0" borderId="0" xfId="0" applyFont="1" applyFill="1" applyAlignment="1">
      <alignment horizontal="center"/>
    </xf>
    <xf numFmtId="164" fontId="4" fillId="0" borderId="0" xfId="1" applyNumberFormat="1" applyFont="1" applyFill="1" applyAlignment="1">
      <alignment vertical="top"/>
    </xf>
    <xf numFmtId="0" fontId="7" fillId="0" borderId="0" xfId="0" applyFont="1" applyFill="1"/>
    <xf numFmtId="0" fontId="12" fillId="0" borderId="0" xfId="0" applyFont="1" applyFill="1" applyAlignment="1">
      <alignment horizontal="center"/>
    </xf>
    <xf numFmtId="39" fontId="4" fillId="0" borderId="0" xfId="0" applyNumberFormat="1" applyFont="1" applyFill="1" applyBorder="1" applyAlignment="1">
      <alignment horizontal="center" vertical="center"/>
    </xf>
    <xf numFmtId="164" fontId="4" fillId="0" borderId="2" xfId="1" applyNumberFormat="1" applyFont="1" applyFill="1" applyBorder="1" applyAlignment="1">
      <alignment horizontal="right"/>
    </xf>
    <xf numFmtId="164" fontId="3" fillId="0" borderId="0" xfId="0" applyNumberFormat="1" applyFont="1" applyFill="1" applyBorder="1" applyAlignment="1"/>
    <xf numFmtId="164" fontId="4" fillId="0" borderId="3" xfId="1" applyNumberFormat="1" applyFont="1" applyFill="1" applyBorder="1" applyAlignment="1">
      <alignment horizontal="right"/>
    </xf>
    <xf numFmtId="2" fontId="4" fillId="0" borderId="2"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3" fillId="3" borderId="0" xfId="0" applyFont="1" applyFill="1" applyAlignment="1">
      <alignment horizontal="justify" vertical="top"/>
    </xf>
    <xf numFmtId="39" fontId="4" fillId="3" borderId="0" xfId="0" applyNumberFormat="1" applyFont="1" applyFill="1" applyBorder="1" applyAlignment="1">
      <alignment horizontal="center" vertical="center"/>
    </xf>
    <xf numFmtId="164" fontId="4" fillId="3" borderId="1" xfId="1" applyNumberFormat="1" applyFont="1" applyFill="1" applyBorder="1" applyAlignment="1">
      <alignment vertical="center"/>
    </xf>
    <xf numFmtId="0" fontId="3" fillId="3" borderId="0" xfId="0" applyFont="1" applyFill="1"/>
    <xf numFmtId="0" fontId="3" fillId="3" borderId="0" xfId="0" applyFont="1" applyFill="1" applyAlignment="1">
      <alignment horizontal="justify" vertical="top" wrapText="1"/>
    </xf>
    <xf numFmtId="0" fontId="4" fillId="3" borderId="0" xfId="0" applyFont="1" applyFill="1"/>
    <xf numFmtId="0" fontId="4" fillId="4" borderId="0" xfId="0" applyFont="1" applyFill="1"/>
    <xf numFmtId="0" fontId="3" fillId="4" borderId="0" xfId="0" applyFont="1" applyFill="1" applyAlignment="1">
      <alignment horizontal="justify" vertical="top" wrapText="1"/>
    </xf>
    <xf numFmtId="166" fontId="19" fillId="0" borderId="0" xfId="0" applyNumberFormat="1" applyFont="1" applyFill="1" applyBorder="1"/>
    <xf numFmtId="166" fontId="19" fillId="0" borderId="0" xfId="0" applyNumberFormat="1" applyFont="1" applyFill="1"/>
    <xf numFmtId="0" fontId="3" fillId="4" borderId="0" xfId="0" applyFont="1" applyFill="1" applyAlignment="1">
      <alignment horizontal="justify" vertical="top" wrapText="1"/>
    </xf>
    <xf numFmtId="164" fontId="4" fillId="4" borderId="0" xfId="1" applyNumberFormat="1" applyFont="1" applyFill="1"/>
    <xf numFmtId="164" fontId="20" fillId="0" borderId="0" xfId="1" applyNumberFormat="1" applyFont="1" applyFill="1" applyBorder="1" applyAlignment="1">
      <alignment vertical="center"/>
    </xf>
    <xf numFmtId="0" fontId="4" fillId="4" borderId="0" xfId="0" applyFont="1" applyFill="1" applyAlignment="1">
      <alignment horizontal="center"/>
    </xf>
    <xf numFmtId="0" fontId="4" fillId="4" borderId="0" xfId="0" applyFont="1" applyFill="1" applyAlignment="1">
      <alignment horizontal="center" vertical="top" wrapText="1"/>
    </xf>
    <xf numFmtId="0" fontId="21" fillId="0" borderId="0" xfId="0" applyFont="1" applyFill="1" applyAlignment="1">
      <alignment vertical="center"/>
    </xf>
    <xf numFmtId="43" fontId="4" fillId="0" borderId="2" xfId="1" applyFont="1" applyFill="1" applyBorder="1" applyAlignment="1">
      <alignment horizontal="center" vertical="center"/>
    </xf>
    <xf numFmtId="164" fontId="4" fillId="4" borderId="0" xfId="1" applyNumberFormat="1" applyFont="1" applyFill="1" applyBorder="1" applyAlignment="1">
      <alignment horizontal="right"/>
    </xf>
    <xf numFmtId="166" fontId="21" fillId="0" borderId="0" xfId="0" applyNumberFormat="1" applyFont="1" applyFill="1" applyBorder="1"/>
    <xf numFmtId="166" fontId="21" fillId="0" borderId="0" xfId="0" applyNumberFormat="1" applyFont="1" applyFill="1"/>
    <xf numFmtId="164" fontId="21" fillId="0" borderId="0" xfId="1" applyNumberFormat="1" applyFont="1" applyFill="1"/>
    <xf numFmtId="164" fontId="20" fillId="0" borderId="0" xfId="1" applyNumberFormat="1" applyFont="1" applyFill="1"/>
    <xf numFmtId="0" fontId="3" fillId="5" borderId="0" xfId="0" applyFont="1" applyFill="1"/>
    <xf numFmtId="164" fontId="4" fillId="0" borderId="0" xfId="1" applyNumberFormat="1" applyFont="1" applyFill="1" applyAlignment="1">
      <alignment horizontal="center"/>
    </xf>
    <xf numFmtId="0" fontId="4" fillId="0" borderId="0" xfId="0" applyFont="1" applyFill="1" applyAlignment="1">
      <alignment horizontal="center"/>
    </xf>
    <xf numFmtId="9" fontId="3" fillId="5" borderId="0" xfId="2" applyFont="1" applyFill="1" applyAlignment="1">
      <alignment horizontal="justify" vertical="top"/>
    </xf>
    <xf numFmtId="164" fontId="3" fillId="0" borderId="0" xfId="1" applyNumberFormat="1" applyFont="1" applyFill="1" applyBorder="1" applyAlignment="1">
      <alignment horizontal="right" vertical="top"/>
    </xf>
    <xf numFmtId="166" fontId="3" fillId="0" borderId="4" xfId="0" applyNumberFormat="1" applyFont="1" applyFill="1" applyBorder="1"/>
    <xf numFmtId="166" fontId="4" fillId="0" borderId="4" xfId="0" applyNumberFormat="1" applyFont="1" applyFill="1" applyBorder="1"/>
    <xf numFmtId="166" fontId="4" fillId="0" borderId="4" xfId="0" applyNumberFormat="1" applyFont="1" applyFill="1" applyBorder="1" applyAlignment="1"/>
    <xf numFmtId="166" fontId="4" fillId="0" borderId="6" xfId="0" applyNumberFormat="1" applyFont="1" applyFill="1" applyBorder="1"/>
    <xf numFmtId="0" fontId="3" fillId="0" borderId="0" xfId="0" applyFont="1" applyFill="1" applyAlignment="1">
      <alignment vertical="top"/>
    </xf>
    <xf numFmtId="0" fontId="4" fillId="0" borderId="0" xfId="0" applyFont="1" applyFill="1" applyAlignment="1">
      <alignment horizontal="center"/>
    </xf>
    <xf numFmtId="0" fontId="3" fillId="0" borderId="0" xfId="0" applyFont="1" applyFill="1" applyAlignment="1">
      <alignment wrapText="1"/>
    </xf>
    <xf numFmtId="0" fontId="3" fillId="4" borderId="0" xfId="0" applyFont="1" applyFill="1" applyAlignment="1">
      <alignment horizontal="justify" vertical="top" wrapText="1"/>
    </xf>
    <xf numFmtId="0" fontId="4" fillId="0" borderId="0" xfId="0" applyFont="1" applyFill="1" applyAlignment="1">
      <alignment horizontal="center" wrapText="1"/>
    </xf>
    <xf numFmtId="0" fontId="3" fillId="4" borderId="0" xfId="0" applyFont="1" applyFill="1" applyAlignment="1">
      <alignment horizontal="justify" vertical="top"/>
    </xf>
    <xf numFmtId="0" fontId="4" fillId="0" borderId="0" xfId="0" applyFont="1" applyFill="1" applyAlignment="1">
      <alignment horizontal="center"/>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justify" wrapText="1"/>
    </xf>
    <xf numFmtId="0" fontId="0" fillId="0" borderId="0" xfId="0" applyAlignment="1">
      <alignment horizontal="justify" vertical="justify" wrapText="1"/>
    </xf>
    <xf numFmtId="0" fontId="3" fillId="0" borderId="0" xfId="0" applyFont="1" applyFill="1" applyBorder="1" applyAlignment="1">
      <alignment horizontal="center"/>
    </xf>
    <xf numFmtId="0" fontId="3" fillId="0" borderId="0" xfId="0" applyFont="1" applyFill="1" applyAlignment="1">
      <alignment horizontal="justify" vertical="top" wrapText="1"/>
    </xf>
    <xf numFmtId="0" fontId="0" fillId="0" borderId="0" xfId="0" applyFill="1" applyAlignment="1">
      <alignment wrapText="1"/>
    </xf>
    <xf numFmtId="0" fontId="3" fillId="0" borderId="0" xfId="0" applyFont="1" applyFill="1" applyAlignment="1">
      <alignment vertical="top"/>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xf numFmtId="0" fontId="4" fillId="0" borderId="0" xfId="0" applyFont="1" applyFill="1" applyBorder="1" applyAlignment="1">
      <alignment horizontal="center"/>
    </xf>
    <xf numFmtId="0" fontId="22" fillId="0" borderId="0" xfId="0" applyFont="1" applyFill="1" applyBorder="1" applyAlignment="1">
      <alignment horizontal="center"/>
    </xf>
    <xf numFmtId="164" fontId="3" fillId="0" borderId="0" xfId="1" applyNumberFormat="1" applyFont="1" applyFill="1" applyBorder="1" applyAlignment="1">
      <alignment vertical="top"/>
    </xf>
    <xf numFmtId="0" fontId="3" fillId="0" borderId="0" xfId="0" applyNumberFormat="1" applyFont="1" applyFill="1" applyAlignment="1">
      <alignment horizontal="justify" vertical="top"/>
    </xf>
    <xf numFmtId="0" fontId="3" fillId="0" borderId="0" xfId="0" applyFont="1" applyFill="1" applyAlignment="1"/>
    <xf numFmtId="0" fontId="21" fillId="0" borderId="0" xfId="0" applyFont="1" applyFill="1" applyAlignment="1">
      <alignment vertical="top"/>
    </xf>
    <xf numFmtId="0" fontId="21" fillId="0" borderId="0" xfId="0" applyFont="1" applyFill="1" applyAlignment="1">
      <alignment vertical="top" wrapText="1"/>
    </xf>
    <xf numFmtId="0" fontId="21" fillId="0" borderId="0" xfId="0" applyFont="1" applyFill="1" applyAlignment="1"/>
    <xf numFmtId="0" fontId="21" fillId="0" borderId="0" xfId="0" applyFont="1" applyFill="1"/>
    <xf numFmtId="164" fontId="21" fillId="0" borderId="0" xfId="0" applyNumberFormat="1" applyFont="1" applyFill="1" applyBorder="1"/>
    <xf numFmtId="0" fontId="21" fillId="0" borderId="0" xfId="0" applyFont="1" applyFill="1" applyBorder="1"/>
    <xf numFmtId="43" fontId="4" fillId="0" borderId="0" xfId="1" applyFont="1" applyFill="1" applyBorder="1" applyAlignment="1">
      <alignment horizontal="center"/>
    </xf>
    <xf numFmtId="166" fontId="20" fillId="0" borderId="0" xfId="0" applyNumberFormat="1" applyFont="1" applyFill="1"/>
    <xf numFmtId="0" fontId="16" fillId="0" borderId="0"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4" fillId="0" borderId="0" xfId="0" applyFont="1" applyFill="1" applyAlignment="1"/>
    <xf numFmtId="0" fontId="3" fillId="0" borderId="0" xfId="0" applyFont="1" applyFill="1" applyAlignment="1">
      <alignment horizontal="justify" vertical="justify" wrapText="1"/>
    </xf>
    <xf numFmtId="0" fontId="3" fillId="0" borderId="0" xfId="0" applyFont="1" applyFill="1" applyAlignment="1">
      <alignment horizontal="justify" wrapText="1"/>
    </xf>
    <xf numFmtId="164" fontId="27" fillId="4" borderId="0" xfId="1" applyNumberFormat="1" applyFont="1" applyFill="1" applyBorder="1" applyAlignment="1">
      <alignment vertic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5" borderId="0" xfId="0" applyFont="1" applyFill="1"/>
    <xf numFmtId="0" fontId="3" fillId="0" borderId="0" xfId="0" applyFont="1" applyFill="1" applyAlignment="1"/>
    <xf numFmtId="0" fontId="4" fillId="0" borderId="0" xfId="0" applyFont="1" applyFill="1" applyAlignment="1"/>
    <xf numFmtId="0" fontId="3" fillId="0" borderId="0" xfId="0" applyFont="1" applyFill="1" applyAlignment="1"/>
    <xf numFmtId="164" fontId="3" fillId="0" borderId="0" xfId="1" applyNumberFormat="1" applyFont="1" applyFill="1" applyBorder="1" applyAlignment="1"/>
    <xf numFmtId="0" fontId="3" fillId="0" borderId="4" xfId="0" applyFont="1" applyFill="1" applyBorder="1" applyAlignment="1"/>
    <xf numFmtId="0" fontId="4" fillId="0" borderId="4" xfId="0" applyFont="1" applyFill="1" applyBorder="1" applyAlignment="1"/>
    <xf numFmtId="0" fontId="4" fillId="0" borderId="0" xfId="0" applyFont="1" applyFill="1" applyBorder="1" applyAlignment="1"/>
    <xf numFmtId="164" fontId="3" fillId="0" borderId="4" xfId="1" applyNumberFormat="1" applyFont="1" applyFill="1" applyBorder="1" applyAlignment="1"/>
    <xf numFmtId="0" fontId="4" fillId="0" borderId="1" xfId="0" applyFont="1" applyFill="1" applyBorder="1" applyAlignment="1"/>
    <xf numFmtId="0" fontId="3" fillId="0" borderId="1" xfId="0" applyFont="1" applyFill="1" applyBorder="1" applyAlignment="1"/>
    <xf numFmtId="164" fontId="3" fillId="0" borderId="1" xfId="1" applyNumberFormat="1" applyFont="1" applyFill="1" applyBorder="1" applyAlignment="1"/>
    <xf numFmtId="164" fontId="3" fillId="0" borderId="1" xfId="0" applyNumberFormat="1" applyFont="1" applyFill="1" applyBorder="1" applyAlignment="1"/>
    <xf numFmtId="0" fontId="3" fillId="0" borderId="0" xfId="0" applyFont="1" applyFill="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4" fillId="0" borderId="0" xfId="0" applyFont="1" applyFill="1" applyAlignment="1">
      <alignment horizontal="justify" vertical="top"/>
    </xf>
    <xf numFmtId="0" fontId="3" fillId="0" borderId="0" xfId="0" applyFont="1" applyFill="1" applyAlignment="1">
      <alignment vertical="top"/>
    </xf>
    <xf numFmtId="0" fontId="4" fillId="0" borderId="0" xfId="0" applyFont="1" applyFill="1" applyAlignment="1">
      <alignment vertical="center"/>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4" fillId="0" borderId="0" xfId="0" applyFont="1" applyFill="1" applyAlignment="1"/>
    <xf numFmtId="0" fontId="3" fillId="3" borderId="0" xfId="0" applyFont="1" applyFill="1" applyAlignment="1">
      <alignment vertical="center" wrapText="1"/>
    </xf>
    <xf numFmtId="0" fontId="4" fillId="0" borderId="0" xfId="0" applyFont="1" applyFill="1" applyAlignment="1"/>
    <xf numFmtId="0" fontId="20" fillId="0" borderId="0" xfId="0" applyFont="1" applyFill="1" applyAlignment="1">
      <alignment wrapText="1"/>
    </xf>
    <xf numFmtId="0" fontId="21" fillId="0" borderId="0" xfId="0" applyFont="1" applyFill="1" applyAlignment="1">
      <alignment horizontal="justify" vertical="top" wrapText="1"/>
    </xf>
    <xf numFmtId="0" fontId="21" fillId="0" borderId="0" xfId="0" applyNumberFormat="1" applyFont="1" applyFill="1" applyAlignment="1">
      <alignment horizontal="justify" vertical="center" wrapText="1"/>
    </xf>
    <xf numFmtId="0" fontId="20" fillId="0" borderId="0" xfId="0" applyFont="1" applyFill="1"/>
    <xf numFmtId="0" fontId="21" fillId="0" borderId="0" xfId="0" applyFont="1" applyFill="1" applyAlignment="1">
      <alignment wrapText="1"/>
    </xf>
    <xf numFmtId="164" fontId="21" fillId="0" borderId="0" xfId="0" applyNumberFormat="1" applyFont="1" applyFill="1"/>
    <xf numFmtId="0" fontId="20" fillId="0" borderId="0" xfId="0" applyFont="1" applyFill="1" applyAlignment="1">
      <alignment horizontal="justify" vertical="top" wrapText="1"/>
    </xf>
    <xf numFmtId="0" fontId="3" fillId="0" borderId="2" xfId="0" applyFont="1" applyFill="1" applyBorder="1"/>
    <xf numFmtId="0" fontId="3" fillId="0" borderId="0" xfId="0" applyFont="1" applyFill="1" applyAlignment="1">
      <alignment wrapText="1"/>
    </xf>
    <xf numFmtId="0" fontId="0" fillId="0" borderId="0" xfId="0" applyAlignment="1">
      <alignment wrapText="1"/>
    </xf>
    <xf numFmtId="0" fontId="4" fillId="0" borderId="0" xfId="0" applyFont="1" applyFill="1" applyAlignment="1">
      <alignment vertical="center"/>
    </xf>
    <xf numFmtId="0" fontId="4" fillId="0" borderId="0" xfId="0" applyFont="1" applyFill="1" applyAlignment="1"/>
    <xf numFmtId="166" fontId="23" fillId="0" borderId="0" xfId="0" applyNumberFormat="1" applyFont="1" applyFill="1" applyAlignment="1">
      <alignment horizontal="right"/>
    </xf>
    <xf numFmtId="0" fontId="3" fillId="0" borderId="0" xfId="0" applyFont="1" applyFill="1" applyAlignment="1">
      <alignment horizontal="left" wrapText="1"/>
    </xf>
    <xf numFmtId="0" fontId="4" fillId="0" borderId="0" xfId="0" applyFont="1" applyFill="1" applyAlignment="1">
      <alignment horizontal="center"/>
    </xf>
    <xf numFmtId="0" fontId="3" fillId="0" borderId="0" xfId="0" applyFont="1" applyFill="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4" fillId="0" borderId="0" xfId="0" applyFont="1" applyFill="1" applyAlignment="1">
      <alignment horizontal="justify" vertical="top"/>
    </xf>
    <xf numFmtId="0" fontId="3" fillId="0" borderId="0" xfId="0" applyFont="1" applyFill="1" applyAlignment="1">
      <alignment vertical="top"/>
    </xf>
    <xf numFmtId="0" fontId="4" fillId="0" borderId="0" xfId="0" applyFont="1" applyFill="1" applyAlignment="1">
      <alignment vertical="center"/>
    </xf>
    <xf numFmtId="0" fontId="3" fillId="0" borderId="0" xfId="0" applyNumberFormat="1" applyFont="1" applyFill="1" applyAlignment="1">
      <alignment horizontal="justify" vertical="center" wrapText="1"/>
    </xf>
    <xf numFmtId="0" fontId="3" fillId="0" borderId="0" xfId="0" applyFont="1" applyFill="1" applyAlignment="1">
      <alignment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4" fillId="0" borderId="0" xfId="0" applyFont="1" applyFill="1" applyAlignment="1"/>
    <xf numFmtId="0" fontId="0" fillId="0" borderId="0" xfId="0" applyAlignment="1">
      <alignment wrapText="1"/>
    </xf>
    <xf numFmtId="0" fontId="3" fillId="3" borderId="0" xfId="0" applyFont="1" applyFill="1" applyAlignment="1">
      <alignment vertical="center" wrapText="1"/>
    </xf>
    <xf numFmtId="0" fontId="23" fillId="0" borderId="0" xfId="0" applyFont="1"/>
    <xf numFmtId="0" fontId="24" fillId="0" borderId="0" xfId="0" applyFont="1"/>
    <xf numFmtId="164" fontId="0" fillId="0" borderId="0" xfId="1" applyNumberFormat="1" applyFont="1"/>
    <xf numFmtId="164" fontId="0" fillId="0" borderId="1" xfId="1" applyNumberFormat="1" applyFont="1" applyBorder="1"/>
    <xf numFmtId="43" fontId="0" fillId="0" borderId="2" xfId="1" applyFont="1" applyBorder="1"/>
    <xf numFmtId="164" fontId="0" fillId="0" borderId="2" xfId="1" applyNumberFormat="1" applyFont="1" applyBorder="1"/>
    <xf numFmtId="0" fontId="28" fillId="0" borderId="0" xfId="0" applyFont="1" applyAlignment="1">
      <alignment horizontal="justify" vertical="top"/>
    </xf>
    <xf numFmtId="164" fontId="29" fillId="0" borderId="0" xfId="1" applyNumberFormat="1" applyFont="1"/>
    <xf numFmtId="0" fontId="4" fillId="0" borderId="0" xfId="3" applyFont="1" applyFill="1" applyAlignment="1">
      <alignment horizontal="center"/>
    </xf>
    <xf numFmtId="164" fontId="0" fillId="0" borderId="0" xfId="1" applyNumberFormat="1" applyFont="1" applyAlignment="1">
      <alignment horizontal="center"/>
    </xf>
    <xf numFmtId="164" fontId="3" fillId="0" borderId="0" xfId="1" applyNumberFormat="1" applyFont="1"/>
    <xf numFmtId="164" fontId="3" fillId="0" borderId="0" xfId="1" applyNumberFormat="1" applyFont="1" applyAlignment="1">
      <alignment horizontal="right"/>
    </xf>
    <xf numFmtId="164" fontId="3" fillId="0" borderId="1" xfId="1" applyNumberFormat="1" applyFont="1" applyBorder="1"/>
    <xf numFmtId="0" fontId="0" fillId="0" borderId="0" xfId="0" applyBorder="1"/>
    <xf numFmtId="0" fontId="3" fillId="0" borderId="0" xfId="0" applyFont="1"/>
    <xf numFmtId="164" fontId="3" fillId="0" borderId="0" xfId="1" applyNumberFormat="1" applyFont="1" applyBorder="1"/>
    <xf numFmtId="164" fontId="21" fillId="0" borderId="0" xfId="0" applyNumberFormat="1" applyFont="1" applyFill="1" applyAlignment="1">
      <alignment vertical="top"/>
    </xf>
    <xf numFmtId="43" fontId="3" fillId="0" borderId="2" xfId="1" applyFont="1" applyBorder="1"/>
    <xf numFmtId="164" fontId="3" fillId="0" borderId="2" xfId="1" applyNumberFormat="1" applyFont="1" applyBorder="1"/>
    <xf numFmtId="0" fontId="0" fillId="0" borderId="0" xfId="0" applyFill="1" applyAlignment="1">
      <alignment wrapText="1"/>
    </xf>
    <xf numFmtId="0" fontId="3" fillId="0" borderId="0" xfId="0" applyNumberFormat="1" applyFont="1" applyFill="1" applyBorder="1" applyAlignment="1">
      <alignment horizontal="justify" vertical="top" wrapText="1"/>
    </xf>
    <xf numFmtId="0" fontId="3" fillId="0" borderId="0" xfId="0" applyFont="1" applyFill="1" applyAlignment="1"/>
    <xf numFmtId="0" fontId="3" fillId="0" borderId="0" xfId="0" applyFont="1" applyFill="1" applyAlignment="1"/>
    <xf numFmtId="0" fontId="3" fillId="5" borderId="0" xfId="0" applyFont="1" applyFill="1" applyBorder="1"/>
    <xf numFmtId="0" fontId="4" fillId="4" borderId="0" xfId="0" applyFont="1" applyFill="1" applyAlignment="1">
      <alignment horizontal="center"/>
    </xf>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4" fillId="0" borderId="0" xfId="0" applyFont="1" applyFill="1" applyAlignment="1"/>
    <xf numFmtId="0" fontId="3" fillId="0" borderId="0" xfId="0" applyFont="1" applyFill="1" applyAlignment="1">
      <alignment horizontal="justify" vertical="justify" wrapText="1"/>
    </xf>
    <xf numFmtId="0" fontId="3" fillId="0" borderId="0" xfId="0" applyFont="1" applyFill="1" applyAlignment="1">
      <alignment horizontal="justify" wrapText="1"/>
    </xf>
    <xf numFmtId="0" fontId="3" fillId="0" borderId="0" xfId="0" applyFont="1" applyFill="1" applyAlignment="1">
      <alignment horizontal="left" wrapText="1"/>
    </xf>
    <xf numFmtId="0" fontId="3" fillId="0" borderId="0" xfId="0" applyFont="1" applyFill="1" applyAlignment="1"/>
    <xf numFmtId="0" fontId="24" fillId="0" borderId="0" xfId="0" applyFont="1" applyFill="1"/>
    <xf numFmtId="0" fontId="3" fillId="0" borderId="0" xfId="0" applyFont="1" applyFill="1" applyAlignment="1">
      <alignment horizontal="justify" vertical="top" wrapText="1"/>
    </xf>
    <xf numFmtId="0" fontId="3" fillId="0" borderId="0" xfId="0" applyFont="1" applyFill="1" applyAlignment="1"/>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Alignment="1"/>
    <xf numFmtId="0" fontId="3" fillId="0" borderId="0" xfId="0" applyFont="1" applyFill="1" applyAlignment="1">
      <alignment horizontal="justify" vertical="center" wrapText="1"/>
    </xf>
    <xf numFmtId="0" fontId="0" fillId="0" borderId="0" xfId="0" applyAlignment="1">
      <alignment horizontal="justify" vertical="top" wrapText="1"/>
    </xf>
    <xf numFmtId="0" fontId="17" fillId="0" borderId="0" xfId="0" applyNumberFormat="1" applyFont="1" applyFill="1" applyBorder="1" applyAlignment="1">
      <alignment horizontal="justify" vertical="top" wrapText="1"/>
    </xf>
    <xf numFmtId="0" fontId="4" fillId="0" borderId="0" xfId="0" applyFont="1" applyFill="1" applyAlignment="1">
      <alignment horizontal="justify" vertical="top"/>
    </xf>
    <xf numFmtId="0" fontId="3" fillId="0" borderId="0" xfId="0" applyFont="1" applyFill="1" applyAlignment="1">
      <alignment horizontal="justify" vertical="center" wrapText="1"/>
    </xf>
    <xf numFmtId="0" fontId="3" fillId="0" borderId="0" xfId="0" applyFont="1" applyFill="1" applyAlignment="1"/>
    <xf numFmtId="9" fontId="3" fillId="0" borderId="0" xfId="2" applyFont="1" applyFill="1" applyBorder="1"/>
    <xf numFmtId="0" fontId="30" fillId="0" borderId="0" xfId="0" applyFont="1" applyAlignment="1">
      <alignment wrapText="1"/>
    </xf>
    <xf numFmtId="0" fontId="4" fillId="0" borderId="0" xfId="0" applyFont="1" applyFill="1" applyAlignment="1">
      <alignment horizontal="left" vertical="center"/>
    </xf>
    <xf numFmtId="0" fontId="3" fillId="0" borderId="0" xfId="0" applyFont="1" applyFill="1" applyAlignment="1"/>
    <xf numFmtId="166" fontId="4" fillId="0" borderId="0"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vertical="top" wrapText="1"/>
    </xf>
    <xf numFmtId="0" fontId="23" fillId="0" borderId="0" xfId="0" applyFont="1" applyFill="1"/>
    <xf numFmtId="0" fontId="0" fillId="0" borderId="0" xfId="0" applyFill="1"/>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justify" vertical="top" wrapText="1"/>
    </xf>
    <xf numFmtId="0" fontId="4" fillId="0" borderId="0" xfId="0" applyFont="1" applyFill="1" applyAlignment="1"/>
    <xf numFmtId="0" fontId="4" fillId="0" borderId="0" xfId="0" applyFont="1" applyFill="1" applyBorder="1" applyAlignment="1">
      <alignment horizontal="center"/>
    </xf>
    <xf numFmtId="0" fontId="4" fillId="0" borderId="0" xfId="0" applyFont="1" applyFill="1" applyBorder="1"/>
    <xf numFmtId="43" fontId="4" fillId="0" borderId="0" xfId="1" applyFont="1" applyFill="1" applyBorder="1" applyAlignment="1">
      <alignment horizontal="right" vertical="top"/>
    </xf>
    <xf numFmtId="0" fontId="3" fillId="0" borderId="0" xfId="0" applyFont="1" applyFill="1" applyAlignment="1">
      <alignment vertical="top"/>
    </xf>
    <xf numFmtId="0" fontId="3" fillId="0" borderId="0" xfId="0" applyFont="1" applyFill="1" applyAlignment="1">
      <alignment horizontal="justify" vertical="top" wrapText="1"/>
    </xf>
    <xf numFmtId="0" fontId="3" fillId="0" borderId="0" xfId="0" applyFont="1" applyFill="1" applyAlignment="1">
      <alignment vertical="top" wrapText="1"/>
    </xf>
    <xf numFmtId="0" fontId="24" fillId="0" borderId="0" xfId="0" applyFont="1" applyFill="1" applyAlignment="1">
      <alignment horizontal="justify" wrapText="1"/>
    </xf>
    <xf numFmtId="0" fontId="0" fillId="0" borderId="0" xfId="0" applyFill="1" applyAlignment="1">
      <alignment horizontal="justify" wrapText="1"/>
    </xf>
    <xf numFmtId="0" fontId="0" fillId="0" borderId="0" xfId="0" applyFill="1" applyAlignment="1">
      <alignment vertical="top" wrapText="1"/>
    </xf>
    <xf numFmtId="0" fontId="3" fillId="0" borderId="0" xfId="0" applyFont="1" applyFill="1" applyAlignment="1">
      <alignment horizontal="justify" vertical="top"/>
    </xf>
    <xf numFmtId="0" fontId="3" fillId="0" borderId="0" xfId="0" applyFont="1" applyFill="1" applyAlignment="1">
      <alignment horizontal="justify" wrapText="1"/>
    </xf>
    <xf numFmtId="0" fontId="4" fillId="4" borderId="0" xfId="0" applyFont="1" applyFill="1" applyBorder="1" applyAlignment="1">
      <alignment horizontal="center"/>
    </xf>
    <xf numFmtId="0" fontId="3" fillId="4" borderId="0" xfId="0" applyFont="1" applyFill="1" applyBorder="1" applyAlignment="1">
      <alignment horizontal="justify" vertical="top" wrapText="1"/>
    </xf>
    <xf numFmtId="164" fontId="4" fillId="4" borderId="0" xfId="1" applyNumberFormat="1" applyFont="1" applyFill="1" applyBorder="1" applyAlignment="1">
      <alignment vertical="center"/>
    </xf>
    <xf numFmtId="0" fontId="12" fillId="0" borderId="0" xfId="0" applyFont="1" applyFill="1" applyBorder="1" applyAlignment="1">
      <alignment horizontal="center"/>
    </xf>
    <xf numFmtId="0" fontId="3" fillId="3" borderId="0" xfId="0" applyFont="1" applyFill="1" applyBorder="1" applyAlignment="1">
      <alignment horizontal="justify" vertical="top"/>
    </xf>
    <xf numFmtId="0" fontId="3" fillId="0" borderId="0" xfId="0" applyFont="1" applyFill="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vertical="top"/>
    </xf>
    <xf numFmtId="0" fontId="24" fillId="0" borderId="0" xfId="0" applyFont="1" applyFill="1" applyAlignment="1">
      <alignment wrapText="1"/>
    </xf>
    <xf numFmtId="0" fontId="25" fillId="0" borderId="0" xfId="0" applyFont="1" applyFill="1" applyAlignment="1">
      <alignment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applyFont="1" applyFill="1" applyAlignment="1"/>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alignment vertical="top" wrapText="1"/>
    </xf>
    <xf numFmtId="0" fontId="3" fillId="0" borderId="0" xfId="0" applyFont="1" applyFill="1" applyAlignment="1">
      <alignment horizontal="justify" vertical="top"/>
    </xf>
    <xf numFmtId="0" fontId="3" fillId="0" borderId="0" xfId="0" applyFont="1" applyFill="1" applyAlignment="1">
      <alignment horizontal="justify" wrapText="1"/>
    </xf>
    <xf numFmtId="0" fontId="3" fillId="4" borderId="0" xfId="0" applyFont="1" applyFill="1" applyAlignment="1">
      <alignment horizontal="justify" vertical="top" wrapText="1"/>
    </xf>
    <xf numFmtId="0" fontId="4" fillId="0" borderId="0" xfId="0" applyFont="1" applyFill="1" applyAlignment="1"/>
    <xf numFmtId="0" fontId="4" fillId="0" borderId="0" xfId="0" applyFont="1" applyFill="1" applyAlignment="1">
      <alignment horizontal="center"/>
    </xf>
    <xf numFmtId="0" fontId="3" fillId="0" borderId="0" xfId="0" applyFont="1" applyFill="1" applyAlignment="1">
      <alignment horizontal="justify" vertical="top" wrapText="1"/>
    </xf>
    <xf numFmtId="0" fontId="24" fillId="4" borderId="0" xfId="0" applyFont="1" applyFill="1"/>
    <xf numFmtId="0" fontId="3" fillId="4" borderId="0" xfId="0" applyFont="1" applyFill="1" applyAlignment="1">
      <alignment vertical="top" wrapText="1"/>
    </xf>
    <xf numFmtId="0" fontId="4" fillId="4" borderId="0" xfId="3" applyFont="1" applyFill="1" applyAlignment="1">
      <alignment horizontal="center"/>
    </xf>
    <xf numFmtId="164" fontId="1" fillId="0" borderId="0" xfId="1" applyNumberFormat="1" applyFont="1" applyAlignment="1">
      <alignment horizontal="center"/>
    </xf>
    <xf numFmtId="164" fontId="1" fillId="0" borderId="0" xfId="1" applyNumberFormat="1" applyFont="1" applyAlignment="1">
      <alignment horizontal="center" vertical="top"/>
    </xf>
    <xf numFmtId="0" fontId="5" fillId="0" borderId="0" xfId="0" applyFont="1" applyFill="1" applyBorder="1" applyAlignment="1"/>
    <xf numFmtId="164" fontId="26" fillId="4" borderId="0" xfId="1" applyNumberFormat="1" applyFont="1" applyFill="1" applyBorder="1" applyAlignment="1"/>
    <xf numFmtId="164" fontId="21" fillId="0" borderId="0" xfId="1" applyNumberFormat="1" applyFont="1" applyFill="1" applyBorder="1" applyAlignment="1"/>
    <xf numFmtId="0" fontId="4"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0" fillId="0" borderId="0" xfId="0" applyFill="1" applyAlignment="1">
      <alignment wrapText="1"/>
    </xf>
    <xf numFmtId="0" fontId="4" fillId="0" borderId="0" xfId="0" applyFont="1" applyFill="1" applyAlignment="1">
      <alignment horizontal="center"/>
    </xf>
    <xf numFmtId="0" fontId="3" fillId="0" borderId="0" xfId="0" applyNumberFormat="1" applyFont="1" applyFill="1" applyAlignment="1">
      <alignment horizontal="justify" vertical="center"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0" fillId="0" borderId="0" xfId="0" applyAlignment="1">
      <alignment horizontal="justify" vertical="top" wrapText="1"/>
    </xf>
    <xf numFmtId="0" fontId="32" fillId="0" borderId="0" xfId="0" applyFont="1"/>
    <xf numFmtId="43" fontId="3" fillId="0" borderId="0" xfId="1" applyFont="1" applyBorder="1"/>
    <xf numFmtId="0" fontId="31" fillId="0" borderId="0" xfId="3" applyFont="1" applyFill="1"/>
    <xf numFmtId="0" fontId="4" fillId="0" borderId="0" xfId="0" applyFont="1" applyFill="1" applyAlignment="1">
      <alignment horizontal="center"/>
    </xf>
    <xf numFmtId="0" fontId="4" fillId="0" borderId="0" xfId="0" applyFont="1" applyFill="1" applyAlignment="1">
      <alignment wrapText="1"/>
    </xf>
    <xf numFmtId="0" fontId="33" fillId="0" borderId="0" xfId="3" applyFont="1" applyFill="1"/>
    <xf numFmtId="0" fontId="3"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alignment horizontal="justify" vertical="top"/>
    </xf>
    <xf numFmtId="0" fontId="4" fillId="0" borderId="2" xfId="0" applyFont="1" applyFill="1" applyBorder="1"/>
    <xf numFmtId="0" fontId="4" fillId="0" borderId="2" xfId="0" applyFont="1" applyFill="1" applyBorder="1" applyAlignment="1">
      <alignment horizontal="center"/>
    </xf>
    <xf numFmtId="164" fontId="4" fillId="0" borderId="0" xfId="1" applyNumberFormat="1" applyFont="1" applyBorder="1" applyAlignment="1"/>
    <xf numFmtId="0" fontId="4" fillId="0" borderId="0" xfId="3" applyFont="1" applyAlignment="1">
      <alignment horizontal="center"/>
    </xf>
    <xf numFmtId="16" fontId="4" fillId="0" borderId="0" xfId="3" quotePrefix="1" applyNumberFormat="1" applyFont="1" applyFill="1" applyAlignment="1">
      <alignment horizontal="left" wrapText="1"/>
    </xf>
    <xf numFmtId="0" fontId="32" fillId="0" borderId="0" xfId="0" applyFont="1" applyAlignment="1">
      <alignment horizontal="left" wrapText="1"/>
    </xf>
    <xf numFmtId="0" fontId="4" fillId="0" borderId="0" xfId="0" applyFont="1" applyFill="1" applyAlignment="1">
      <alignment horizontal="left" indent="1"/>
    </xf>
    <xf numFmtId="164" fontId="4" fillId="0" borderId="3" xfId="1" applyNumberFormat="1" applyFont="1" applyFill="1" applyBorder="1" applyAlignment="1"/>
    <xf numFmtId="0" fontId="4" fillId="0" borderId="8" xfId="0" applyFont="1" applyFill="1" applyBorder="1" applyAlignment="1">
      <alignment horizontal="center" vertical="top"/>
    </xf>
    <xf numFmtId="0" fontId="4" fillId="0" borderId="0" xfId="0" applyFont="1" applyFill="1" applyBorder="1" applyAlignment="1">
      <alignment horizontal="justify" vertical="top"/>
    </xf>
    <xf numFmtId="164" fontId="3" fillId="0" borderId="8" xfId="1" applyNumberFormat="1" applyFont="1" applyFill="1" applyBorder="1" applyAlignment="1">
      <alignment horizontal="justify" vertical="top"/>
    </xf>
    <xf numFmtId="0" fontId="3" fillId="0" borderId="7" xfId="0" applyFont="1" applyFill="1" applyBorder="1" applyAlignment="1">
      <alignment horizontal="justify" vertical="top"/>
    </xf>
    <xf numFmtId="164" fontId="3" fillId="0" borderId="0" xfId="0" applyNumberFormat="1" applyFont="1" applyFill="1" applyBorder="1" applyAlignment="1">
      <alignment horizontal="justify" vertical="top"/>
    </xf>
    <xf numFmtId="43" fontId="3" fillId="0" borderId="8" xfId="1" applyNumberFormat="1" applyFont="1" applyFill="1" applyBorder="1" applyAlignment="1">
      <alignment horizontal="justify" vertical="top"/>
    </xf>
    <xf numFmtId="0" fontId="3" fillId="0" borderId="0" xfId="0" applyFont="1" applyFill="1" applyAlignment="1">
      <alignment horizontal="left" vertical="top" wrapText="1"/>
    </xf>
    <xf numFmtId="0" fontId="17" fillId="0" borderId="0" xfId="0" applyFont="1" applyFill="1" applyAlignment="1">
      <alignment horizontal="center" vertical="top"/>
    </xf>
    <xf numFmtId="164" fontId="3" fillId="0" borderId="0" xfId="1" applyNumberFormat="1" applyFont="1" applyFill="1" applyBorder="1" applyAlignment="1">
      <alignment horizontal="justify" vertical="top"/>
    </xf>
    <xf numFmtId="0" fontId="17" fillId="0" borderId="0" xfId="0" applyFont="1" applyFill="1" applyAlignment="1">
      <alignment horizontal="left" vertical="top" wrapText="1"/>
    </xf>
    <xf numFmtId="0" fontId="18" fillId="0" borderId="0" xfId="0" applyFont="1" applyFill="1" applyAlignment="1">
      <alignment vertical="top" wrapText="1"/>
    </xf>
    <xf numFmtId="0" fontId="18" fillId="0" borderId="0" xfId="0" applyFont="1" applyFill="1" applyBorder="1" applyAlignment="1">
      <alignment vertical="top" wrapText="1"/>
    </xf>
    <xf numFmtId="164" fontId="3" fillId="0" borderId="8" xfId="1" applyNumberFormat="1" applyFont="1" applyFill="1" applyBorder="1" applyAlignment="1">
      <alignment horizontal="right" vertical="top"/>
    </xf>
    <xf numFmtId="164" fontId="3" fillId="0" borderId="9" xfId="1" applyNumberFormat="1" applyFont="1" applyFill="1" applyBorder="1" applyAlignment="1">
      <alignment horizontal="right" vertical="top"/>
    </xf>
    <xf numFmtId="164" fontId="3" fillId="0" borderId="9" xfId="1" applyNumberFormat="1" applyFont="1" applyFill="1" applyBorder="1" applyAlignment="1">
      <alignment horizontal="right"/>
    </xf>
    <xf numFmtId="0" fontId="3" fillId="0" borderId="0" xfId="0" applyFont="1" applyFill="1" applyAlignment="1">
      <alignment horizontal="left" vertical="top" wrapText="1"/>
    </xf>
    <xf numFmtId="0" fontId="17" fillId="0" borderId="0" xfId="0" applyFont="1" applyFill="1" applyAlignment="1">
      <alignment horizontal="center" vertical="top"/>
    </xf>
    <xf numFmtId="43" fontId="3" fillId="0" borderId="0" xfId="1" applyNumberFormat="1" applyFont="1" applyFill="1" applyBorder="1" applyAlignment="1">
      <alignment horizontal="justify" vertical="top"/>
    </xf>
    <xf numFmtId="164" fontId="4" fillId="0" borderId="4" xfId="1" applyNumberFormat="1" applyFont="1" applyFill="1" applyBorder="1" applyAlignment="1">
      <alignment horizontal="left" vertical="top" wrapText="1"/>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horizontal="center"/>
    </xf>
    <xf numFmtId="0" fontId="4" fillId="0" borderId="0" xfId="0" applyFont="1" applyFill="1" applyAlignment="1">
      <alignment wrapText="1"/>
    </xf>
    <xf numFmtId="0" fontId="3" fillId="0" borderId="0" xfId="0" applyFont="1" applyFill="1" applyAlignment="1">
      <alignment horizontal="justify" vertical="top"/>
    </xf>
    <xf numFmtId="0" fontId="3" fillId="0" borderId="0" xfId="0" applyFont="1" applyFill="1" applyAlignment="1">
      <alignment horizontal="left" vertical="top" wrapText="1"/>
    </xf>
    <xf numFmtId="0" fontId="17" fillId="0" borderId="0" xfId="0" applyFont="1" applyFill="1" applyAlignment="1">
      <alignment horizontal="center" vertical="top"/>
    </xf>
    <xf numFmtId="0" fontId="4" fillId="0" borderId="8" xfId="0" applyFont="1" applyFill="1" applyBorder="1" applyAlignment="1">
      <alignment horizontal="justify" vertical="top"/>
    </xf>
    <xf numFmtId="0" fontId="4" fillId="0" borderId="8" xfId="0" applyFont="1" applyFill="1" applyBorder="1" applyAlignment="1">
      <alignment horizontal="center"/>
    </xf>
    <xf numFmtId="0" fontId="4"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wrapText="1"/>
    </xf>
    <xf numFmtId="0" fontId="4" fillId="0" borderId="0" xfId="0" applyFont="1" applyFill="1" applyAlignment="1">
      <alignment horizontal="center"/>
    </xf>
    <xf numFmtId="0" fontId="3" fillId="0" borderId="0" xfId="0" applyNumberFormat="1" applyFont="1" applyFill="1" applyAlignment="1">
      <alignment horizontal="justify" vertical="top" wrapText="1"/>
    </xf>
    <xf numFmtId="0" fontId="4" fillId="0" borderId="0" xfId="0" applyFont="1" applyFill="1" applyBorder="1" applyAlignment="1">
      <alignment horizontal="center"/>
    </xf>
    <xf numFmtId="0" fontId="3" fillId="0" borderId="0" xfId="0" applyNumberFormat="1" applyFont="1" applyFill="1" applyAlignment="1">
      <alignment horizontal="justify" vertical="center"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0" fillId="0" borderId="0" xfId="0" applyAlignment="1">
      <alignment horizontal="justify" vertical="top" wrapText="1"/>
    </xf>
    <xf numFmtId="0" fontId="4" fillId="0" borderId="0" xfId="0" applyFont="1" applyFill="1" applyAlignment="1"/>
    <xf numFmtId="0" fontId="3" fillId="0" borderId="0" xfId="0" applyFont="1" applyFill="1" applyAlignment="1"/>
    <xf numFmtId="0" fontId="4" fillId="0" borderId="0" xfId="0"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4" fillId="0" borderId="0" xfId="0" applyFont="1" applyFill="1" applyAlignment="1"/>
    <xf numFmtId="0" fontId="3" fillId="0" borderId="9" xfId="0" applyFont="1" applyFill="1" applyBorder="1"/>
    <xf numFmtId="0" fontId="3" fillId="0" borderId="0" xfId="0" applyFont="1" applyFill="1" applyAlignment="1">
      <alignment vertical="top"/>
    </xf>
    <xf numFmtId="0" fontId="0" fillId="0" borderId="0" xfId="0" applyFill="1" applyAlignment="1">
      <alignment horizontal="justify" wrapText="1"/>
    </xf>
    <xf numFmtId="0" fontId="3" fillId="0" borderId="0" xfId="0" applyFont="1" applyFill="1" applyAlignment="1">
      <alignment horizontal="justify" wrapText="1"/>
    </xf>
    <xf numFmtId="43" fontId="20" fillId="0" borderId="0" xfId="0" applyNumberFormat="1" applyFont="1" applyFill="1" applyBorder="1"/>
    <xf numFmtId="0" fontId="21" fillId="0" borderId="0" xfId="0" applyNumberFormat="1" applyFont="1" applyFill="1" applyBorder="1" applyAlignment="1">
      <alignment horizontal="justify" vertical="top" wrapText="1"/>
    </xf>
    <xf numFmtId="166" fontId="20" fillId="0" borderId="0" xfId="0" applyNumberFormat="1" applyFont="1" applyFill="1" applyBorder="1"/>
    <xf numFmtId="166" fontId="20" fillId="0" borderId="0" xfId="0" applyNumberFormat="1" applyFont="1" applyFill="1" applyAlignment="1">
      <alignment horizontal="center"/>
    </xf>
    <xf numFmtId="0" fontId="20" fillId="0" borderId="0" xfId="0" applyNumberFormat="1" applyFont="1" applyFill="1" applyBorder="1" applyAlignment="1">
      <alignment vertical="top" wrapText="1"/>
    </xf>
    <xf numFmtId="0" fontId="4" fillId="0" borderId="0" xfId="0" applyFont="1" applyFill="1" applyAlignment="1">
      <alignment horizontal="center"/>
    </xf>
    <xf numFmtId="164" fontId="21" fillId="0" borderId="0" xfId="0" applyNumberFormat="1" applyFont="1" applyFill="1" applyAlignment="1">
      <alignment horizontal="justify" vertical="center" wrapText="1"/>
    </xf>
    <xf numFmtId="0" fontId="0" fillId="0" borderId="0" xfId="0" applyAlignment="1">
      <alignment horizontal="justify" wrapText="1"/>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0" borderId="0" xfId="0" applyFont="1" applyFill="1" applyAlignment="1">
      <alignment horizontal="left" vertical="top" wrapText="1"/>
    </xf>
    <xf numFmtId="0" fontId="17" fillId="0" borderId="0" xfId="0" applyFont="1" applyFill="1" applyAlignment="1">
      <alignment horizontal="center" vertical="top"/>
    </xf>
    <xf numFmtId="0" fontId="4" fillId="0" borderId="0" xfId="0" applyFont="1" applyFill="1" applyBorder="1" applyAlignment="1">
      <alignment horizontal="center" vertical="top"/>
    </xf>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alignment vertical="top" wrapText="1"/>
    </xf>
    <xf numFmtId="0" fontId="3" fillId="0" borderId="0" xfId="0" applyFont="1" applyFill="1" applyAlignment="1">
      <alignment horizontal="justify" wrapText="1"/>
    </xf>
    <xf numFmtId="0" fontId="4" fillId="0" borderId="0" xfId="0" applyFont="1" applyFill="1" applyAlignment="1">
      <alignment horizontal="left" vertical="top"/>
    </xf>
    <xf numFmtId="0" fontId="3" fillId="0" borderId="0" xfId="0" applyFont="1" applyFill="1" applyAlignment="1">
      <alignment horizontal="left" vertical="top"/>
    </xf>
    <xf numFmtId="0" fontId="0" fillId="0" borderId="0" xfId="0" applyAlignment="1">
      <alignment vertical="top"/>
    </xf>
    <xf numFmtId="0" fontId="0" fillId="0" borderId="0" xfId="0" applyAlignment="1">
      <alignment horizontal="justify" vertical="top"/>
    </xf>
    <xf numFmtId="0" fontId="2" fillId="0" borderId="0" xfId="0" applyFont="1" applyFill="1" applyAlignment="1">
      <alignment horizontal="justify" wrapText="1"/>
    </xf>
    <xf numFmtId="0" fontId="3" fillId="0" borderId="8" xfId="0" applyFont="1" applyFill="1" applyBorder="1" applyAlignment="1">
      <alignment horizontal="right"/>
    </xf>
    <xf numFmtId="0" fontId="3" fillId="0" borderId="8" xfId="0" applyFont="1" applyFill="1" applyBorder="1"/>
    <xf numFmtId="164" fontId="3" fillId="0" borderId="8" xfId="1" applyNumberFormat="1" applyFont="1" applyFill="1" applyBorder="1"/>
    <xf numFmtId="164" fontId="4" fillId="0" borderId="8" xfId="1" applyNumberFormat="1" applyFont="1" applyFill="1" applyBorder="1" applyAlignment="1"/>
    <xf numFmtId="164" fontId="4" fillId="0" borderId="8" xfId="1" applyNumberFormat="1" applyFont="1" applyFill="1" applyBorder="1" applyAlignment="1">
      <alignment horizontal="right"/>
    </xf>
    <xf numFmtId="164" fontId="4" fillId="0" borderId="8" xfId="1" applyNumberFormat="1" applyFont="1" applyFill="1" applyBorder="1"/>
    <xf numFmtId="0" fontId="4" fillId="0" borderId="8" xfId="0" applyFont="1" applyFill="1" applyBorder="1"/>
    <xf numFmtId="167" fontId="4" fillId="0" borderId="8" xfId="1" applyNumberFormat="1" applyFont="1" applyFill="1" applyBorder="1"/>
    <xf numFmtId="164" fontId="4" fillId="0" borderId="8" xfId="1" applyNumberFormat="1" applyFont="1"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10" fontId="3" fillId="2" borderId="0" xfId="2" applyNumberFormat="1" applyFont="1" applyFill="1" applyAlignment="1">
      <alignment horizontal="justify" vertical="top"/>
    </xf>
    <xf numFmtId="164" fontId="29" fillId="0" borderId="0" xfId="1" applyNumberFormat="1" applyFont="1" applyAlignment="1">
      <alignment horizontal="center"/>
    </xf>
    <xf numFmtId="43" fontId="3" fillId="0" borderId="0" xfId="0" applyNumberFormat="1" applyFont="1" applyFill="1"/>
    <xf numFmtId="43" fontId="3" fillId="5" borderId="0" xfId="1" applyFont="1" applyFill="1" applyAlignment="1">
      <alignment horizontal="justify" vertical="top"/>
    </xf>
    <xf numFmtId="43" fontId="3" fillId="5" borderId="0" xfId="2" applyNumberFormat="1" applyFont="1" applyFill="1" applyAlignment="1">
      <alignment horizontal="justify" vertical="top"/>
    </xf>
    <xf numFmtId="10" fontId="3" fillId="0" borderId="0" xfId="2" applyNumberFormat="1" applyFont="1" applyFill="1"/>
    <xf numFmtId="0" fontId="3" fillId="0" borderId="3" xfId="0" applyFont="1" applyFill="1" applyBorder="1" applyAlignment="1">
      <alignment vertical="center"/>
    </xf>
    <xf numFmtId="0" fontId="4" fillId="0" borderId="0" xfId="0" applyFont="1" applyFill="1" applyAlignment="1"/>
    <xf numFmtId="0" fontId="3" fillId="0" borderId="0" xfId="0" applyFont="1" applyFill="1" applyAlignment="1">
      <alignment horizontal="justify" vertical="top" wrapText="1"/>
    </xf>
    <xf numFmtId="164" fontId="34" fillId="0" borderId="0" xfId="1" applyNumberFormat="1" applyFont="1" applyFill="1"/>
    <xf numFmtId="164" fontId="34" fillId="0" borderId="0" xfId="1" applyNumberFormat="1" applyFont="1" applyFill="1" applyBorder="1" applyAlignment="1">
      <alignment vertical="center"/>
    </xf>
    <xf numFmtId="164" fontId="34" fillId="0" borderId="0" xfId="0" applyNumberFormat="1" applyFont="1" applyFill="1" applyBorder="1" applyAlignment="1">
      <alignment vertical="center"/>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horizontal="justify" vertical="top"/>
    </xf>
    <xf numFmtId="0" fontId="3" fillId="0" borderId="0" xfId="0" applyFont="1" applyFill="1" applyAlignment="1">
      <alignment horizontal="justify" vertical="center" wrapText="1"/>
    </xf>
    <xf numFmtId="0" fontId="3" fillId="0" borderId="0" xfId="0" applyFont="1" applyFill="1" applyAlignment="1">
      <alignment vertical="top"/>
    </xf>
    <xf numFmtId="0" fontId="2" fillId="0" borderId="0" xfId="0" applyFont="1" applyAlignment="1">
      <alignment horizontal="justify" vertical="center" wrapText="1"/>
    </xf>
    <xf numFmtId="0" fontId="4" fillId="0" borderId="0" xfId="0" applyFont="1" applyFill="1" applyAlignment="1">
      <alignment horizontal="center"/>
    </xf>
    <xf numFmtId="0" fontId="3" fillId="0" borderId="0" xfId="0" applyFont="1" applyFill="1" applyAlignment="1">
      <alignment horizontal="justify" vertical="top" wrapText="1"/>
    </xf>
    <xf numFmtId="0" fontId="4" fillId="0" borderId="0" xfId="0" applyFont="1" applyFill="1" applyAlignment="1">
      <alignment horizontal="center"/>
    </xf>
    <xf numFmtId="164" fontId="3" fillId="0" borderId="0" xfId="1" applyNumberFormat="1" applyFont="1" applyFill="1" applyBorder="1" applyAlignment="1">
      <alignment horizontal="left" vertical="top"/>
    </xf>
    <xf numFmtId="164" fontId="24" fillId="0" borderId="0" xfId="1" applyNumberFormat="1" applyFont="1" applyFill="1" applyBorder="1" applyAlignment="1">
      <alignment wrapText="1"/>
    </xf>
    <xf numFmtId="164" fontId="24" fillId="0" borderId="0" xfId="0" applyNumberFormat="1" applyFont="1" applyFill="1" applyBorder="1" applyAlignment="1">
      <alignment wrapText="1"/>
    </xf>
    <xf numFmtId="0" fontId="0" fillId="0" borderId="0" xfId="0" applyAlignment="1">
      <alignment horizontal="center"/>
    </xf>
    <xf numFmtId="0" fontId="3" fillId="0" borderId="0" xfId="0" applyFont="1" applyFill="1" applyAlignment="1">
      <alignment vertical="top"/>
    </xf>
    <xf numFmtId="0" fontId="3" fillId="0" borderId="0" xfId="0" applyFont="1" applyFill="1" applyAlignment="1">
      <alignment horizontal="justify" vertical="top" wrapText="1"/>
    </xf>
    <xf numFmtId="0" fontId="0" fillId="0" borderId="0" xfId="0" applyFill="1" applyAlignment="1">
      <alignment wrapText="1"/>
    </xf>
    <xf numFmtId="0" fontId="3" fillId="0" borderId="0" xfId="0" applyFont="1" applyFill="1" applyAlignment="1">
      <alignment vertical="top" wrapText="1"/>
    </xf>
    <xf numFmtId="0" fontId="3" fillId="0" borderId="0" xfId="0" applyFont="1" applyFill="1" applyAlignment="1">
      <alignment horizontal="justify" vertical="top"/>
    </xf>
    <xf numFmtId="0" fontId="3" fillId="0" borderId="2" xfId="0" applyFont="1" applyFill="1" applyBorder="1" applyAlignment="1">
      <alignment vertical="top" wrapText="1"/>
    </xf>
    <xf numFmtId="0" fontId="3" fillId="0" borderId="2" xfId="0" applyFont="1" applyFill="1" applyBorder="1" applyAlignment="1">
      <alignment horizontal="right" vertical="top"/>
    </xf>
    <xf numFmtId="43" fontId="12" fillId="0" borderId="2" xfId="1" applyNumberFormat="1" applyFont="1" applyFill="1" applyBorder="1" applyAlignment="1">
      <alignment vertical="top"/>
    </xf>
    <xf numFmtId="164" fontId="12" fillId="0" borderId="2" xfId="1" applyNumberFormat="1" applyFont="1" applyFill="1" applyBorder="1" applyAlignment="1">
      <alignment vertical="top"/>
    </xf>
    <xf numFmtId="0" fontId="12" fillId="0" borderId="2" xfId="0" applyFont="1" applyFill="1" applyBorder="1" applyAlignment="1">
      <alignment horizontal="justify" vertical="top"/>
    </xf>
    <xf numFmtId="0" fontId="12" fillId="0" borderId="2" xfId="0" applyFont="1" applyFill="1" applyBorder="1" applyAlignment="1">
      <alignment horizontal="right" vertical="top"/>
    </xf>
    <xf numFmtId="0" fontId="3" fillId="0" borderId="13" xfId="0" applyFont="1" applyFill="1" applyBorder="1" applyAlignment="1">
      <alignment horizontal="right" vertical="top"/>
    </xf>
    <xf numFmtId="43" fontId="12" fillId="0" borderId="13" xfId="1" applyNumberFormat="1" applyFont="1" applyFill="1" applyBorder="1" applyAlignment="1">
      <alignment vertical="top"/>
    </xf>
    <xf numFmtId="164" fontId="12" fillId="0" borderId="13" xfId="1" applyNumberFormat="1" applyFont="1" applyFill="1" applyBorder="1" applyAlignment="1">
      <alignment vertical="top"/>
    </xf>
    <xf numFmtId="0" fontId="12" fillId="0" borderId="13" xfId="0" applyFont="1" applyFill="1" applyBorder="1" applyAlignment="1">
      <alignment horizontal="justify" vertical="top"/>
    </xf>
    <xf numFmtId="0" fontId="12" fillId="0" borderId="13" xfId="0" applyFont="1" applyFill="1" applyBorder="1" applyAlignment="1">
      <alignment horizontal="right" vertical="top"/>
    </xf>
    <xf numFmtId="0" fontId="3" fillId="0" borderId="0" xfId="0" applyFont="1" applyFill="1" applyBorder="1" applyAlignment="1">
      <alignment vertical="top" wrapText="1"/>
    </xf>
    <xf numFmtId="0" fontId="0" fillId="0" borderId="0" xfId="0" applyFill="1" applyBorder="1" applyAlignment="1">
      <alignment wrapText="1"/>
    </xf>
    <xf numFmtId="0" fontId="3" fillId="0" borderId="0" xfId="0" applyFont="1" applyFill="1" applyBorder="1" applyAlignment="1">
      <alignment horizontal="right" vertical="top"/>
    </xf>
    <xf numFmtId="43" fontId="3" fillId="0" borderId="0" xfId="1" applyNumberFormat="1" applyFont="1" applyFill="1" applyBorder="1" applyAlignment="1">
      <alignment vertical="top"/>
    </xf>
    <xf numFmtId="0" fontId="0" fillId="0" borderId="0" xfId="0" applyFill="1" applyBorder="1" applyAlignment="1">
      <alignment vertical="top" wrapText="1"/>
    </xf>
    <xf numFmtId="164" fontId="3" fillId="0" borderId="0" xfId="1" applyNumberFormat="1" applyFont="1" applyFill="1" applyAlignment="1"/>
    <xf numFmtId="164" fontId="3" fillId="0" borderId="0" xfId="1" applyNumberFormat="1" applyFont="1" applyFill="1" applyAlignment="1">
      <alignment horizontal="right" vertical="top"/>
    </xf>
    <xf numFmtId="43" fontId="3" fillId="0" borderId="0" xfId="1" applyFont="1" applyFill="1" applyAlignment="1">
      <alignment horizontal="right" vertical="top"/>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0" fillId="0" borderId="0" xfId="0" applyFill="1" applyAlignment="1">
      <alignment horizontal="justify" wrapText="1"/>
    </xf>
    <xf numFmtId="0" fontId="4" fillId="0" borderId="0" xfId="0" applyFont="1" applyFill="1" applyAlignment="1"/>
    <xf numFmtId="0" fontId="3" fillId="0" borderId="0" xfId="0" applyFont="1" applyFill="1" applyAlignment="1"/>
    <xf numFmtId="0" fontId="4" fillId="0" borderId="2" xfId="0" applyFont="1" applyFill="1" applyBorder="1" applyAlignment="1"/>
    <xf numFmtId="0" fontId="3" fillId="0" borderId="2" xfId="0" applyFont="1" applyFill="1" applyBorder="1" applyAlignment="1"/>
    <xf numFmtId="0" fontId="3" fillId="0" borderId="2" xfId="0" applyFont="1" applyFill="1" applyBorder="1" applyAlignment="1">
      <alignment wrapText="1"/>
    </xf>
    <xf numFmtId="0" fontId="3" fillId="0" borderId="0" xfId="0" applyFont="1" applyFill="1" applyAlignment="1">
      <alignment horizontal="justify" vertical="center" wrapText="1"/>
    </xf>
    <xf numFmtId="0" fontId="3" fillId="0" borderId="0" xfId="0" applyFont="1" applyFill="1" applyAlignment="1">
      <alignment vertical="top"/>
    </xf>
    <xf numFmtId="0" fontId="3" fillId="0" borderId="0" xfId="0" applyFont="1" applyFill="1" applyAlignment="1">
      <alignment wrapText="1"/>
    </xf>
    <xf numFmtId="0" fontId="29" fillId="0" borderId="0" xfId="0" applyFont="1" applyAlignment="1">
      <alignment wrapText="1"/>
    </xf>
    <xf numFmtId="0" fontId="3" fillId="0" borderId="0" xfId="0" applyFont="1" applyAlignment="1">
      <alignment horizontal="justify" vertical="center" wrapText="1"/>
    </xf>
    <xf numFmtId="0" fontId="4" fillId="0" borderId="0" xfId="0" applyFont="1" applyFill="1" applyAlignment="1">
      <alignment horizontal="fill" vertical="top"/>
    </xf>
    <xf numFmtId="0" fontId="3" fillId="0" borderId="0" xfId="0" applyFont="1" applyFill="1" applyAlignment="1">
      <alignment horizontal="fill" vertical="top"/>
    </xf>
    <xf numFmtId="0" fontId="3" fillId="0" borderId="0" xfId="0" applyFont="1" applyFill="1" applyAlignment="1">
      <alignment horizontal="fill" vertical="top" wrapText="1"/>
    </xf>
    <xf numFmtId="0" fontId="3" fillId="0" borderId="0" xfId="0" applyFont="1" applyAlignment="1">
      <alignment horizontal="justify" vertical="center"/>
    </xf>
    <xf numFmtId="0" fontId="0" fillId="0" borderId="0" xfId="0" applyAlignment="1">
      <alignment horizontal="justify" vertical="top" wrapText="1"/>
    </xf>
    <xf numFmtId="0" fontId="3"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xf numFmtId="9" fontId="3" fillId="2" borderId="0" xfId="2" applyFont="1" applyFill="1" applyAlignment="1">
      <alignment horizontal="justify" vertical="top"/>
    </xf>
    <xf numFmtId="164" fontId="4" fillId="0" borderId="6" xfId="0" applyNumberFormat="1" applyFont="1" applyFill="1" applyBorder="1"/>
    <xf numFmtId="164" fontId="4" fillId="0" borderId="6" xfId="1" applyNumberFormat="1" applyFont="1" applyFill="1" applyBorder="1"/>
    <xf numFmtId="0" fontId="3" fillId="0" borderId="0" xfId="0" applyFont="1" applyFill="1" applyAlignment="1">
      <alignment horizontal="center" vertical="top" wrapText="1"/>
    </xf>
    <xf numFmtId="164" fontId="3" fillId="0" borderId="0" xfId="1" applyNumberFormat="1" applyFont="1" applyFill="1" applyAlignment="1">
      <alignment horizontal="justify" vertical="top" wrapText="1"/>
    </xf>
    <xf numFmtId="164" fontId="3" fillId="0" borderId="3" xfId="0" applyNumberFormat="1" applyFont="1" applyFill="1" applyBorder="1" applyAlignment="1">
      <alignment horizontal="justify" vertical="top" wrapText="1"/>
    </xf>
    <xf numFmtId="164" fontId="3" fillId="0" borderId="0" xfId="1" applyNumberFormat="1" applyFont="1" applyFill="1" applyBorder="1" applyAlignment="1">
      <alignment horizontal="right" vertical="top" wrapText="1"/>
    </xf>
    <xf numFmtId="164" fontId="3" fillId="0" borderId="0" xfId="0" applyNumberFormat="1" applyFont="1" applyFill="1" applyBorder="1" applyAlignment="1">
      <alignment horizontal="justify" vertical="top" wrapText="1"/>
    </xf>
    <xf numFmtId="164" fontId="3" fillId="0" borderId="3" xfId="0" applyNumberFormat="1" applyFont="1" applyFill="1" applyBorder="1" applyAlignment="1">
      <alignment horizontal="right" vertical="top" wrapText="1"/>
    </xf>
    <xf numFmtId="164" fontId="3" fillId="0" borderId="0" xfId="1" applyNumberFormat="1" applyFont="1" applyFill="1" applyBorder="1" applyAlignment="1">
      <alignment horizontal="right" vertical="center" wrapText="1"/>
    </xf>
    <xf numFmtId="0" fontId="3" fillId="0" borderId="0" xfId="0" applyFont="1" applyFill="1" applyAlignment="1">
      <alignment horizontal="right" vertical="center" wrapText="1"/>
    </xf>
    <xf numFmtId="164" fontId="3" fillId="0" borderId="3" xfId="0" applyNumberFormat="1" applyFont="1" applyFill="1" applyBorder="1" applyAlignment="1">
      <alignment horizontal="right" vertical="center" wrapText="1"/>
    </xf>
    <xf numFmtId="0" fontId="4"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0" fillId="0" borderId="0" xfId="0" applyFill="1" applyAlignment="1">
      <alignment horizontal="justify" wrapText="1"/>
    </xf>
    <xf numFmtId="0" fontId="3" fillId="0" borderId="0" xfId="0" applyFont="1" applyFill="1" applyAlignment="1">
      <alignment horizontal="justify" wrapText="1"/>
    </xf>
    <xf numFmtId="0" fontId="4" fillId="0" borderId="0" xfId="0" applyFont="1" applyFill="1" applyAlignment="1"/>
    <xf numFmtId="164" fontId="24" fillId="0" borderId="0" xfId="1" applyNumberFormat="1" applyFont="1" applyFill="1" applyAlignment="1">
      <alignment wrapText="1"/>
    </xf>
    <xf numFmtId="164" fontId="24" fillId="0" borderId="3" xfId="0" applyNumberFormat="1" applyFont="1" applyFill="1" applyBorder="1" applyAlignment="1">
      <alignment wrapText="1"/>
    </xf>
    <xf numFmtId="0" fontId="3" fillId="0" borderId="0" xfId="0" applyFont="1" applyFill="1" applyAlignment="1">
      <alignment horizontal="justify" vertical="top" wrapText="1"/>
    </xf>
    <xf numFmtId="0" fontId="3" fillId="0" borderId="0" xfId="0" applyFont="1" applyFill="1" applyAlignment="1">
      <alignment wrapText="1"/>
    </xf>
    <xf numFmtId="164" fontId="19" fillId="0" borderId="0" xfId="0" applyNumberFormat="1" applyFont="1" applyFill="1"/>
    <xf numFmtId="0" fontId="19" fillId="4" borderId="0" xfId="0" applyFont="1" applyFill="1"/>
    <xf numFmtId="164" fontId="34" fillId="0" borderId="0" xfId="2" applyNumberFormat="1" applyFont="1" applyFill="1" applyBorder="1" applyAlignment="1">
      <alignment vertical="center"/>
    </xf>
    <xf numFmtId="0" fontId="19"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applyProtection="1">
      <alignment vertical="top" wrapText="1"/>
      <protection locked="0"/>
    </xf>
    <xf numFmtId="0" fontId="4" fillId="0" borderId="0" xfId="0" applyFont="1" applyFill="1" applyAlignment="1" applyProtection="1">
      <alignment vertical="top" wrapTex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0" fillId="0" borderId="0" xfId="0" applyAlignment="1">
      <alignment vertical="top" wrapText="1"/>
    </xf>
    <xf numFmtId="0" fontId="3" fillId="0" borderId="0" xfId="0" applyFont="1" applyFill="1" applyAlignment="1">
      <alignment vertical="top" wrapText="1"/>
    </xf>
    <xf numFmtId="0" fontId="4" fillId="0" borderId="0" xfId="0" applyFont="1" applyFill="1" applyAlignment="1">
      <alignment horizontal="center"/>
    </xf>
    <xf numFmtId="0" fontId="8" fillId="0" borderId="0" xfId="0" applyFont="1" applyFill="1" applyBorder="1" applyAlignment="1">
      <alignment horizontal="center" wrapText="1"/>
    </xf>
    <xf numFmtId="0" fontId="0" fillId="0" borderId="0" xfId="0" applyAlignment="1">
      <alignment horizontal="center" wrapText="1"/>
    </xf>
    <xf numFmtId="0" fontId="3" fillId="0" borderId="0" xfId="0" applyFont="1" applyFill="1" applyBorder="1" applyAlignment="1">
      <alignment horizontal="center" wrapText="1"/>
    </xf>
    <xf numFmtId="0" fontId="3" fillId="0" borderId="0" xfId="0" applyNumberFormat="1" applyFont="1" applyFill="1" applyBorder="1" applyAlignment="1">
      <alignment horizontal="center" vertical="top" wrapText="1"/>
    </xf>
    <xf numFmtId="0" fontId="0" fillId="0" borderId="0" xfId="0" applyAlignment="1">
      <alignment horizontal="center"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0" fillId="0" borderId="0" xfId="0" applyAlignment="1">
      <alignment horizontal="justify" vertical="top" wrapText="1"/>
    </xf>
    <xf numFmtId="0" fontId="4" fillId="0" borderId="0" xfId="0" applyFont="1" applyFill="1" applyAlignment="1">
      <alignment horizontal="justify" wrapText="1"/>
    </xf>
    <xf numFmtId="0" fontId="0" fillId="0" borderId="0" xfId="0" applyAlignment="1">
      <alignment horizontal="justify" wrapText="1"/>
    </xf>
    <xf numFmtId="0" fontId="4" fillId="0" borderId="0" xfId="0" applyFont="1" applyFill="1" applyAlignment="1">
      <alignment horizontal="center" wrapText="1"/>
    </xf>
    <xf numFmtId="0" fontId="3"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3" fillId="0" borderId="0" xfId="0" applyFont="1" applyFill="1" applyAlignment="1" applyProtection="1">
      <alignment horizontal="left" vertical="center" wrapText="1"/>
      <protection locked="0"/>
    </xf>
    <xf numFmtId="0" fontId="5" fillId="0" borderId="0" xfId="0" applyFont="1" applyFill="1" applyAlignment="1">
      <alignment wrapText="1"/>
    </xf>
    <xf numFmtId="0" fontId="0" fillId="0" borderId="0" xfId="0" applyFill="1" applyAlignment="1">
      <alignment horizontal="justify" vertical="top" wrapText="1"/>
    </xf>
    <xf numFmtId="0" fontId="0" fillId="0" borderId="0" xfId="0" applyFill="1" applyAlignment="1">
      <alignment wrapText="1"/>
    </xf>
    <xf numFmtId="0" fontId="0" fillId="0" borderId="0" xfId="0" applyAlignment="1">
      <alignment vertical="center" wrapText="1"/>
    </xf>
    <xf numFmtId="0" fontId="4" fillId="0" borderId="0" xfId="0" applyFont="1" applyFill="1" applyAlignment="1" applyProtection="1">
      <alignment horizontal="justify" vertical="center" wrapText="1"/>
      <protection locked="0"/>
    </xf>
    <xf numFmtId="0" fontId="3" fillId="0" borderId="0" xfId="0" applyFont="1" applyFill="1" applyAlignment="1">
      <alignment vertical="top"/>
    </xf>
    <xf numFmtId="0" fontId="4" fillId="0" borderId="0" xfId="0" applyFont="1" applyFill="1" applyAlignment="1">
      <alignment vertical="center"/>
    </xf>
    <xf numFmtId="0" fontId="6" fillId="0" borderId="0" xfId="0" applyFont="1" applyFill="1" applyAlignment="1">
      <alignment horizontal="justify" vertical="top" wrapText="1"/>
    </xf>
    <xf numFmtId="0" fontId="4" fillId="0" borderId="0" xfId="0" applyFont="1" applyFill="1" applyAlignment="1">
      <alignment wrapText="1"/>
    </xf>
    <xf numFmtId="0" fontId="4" fillId="0" borderId="0" xfId="0" applyFont="1" applyFill="1" applyAlignment="1">
      <alignment horizontal="justify" vertical="center" wrapText="1"/>
    </xf>
    <xf numFmtId="0" fontId="3"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166" fontId="4" fillId="0" borderId="0" xfId="0" applyNumberFormat="1" applyFont="1" applyFill="1" applyBorder="1" applyAlignment="1">
      <alignment horizontal="center" wrapText="1"/>
    </xf>
    <xf numFmtId="166" fontId="4" fillId="0" borderId="0"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vertical="top" wrapText="1"/>
    </xf>
    <xf numFmtId="0" fontId="24" fillId="0" borderId="0" xfId="0" applyFont="1" applyFill="1" applyAlignment="1">
      <alignment horizontal="justify" wrapText="1"/>
    </xf>
    <xf numFmtId="0" fontId="0" fillId="0" borderId="0" xfId="0" applyFill="1"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applyFont="1" applyFill="1" applyAlignment="1">
      <alignment wrapText="1"/>
    </xf>
    <xf numFmtId="164" fontId="3" fillId="0" borderId="0" xfId="1" applyNumberFormat="1" applyFont="1" applyFill="1" applyAlignment="1">
      <alignment horizontal="justify" wrapText="1"/>
    </xf>
    <xf numFmtId="0" fontId="3" fillId="0" borderId="13" xfId="0" applyFont="1" applyFill="1" applyBorder="1" applyAlignment="1">
      <alignment vertical="top" wrapText="1"/>
    </xf>
    <xf numFmtId="0" fontId="0" fillId="0" borderId="13" xfId="0" applyFill="1" applyBorder="1" applyAlignment="1">
      <alignment wrapText="1"/>
    </xf>
    <xf numFmtId="0" fontId="4" fillId="0" borderId="0" xfId="0" applyFont="1" applyFill="1" applyAlignment="1">
      <alignment horizontal="left" vertical="top"/>
    </xf>
    <xf numFmtId="0" fontId="3" fillId="0" borderId="0" xfId="0" applyFont="1" applyFill="1" applyAlignment="1">
      <alignment horizontal="left" wrapText="1"/>
    </xf>
    <xf numFmtId="0" fontId="4" fillId="0" borderId="0" xfId="0" applyFont="1" applyFill="1" applyAlignment="1"/>
    <xf numFmtId="0" fontId="3" fillId="0" borderId="0" xfId="0" applyFont="1" applyFill="1" applyAlignment="1">
      <alignment horizontal="justify" vertical="justify" wrapText="1"/>
    </xf>
    <xf numFmtId="0" fontId="0" fillId="0" borderId="0" xfId="0" applyAlignment="1">
      <alignment horizontal="justify" vertical="justify" wrapText="1"/>
    </xf>
    <xf numFmtId="0" fontId="0" fillId="0" borderId="0" xfId="0" applyAlignment="1">
      <alignment wrapText="1"/>
    </xf>
    <xf numFmtId="0" fontId="4" fillId="0" borderId="0" xfId="0" applyFont="1" applyFill="1" applyAlignment="1">
      <alignment horizontal="left" vertical="top" wrapText="1"/>
    </xf>
    <xf numFmtId="0" fontId="4" fillId="0" borderId="0" xfId="0" applyFont="1" applyFill="1" applyAlignment="1">
      <alignment horizontal="justify" vertical="top"/>
    </xf>
    <xf numFmtId="0" fontId="3" fillId="0" borderId="0" xfId="0" applyFont="1" applyFill="1" applyAlignment="1">
      <alignment horizontal="left" vertical="top" wrapText="1"/>
    </xf>
    <xf numFmtId="0" fontId="29" fillId="0" borderId="0" xfId="0" applyFont="1" applyAlignment="1">
      <alignment horizontal="justify" vertical="top" wrapText="1"/>
    </xf>
    <xf numFmtId="0" fontId="17" fillId="0" borderId="0" xfId="0" applyFont="1" applyFill="1" applyAlignment="1">
      <alignment horizontal="center" vertical="top"/>
    </xf>
    <xf numFmtId="0" fontId="3" fillId="0" borderId="0" xfId="0" applyFont="1" applyAlignment="1">
      <alignment horizontal="justify" vertical="center" wrapText="1"/>
    </xf>
    <xf numFmtId="0" fontId="29" fillId="0" borderId="0" xfId="0" applyFont="1" applyAlignment="1">
      <alignment wrapText="1"/>
    </xf>
    <xf numFmtId="0" fontId="2" fillId="0" borderId="0" xfId="0" applyFont="1" applyAlignment="1">
      <alignment horizontal="justify" vertical="center" wrapText="1"/>
    </xf>
    <xf numFmtId="0" fontId="3" fillId="0" borderId="0" xfId="0" applyFont="1" applyAlignment="1">
      <alignment horizontal="justify" wrapText="1"/>
    </xf>
    <xf numFmtId="0" fontId="35" fillId="0" borderId="0" xfId="0" applyFont="1" applyAlignment="1">
      <alignment horizontal="justify" vertical="center" wrapText="1"/>
    </xf>
    <xf numFmtId="0" fontId="29" fillId="0" borderId="0" xfId="0" applyFont="1" applyAlignment="1">
      <alignment horizontal="justify" wrapText="1"/>
    </xf>
    <xf numFmtId="0" fontId="4" fillId="0" borderId="10" xfId="0" applyFont="1" applyFill="1"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4" fillId="0" borderId="10" xfId="0" applyFont="1" applyFill="1" applyBorder="1" applyAlignment="1">
      <alignment horizontal="center" vertical="top"/>
    </xf>
    <xf numFmtId="0" fontId="4" fillId="0" borderId="7" xfId="0" applyFont="1" applyFill="1" applyBorder="1" applyAlignment="1">
      <alignment horizontal="center" vertical="top"/>
    </xf>
    <xf numFmtId="0" fontId="4" fillId="0" borderId="11" xfId="0" applyFont="1" applyFill="1" applyBorder="1" applyAlignment="1">
      <alignment horizontal="center" vertical="top"/>
    </xf>
    <xf numFmtId="0" fontId="0" fillId="0" borderId="0" xfId="0" applyFill="1" applyAlignment="1">
      <alignment horizontal="justify" vertical="center" wrapText="1"/>
    </xf>
    <xf numFmtId="0" fontId="4" fillId="0" borderId="0" xfId="3" applyFont="1" applyFill="1" applyAlignment="1">
      <alignment horizontal="left" wrapText="1"/>
    </xf>
    <xf numFmtId="0" fontId="0" fillId="0" borderId="0" xfId="0" applyAlignment="1">
      <alignment horizontal="left" wrapText="1"/>
    </xf>
    <xf numFmtId="0" fontId="2" fillId="0" borderId="0" xfId="0" applyFont="1" applyFill="1" applyAlignment="1">
      <alignment wrapText="1"/>
    </xf>
    <xf numFmtId="0" fontId="4" fillId="0" borderId="0" xfId="0" applyFont="1" applyFill="1" applyBorder="1" applyAlignment="1">
      <alignment horizontal="center" vertical="top"/>
    </xf>
    <xf numFmtId="0" fontId="2" fillId="0" borderId="0" xfId="0" applyFont="1" applyFill="1" applyAlignment="1">
      <alignment horizontal="justify" wrapText="1"/>
    </xf>
    <xf numFmtId="0" fontId="3" fillId="0" borderId="0" xfId="0" applyFont="1" applyFill="1" applyAlignment="1"/>
    <xf numFmtId="0" fontId="4" fillId="0" borderId="0" xfId="0" applyFont="1" applyFill="1" applyBorder="1" applyAlignment="1">
      <alignment horizontal="center" wrapText="1"/>
    </xf>
    <xf numFmtId="0" fontId="3" fillId="0" borderId="0" xfId="0" applyFont="1" applyFill="1" applyBorder="1" applyAlignment="1">
      <alignment wrapText="1"/>
    </xf>
    <xf numFmtId="0" fontId="3" fillId="3" borderId="0" xfId="0" applyFont="1" applyFill="1" applyAlignment="1">
      <alignment vertical="center" wrapText="1"/>
    </xf>
    <xf numFmtId="0" fontId="4" fillId="0" borderId="12" xfId="3" applyFont="1" applyFill="1" applyBorder="1" applyAlignment="1">
      <alignment horizontal="left" wrapText="1"/>
    </xf>
    <xf numFmtId="0" fontId="0" fillId="0" borderId="12" xfId="0" applyBorder="1" applyAlignment="1">
      <alignment horizontal="left" wrapText="1"/>
    </xf>
    <xf numFmtId="16" fontId="4" fillId="0" borderId="0" xfId="3" quotePrefix="1" applyNumberFormat="1" applyFont="1" applyFill="1" applyAlignment="1">
      <alignment horizontal="left" wrapText="1"/>
    </xf>
    <xf numFmtId="0" fontId="3" fillId="0" borderId="0" xfId="0" applyFont="1" applyAlignment="1">
      <alignment horizontal="justify" vertical="top" wrapText="1"/>
    </xf>
    <xf numFmtId="0" fontId="2" fillId="0" borderId="0" xfId="0" applyFont="1" applyAlignment="1">
      <alignment vertical="center" wrapText="1"/>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609600</xdr:colOff>
      <xdr:row>9</xdr:row>
      <xdr:rowOff>0</xdr:rowOff>
    </xdr:from>
    <xdr:to>
      <xdr:col>2</xdr:col>
      <xdr:colOff>30480</xdr:colOff>
      <xdr:row>9</xdr:row>
      <xdr:rowOff>0</xdr:rowOff>
    </xdr:to>
    <xdr:sp macro="" textlink="">
      <xdr:nvSpPr>
        <xdr:cNvPr id="2" name="Line 2"/>
        <xdr:cNvSpPr>
          <a:spLocks noChangeShapeType="1"/>
        </xdr:cNvSpPr>
      </xdr:nvSpPr>
      <xdr:spPr bwMode="auto">
        <a:xfrm flipV="1">
          <a:off x="3181350" y="1543050"/>
          <a:ext cx="5257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2543174</xdr:colOff>
      <xdr:row>9</xdr:row>
      <xdr:rowOff>0</xdr:rowOff>
    </xdr:from>
    <xdr:to>
      <xdr:col>1</xdr:col>
      <xdr:colOff>617219</xdr:colOff>
      <xdr:row>9</xdr:row>
      <xdr:rowOff>0</xdr:rowOff>
    </xdr:to>
    <xdr:sp macro="" textlink="">
      <xdr:nvSpPr>
        <xdr:cNvPr id="3" name="Line 6"/>
        <xdr:cNvSpPr>
          <a:spLocks noChangeShapeType="1"/>
        </xdr:cNvSpPr>
      </xdr:nvSpPr>
      <xdr:spPr bwMode="auto">
        <a:xfrm flipH="1">
          <a:off x="2543174" y="1543050"/>
          <a:ext cx="64579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609600</xdr:colOff>
      <xdr:row>9</xdr:row>
      <xdr:rowOff>0</xdr:rowOff>
    </xdr:from>
    <xdr:to>
      <xdr:col>4</xdr:col>
      <xdr:colOff>30480</xdr:colOff>
      <xdr:row>9</xdr:row>
      <xdr:rowOff>0</xdr:rowOff>
    </xdr:to>
    <xdr:sp macro="" textlink="">
      <xdr:nvSpPr>
        <xdr:cNvPr id="4" name="Line 7"/>
        <xdr:cNvSpPr>
          <a:spLocks noChangeShapeType="1"/>
        </xdr:cNvSpPr>
      </xdr:nvSpPr>
      <xdr:spPr bwMode="auto">
        <a:xfrm flipV="1">
          <a:off x="4438650" y="1543050"/>
          <a:ext cx="5257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2377440</xdr:colOff>
      <xdr:row>9</xdr:row>
      <xdr:rowOff>0</xdr:rowOff>
    </xdr:from>
    <xdr:to>
      <xdr:col>3</xdr:col>
      <xdr:colOff>617220</xdr:colOff>
      <xdr:row>9</xdr:row>
      <xdr:rowOff>0</xdr:rowOff>
    </xdr:to>
    <xdr:sp macro="" textlink="">
      <xdr:nvSpPr>
        <xdr:cNvPr id="5" name="Line 8"/>
        <xdr:cNvSpPr>
          <a:spLocks noChangeShapeType="1"/>
        </xdr:cNvSpPr>
      </xdr:nvSpPr>
      <xdr:spPr bwMode="auto">
        <a:xfrm flipH="1">
          <a:off x="3825240" y="1543050"/>
          <a:ext cx="6210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419100</xdr:colOff>
      <xdr:row>8</xdr:row>
      <xdr:rowOff>190499</xdr:rowOff>
    </xdr:from>
    <xdr:to>
      <xdr:col>10</xdr:col>
      <xdr:colOff>1040129</xdr:colOff>
      <xdr:row>9</xdr:row>
      <xdr:rowOff>0</xdr:rowOff>
    </xdr:to>
    <xdr:sp macro="" textlink="">
      <xdr:nvSpPr>
        <xdr:cNvPr id="6" name="Line 9"/>
        <xdr:cNvSpPr>
          <a:spLocks noChangeShapeType="1"/>
        </xdr:cNvSpPr>
      </xdr:nvSpPr>
      <xdr:spPr bwMode="auto">
        <a:xfrm flipV="1">
          <a:off x="7753350" y="1771649"/>
          <a:ext cx="621029"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66669</xdr:colOff>
      <xdr:row>8</xdr:row>
      <xdr:rowOff>190499</xdr:rowOff>
    </xdr:from>
    <xdr:to>
      <xdr:col>10</xdr:col>
      <xdr:colOff>657225</xdr:colOff>
      <xdr:row>9</xdr:row>
      <xdr:rowOff>0</xdr:rowOff>
    </xdr:to>
    <xdr:sp macro="" textlink="">
      <xdr:nvSpPr>
        <xdr:cNvPr id="7" name="Line 10"/>
        <xdr:cNvSpPr>
          <a:spLocks noChangeShapeType="1"/>
        </xdr:cNvSpPr>
      </xdr:nvSpPr>
      <xdr:spPr bwMode="auto">
        <a:xfrm flipH="1">
          <a:off x="7400919" y="1771649"/>
          <a:ext cx="590556"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609600</xdr:colOff>
      <xdr:row>9</xdr:row>
      <xdr:rowOff>0</xdr:rowOff>
    </xdr:from>
    <xdr:to>
      <xdr:col>13</xdr:col>
      <xdr:colOff>30480</xdr:colOff>
      <xdr:row>9</xdr:row>
      <xdr:rowOff>0</xdr:rowOff>
    </xdr:to>
    <xdr:sp macro="" textlink="">
      <xdr:nvSpPr>
        <xdr:cNvPr id="8" name="Line 11"/>
        <xdr:cNvSpPr>
          <a:spLocks noChangeShapeType="1"/>
        </xdr:cNvSpPr>
      </xdr:nvSpPr>
      <xdr:spPr bwMode="auto">
        <a:xfrm flipV="1">
          <a:off x="9077325" y="1543050"/>
          <a:ext cx="42100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2377440</xdr:colOff>
      <xdr:row>9</xdr:row>
      <xdr:rowOff>0</xdr:rowOff>
    </xdr:from>
    <xdr:to>
      <xdr:col>12</xdr:col>
      <xdr:colOff>617220</xdr:colOff>
      <xdr:row>9</xdr:row>
      <xdr:rowOff>0</xdr:rowOff>
    </xdr:to>
    <xdr:sp macro="" textlink="">
      <xdr:nvSpPr>
        <xdr:cNvPr id="9" name="Line 12"/>
        <xdr:cNvSpPr>
          <a:spLocks noChangeShapeType="1"/>
        </xdr:cNvSpPr>
      </xdr:nvSpPr>
      <xdr:spPr bwMode="auto">
        <a:xfrm flipH="1">
          <a:off x="8311515" y="1543050"/>
          <a:ext cx="7734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601980</xdr:colOff>
      <xdr:row>9</xdr:row>
      <xdr:rowOff>0</xdr:rowOff>
    </xdr:from>
    <xdr:to>
      <xdr:col>15</xdr:col>
      <xdr:colOff>30480</xdr:colOff>
      <xdr:row>9</xdr:row>
      <xdr:rowOff>0</xdr:rowOff>
    </xdr:to>
    <xdr:sp macro="" textlink="">
      <xdr:nvSpPr>
        <xdr:cNvPr id="10" name="Line 13"/>
        <xdr:cNvSpPr>
          <a:spLocks noChangeShapeType="1"/>
        </xdr:cNvSpPr>
      </xdr:nvSpPr>
      <xdr:spPr bwMode="auto">
        <a:xfrm flipV="1">
          <a:off x="10155555" y="1543050"/>
          <a:ext cx="409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2415540</xdr:colOff>
      <xdr:row>9</xdr:row>
      <xdr:rowOff>0</xdr:rowOff>
    </xdr:from>
    <xdr:to>
      <xdr:col>14</xdr:col>
      <xdr:colOff>617220</xdr:colOff>
      <xdr:row>9</xdr:row>
      <xdr:rowOff>0</xdr:rowOff>
    </xdr:to>
    <xdr:sp macro="" textlink="">
      <xdr:nvSpPr>
        <xdr:cNvPr id="11" name="Line 14"/>
        <xdr:cNvSpPr>
          <a:spLocks noChangeShapeType="1"/>
        </xdr:cNvSpPr>
      </xdr:nvSpPr>
      <xdr:spPr bwMode="auto">
        <a:xfrm flipH="1">
          <a:off x="9549765" y="1543050"/>
          <a:ext cx="6210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609600</xdr:colOff>
      <xdr:row>9</xdr:row>
      <xdr:rowOff>0</xdr:rowOff>
    </xdr:from>
    <xdr:to>
      <xdr:col>17</xdr:col>
      <xdr:colOff>30480</xdr:colOff>
      <xdr:row>9</xdr:row>
      <xdr:rowOff>0</xdr:rowOff>
    </xdr:to>
    <xdr:sp macro="" textlink="">
      <xdr:nvSpPr>
        <xdr:cNvPr id="12" name="Line 15"/>
        <xdr:cNvSpPr>
          <a:spLocks noChangeShapeType="1"/>
        </xdr:cNvSpPr>
      </xdr:nvSpPr>
      <xdr:spPr bwMode="auto">
        <a:xfrm flipV="1">
          <a:off x="11229975" y="1543050"/>
          <a:ext cx="6591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2415540</xdr:colOff>
      <xdr:row>9</xdr:row>
      <xdr:rowOff>0</xdr:rowOff>
    </xdr:from>
    <xdr:to>
      <xdr:col>16</xdr:col>
      <xdr:colOff>617220</xdr:colOff>
      <xdr:row>9</xdr:row>
      <xdr:rowOff>0</xdr:rowOff>
    </xdr:to>
    <xdr:sp macro="" textlink="">
      <xdr:nvSpPr>
        <xdr:cNvPr id="13" name="Line 16"/>
        <xdr:cNvSpPr>
          <a:spLocks noChangeShapeType="1"/>
        </xdr:cNvSpPr>
      </xdr:nvSpPr>
      <xdr:spPr bwMode="auto">
        <a:xfrm flipH="1">
          <a:off x="10616565" y="1543050"/>
          <a:ext cx="6210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601980</xdr:colOff>
      <xdr:row>9</xdr:row>
      <xdr:rowOff>0</xdr:rowOff>
    </xdr:from>
    <xdr:to>
      <xdr:col>19</xdr:col>
      <xdr:colOff>30480</xdr:colOff>
      <xdr:row>9</xdr:row>
      <xdr:rowOff>0</xdr:rowOff>
    </xdr:to>
    <xdr:sp macro="" textlink="">
      <xdr:nvSpPr>
        <xdr:cNvPr id="14" name="Line 17"/>
        <xdr:cNvSpPr>
          <a:spLocks noChangeShapeType="1"/>
        </xdr:cNvSpPr>
      </xdr:nvSpPr>
      <xdr:spPr bwMode="auto">
        <a:xfrm flipV="1">
          <a:off x="12536805" y="1543050"/>
          <a:ext cx="342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2270760</xdr:colOff>
      <xdr:row>9</xdr:row>
      <xdr:rowOff>0</xdr:rowOff>
    </xdr:from>
    <xdr:to>
      <xdr:col>18</xdr:col>
      <xdr:colOff>617220</xdr:colOff>
      <xdr:row>9</xdr:row>
      <xdr:rowOff>0</xdr:rowOff>
    </xdr:to>
    <xdr:sp macro="" textlink="">
      <xdr:nvSpPr>
        <xdr:cNvPr id="15" name="Line 18"/>
        <xdr:cNvSpPr>
          <a:spLocks noChangeShapeType="1"/>
        </xdr:cNvSpPr>
      </xdr:nvSpPr>
      <xdr:spPr bwMode="auto">
        <a:xfrm flipH="1">
          <a:off x="11938635" y="1543050"/>
          <a:ext cx="61341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2543173</xdr:colOff>
      <xdr:row>5</xdr:row>
      <xdr:rowOff>0</xdr:rowOff>
    </xdr:from>
    <xdr:to>
      <xdr:col>10</xdr:col>
      <xdr:colOff>0</xdr:colOff>
      <xdr:row>5</xdr:row>
      <xdr:rowOff>9525</xdr:rowOff>
    </xdr:to>
    <xdr:sp macro="" textlink="">
      <xdr:nvSpPr>
        <xdr:cNvPr id="16" name="Line 19"/>
        <xdr:cNvSpPr>
          <a:spLocks noChangeShapeType="1"/>
        </xdr:cNvSpPr>
      </xdr:nvSpPr>
      <xdr:spPr bwMode="auto">
        <a:xfrm flipH="1" flipV="1">
          <a:off x="2543173" y="952500"/>
          <a:ext cx="4810126"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1089660</xdr:colOff>
      <xdr:row>5</xdr:row>
      <xdr:rowOff>7620</xdr:rowOff>
    </xdr:from>
    <xdr:to>
      <xdr:col>15</xdr:col>
      <xdr:colOff>7620</xdr:colOff>
      <xdr:row>5</xdr:row>
      <xdr:rowOff>7620</xdr:rowOff>
    </xdr:to>
    <xdr:sp macro="" textlink="">
      <xdr:nvSpPr>
        <xdr:cNvPr id="17" name="Line 20"/>
        <xdr:cNvSpPr>
          <a:spLocks noChangeShapeType="1"/>
        </xdr:cNvSpPr>
      </xdr:nvSpPr>
      <xdr:spPr bwMode="auto">
        <a:xfrm>
          <a:off x="4918710" y="960120"/>
          <a:ext cx="56235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781050</xdr:colOff>
      <xdr:row>6</xdr:row>
      <xdr:rowOff>9524</xdr:rowOff>
    </xdr:from>
    <xdr:to>
      <xdr:col>10</xdr:col>
      <xdr:colOff>1038225</xdr:colOff>
      <xdr:row>6</xdr:row>
      <xdr:rowOff>9524</xdr:rowOff>
    </xdr:to>
    <xdr:sp macro="" textlink="">
      <xdr:nvSpPr>
        <xdr:cNvPr id="18" name="Line 21"/>
        <xdr:cNvSpPr>
          <a:spLocks noChangeShapeType="1"/>
        </xdr:cNvSpPr>
      </xdr:nvSpPr>
      <xdr:spPr bwMode="auto">
        <a:xfrm flipV="1">
          <a:off x="4610100" y="1171574"/>
          <a:ext cx="37623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19049</xdr:colOff>
      <xdr:row>6</xdr:row>
      <xdr:rowOff>9525</xdr:rowOff>
    </xdr:from>
    <xdr:to>
      <xdr:col>3</xdr:col>
      <xdr:colOff>821054</xdr:colOff>
      <xdr:row>6</xdr:row>
      <xdr:rowOff>9525</xdr:rowOff>
    </xdr:to>
    <xdr:sp macro="" textlink="">
      <xdr:nvSpPr>
        <xdr:cNvPr id="19" name="Line 22"/>
        <xdr:cNvSpPr>
          <a:spLocks noChangeShapeType="1"/>
        </xdr:cNvSpPr>
      </xdr:nvSpPr>
      <xdr:spPr bwMode="auto">
        <a:xfrm flipH="1">
          <a:off x="2590799" y="1171575"/>
          <a:ext cx="205930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527685</xdr:colOff>
      <xdr:row>6</xdr:row>
      <xdr:rowOff>55245</xdr:rowOff>
    </xdr:from>
    <xdr:to>
      <xdr:col>13</xdr:col>
      <xdr:colOff>78105</xdr:colOff>
      <xdr:row>6</xdr:row>
      <xdr:rowOff>55245</xdr:rowOff>
    </xdr:to>
    <xdr:sp macro="" textlink="">
      <xdr:nvSpPr>
        <xdr:cNvPr id="20" name="Line 23"/>
        <xdr:cNvSpPr>
          <a:spLocks noChangeShapeType="1"/>
        </xdr:cNvSpPr>
      </xdr:nvSpPr>
      <xdr:spPr bwMode="auto">
        <a:xfrm>
          <a:off x="9062085" y="1217295"/>
          <a:ext cx="55054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95250</xdr:colOff>
      <xdr:row>6</xdr:row>
      <xdr:rowOff>55244</xdr:rowOff>
    </xdr:from>
    <xdr:to>
      <xdr:col>12</xdr:col>
      <xdr:colOff>638175</xdr:colOff>
      <xdr:row>6</xdr:row>
      <xdr:rowOff>57149</xdr:rowOff>
    </xdr:to>
    <xdr:sp macro="" textlink="">
      <xdr:nvSpPr>
        <xdr:cNvPr id="21" name="Line 24"/>
        <xdr:cNvSpPr>
          <a:spLocks noChangeShapeType="1"/>
        </xdr:cNvSpPr>
      </xdr:nvSpPr>
      <xdr:spPr bwMode="auto">
        <a:xfrm flipH="1" flipV="1">
          <a:off x="8629650" y="1217294"/>
          <a:ext cx="542925" cy="19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9</xdr:row>
      <xdr:rowOff>0</xdr:rowOff>
    </xdr:from>
    <xdr:to>
      <xdr:col>7</xdr:col>
      <xdr:colOff>30480</xdr:colOff>
      <xdr:row>9</xdr:row>
      <xdr:rowOff>0</xdr:rowOff>
    </xdr:to>
    <xdr:sp macro="" textlink="">
      <xdr:nvSpPr>
        <xdr:cNvPr id="22" name="Line 25"/>
        <xdr:cNvSpPr>
          <a:spLocks noChangeShapeType="1"/>
        </xdr:cNvSpPr>
      </xdr:nvSpPr>
      <xdr:spPr bwMode="auto">
        <a:xfrm flipV="1">
          <a:off x="5619750" y="1543050"/>
          <a:ext cx="44005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9</xdr:row>
      <xdr:rowOff>0</xdr:rowOff>
    </xdr:from>
    <xdr:to>
      <xdr:col>6</xdr:col>
      <xdr:colOff>632460</xdr:colOff>
      <xdr:row>9</xdr:row>
      <xdr:rowOff>0</xdr:rowOff>
    </xdr:to>
    <xdr:sp macro="" textlink="">
      <xdr:nvSpPr>
        <xdr:cNvPr id="23" name="Line 26"/>
        <xdr:cNvSpPr>
          <a:spLocks noChangeShapeType="1"/>
        </xdr:cNvSpPr>
      </xdr:nvSpPr>
      <xdr:spPr bwMode="auto">
        <a:xfrm flipH="1" flipV="1">
          <a:off x="5017770" y="1543050"/>
          <a:ext cx="624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9</xdr:row>
      <xdr:rowOff>0</xdr:rowOff>
    </xdr:from>
    <xdr:to>
      <xdr:col>9</xdr:col>
      <xdr:colOff>30480</xdr:colOff>
      <xdr:row>9</xdr:row>
      <xdr:rowOff>0</xdr:rowOff>
    </xdr:to>
    <xdr:sp macro="" textlink="">
      <xdr:nvSpPr>
        <xdr:cNvPr id="24" name="Line 9"/>
        <xdr:cNvSpPr>
          <a:spLocks noChangeShapeType="1"/>
        </xdr:cNvSpPr>
      </xdr:nvSpPr>
      <xdr:spPr bwMode="auto">
        <a:xfrm flipV="1">
          <a:off x="6762750" y="1543050"/>
          <a:ext cx="35433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9</xdr:row>
      <xdr:rowOff>0</xdr:rowOff>
    </xdr:from>
    <xdr:to>
      <xdr:col>8</xdr:col>
      <xdr:colOff>640080</xdr:colOff>
      <xdr:row>9</xdr:row>
      <xdr:rowOff>0</xdr:rowOff>
    </xdr:to>
    <xdr:sp macro="" textlink="">
      <xdr:nvSpPr>
        <xdr:cNvPr id="25" name="Line 10"/>
        <xdr:cNvSpPr>
          <a:spLocks noChangeShapeType="1"/>
        </xdr:cNvSpPr>
      </xdr:nvSpPr>
      <xdr:spPr bwMode="auto">
        <a:xfrm flipH="1" flipV="1">
          <a:off x="6160770" y="1543050"/>
          <a:ext cx="6324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QtrAnnouncement\2012\Announcement\Q1\B4frs141\THP-2012Q1(B4FRS1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QtrAnnouncement\2013\Workings\Q3\THP-Q3-2013vQ3-2012%20(B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BS"/>
      <sheetName val="Equity"/>
      <sheetName val="Cashflow"/>
      <sheetName val="Notes(Pursuant to FRS 134"/>
      <sheetName val="Notes (Pursuant to Bursa Malay)"/>
    </sheetNames>
    <sheetDataSet>
      <sheetData sheetId="0">
        <row r="42">
          <cell r="I42">
            <v>0</v>
          </cell>
        </row>
        <row r="58">
          <cell r="I58">
            <v>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3)"/>
      <sheetName val="AuditComm (2)"/>
    </sheetNames>
    <sheetDataSet>
      <sheetData sheetId="0">
        <row r="235">
          <cell r="C235">
            <v>3.03264012856103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view="pageBreakPreview" topLeftCell="A22" zoomScaleNormal="100" zoomScaleSheetLayoutView="100" workbookViewId="0">
      <selection activeCell="E42" sqref="E42"/>
    </sheetView>
  </sheetViews>
  <sheetFormatPr defaultColWidth="9.140625" defaultRowHeight="15" customHeight="1" x14ac:dyDescent="0.2"/>
  <cols>
    <col min="1" max="1" width="2.140625" style="18" customWidth="1"/>
    <col min="2" max="2" width="2.85546875" style="18" customWidth="1"/>
    <col min="3" max="3" width="3.28515625" style="18" customWidth="1"/>
    <col min="4" max="4" width="29.140625" style="18" customWidth="1"/>
    <col min="5" max="5" width="1" style="18" customWidth="1"/>
    <col min="6" max="6" width="4.85546875" style="18" customWidth="1"/>
    <col min="7" max="7" width="3.85546875" style="18" customWidth="1"/>
    <col min="8" max="8" width="15" style="18" customWidth="1"/>
    <col min="9" max="9" width="1" style="18" customWidth="1"/>
    <col min="10" max="10" width="14.140625" style="18" customWidth="1"/>
    <col min="11" max="11" width="1.42578125" style="18" customWidth="1"/>
    <col min="12" max="12" width="14.140625" style="18" customWidth="1"/>
    <col min="13" max="13" width="2" style="18" customWidth="1"/>
    <col min="14" max="14" width="14.140625" style="18" customWidth="1"/>
    <col min="15" max="15" width="9.140625" style="18" hidden="1" customWidth="1"/>
    <col min="16" max="16" width="13.7109375" style="18" hidden="1" customWidth="1"/>
    <col min="17" max="17" width="11.140625" style="18" hidden="1" customWidth="1"/>
    <col min="18" max="20" width="9.140625" style="18" hidden="1" customWidth="1"/>
    <col min="21" max="21" width="10" style="18" hidden="1" customWidth="1"/>
    <col min="22" max="22" width="9.140625" style="18" customWidth="1"/>
    <col min="23" max="16384" width="9.140625" style="18"/>
  </cols>
  <sheetData>
    <row r="1" spans="1:17" ht="18" customHeight="1" x14ac:dyDescent="0.25">
      <c r="A1" s="623" t="s">
        <v>39</v>
      </c>
      <c r="B1" s="623"/>
      <c r="C1" s="623"/>
      <c r="D1" s="623"/>
      <c r="E1" s="623"/>
      <c r="F1" s="623"/>
      <c r="G1" s="623"/>
      <c r="H1" s="623"/>
      <c r="I1" s="623"/>
      <c r="J1" s="623"/>
      <c r="K1" s="624"/>
      <c r="L1" s="624"/>
      <c r="M1" s="624"/>
      <c r="N1" s="624"/>
      <c r="O1" s="73"/>
      <c r="P1" s="215"/>
      <c r="Q1" s="73"/>
    </row>
    <row r="2" spans="1:17" ht="15" customHeight="1" x14ac:dyDescent="0.2">
      <c r="A2" s="625" t="s">
        <v>1</v>
      </c>
      <c r="B2" s="625"/>
      <c r="C2" s="625"/>
      <c r="D2" s="625"/>
      <c r="E2" s="625"/>
      <c r="F2" s="625"/>
      <c r="G2" s="625"/>
      <c r="H2" s="625"/>
      <c r="I2" s="625"/>
      <c r="J2" s="625"/>
      <c r="K2" s="624"/>
      <c r="L2" s="624"/>
      <c r="M2" s="624"/>
      <c r="N2" s="624"/>
      <c r="O2" s="75"/>
      <c r="P2" s="75"/>
      <c r="Q2" s="75"/>
    </row>
    <row r="3" spans="1:17" s="2" customFormat="1" ht="15" customHeight="1" x14ac:dyDescent="0.2">
      <c r="A3" s="626" t="s">
        <v>40</v>
      </c>
      <c r="B3" s="626"/>
      <c r="C3" s="626"/>
      <c r="D3" s="626"/>
      <c r="E3" s="626"/>
      <c r="F3" s="626"/>
      <c r="G3" s="626"/>
      <c r="H3" s="626"/>
      <c r="I3" s="626"/>
      <c r="J3" s="626"/>
      <c r="K3" s="627"/>
      <c r="L3" s="627"/>
      <c r="M3" s="627"/>
      <c r="N3" s="627"/>
      <c r="O3" s="74"/>
      <c r="P3" s="206"/>
      <c r="Q3" s="74"/>
    </row>
    <row r="4" spans="1:17" s="2" customFormat="1" ht="15" customHeight="1" x14ac:dyDescent="0.2"/>
    <row r="5" spans="1:17" s="2" customFormat="1" ht="15" customHeight="1" x14ac:dyDescent="0.2">
      <c r="A5" s="628" t="s">
        <v>347</v>
      </c>
      <c r="B5" s="629"/>
      <c r="C5" s="629"/>
      <c r="D5" s="629"/>
      <c r="E5" s="629"/>
      <c r="F5" s="629"/>
      <c r="G5" s="629"/>
      <c r="H5" s="629"/>
      <c r="I5" s="629"/>
      <c r="J5" s="629"/>
      <c r="K5" s="624"/>
      <c r="L5" s="624"/>
      <c r="M5" s="624"/>
      <c r="N5" s="624"/>
    </row>
    <row r="6" spans="1:17" s="2" customFormat="1" ht="15" customHeight="1" x14ac:dyDescent="0.2">
      <c r="J6" s="3"/>
      <c r="K6" s="3"/>
      <c r="L6" s="3"/>
      <c r="M6" s="3"/>
      <c r="N6" s="3"/>
    </row>
    <row r="7" spans="1:17" s="21" customFormat="1" ht="30" customHeight="1" x14ac:dyDescent="0.2">
      <c r="A7" s="630" t="s">
        <v>346</v>
      </c>
      <c r="B7" s="631"/>
      <c r="C7" s="631"/>
      <c r="D7" s="631"/>
      <c r="E7" s="631"/>
      <c r="F7" s="631"/>
      <c r="G7" s="631"/>
      <c r="H7" s="631"/>
      <c r="I7" s="631"/>
      <c r="J7" s="631"/>
      <c r="K7" s="632"/>
      <c r="L7" s="632"/>
      <c r="M7" s="632"/>
      <c r="N7" s="632"/>
      <c r="O7" s="318"/>
    </row>
    <row r="8" spans="1:17" s="21" customFormat="1" ht="15" customHeight="1" x14ac:dyDescent="0.2">
      <c r="A8" s="76"/>
      <c r="B8" s="77"/>
      <c r="C8" s="77"/>
      <c r="D8" s="77"/>
      <c r="E8" s="77"/>
      <c r="F8" s="77"/>
      <c r="G8" s="77"/>
      <c r="H8" s="77"/>
      <c r="I8" s="77"/>
      <c r="J8" s="77"/>
      <c r="K8" s="465"/>
      <c r="L8" s="465"/>
      <c r="M8" s="465"/>
      <c r="N8" s="465"/>
    </row>
    <row r="9" spans="1:17" s="2" customFormat="1" ht="27" customHeight="1" x14ac:dyDescent="0.2">
      <c r="A9" s="633" t="s">
        <v>258</v>
      </c>
      <c r="B9" s="634"/>
      <c r="C9" s="634"/>
      <c r="D9" s="634"/>
      <c r="E9" s="634"/>
      <c r="F9" s="634"/>
      <c r="G9" s="634"/>
      <c r="H9" s="634"/>
      <c r="I9" s="634"/>
      <c r="J9" s="634"/>
      <c r="K9" s="634"/>
      <c r="L9" s="634"/>
      <c r="M9" s="634"/>
      <c r="N9" s="634"/>
    </row>
    <row r="10" spans="1:17" s="2" customFormat="1" ht="15" customHeight="1" x14ac:dyDescent="0.2"/>
    <row r="11" spans="1:17" s="2" customFormat="1" ht="15" customHeight="1" x14ac:dyDescent="0.2">
      <c r="F11" s="361"/>
      <c r="G11" s="319"/>
      <c r="H11" s="635" t="s">
        <v>108</v>
      </c>
      <c r="I11" s="635"/>
      <c r="J11" s="635"/>
      <c r="K11" s="624"/>
      <c r="L11" s="624"/>
      <c r="M11" s="624"/>
      <c r="N11" s="624"/>
    </row>
    <row r="12" spans="1:17" s="2" customFormat="1" ht="15" customHeight="1" x14ac:dyDescent="0.2">
      <c r="F12" s="466"/>
      <c r="H12" s="622" t="s">
        <v>402</v>
      </c>
      <c r="I12" s="622"/>
      <c r="J12" s="622"/>
      <c r="K12" s="464"/>
      <c r="L12" s="622" t="s">
        <v>313</v>
      </c>
      <c r="M12" s="622"/>
      <c r="N12" s="622"/>
    </row>
    <row r="13" spans="1:17" s="2" customFormat="1" ht="15" customHeight="1" x14ac:dyDescent="0.2">
      <c r="F13" s="355"/>
      <c r="H13" s="6" t="s">
        <v>11</v>
      </c>
      <c r="I13" s="6"/>
      <c r="J13" s="6" t="s">
        <v>13</v>
      </c>
      <c r="K13" s="464"/>
      <c r="L13" s="464" t="s">
        <v>11</v>
      </c>
      <c r="M13" s="464"/>
      <c r="N13" s="464" t="s">
        <v>13</v>
      </c>
    </row>
    <row r="14" spans="1:17" s="2" customFormat="1" ht="15" customHeight="1" x14ac:dyDescent="0.2">
      <c r="F14" s="355"/>
      <c r="H14" s="6" t="s">
        <v>12</v>
      </c>
      <c r="I14" s="6"/>
      <c r="J14" s="6" t="s">
        <v>12</v>
      </c>
      <c r="K14" s="464"/>
      <c r="L14" s="464" t="s">
        <v>12</v>
      </c>
      <c r="M14" s="464"/>
      <c r="N14" s="464" t="s">
        <v>12</v>
      </c>
    </row>
    <row r="15" spans="1:17" s="2" customFormat="1" ht="15" customHeight="1" x14ac:dyDescent="0.2">
      <c r="G15" s="7"/>
      <c r="H15" s="125" t="s">
        <v>348</v>
      </c>
      <c r="I15" s="67"/>
      <c r="J15" s="125" t="s">
        <v>349</v>
      </c>
      <c r="K15" s="125"/>
      <c r="L15" s="125" t="s">
        <v>348</v>
      </c>
      <c r="M15" s="67"/>
      <c r="N15" s="125" t="s">
        <v>349</v>
      </c>
    </row>
    <row r="16" spans="1:17" s="2" customFormat="1" ht="15" customHeight="1" x14ac:dyDescent="0.2">
      <c r="F16" s="387" t="s">
        <v>244</v>
      </c>
      <c r="G16" s="6"/>
      <c r="H16" s="489" t="s">
        <v>3</v>
      </c>
      <c r="I16" s="6"/>
      <c r="J16" s="6" t="s">
        <v>3</v>
      </c>
      <c r="K16" s="464"/>
      <c r="L16" s="489" t="s">
        <v>3</v>
      </c>
      <c r="M16" s="464"/>
      <c r="N16" s="464" t="s">
        <v>3</v>
      </c>
      <c r="Q16" s="3"/>
    </row>
    <row r="17" spans="1:21" s="2" customFormat="1" ht="15" customHeight="1" x14ac:dyDescent="0.2">
      <c r="F17" s="355"/>
      <c r="G17" s="188"/>
      <c r="H17" s="489"/>
      <c r="I17" s="188"/>
      <c r="J17" s="188"/>
      <c r="K17" s="464"/>
      <c r="L17" s="489"/>
      <c r="M17" s="464"/>
      <c r="N17" s="464"/>
      <c r="Q17" s="3"/>
    </row>
    <row r="18" spans="1:21" s="2" customFormat="1" ht="15" customHeight="1" x14ac:dyDescent="0.2">
      <c r="F18" s="355"/>
      <c r="G18" s="6"/>
      <c r="H18" s="489"/>
      <c r="I18" s="7"/>
      <c r="J18" s="6"/>
      <c r="K18" s="464"/>
      <c r="L18" s="489"/>
      <c r="M18" s="7"/>
      <c r="N18" s="464"/>
    </row>
    <row r="19" spans="1:21" s="2" customFormat="1" ht="15" customHeight="1" x14ac:dyDescent="0.2">
      <c r="A19" s="617" t="s">
        <v>281</v>
      </c>
      <c r="B19" s="617"/>
      <c r="C19" s="617"/>
      <c r="D19" s="617"/>
      <c r="E19" s="36"/>
      <c r="F19" s="63" t="s">
        <v>420</v>
      </c>
      <c r="G19" s="57"/>
      <c r="H19" s="57">
        <f>L19-P19</f>
        <v>154548</v>
      </c>
      <c r="I19" s="57"/>
      <c r="J19" s="57">
        <v>99106</v>
      </c>
      <c r="K19" s="57"/>
      <c r="L19" s="57">
        <v>469952</v>
      </c>
      <c r="M19" s="57"/>
      <c r="N19" s="57">
        <v>375846</v>
      </c>
      <c r="P19" s="57">
        <v>315404</v>
      </c>
      <c r="T19" s="21"/>
      <c r="U19" s="129"/>
    </row>
    <row r="20" spans="1:21" s="2" customFormat="1" ht="15" customHeight="1" x14ac:dyDescent="0.2">
      <c r="A20" s="616" t="s">
        <v>205</v>
      </c>
      <c r="B20" s="616"/>
      <c r="C20" s="616"/>
      <c r="D20" s="616"/>
      <c r="E20" s="36"/>
      <c r="F20" s="63"/>
      <c r="G20" s="57"/>
      <c r="H20" s="57">
        <f t="shared" ref="H20" si="0">L20-P20</f>
        <v>-89916</v>
      </c>
      <c r="I20" s="57"/>
      <c r="J20" s="57">
        <v>-60618</v>
      </c>
      <c r="K20" s="57"/>
      <c r="L20" s="57">
        <f>-353762-L21</f>
        <v>-279041</v>
      </c>
      <c r="M20" s="57"/>
      <c r="N20" s="57">
        <v>-223341</v>
      </c>
      <c r="P20" s="57">
        <f>-243118-P21</f>
        <v>-189125</v>
      </c>
      <c r="T20" s="21"/>
      <c r="U20" s="129"/>
    </row>
    <row r="21" spans="1:21" s="2" customFormat="1" ht="15" customHeight="1" x14ac:dyDescent="0.2">
      <c r="A21" s="616" t="s">
        <v>169</v>
      </c>
      <c r="B21" s="620"/>
      <c r="C21" s="620"/>
      <c r="D21" s="620"/>
      <c r="E21" s="36"/>
      <c r="F21" s="63" t="s">
        <v>421</v>
      </c>
      <c r="G21" s="57"/>
      <c r="H21" s="57">
        <f>L21-P21</f>
        <v>-20728</v>
      </c>
      <c r="I21" s="57"/>
      <c r="J21" s="57">
        <v>-11886</v>
      </c>
      <c r="K21" s="57"/>
      <c r="L21" s="57">
        <v>-74721</v>
      </c>
      <c r="M21" s="57"/>
      <c r="N21" s="57">
        <v>-39170</v>
      </c>
      <c r="P21" s="57">
        <v>-53993</v>
      </c>
      <c r="T21" s="21"/>
      <c r="U21" s="129"/>
    </row>
    <row r="22" spans="1:21" s="2" customFormat="1" ht="8.25" customHeight="1" x14ac:dyDescent="0.2">
      <c r="A22" s="78"/>
      <c r="B22" s="78"/>
      <c r="C22" s="78"/>
      <c r="D22" s="78"/>
      <c r="E22" s="36"/>
      <c r="F22" s="63"/>
      <c r="G22" s="57"/>
      <c r="H22" s="79"/>
      <c r="I22" s="57"/>
      <c r="J22" s="79"/>
      <c r="K22" s="57"/>
      <c r="L22" s="79"/>
      <c r="M22" s="57"/>
      <c r="N22" s="79"/>
      <c r="P22" s="79"/>
      <c r="T22" s="21"/>
      <c r="U22" s="129"/>
    </row>
    <row r="23" spans="1:21" s="2" customFormat="1" ht="15" customHeight="1" x14ac:dyDescent="0.2">
      <c r="A23" s="615" t="s">
        <v>50</v>
      </c>
      <c r="B23" s="615"/>
      <c r="C23" s="615"/>
      <c r="D23" s="615"/>
      <c r="F23" s="63"/>
      <c r="G23" s="57"/>
      <c r="H23" s="57">
        <f>H19+H20+H21</f>
        <v>43904</v>
      </c>
      <c r="I23" s="57"/>
      <c r="J23" s="57">
        <f>J19+J20+J21</f>
        <v>26602</v>
      </c>
      <c r="K23" s="57"/>
      <c r="L23" s="57">
        <f>L19+L20+L21</f>
        <v>116190</v>
      </c>
      <c r="M23" s="57"/>
      <c r="N23" s="57">
        <f>N19+N20+N21</f>
        <v>113335</v>
      </c>
      <c r="P23" s="57">
        <f>P19+P20+P21</f>
        <v>72286</v>
      </c>
      <c r="Q23" s="57"/>
      <c r="R23" s="2">
        <f>H23/H19</f>
        <v>0.28408002691720374</v>
      </c>
      <c r="S23" s="2" t="e">
        <f>#REF!/#REF!</f>
        <v>#REF!</v>
      </c>
      <c r="T23" s="21" t="e">
        <f>F23/F19</f>
        <v>#VALUE!</v>
      </c>
      <c r="U23" s="344" t="e">
        <f>S23-T23</f>
        <v>#REF!</v>
      </c>
    </row>
    <row r="24" spans="1:21" s="2" customFormat="1" ht="9.75" customHeight="1" x14ac:dyDescent="0.2">
      <c r="A24" s="5"/>
      <c r="B24" s="5"/>
      <c r="C24" s="5"/>
      <c r="D24" s="5"/>
      <c r="F24" s="63"/>
      <c r="G24" s="57"/>
      <c r="H24" s="57"/>
      <c r="I24" s="57"/>
      <c r="J24" s="57"/>
      <c r="K24" s="57"/>
      <c r="L24" s="57"/>
      <c r="M24" s="57"/>
      <c r="N24" s="57"/>
      <c r="P24" s="57"/>
      <c r="T24" s="21"/>
      <c r="U24" s="129"/>
    </row>
    <row r="25" spans="1:21" s="12" customFormat="1" ht="15" customHeight="1" x14ac:dyDescent="0.2">
      <c r="A25" s="618" t="s">
        <v>277</v>
      </c>
      <c r="B25" s="619"/>
      <c r="C25" s="619"/>
      <c r="D25" s="619"/>
      <c r="E25" s="2"/>
      <c r="F25" s="244" t="s">
        <v>421</v>
      </c>
      <c r="G25" s="57"/>
      <c r="H25" s="23">
        <f>L25-P25</f>
        <v>1076</v>
      </c>
      <c r="I25" s="57"/>
      <c r="J25" s="23">
        <v>102580</v>
      </c>
      <c r="K25" s="23"/>
      <c r="L25" s="23">
        <f>1507+2727</f>
        <v>4234</v>
      </c>
      <c r="M25" s="57"/>
      <c r="N25" s="23">
        <v>106844</v>
      </c>
      <c r="P25" s="23">
        <f>1018+2140</f>
        <v>3158</v>
      </c>
      <c r="T25" s="120"/>
      <c r="U25" s="129"/>
    </row>
    <row r="26" spans="1:21" s="12" customFormat="1" ht="15" customHeight="1" x14ac:dyDescent="0.2">
      <c r="A26" s="621" t="s">
        <v>152</v>
      </c>
      <c r="B26" s="621"/>
      <c r="C26" s="621"/>
      <c r="D26" s="621"/>
      <c r="E26" s="36"/>
      <c r="F26" s="63"/>
      <c r="G26" s="57"/>
      <c r="H26" s="23">
        <f t="shared" ref="H26:H29" si="1">L26-P26</f>
        <v>-4722</v>
      </c>
      <c r="I26" s="57"/>
      <c r="J26" s="57">
        <v>-6433</v>
      </c>
      <c r="K26" s="57"/>
      <c r="L26" s="57">
        <f>-17630</f>
        <v>-17630</v>
      </c>
      <c r="M26" s="57"/>
      <c r="N26" s="57">
        <v>-16509</v>
      </c>
      <c r="P26" s="57">
        <f>-12908</f>
        <v>-12908</v>
      </c>
      <c r="T26" s="120"/>
      <c r="U26" s="129"/>
    </row>
    <row r="27" spans="1:21" s="2" customFormat="1" ht="15" customHeight="1" x14ac:dyDescent="0.2">
      <c r="A27" s="618" t="s">
        <v>138</v>
      </c>
      <c r="B27" s="619"/>
      <c r="C27" s="619"/>
      <c r="D27" s="619"/>
      <c r="F27" s="244"/>
      <c r="G27" s="57"/>
      <c r="H27" s="23">
        <f>L27-P27</f>
        <v>-2127</v>
      </c>
      <c r="I27" s="57"/>
      <c r="J27" s="23">
        <v>-2946</v>
      </c>
      <c r="K27" s="23"/>
      <c r="L27" s="23">
        <f>-7358-L28</f>
        <v>-6144</v>
      </c>
      <c r="M27" s="57"/>
      <c r="N27" s="23">
        <v>-6362</v>
      </c>
      <c r="P27" s="23">
        <f>-4919-P28</f>
        <v>-4017</v>
      </c>
      <c r="T27" s="21"/>
      <c r="U27" s="129"/>
    </row>
    <row r="28" spans="1:21" s="2" customFormat="1" ht="15" customHeight="1" x14ac:dyDescent="0.2">
      <c r="A28" s="618" t="s">
        <v>168</v>
      </c>
      <c r="B28" s="645"/>
      <c r="C28" s="645"/>
      <c r="D28" s="645"/>
      <c r="F28" s="244"/>
      <c r="G28" s="57"/>
      <c r="H28" s="23">
        <f t="shared" si="1"/>
        <v>-312</v>
      </c>
      <c r="I28" s="57"/>
      <c r="J28" s="23">
        <v>-480</v>
      </c>
      <c r="K28" s="23"/>
      <c r="L28" s="23">
        <v>-1214</v>
      </c>
      <c r="M28" s="57"/>
      <c r="N28" s="23">
        <v>-1289</v>
      </c>
      <c r="P28" s="23">
        <v>-902</v>
      </c>
      <c r="T28" s="21"/>
      <c r="U28" s="129"/>
    </row>
    <row r="29" spans="1:21" s="2" customFormat="1" ht="15" customHeight="1" x14ac:dyDescent="0.2">
      <c r="A29" s="618" t="s">
        <v>93</v>
      </c>
      <c r="B29" s="619"/>
      <c r="C29" s="619"/>
      <c r="D29" s="619"/>
      <c r="F29" s="244"/>
      <c r="G29" s="57"/>
      <c r="H29" s="23">
        <f t="shared" si="1"/>
        <v>-278</v>
      </c>
      <c r="I29" s="57"/>
      <c r="J29" s="23">
        <v>1040</v>
      </c>
      <c r="K29" s="23"/>
      <c r="L29" s="23">
        <v>-278</v>
      </c>
      <c r="M29" s="57"/>
      <c r="N29" s="23">
        <v>119</v>
      </c>
      <c r="P29" s="23">
        <v>0</v>
      </c>
      <c r="T29" s="21"/>
      <c r="U29" s="129"/>
    </row>
    <row r="30" spans="1:21" s="2" customFormat="1" ht="9" customHeight="1" x14ac:dyDescent="0.2">
      <c r="F30" s="244"/>
      <c r="G30" s="57"/>
      <c r="H30" s="84"/>
      <c r="I30" s="57"/>
      <c r="J30" s="84"/>
      <c r="K30" s="22"/>
      <c r="L30" s="84"/>
      <c r="M30" s="57"/>
      <c r="N30" s="84"/>
      <c r="P30" s="84"/>
      <c r="T30" s="21"/>
      <c r="U30" s="129"/>
    </row>
    <row r="31" spans="1:21" s="12" customFormat="1" ht="15" customHeight="1" x14ac:dyDescent="0.2">
      <c r="A31" s="646" t="s">
        <v>51</v>
      </c>
      <c r="B31" s="646"/>
      <c r="C31" s="646"/>
      <c r="D31" s="646"/>
      <c r="E31" s="646"/>
      <c r="F31" s="63"/>
      <c r="G31" s="57"/>
      <c r="H31" s="85">
        <f>SUM(H23:H29)</f>
        <v>37541</v>
      </c>
      <c r="I31" s="57"/>
      <c r="J31" s="85">
        <f>SUM(J23:J29)</f>
        <v>120363</v>
      </c>
      <c r="K31" s="85"/>
      <c r="L31" s="85">
        <f>SUM(L23:L29)</f>
        <v>95158</v>
      </c>
      <c r="M31" s="57"/>
      <c r="N31" s="85">
        <f>SUM(N23:N29)</f>
        <v>196138</v>
      </c>
      <c r="P31" s="85">
        <f>SUM(P23:P29)</f>
        <v>57617</v>
      </c>
      <c r="Q31" s="85"/>
      <c r="T31" s="120"/>
      <c r="U31" s="129"/>
    </row>
    <row r="32" spans="1:21" s="12" customFormat="1" ht="30" hidden="1" customHeight="1" x14ac:dyDescent="0.2">
      <c r="A32" s="641" t="s">
        <v>68</v>
      </c>
      <c r="B32" s="641"/>
      <c r="C32" s="618"/>
      <c r="D32" s="618"/>
      <c r="E32" s="36"/>
      <c r="F32" s="244"/>
      <c r="G32" s="87"/>
      <c r="H32" s="86"/>
      <c r="I32" s="87"/>
      <c r="J32" s="86">
        <v>0</v>
      </c>
      <c r="K32" s="86"/>
      <c r="L32" s="86"/>
      <c r="M32" s="87"/>
      <c r="N32" s="86">
        <v>0</v>
      </c>
      <c r="P32" s="86"/>
      <c r="Q32" s="12">
        <v>0</v>
      </c>
      <c r="T32" s="120"/>
      <c r="U32" s="129"/>
    </row>
    <row r="33" spans="1:22" s="12" customFormat="1" ht="15" customHeight="1" x14ac:dyDescent="0.2">
      <c r="A33" s="641" t="s">
        <v>104</v>
      </c>
      <c r="B33" s="641"/>
      <c r="C33" s="618"/>
      <c r="D33" s="618"/>
      <c r="E33" s="88"/>
      <c r="F33" s="63" t="s">
        <v>421</v>
      </c>
      <c r="G33" s="57"/>
      <c r="H33" s="23">
        <f>L33-P33</f>
        <v>-6740</v>
      </c>
      <c r="I33" s="57"/>
      <c r="J33" s="85">
        <v>-4066</v>
      </c>
      <c r="K33" s="85"/>
      <c r="L33" s="85">
        <v>-24115</v>
      </c>
      <c r="M33" s="57"/>
      <c r="N33" s="85">
        <v>-10286</v>
      </c>
      <c r="P33" s="85">
        <v>-17375</v>
      </c>
      <c r="T33" s="120"/>
      <c r="U33" s="129"/>
    </row>
    <row r="34" spans="1:22" s="2" customFormat="1" ht="6.75" customHeight="1" x14ac:dyDescent="0.2">
      <c r="A34" s="83"/>
      <c r="B34" s="83"/>
      <c r="C34" s="83"/>
      <c r="D34" s="83"/>
      <c r="E34" s="36"/>
      <c r="F34" s="63"/>
      <c r="G34" s="57"/>
      <c r="H34" s="79"/>
      <c r="I34" s="57"/>
      <c r="J34" s="79"/>
      <c r="K34" s="57"/>
      <c r="L34" s="79"/>
      <c r="M34" s="57"/>
      <c r="N34" s="79"/>
      <c r="P34" s="79"/>
      <c r="T34" s="21"/>
      <c r="U34" s="129"/>
    </row>
    <row r="35" spans="1:22" s="12" customFormat="1" ht="15" customHeight="1" x14ac:dyDescent="0.2">
      <c r="A35" s="638" t="s">
        <v>103</v>
      </c>
      <c r="B35" s="648"/>
      <c r="C35" s="648"/>
      <c r="D35" s="648"/>
      <c r="E35" s="36"/>
      <c r="F35" s="63"/>
      <c r="G35" s="57"/>
      <c r="H35" s="85">
        <f>SUM(H31:H33)</f>
        <v>30801</v>
      </c>
      <c r="I35" s="57"/>
      <c r="J35" s="85">
        <f>SUM(J31:J33)</f>
        <v>116297</v>
      </c>
      <c r="K35" s="85"/>
      <c r="L35" s="85">
        <f>SUM(L31:L33)</f>
        <v>71043</v>
      </c>
      <c r="M35" s="57"/>
      <c r="N35" s="85">
        <f>SUM(N31:N33)</f>
        <v>185852</v>
      </c>
      <c r="P35" s="85">
        <f>SUM(P31:P33)</f>
        <v>40242</v>
      </c>
      <c r="Q35" s="85"/>
      <c r="T35" s="120"/>
      <c r="U35" s="129"/>
    </row>
    <row r="36" spans="1:22" ht="15" customHeight="1" x14ac:dyDescent="0.2">
      <c r="A36" s="616" t="s">
        <v>282</v>
      </c>
      <c r="B36" s="647"/>
      <c r="C36" s="647"/>
      <c r="D36" s="647"/>
      <c r="E36" s="12"/>
      <c r="F36" s="190">
        <v>23</v>
      </c>
      <c r="G36" s="57"/>
      <c r="H36" s="23">
        <f>L36-P36</f>
        <v>9854</v>
      </c>
      <c r="I36" s="57"/>
      <c r="J36" s="89">
        <v>-17477</v>
      </c>
      <c r="K36" s="89"/>
      <c r="L36" s="89">
        <v>5458</v>
      </c>
      <c r="M36" s="57"/>
      <c r="N36" s="89">
        <v>-18316</v>
      </c>
      <c r="P36" s="89">
        <f>-4396</f>
        <v>-4396</v>
      </c>
      <c r="Q36" s="132"/>
      <c r="T36" s="132"/>
      <c r="U36" s="129"/>
    </row>
    <row r="37" spans="1:22" s="2" customFormat="1" ht="7.5" customHeight="1" x14ac:dyDescent="0.2">
      <c r="A37" s="616"/>
      <c r="B37" s="647"/>
      <c r="C37" s="647"/>
      <c r="D37" s="647"/>
      <c r="E37" s="18"/>
      <c r="F37" s="216"/>
      <c r="G37" s="57"/>
      <c r="H37" s="90"/>
      <c r="I37" s="57"/>
      <c r="J37" s="90"/>
      <c r="K37" s="89"/>
      <c r="L37" s="90"/>
      <c r="M37" s="57"/>
      <c r="N37" s="90"/>
      <c r="P37" s="90"/>
      <c r="Q37" s="21"/>
      <c r="T37" s="21"/>
      <c r="U37" s="129"/>
    </row>
    <row r="38" spans="1:22" s="12" customFormat="1" ht="43.5" customHeight="1" thickBot="1" x14ac:dyDescent="0.25">
      <c r="A38" s="638" t="s">
        <v>408</v>
      </c>
      <c r="B38" s="638"/>
      <c r="C38" s="638"/>
      <c r="D38" s="638"/>
      <c r="E38" s="9"/>
      <c r="F38" s="63"/>
      <c r="G38" s="57"/>
      <c r="H38" s="56">
        <f>SUM(H35:H37)</f>
        <v>40655</v>
      </c>
      <c r="I38" s="57"/>
      <c r="J38" s="56">
        <f>SUM(J35:J37)</f>
        <v>98820</v>
      </c>
      <c r="K38" s="57"/>
      <c r="L38" s="56">
        <f>SUM(L35:L37)</f>
        <v>76501</v>
      </c>
      <c r="M38" s="57"/>
      <c r="N38" s="56">
        <f>SUM(N35:N37)</f>
        <v>167536</v>
      </c>
      <c r="P38" s="56">
        <f>SUM(P35:P37)</f>
        <v>35846</v>
      </c>
      <c r="Q38" s="57"/>
      <c r="T38" s="120"/>
      <c r="U38" s="129"/>
      <c r="V38" s="128"/>
    </row>
    <row r="39" spans="1:22" s="12" customFormat="1" ht="8.25" customHeight="1" thickTop="1" x14ac:dyDescent="0.2">
      <c r="A39" s="203"/>
      <c r="B39" s="203"/>
      <c r="C39" s="203"/>
      <c r="D39" s="203"/>
      <c r="E39" s="9"/>
      <c r="F39" s="63"/>
      <c r="G39" s="57"/>
      <c r="H39" s="57"/>
      <c r="I39" s="57"/>
      <c r="J39" s="57"/>
      <c r="K39" s="57"/>
      <c r="L39" s="57"/>
      <c r="M39" s="57"/>
      <c r="N39" s="57"/>
      <c r="P39" s="57"/>
      <c r="Q39" s="57"/>
      <c r="T39" s="120"/>
      <c r="U39" s="129"/>
      <c r="V39" s="128"/>
    </row>
    <row r="40" spans="1:22" s="12" customFormat="1" ht="15" customHeight="1" x14ac:dyDescent="0.2">
      <c r="A40" s="203"/>
      <c r="B40" s="203"/>
      <c r="C40" s="203"/>
      <c r="D40" s="203"/>
      <c r="E40" s="9"/>
      <c r="F40" s="63"/>
      <c r="G40" s="57"/>
      <c r="H40" s="57"/>
      <c r="I40" s="57"/>
      <c r="J40" s="57"/>
      <c r="K40" s="57"/>
      <c r="L40" s="57"/>
      <c r="M40" s="57"/>
      <c r="N40" s="57"/>
      <c r="P40" s="57"/>
      <c r="Q40" s="120"/>
      <c r="T40" s="120"/>
      <c r="U40" s="120"/>
    </row>
    <row r="41" spans="1:22" s="12" customFormat="1" ht="15" customHeight="1" x14ac:dyDescent="0.2">
      <c r="A41" s="638" t="s">
        <v>52</v>
      </c>
      <c r="B41" s="638"/>
      <c r="C41" s="638"/>
      <c r="D41" s="638"/>
      <c r="E41" s="9"/>
      <c r="F41" s="63"/>
      <c r="G41" s="57"/>
      <c r="H41" s="57"/>
      <c r="I41" s="57"/>
      <c r="J41" s="57"/>
      <c r="K41" s="57"/>
      <c r="L41" s="57"/>
      <c r="M41" s="57"/>
      <c r="N41" s="57"/>
      <c r="P41" s="57"/>
      <c r="Q41" s="120"/>
      <c r="T41" s="120"/>
      <c r="U41" s="120"/>
    </row>
    <row r="42" spans="1:22" s="12" customFormat="1" ht="15" customHeight="1" x14ac:dyDescent="0.2">
      <c r="A42" s="202"/>
      <c r="B42" s="202"/>
      <c r="C42" s="618" t="s">
        <v>206</v>
      </c>
      <c r="D42" s="618"/>
      <c r="E42" s="9"/>
      <c r="F42" s="63"/>
      <c r="G42" s="57"/>
      <c r="H42" s="23">
        <f t="shared" ref="H42:H43" si="2">L42-P42</f>
        <v>37376</v>
      </c>
      <c r="I42" s="57"/>
      <c r="J42" s="57">
        <v>104393</v>
      </c>
      <c r="K42" s="57"/>
      <c r="L42" s="57">
        <v>63107</v>
      </c>
      <c r="M42" s="57"/>
      <c r="N42" s="57">
        <v>156554</v>
      </c>
      <c r="P42" s="57">
        <v>25731</v>
      </c>
      <c r="Q42" s="120"/>
      <c r="T42" s="120"/>
      <c r="U42" s="129"/>
    </row>
    <row r="43" spans="1:22" s="12" customFormat="1" ht="15" customHeight="1" x14ac:dyDescent="0.2">
      <c r="A43" s="202"/>
      <c r="B43" s="202"/>
      <c r="C43" s="618" t="s">
        <v>153</v>
      </c>
      <c r="D43" s="618"/>
      <c r="E43" s="9"/>
      <c r="F43" s="63"/>
      <c r="G43" s="57"/>
      <c r="H43" s="23">
        <f t="shared" si="2"/>
        <v>3279</v>
      </c>
      <c r="I43" s="57"/>
      <c r="J43" s="64">
        <v>-5573</v>
      </c>
      <c r="K43" s="64"/>
      <c r="L43" s="64">
        <v>13394</v>
      </c>
      <c r="M43" s="57"/>
      <c r="N43" s="64">
        <v>10982</v>
      </c>
      <c r="P43" s="64">
        <v>10115</v>
      </c>
      <c r="Q43" s="120"/>
      <c r="T43" s="120"/>
      <c r="U43" s="129"/>
    </row>
    <row r="44" spans="1:22" s="2" customFormat="1" ht="15" customHeight="1" x14ac:dyDescent="0.2">
      <c r="A44" s="18"/>
      <c r="B44" s="18"/>
      <c r="C44" s="18"/>
      <c r="D44" s="18"/>
      <c r="E44" s="18"/>
      <c r="F44" s="400"/>
      <c r="G44" s="57"/>
      <c r="H44" s="26"/>
      <c r="I44" s="57"/>
      <c r="J44" s="26"/>
      <c r="K44" s="26"/>
      <c r="L44" s="26"/>
      <c r="M44" s="57"/>
      <c r="N44" s="26"/>
      <c r="P44" s="26"/>
      <c r="Q44" s="21"/>
      <c r="T44" s="21"/>
      <c r="U44" s="129"/>
    </row>
    <row r="45" spans="1:22" s="2" customFormat="1" ht="28.5" customHeight="1" thickBot="1" x14ac:dyDescent="0.25">
      <c r="A45" s="638" t="s">
        <v>161</v>
      </c>
      <c r="B45" s="638"/>
      <c r="C45" s="638"/>
      <c r="D45" s="638"/>
      <c r="E45" s="9"/>
      <c r="F45" s="63"/>
      <c r="G45" s="57"/>
      <c r="H45" s="56">
        <f>SUM(H42:H44)</f>
        <v>40655</v>
      </c>
      <c r="I45" s="57"/>
      <c r="J45" s="56">
        <f>SUM(J42:J44)</f>
        <v>98820</v>
      </c>
      <c r="K45" s="57"/>
      <c r="L45" s="56">
        <f>SUM(L42:L44)</f>
        <v>76501</v>
      </c>
      <c r="M45" s="57"/>
      <c r="N45" s="56">
        <f>SUM(N42:N44)</f>
        <v>167536</v>
      </c>
      <c r="P45" s="56">
        <f>SUM(P42:P44)</f>
        <v>35846</v>
      </c>
      <c r="Q45" s="57"/>
      <c r="T45" s="21"/>
      <c r="U45" s="129"/>
    </row>
    <row r="46" spans="1:22" s="222" customFormat="1" ht="15" customHeight="1" thickTop="1" x14ac:dyDescent="0.2">
      <c r="A46" s="219"/>
      <c r="B46" s="219"/>
      <c r="C46" s="220"/>
      <c r="D46" s="221"/>
      <c r="E46" s="221"/>
      <c r="F46" s="401"/>
      <c r="G46" s="237"/>
      <c r="H46" s="527">
        <f>H38-H45</f>
        <v>0</v>
      </c>
      <c r="I46" s="528"/>
      <c r="J46" s="527">
        <f>J38-J45</f>
        <v>0</v>
      </c>
      <c r="K46" s="527"/>
      <c r="L46" s="527">
        <f>L38-L45</f>
        <v>0</v>
      </c>
      <c r="M46" s="528"/>
      <c r="N46" s="527">
        <f>N38-N45</f>
        <v>0</v>
      </c>
      <c r="P46" s="527">
        <f>P38-P45</f>
        <v>0</v>
      </c>
      <c r="Q46" s="223"/>
      <c r="T46" s="224"/>
      <c r="U46" s="224"/>
    </row>
    <row r="47" spans="1:22" s="2" customFormat="1" ht="15" customHeight="1" x14ac:dyDescent="0.2">
      <c r="A47" s="637" t="s">
        <v>25</v>
      </c>
      <c r="B47" s="637"/>
      <c r="C47" s="638"/>
      <c r="D47" s="638"/>
      <c r="E47" s="80"/>
      <c r="F47" s="244"/>
      <c r="G47" s="57"/>
      <c r="H47" s="527"/>
      <c r="I47" s="528"/>
      <c r="J47" s="527"/>
      <c r="K47" s="527"/>
      <c r="L47" s="527"/>
      <c r="M47" s="528"/>
      <c r="N47" s="527"/>
      <c r="P47" s="527"/>
    </row>
    <row r="48" spans="1:22" s="2" customFormat="1" ht="15" customHeight="1" thickBot="1" x14ac:dyDescent="0.25">
      <c r="B48" s="641" t="s">
        <v>23</v>
      </c>
      <c r="C48" s="644"/>
      <c r="D48" s="644"/>
      <c r="E48" s="137"/>
      <c r="F48" s="540">
        <v>31</v>
      </c>
      <c r="G48" s="57"/>
      <c r="H48" s="48">
        <f>'Notes (Pursuant to Bursa Malay)'!N239</f>
        <v>4.2448030236953045</v>
      </c>
      <c r="I48" s="57"/>
      <c r="J48" s="48">
        <f>'Notes (Pursuant to Bursa Malay)'!P239</f>
        <v>14.332688959794387</v>
      </c>
      <c r="K48" s="362"/>
      <c r="L48" s="48">
        <f>'Notes (Pursuant to Bursa Malay)'!R239</f>
        <v>7.1670800625090862</v>
      </c>
      <c r="M48" s="57"/>
      <c r="N48" s="48">
        <f>'Notes (Pursuant to Bursa Malay)'!T239</f>
        <v>21.494159449499968</v>
      </c>
      <c r="P48" s="48">
        <f>'Notes (Pursuant to Bursa Malay)'!V239</f>
        <v>0</v>
      </c>
    </row>
    <row r="49" spans="1:20" s="2" customFormat="1" ht="15" customHeight="1" thickBot="1" x14ac:dyDescent="0.25">
      <c r="B49" s="641" t="s">
        <v>283</v>
      </c>
      <c r="C49" s="642"/>
      <c r="D49" s="642"/>
      <c r="E49" s="9"/>
      <c r="F49" s="540">
        <v>31</v>
      </c>
      <c r="G49" s="57"/>
      <c r="H49" s="48">
        <f>'Notes (Pursuant to Bursa Malay)'!N249</f>
        <v>4.0967228190398526</v>
      </c>
      <c r="I49" s="57"/>
      <c r="J49" s="48">
        <f>'Notes (Pursuant to Bursa Malay)'!P249</f>
        <v>14.050636829942245</v>
      </c>
      <c r="K49" s="362"/>
      <c r="L49" s="48">
        <f>'Notes (Pursuant to Bursa Malay)'!R249</f>
        <v>6.9170560504373926</v>
      </c>
      <c r="M49" s="57"/>
      <c r="N49" s="48">
        <f>'Notes (Pursuant to Bursa Malay)'!T249</f>
        <v>21.071177169683583</v>
      </c>
      <c r="P49" s="48">
        <f>'Notes (Pursuant to Bursa Malay)'!V249</f>
        <v>0</v>
      </c>
    </row>
    <row r="50" spans="1:20" s="2" customFormat="1" ht="15" customHeight="1" x14ac:dyDescent="0.2">
      <c r="C50" s="80"/>
      <c r="D50" s="80"/>
      <c r="F50" s="402"/>
      <c r="G50" s="184"/>
      <c r="H50" s="185"/>
      <c r="I50" s="185"/>
      <c r="J50" s="184"/>
      <c r="K50" s="184"/>
      <c r="L50" s="184"/>
      <c r="M50" s="184"/>
      <c r="N50" s="184"/>
      <c r="P50" s="184"/>
    </row>
    <row r="51" spans="1:20" s="2" customFormat="1" ht="15" customHeight="1" x14ac:dyDescent="0.2">
      <c r="C51" s="347"/>
      <c r="D51" s="347"/>
      <c r="F51" s="31"/>
      <c r="G51" s="31"/>
      <c r="H51" s="23"/>
      <c r="I51" s="23"/>
      <c r="J51" s="31"/>
      <c r="K51" s="31"/>
      <c r="L51" s="31"/>
      <c r="M51" s="31"/>
      <c r="N51" s="31"/>
    </row>
    <row r="52" spans="1:20" s="2" customFormat="1" ht="15" customHeight="1" x14ac:dyDescent="0.2">
      <c r="C52" s="317"/>
      <c r="D52" s="317"/>
      <c r="F52" s="31"/>
      <c r="G52" s="31"/>
      <c r="H52" s="23"/>
      <c r="I52" s="23"/>
      <c r="J52" s="31"/>
      <c r="K52" s="31"/>
      <c r="L52" s="31"/>
      <c r="M52" s="31"/>
      <c r="N52" s="31"/>
    </row>
    <row r="53" spans="1:20" s="2" customFormat="1" ht="58.5" customHeight="1" x14ac:dyDescent="0.2">
      <c r="A53" s="640" t="s">
        <v>259</v>
      </c>
      <c r="B53" s="649"/>
      <c r="C53" s="649"/>
      <c r="D53" s="649"/>
      <c r="E53" s="649"/>
      <c r="F53" s="649"/>
      <c r="G53" s="649"/>
      <c r="H53" s="649"/>
      <c r="I53" s="649"/>
      <c r="J53" s="649"/>
      <c r="K53" s="632"/>
      <c r="L53" s="632"/>
      <c r="M53" s="632"/>
      <c r="N53" s="632"/>
    </row>
    <row r="54" spans="1:20" s="49" customFormat="1" ht="15" customHeight="1" x14ac:dyDescent="0.2"/>
    <row r="55" spans="1:20" s="12" customFormat="1" ht="15" customHeight="1" x14ac:dyDescent="0.2">
      <c r="A55" s="618"/>
      <c r="B55" s="618"/>
      <c r="C55" s="618"/>
      <c r="D55" s="618"/>
      <c r="E55" s="88"/>
      <c r="F55" s="138"/>
      <c r="G55" s="138"/>
      <c r="H55" s="85"/>
      <c r="I55" s="85"/>
      <c r="J55" s="138"/>
      <c r="K55" s="138"/>
      <c r="L55" s="138"/>
      <c r="M55" s="138"/>
      <c r="N55" s="138"/>
      <c r="P55" s="209"/>
    </row>
    <row r="56" spans="1:20" s="49" customFormat="1" ht="60" customHeight="1" x14ac:dyDescent="0.2">
      <c r="A56" s="50"/>
      <c r="B56" s="139"/>
      <c r="C56" s="636"/>
      <c r="D56" s="643"/>
      <c r="E56" s="643"/>
      <c r="F56" s="643"/>
      <c r="G56" s="643"/>
      <c r="H56" s="643"/>
      <c r="I56" s="643"/>
      <c r="J56" s="643"/>
      <c r="K56" s="462"/>
      <c r="L56" s="462"/>
      <c r="M56" s="462"/>
      <c r="N56" s="462"/>
    </row>
    <row r="57" spans="1:20" s="49" customFormat="1" ht="15" customHeight="1" x14ac:dyDescent="0.2">
      <c r="A57" s="50"/>
      <c r="B57" s="50"/>
      <c r="C57" s="50"/>
      <c r="F57" s="52"/>
      <c r="H57" s="51"/>
      <c r="I57" s="51"/>
      <c r="J57" s="52"/>
      <c r="K57" s="52"/>
      <c r="L57" s="52"/>
      <c r="M57" s="52"/>
      <c r="N57" s="52"/>
    </row>
    <row r="58" spans="1:20" ht="15" customHeight="1" x14ac:dyDescent="0.2">
      <c r="A58" s="640"/>
      <c r="B58" s="640"/>
      <c r="C58" s="640"/>
      <c r="D58" s="640"/>
      <c r="E58" s="640"/>
      <c r="F58" s="640"/>
      <c r="G58" s="640"/>
      <c r="H58" s="640"/>
      <c r="I58" s="640"/>
      <c r="J58" s="640"/>
      <c r="K58" s="640"/>
      <c r="L58" s="640"/>
      <c r="M58" s="640"/>
      <c r="N58" s="640"/>
      <c r="O58" s="640"/>
      <c r="P58" s="640"/>
      <c r="Q58" s="640"/>
      <c r="R58" s="640"/>
      <c r="S58" s="640"/>
      <c r="T58" s="640"/>
    </row>
    <row r="59" spans="1:20" ht="15" customHeight="1" x14ac:dyDescent="0.2">
      <c r="A59" s="11"/>
      <c r="B59" s="11"/>
      <c r="C59" s="11"/>
      <c r="D59" s="11"/>
      <c r="E59" s="11"/>
      <c r="F59" s="11"/>
      <c r="G59" s="11"/>
      <c r="H59" s="11"/>
      <c r="I59" s="11"/>
      <c r="J59" s="11"/>
      <c r="K59" s="461"/>
      <c r="L59" s="461"/>
      <c r="M59" s="461"/>
      <c r="N59" s="461"/>
      <c r="O59" s="11"/>
      <c r="P59" s="207"/>
      <c r="Q59" s="11"/>
      <c r="R59" s="91"/>
      <c r="S59" s="91"/>
      <c r="T59" s="91"/>
    </row>
    <row r="60" spans="1:20" ht="15" customHeight="1" x14ac:dyDescent="0.2">
      <c r="A60" s="636"/>
      <c r="B60" s="636"/>
      <c r="C60" s="636"/>
      <c r="D60" s="636"/>
      <c r="E60" s="636"/>
      <c r="F60" s="636"/>
      <c r="G60" s="636"/>
      <c r="H60" s="636"/>
      <c r="I60" s="636"/>
      <c r="J60" s="636"/>
      <c r="K60" s="459"/>
      <c r="L60" s="459"/>
      <c r="M60" s="459"/>
      <c r="N60" s="459"/>
      <c r="O60" s="14"/>
      <c r="P60" s="211"/>
      <c r="Q60" s="14"/>
      <c r="R60" s="91"/>
      <c r="S60" s="91"/>
      <c r="T60" s="91"/>
    </row>
    <row r="61" spans="1:20" ht="15" customHeight="1" x14ac:dyDescent="0.2">
      <c r="A61" s="14"/>
      <c r="B61" s="14"/>
      <c r="C61" s="14"/>
      <c r="D61" s="14"/>
      <c r="E61" s="14"/>
      <c r="F61" s="14"/>
      <c r="G61" s="14"/>
      <c r="H61" s="14"/>
      <c r="I61" s="14"/>
      <c r="J61" s="14"/>
      <c r="K61" s="468"/>
      <c r="L61" s="468"/>
      <c r="M61" s="468"/>
      <c r="N61" s="468"/>
      <c r="O61" s="14"/>
      <c r="P61" s="211"/>
      <c r="Q61" s="14"/>
      <c r="R61" s="2"/>
      <c r="S61" s="2"/>
      <c r="T61" s="2"/>
    </row>
    <row r="62" spans="1:20" ht="15" customHeight="1" x14ac:dyDescent="0.2">
      <c r="A62" s="3"/>
      <c r="B62" s="3"/>
      <c r="C62" s="3"/>
      <c r="D62" s="2"/>
      <c r="E62" s="2"/>
      <c r="F62" s="2"/>
      <c r="G62" s="2"/>
      <c r="H62" s="2"/>
      <c r="I62" s="2"/>
      <c r="J62" s="2"/>
      <c r="K62" s="2"/>
      <c r="L62" s="2"/>
      <c r="M62" s="2"/>
      <c r="N62" s="2"/>
      <c r="O62" s="2"/>
      <c r="P62" s="2"/>
      <c r="Q62" s="31"/>
      <c r="R62" s="2"/>
      <c r="S62" s="2"/>
      <c r="T62" s="2"/>
    </row>
    <row r="63" spans="1:20" ht="15" customHeight="1" x14ac:dyDescent="0.2">
      <c r="A63" s="2"/>
      <c r="B63" s="2"/>
      <c r="C63" s="2"/>
      <c r="D63" s="2"/>
      <c r="E63" s="2"/>
      <c r="F63" s="2"/>
      <c r="G63" s="2"/>
      <c r="H63" s="2"/>
      <c r="I63" s="2"/>
      <c r="J63" s="2"/>
      <c r="K63" s="2"/>
      <c r="L63" s="2"/>
      <c r="M63" s="2"/>
      <c r="N63" s="2"/>
      <c r="O63" s="2"/>
      <c r="P63" s="2"/>
      <c r="Q63" s="31"/>
      <c r="R63" s="2"/>
      <c r="S63" s="2"/>
      <c r="T63" s="2"/>
    </row>
    <row r="64" spans="1:20" ht="15" customHeight="1" x14ac:dyDescent="0.2">
      <c r="A64" s="636"/>
      <c r="B64" s="636"/>
      <c r="C64" s="636"/>
      <c r="D64" s="636"/>
      <c r="E64" s="636"/>
      <c r="F64" s="636"/>
      <c r="G64" s="636"/>
      <c r="H64" s="636"/>
      <c r="I64" s="636"/>
      <c r="J64" s="636"/>
      <c r="K64" s="459"/>
      <c r="L64" s="459"/>
      <c r="M64" s="459"/>
      <c r="N64" s="459"/>
      <c r="O64" s="14"/>
      <c r="P64" s="211"/>
      <c r="Q64" s="14"/>
      <c r="R64" s="91"/>
      <c r="S64" s="91"/>
      <c r="T64" s="91"/>
    </row>
    <row r="65" spans="1:22" ht="15" customHeight="1" x14ac:dyDescent="0.2">
      <c r="C65" s="91"/>
      <c r="D65" s="91"/>
    </row>
    <row r="66" spans="1:22" ht="15" customHeight="1" x14ac:dyDescent="0.2">
      <c r="A66" s="3"/>
      <c r="B66" s="3"/>
      <c r="C66" s="3"/>
      <c r="D66" s="3"/>
      <c r="E66" s="2"/>
      <c r="F66" s="2"/>
      <c r="G66" s="2"/>
      <c r="H66" s="2"/>
      <c r="I66" s="2"/>
      <c r="J66" s="2"/>
      <c r="K66" s="2"/>
      <c r="L66" s="2"/>
      <c r="M66" s="2"/>
      <c r="N66" s="2"/>
      <c r="O66" s="2"/>
      <c r="P66" s="2"/>
      <c r="Q66" s="31"/>
      <c r="R66" s="2"/>
      <c r="S66" s="2"/>
      <c r="T66" s="2"/>
    </row>
    <row r="67" spans="1:22" ht="15" customHeight="1" x14ac:dyDescent="0.2">
      <c r="A67" s="2"/>
      <c r="B67" s="2"/>
      <c r="C67" s="2"/>
      <c r="D67" s="2"/>
      <c r="E67" s="2"/>
      <c r="F67" s="2"/>
      <c r="G67" s="2"/>
      <c r="H67" s="2"/>
      <c r="I67" s="2"/>
      <c r="J67" s="2"/>
      <c r="K67" s="2"/>
      <c r="L67" s="2"/>
      <c r="M67" s="2"/>
      <c r="N67" s="2"/>
      <c r="O67" s="2"/>
      <c r="P67" s="2"/>
      <c r="Q67" s="31"/>
      <c r="R67" s="2"/>
      <c r="S67" s="2"/>
      <c r="T67" s="2"/>
    </row>
    <row r="68" spans="1:22" ht="15" customHeight="1" x14ac:dyDescent="0.2">
      <c r="A68" s="636"/>
      <c r="B68" s="636"/>
      <c r="C68" s="636"/>
      <c r="D68" s="636"/>
      <c r="E68" s="636"/>
      <c r="F68" s="636"/>
      <c r="G68" s="636"/>
      <c r="H68" s="636"/>
      <c r="I68" s="636"/>
      <c r="J68" s="636"/>
      <c r="K68" s="459"/>
      <c r="L68" s="459"/>
      <c r="M68" s="459"/>
      <c r="N68" s="459"/>
      <c r="O68" s="14"/>
      <c r="P68" s="211"/>
      <c r="Q68" s="14"/>
      <c r="R68" s="91"/>
      <c r="S68" s="91"/>
      <c r="T68" s="91"/>
    </row>
    <row r="69" spans="1:22" ht="15" customHeight="1" x14ac:dyDescent="0.2">
      <c r="C69" s="91"/>
      <c r="D69" s="91"/>
    </row>
    <row r="70" spans="1:22" ht="15" customHeight="1" x14ac:dyDescent="0.2">
      <c r="A70" s="3"/>
      <c r="B70" s="3"/>
      <c r="C70" s="3"/>
      <c r="D70" s="2"/>
      <c r="E70" s="2"/>
      <c r="F70" s="2"/>
      <c r="G70" s="2"/>
      <c r="H70" s="2"/>
      <c r="I70" s="2"/>
      <c r="J70" s="2"/>
      <c r="K70" s="2"/>
      <c r="L70" s="2"/>
      <c r="M70" s="2"/>
      <c r="N70" s="2"/>
      <c r="O70" s="2"/>
      <c r="P70" s="2"/>
      <c r="Q70" s="2"/>
      <c r="R70" s="2"/>
      <c r="S70" s="2"/>
      <c r="T70" s="2"/>
    </row>
    <row r="71" spans="1:22" ht="15" customHeight="1" x14ac:dyDescent="0.2">
      <c r="A71" s="3"/>
      <c r="B71" s="3"/>
      <c r="C71" s="3"/>
      <c r="D71" s="2"/>
      <c r="E71" s="2"/>
      <c r="F71" s="2"/>
      <c r="G71" s="2"/>
      <c r="H71" s="2"/>
      <c r="I71" s="2"/>
      <c r="J71" s="2"/>
      <c r="K71" s="2"/>
      <c r="L71" s="2"/>
      <c r="M71" s="2"/>
      <c r="N71" s="2"/>
      <c r="O71" s="2"/>
      <c r="P71" s="2"/>
      <c r="Q71" s="2"/>
      <c r="R71" s="2"/>
      <c r="S71" s="2"/>
      <c r="T71" s="2"/>
    </row>
    <row r="72" spans="1:22" ht="15" customHeight="1" x14ac:dyDescent="0.2">
      <c r="A72" s="639"/>
      <c r="B72" s="639"/>
      <c r="C72" s="639"/>
      <c r="D72" s="639"/>
      <c r="E72" s="639"/>
      <c r="F72" s="639"/>
      <c r="G72" s="639"/>
      <c r="H72" s="639"/>
      <c r="I72" s="639"/>
      <c r="J72" s="639"/>
      <c r="K72" s="460"/>
      <c r="L72" s="460"/>
      <c r="M72" s="460"/>
      <c r="N72" s="460"/>
      <c r="O72" s="91"/>
      <c r="P72" s="91"/>
      <c r="Q72" s="91"/>
      <c r="R72" s="91"/>
      <c r="S72" s="91"/>
      <c r="T72" s="91"/>
    </row>
    <row r="73" spans="1:22" ht="15" customHeight="1" x14ac:dyDescent="0.2">
      <c r="A73" s="2"/>
      <c r="B73" s="2"/>
      <c r="C73" s="2"/>
      <c r="D73" s="2"/>
      <c r="E73" s="2"/>
      <c r="F73" s="2"/>
      <c r="G73" s="2"/>
      <c r="H73" s="2"/>
      <c r="I73" s="2"/>
      <c r="J73" s="2"/>
      <c r="K73" s="2"/>
      <c r="L73" s="2"/>
      <c r="M73" s="2"/>
      <c r="N73" s="2"/>
      <c r="O73" s="2"/>
      <c r="P73" s="2"/>
      <c r="Q73" s="2"/>
      <c r="R73" s="2"/>
      <c r="S73" s="2"/>
      <c r="T73" s="2"/>
    </row>
    <row r="74" spans="1:22" ht="15" customHeight="1" x14ac:dyDescent="0.2">
      <c r="A74" s="639"/>
      <c r="B74" s="639"/>
      <c r="C74" s="639"/>
      <c r="D74" s="639"/>
      <c r="E74" s="639"/>
      <c r="F74" s="639"/>
      <c r="G74" s="639"/>
      <c r="H74" s="639"/>
      <c r="I74" s="639"/>
      <c r="J74" s="639"/>
      <c r="K74" s="460"/>
      <c r="L74" s="460"/>
      <c r="M74" s="460"/>
      <c r="N74" s="460"/>
      <c r="O74" s="14"/>
      <c r="P74" s="211"/>
      <c r="Q74" s="14"/>
      <c r="R74" s="2"/>
      <c r="S74" s="2"/>
      <c r="T74" s="2"/>
    </row>
    <row r="76" spans="1:22" ht="15" customHeight="1" x14ac:dyDescent="0.2">
      <c r="A76" s="3"/>
    </row>
    <row r="78" spans="1:22" ht="15" customHeight="1" x14ac:dyDescent="0.2">
      <c r="A78" s="636"/>
      <c r="B78" s="636"/>
      <c r="C78" s="636"/>
      <c r="D78" s="636"/>
      <c r="E78" s="636"/>
      <c r="F78" s="636"/>
      <c r="G78" s="636"/>
      <c r="H78" s="636"/>
      <c r="I78" s="636"/>
      <c r="J78" s="636"/>
      <c r="K78" s="459"/>
      <c r="L78" s="459"/>
      <c r="M78" s="459"/>
      <c r="N78" s="459"/>
    </row>
    <row r="79" spans="1:22" s="2" customFormat="1" ht="15" customHeight="1" x14ac:dyDescent="0.2">
      <c r="C79" s="18"/>
      <c r="D79" s="18"/>
      <c r="E79" s="18"/>
      <c r="F79" s="18"/>
      <c r="G79" s="18"/>
      <c r="H79" s="18"/>
      <c r="I79" s="18"/>
      <c r="J79" s="18"/>
      <c r="K79" s="18"/>
      <c r="L79" s="18"/>
      <c r="M79" s="18"/>
      <c r="N79" s="18"/>
      <c r="O79" s="18"/>
      <c r="P79" s="18"/>
      <c r="Q79" s="18"/>
      <c r="R79" s="18"/>
      <c r="S79" s="18"/>
      <c r="T79" s="18"/>
      <c r="U79" s="18"/>
      <c r="V79" s="18"/>
    </row>
    <row r="80" spans="1:22" s="2" customFormat="1" ht="15" customHeight="1" x14ac:dyDescent="0.2">
      <c r="C80" s="18"/>
      <c r="D80" s="18"/>
      <c r="E80" s="18"/>
      <c r="F80" s="18"/>
      <c r="G80" s="18"/>
      <c r="H80" s="18"/>
      <c r="I80" s="18"/>
      <c r="J80" s="18"/>
      <c r="K80" s="18"/>
      <c r="L80" s="18"/>
      <c r="M80" s="18"/>
      <c r="N80" s="18"/>
      <c r="O80" s="18"/>
      <c r="P80" s="18"/>
      <c r="Q80" s="18"/>
      <c r="R80" s="18"/>
      <c r="S80" s="18"/>
      <c r="T80" s="18"/>
      <c r="U80" s="18"/>
      <c r="V80" s="18"/>
    </row>
    <row r="81" spans="1:9" s="2" customFormat="1" ht="15" customHeight="1" x14ac:dyDescent="0.2">
      <c r="H81" s="47"/>
      <c r="I81" s="47"/>
    </row>
    <row r="82" spans="1:9" s="2" customFormat="1" ht="15" customHeight="1" x14ac:dyDescent="0.2">
      <c r="H82" s="47"/>
      <c r="I82" s="47"/>
    </row>
    <row r="83" spans="1:9" s="2" customFormat="1" ht="15" customHeight="1" x14ac:dyDescent="0.2">
      <c r="A83" s="3"/>
      <c r="B83" s="3"/>
      <c r="H83" s="3"/>
      <c r="I83" s="3"/>
    </row>
    <row r="84" spans="1:9" s="2" customFormat="1" ht="15" customHeight="1" x14ac:dyDescent="0.2">
      <c r="B84" s="3"/>
      <c r="C84" s="3"/>
      <c r="H84" s="3"/>
      <c r="I84" s="3"/>
    </row>
    <row r="85" spans="1:9" s="2" customFormat="1" ht="15" customHeight="1" x14ac:dyDescent="0.2">
      <c r="B85" s="3"/>
    </row>
  </sheetData>
  <mergeCells count="42">
    <mergeCell ref="A45:D45"/>
    <mergeCell ref="A55:D55"/>
    <mergeCell ref="A28:D28"/>
    <mergeCell ref="A31:E31"/>
    <mergeCell ref="A33:D33"/>
    <mergeCell ref="A37:D37"/>
    <mergeCell ref="C42:D42"/>
    <mergeCell ref="A35:D35"/>
    <mergeCell ref="C43:D43"/>
    <mergeCell ref="A41:D41"/>
    <mergeCell ref="A36:D36"/>
    <mergeCell ref="A38:D38"/>
    <mergeCell ref="A29:D29"/>
    <mergeCell ref="A32:D32"/>
    <mergeCell ref="A53:N53"/>
    <mergeCell ref="A78:J78"/>
    <mergeCell ref="A47:D47"/>
    <mergeCell ref="A74:J74"/>
    <mergeCell ref="A72:J72"/>
    <mergeCell ref="A58:T58"/>
    <mergeCell ref="B49:D49"/>
    <mergeCell ref="A60:J60"/>
    <mergeCell ref="C56:J56"/>
    <mergeCell ref="A64:J64"/>
    <mergeCell ref="B48:D48"/>
    <mergeCell ref="A68:J68"/>
    <mergeCell ref="H12:J12"/>
    <mergeCell ref="A1:N1"/>
    <mergeCell ref="A2:N2"/>
    <mergeCell ref="A3:N3"/>
    <mergeCell ref="A5:N5"/>
    <mergeCell ref="A7:N7"/>
    <mergeCell ref="A9:N9"/>
    <mergeCell ref="L12:N12"/>
    <mergeCell ref="H11:N11"/>
    <mergeCell ref="A23:D23"/>
    <mergeCell ref="A20:D20"/>
    <mergeCell ref="A19:D19"/>
    <mergeCell ref="A27:D27"/>
    <mergeCell ref="A21:D21"/>
    <mergeCell ref="A25:D25"/>
    <mergeCell ref="A26:D26"/>
  </mergeCells>
  <phoneticPr fontId="0" type="noConversion"/>
  <printOptions horizontalCentered="1"/>
  <pageMargins left="0.5" right="0.5" top="0.75" bottom="0.75" header="0.5" footer="0.25"/>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showGridLines="0" view="pageBreakPreview" topLeftCell="A25" zoomScaleSheetLayoutView="100" workbookViewId="0">
      <selection activeCell="K41" sqref="K41"/>
    </sheetView>
  </sheetViews>
  <sheetFormatPr defaultColWidth="9.140625" defaultRowHeight="15" customHeight="1" x14ac:dyDescent="0.2"/>
  <cols>
    <col min="1" max="1" width="2.7109375" style="2" customWidth="1"/>
    <col min="2" max="2" width="40.7109375" style="2" customWidth="1"/>
    <col min="3" max="3" width="8.5703125" style="2" customWidth="1"/>
    <col min="4" max="4" width="16.7109375" style="2" customWidth="1"/>
    <col min="5" max="5" width="2.28515625" style="2" customWidth="1"/>
    <col min="6" max="6" width="16.7109375" style="2" customWidth="1"/>
    <col min="7" max="7" width="1.7109375" style="2" customWidth="1"/>
    <col min="8" max="8" width="9.140625" style="2"/>
    <col min="9" max="9" width="10" style="2" hidden="1" customWidth="1"/>
    <col min="10" max="10" width="9.140625" style="2" hidden="1" customWidth="1"/>
    <col min="11" max="16384" width="9.140625" style="2"/>
  </cols>
  <sheetData>
    <row r="1" spans="1:9" ht="15" customHeight="1" x14ac:dyDescent="0.2">
      <c r="A1" s="3" t="s">
        <v>145</v>
      </c>
      <c r="B1" s="3"/>
      <c r="C1" s="3"/>
    </row>
    <row r="3" spans="1:9" ht="15" customHeight="1" x14ac:dyDescent="0.2">
      <c r="D3" s="178"/>
      <c r="E3" s="7"/>
      <c r="F3" s="55"/>
    </row>
    <row r="4" spans="1:9" ht="15" customHeight="1" x14ac:dyDescent="0.2">
      <c r="D4" s="55"/>
      <c r="E4" s="7"/>
      <c r="F4" s="55"/>
    </row>
    <row r="5" spans="1:9" ht="15" customHeight="1" x14ac:dyDescent="0.2">
      <c r="D5" s="125" t="s">
        <v>350</v>
      </c>
      <c r="E5" s="7"/>
      <c r="F5" s="125" t="s">
        <v>236</v>
      </c>
    </row>
    <row r="6" spans="1:9" ht="15" customHeight="1" x14ac:dyDescent="0.2">
      <c r="D6" s="489" t="s">
        <v>3</v>
      </c>
      <c r="E6" s="6"/>
      <c r="F6" s="319" t="s">
        <v>3</v>
      </c>
    </row>
    <row r="7" spans="1:9" ht="15" customHeight="1" x14ac:dyDescent="0.2">
      <c r="C7" s="336" t="s">
        <v>244</v>
      </c>
      <c r="D7" s="489" t="s">
        <v>8</v>
      </c>
      <c r="E7" s="6"/>
      <c r="F7" s="319" t="s">
        <v>191</v>
      </c>
    </row>
    <row r="8" spans="1:9" ht="15" customHeight="1" x14ac:dyDescent="0.2">
      <c r="A8" s="3" t="s">
        <v>69</v>
      </c>
      <c r="B8" s="3"/>
      <c r="D8" s="23"/>
      <c r="E8" s="31"/>
      <c r="F8" s="175"/>
    </row>
    <row r="9" spans="1:9" ht="15" customHeight="1" x14ac:dyDescent="0.2">
      <c r="B9" s="2" t="s">
        <v>233</v>
      </c>
      <c r="C9" s="151"/>
      <c r="D9" s="23">
        <f>1996645-34905</f>
        <v>1961740</v>
      </c>
      <c r="E9" s="31"/>
      <c r="F9" s="23">
        <f>1715703-42228</f>
        <v>1673475</v>
      </c>
    </row>
    <row r="10" spans="1:9" ht="15" customHeight="1" x14ac:dyDescent="0.2">
      <c r="B10" s="2" t="s">
        <v>43</v>
      </c>
      <c r="D10" s="23">
        <v>831655</v>
      </c>
      <c r="E10" s="31"/>
      <c r="F10" s="23">
        <f>516214+42228</f>
        <v>558442</v>
      </c>
    </row>
    <row r="11" spans="1:9" ht="15" hidden="1" customHeight="1" x14ac:dyDescent="0.2">
      <c r="B11" s="2" t="s">
        <v>91</v>
      </c>
      <c r="D11" s="23"/>
      <c r="E11" s="31"/>
      <c r="F11" s="23"/>
    </row>
    <row r="12" spans="1:9" ht="15" customHeight="1" x14ac:dyDescent="0.2">
      <c r="B12" s="2" t="s">
        <v>253</v>
      </c>
      <c r="C12" s="151">
        <v>10</v>
      </c>
      <c r="D12" s="23">
        <f>73416-151</f>
        <v>73265</v>
      </c>
      <c r="E12" s="31"/>
      <c r="F12" s="23">
        <v>14006</v>
      </c>
      <c r="G12" s="25"/>
      <c r="I12" s="25">
        <f>F12-D12</f>
        <v>-59259</v>
      </c>
    </row>
    <row r="13" spans="1:9" ht="15" customHeight="1" x14ac:dyDescent="0.2">
      <c r="B13" s="2" t="s">
        <v>106</v>
      </c>
      <c r="D13" s="23">
        <v>599</v>
      </c>
      <c r="E13" s="31"/>
      <c r="F13" s="23">
        <v>599</v>
      </c>
      <c r="G13" s="25"/>
    </row>
    <row r="14" spans="1:9" ht="15" customHeight="1" thickBot="1" x14ac:dyDescent="0.25">
      <c r="A14" s="3" t="s">
        <v>70</v>
      </c>
      <c r="B14" s="3"/>
      <c r="C14" s="3"/>
      <c r="D14" s="28">
        <f>SUM(D9:D13)</f>
        <v>2867259</v>
      </c>
      <c r="E14" s="31"/>
      <c r="F14" s="28">
        <f>SUM(F9:F13)</f>
        <v>2246522</v>
      </c>
    </row>
    <row r="15" spans="1:9" ht="15" customHeight="1" x14ac:dyDescent="0.2">
      <c r="B15" s="3"/>
      <c r="C15" s="3"/>
      <c r="D15" s="23"/>
      <c r="E15" s="31"/>
      <c r="F15" s="23"/>
    </row>
    <row r="16" spans="1:9" ht="15" customHeight="1" x14ac:dyDescent="0.2">
      <c r="B16" s="80" t="s">
        <v>10</v>
      </c>
      <c r="C16" s="316"/>
      <c r="D16" s="22">
        <f>39279-41</f>
        <v>39238</v>
      </c>
      <c r="E16" s="29"/>
      <c r="F16" s="22">
        <v>41733</v>
      </c>
    </row>
    <row r="17" spans="1:10" ht="15" customHeight="1" x14ac:dyDescent="0.2">
      <c r="B17" s="588" t="s">
        <v>411</v>
      </c>
      <c r="C17" s="588"/>
      <c r="D17" s="22">
        <v>9499</v>
      </c>
      <c r="E17" s="29"/>
      <c r="F17" s="22">
        <v>2170</v>
      </c>
    </row>
    <row r="18" spans="1:10" ht="15" customHeight="1" x14ac:dyDescent="0.2">
      <c r="B18" s="241" t="s">
        <v>204</v>
      </c>
      <c r="C18" s="316"/>
      <c r="D18" s="22">
        <f>80954-D19-169+1</f>
        <v>77335</v>
      </c>
      <c r="E18" s="29"/>
      <c r="F18" s="22">
        <f>113498-F19-F17</f>
        <v>105086</v>
      </c>
    </row>
    <row r="19" spans="1:10" ht="15" customHeight="1" x14ac:dyDescent="0.2">
      <c r="B19" s="80" t="s">
        <v>280</v>
      </c>
      <c r="C19" s="316"/>
      <c r="D19" s="22">
        <f>3458-8+1</f>
        <v>3451</v>
      </c>
      <c r="E19" s="29"/>
      <c r="F19" s="22">
        <v>6242</v>
      </c>
    </row>
    <row r="20" spans="1:10" ht="15" customHeight="1" x14ac:dyDescent="0.2">
      <c r="B20" s="337" t="s">
        <v>247</v>
      </c>
      <c r="C20" s="337"/>
      <c r="D20" s="84">
        <f>145250-15</f>
        <v>145235</v>
      </c>
      <c r="E20" s="29"/>
      <c r="F20" s="84">
        <v>125217</v>
      </c>
    </row>
    <row r="21" spans="1:10" ht="15" customHeight="1" x14ac:dyDescent="0.2">
      <c r="D21" s="22">
        <f>SUM(D16:D20)</f>
        <v>274758</v>
      </c>
      <c r="E21" s="29"/>
      <c r="F21" s="22">
        <f>SUM(F16:F20)</f>
        <v>280448</v>
      </c>
    </row>
    <row r="22" spans="1:10" ht="15" customHeight="1" x14ac:dyDescent="0.2">
      <c r="A22" s="3"/>
      <c r="B22" s="2" t="s">
        <v>412</v>
      </c>
      <c r="C22" s="151">
        <v>11</v>
      </c>
      <c r="D22" s="22">
        <f>34905+41+169+15+151</f>
        <v>35281</v>
      </c>
      <c r="E22" s="29"/>
      <c r="F22" s="22">
        <v>0</v>
      </c>
    </row>
    <row r="23" spans="1:10" ht="15" customHeight="1" thickBot="1" x14ac:dyDescent="0.25">
      <c r="A23" s="3" t="s">
        <v>71</v>
      </c>
      <c r="D23" s="28">
        <f>SUM(D21:D22)</f>
        <v>310039</v>
      </c>
      <c r="E23" s="29"/>
      <c r="F23" s="28">
        <f>SUM(F21:F22)</f>
        <v>280448</v>
      </c>
    </row>
    <row r="24" spans="1:10" ht="30" customHeight="1" thickBot="1" x14ac:dyDescent="0.25">
      <c r="A24" s="3" t="s">
        <v>72</v>
      </c>
      <c r="D24" s="590">
        <f>D21+D14+D22</f>
        <v>3177298</v>
      </c>
      <c r="F24" s="590">
        <f>F21+F14</f>
        <v>2526970</v>
      </c>
    </row>
    <row r="25" spans="1:10" ht="15" customHeight="1" thickTop="1" x14ac:dyDescent="0.2"/>
    <row r="26" spans="1:10" ht="15" customHeight="1" x14ac:dyDescent="0.2">
      <c r="A26" s="3" t="s">
        <v>73</v>
      </c>
    </row>
    <row r="27" spans="1:10" ht="15" customHeight="1" x14ac:dyDescent="0.2">
      <c r="B27" s="343" t="s">
        <v>251</v>
      </c>
      <c r="C27" s="343"/>
      <c r="D27" s="23">
        <v>778081</v>
      </c>
      <c r="E27" s="31"/>
      <c r="F27" s="23">
        <v>770144</v>
      </c>
    </row>
    <row r="28" spans="1:10" ht="15" customHeight="1" x14ac:dyDescent="0.2">
      <c r="B28" s="80" t="s">
        <v>74</v>
      </c>
      <c r="C28" s="316"/>
      <c r="D28" s="23">
        <v>411174</v>
      </c>
      <c r="E28" s="31"/>
      <c r="F28" s="23">
        <v>348942</v>
      </c>
      <c r="G28" s="31"/>
    </row>
    <row r="29" spans="1:10" ht="30" customHeight="1" x14ac:dyDescent="0.2">
      <c r="A29" s="650" t="s">
        <v>95</v>
      </c>
      <c r="B29" s="644"/>
      <c r="C29" s="314"/>
      <c r="D29" s="66">
        <f>SUM(D27:D28)</f>
        <v>1189255</v>
      </c>
      <c r="E29" s="31"/>
      <c r="F29" s="66">
        <f>SUM(F27:F28)</f>
        <v>1119086</v>
      </c>
      <c r="G29" s="25"/>
    </row>
    <row r="30" spans="1:10" ht="15" customHeight="1" x14ac:dyDescent="0.2">
      <c r="A30" s="169" t="s">
        <v>154</v>
      </c>
      <c r="D30" s="23">
        <v>396726</v>
      </c>
      <c r="E30" s="31"/>
      <c r="F30" s="23">
        <v>393899</v>
      </c>
      <c r="G30" s="25"/>
    </row>
    <row r="31" spans="1:10" ht="15" customHeight="1" thickBot="1" x14ac:dyDescent="0.25">
      <c r="A31" s="3" t="s">
        <v>75</v>
      </c>
      <c r="D31" s="28">
        <f>SUM(D29:D30)</f>
        <v>1585981</v>
      </c>
      <c r="E31" s="31"/>
      <c r="F31" s="28">
        <f>SUM(F29:F30)</f>
        <v>1512985</v>
      </c>
      <c r="G31" s="25"/>
    </row>
    <row r="32" spans="1:10" ht="15" customHeight="1" x14ac:dyDescent="0.2">
      <c r="A32" s="3"/>
      <c r="D32" s="23"/>
      <c r="E32" s="31"/>
      <c r="F32" s="23"/>
      <c r="G32" s="25"/>
      <c r="J32" s="2">
        <v>-3942</v>
      </c>
    </row>
    <row r="33" spans="1:10" ht="15" customHeight="1" x14ac:dyDescent="0.2">
      <c r="A33" s="3" t="s">
        <v>76</v>
      </c>
      <c r="B33" s="21"/>
      <c r="D33" s="23"/>
      <c r="E33" s="31"/>
      <c r="F33" s="23"/>
      <c r="G33" s="25"/>
    </row>
    <row r="34" spans="1:10" ht="15" customHeight="1" x14ac:dyDescent="0.2">
      <c r="A34" s="3"/>
      <c r="B34" s="2" t="s">
        <v>38</v>
      </c>
      <c r="D34" s="23">
        <f>302887-2870</f>
        <v>300017</v>
      </c>
      <c r="E34" s="31"/>
      <c r="F34" s="23">
        <v>278366</v>
      </c>
      <c r="G34" s="25"/>
    </row>
    <row r="35" spans="1:10" ht="15" customHeight="1" x14ac:dyDescent="0.2">
      <c r="A35" s="3"/>
      <c r="B35" s="337" t="s">
        <v>234</v>
      </c>
      <c r="C35" s="151">
        <v>28</v>
      </c>
      <c r="D35" s="23">
        <v>997513</v>
      </c>
      <c r="E35" s="31"/>
      <c r="F35" s="23">
        <v>470562</v>
      </c>
      <c r="G35" s="25"/>
      <c r="J35" s="2">
        <v>-5369</v>
      </c>
    </row>
    <row r="36" spans="1:10" ht="15" customHeight="1" x14ac:dyDescent="0.2">
      <c r="A36" s="3"/>
      <c r="B36" s="337" t="s">
        <v>183</v>
      </c>
      <c r="C36" s="337"/>
      <c r="D36" s="23">
        <v>11885</v>
      </c>
      <c r="E36" s="31"/>
      <c r="F36" s="23">
        <v>11349</v>
      </c>
      <c r="G36" s="25"/>
    </row>
    <row r="37" spans="1:10" ht="15" customHeight="1" thickBot="1" x14ac:dyDescent="0.25">
      <c r="A37" s="3" t="s">
        <v>77</v>
      </c>
      <c r="D37" s="28">
        <f>SUM(D34:D36)</f>
        <v>1309415</v>
      </c>
      <c r="E37" s="31"/>
      <c r="F37" s="28">
        <f>SUM(F34:F36)</f>
        <v>760277</v>
      </c>
      <c r="G37" s="25"/>
    </row>
    <row r="38" spans="1:10" ht="15" customHeight="1" x14ac:dyDescent="0.2">
      <c r="A38" s="3"/>
      <c r="D38" s="23"/>
      <c r="E38" s="31"/>
      <c r="F38" s="23"/>
      <c r="G38" s="25"/>
    </row>
    <row r="39" spans="1:10" ht="15" customHeight="1" x14ac:dyDescent="0.2">
      <c r="A39" s="3" t="s">
        <v>7</v>
      </c>
      <c r="B39" s="3"/>
      <c r="C39" s="3"/>
      <c r="D39" s="22"/>
      <c r="E39" s="29"/>
      <c r="F39" s="22"/>
      <c r="G39" s="25"/>
    </row>
    <row r="40" spans="1:10" ht="15" customHeight="1" x14ac:dyDescent="0.2">
      <c r="A40" s="3"/>
      <c r="B40" s="337" t="s">
        <v>183</v>
      </c>
      <c r="C40" s="337"/>
      <c r="D40" s="22">
        <f>184971+80344-352</f>
        <v>264963</v>
      </c>
      <c r="E40" s="29"/>
      <c r="F40" s="22">
        <f>111631+118709</f>
        <v>230340</v>
      </c>
      <c r="G40" s="25"/>
    </row>
    <row r="41" spans="1:10" ht="15" customHeight="1" x14ac:dyDescent="0.2">
      <c r="A41" s="3"/>
      <c r="B41" s="337" t="s">
        <v>235</v>
      </c>
      <c r="C41" s="151">
        <v>28</v>
      </c>
      <c r="D41" s="22">
        <v>10000</v>
      </c>
      <c r="E41" s="29"/>
      <c r="F41" s="22">
        <v>20000</v>
      </c>
      <c r="G41" s="25"/>
    </row>
    <row r="42" spans="1:10" ht="15" customHeight="1" x14ac:dyDescent="0.2">
      <c r="B42" s="337" t="s">
        <v>90</v>
      </c>
      <c r="C42" s="337"/>
      <c r="D42" s="22">
        <f>3717-1</f>
        <v>3716</v>
      </c>
      <c r="E42" s="29"/>
      <c r="F42" s="22">
        <v>3368</v>
      </c>
      <c r="G42" s="25"/>
    </row>
    <row r="43" spans="1:10" ht="15" customHeight="1" x14ac:dyDescent="0.2">
      <c r="D43" s="66">
        <f>SUM(D40:D42)</f>
        <v>278679</v>
      </c>
      <c r="E43" s="29"/>
      <c r="F43" s="66">
        <f>SUM(F40:F42)</f>
        <v>253708</v>
      </c>
      <c r="G43" s="25"/>
    </row>
    <row r="44" spans="1:10" ht="15" customHeight="1" x14ac:dyDescent="0.2">
      <c r="A44" s="3"/>
      <c r="B44" s="2" t="s">
        <v>413</v>
      </c>
      <c r="C44" s="151">
        <v>11</v>
      </c>
      <c r="D44" s="22">
        <f>352+1+2870</f>
        <v>3223</v>
      </c>
      <c r="E44" s="29"/>
      <c r="F44" s="22">
        <v>0</v>
      </c>
      <c r="G44" s="25"/>
    </row>
    <row r="45" spans="1:10" ht="15" customHeight="1" x14ac:dyDescent="0.2">
      <c r="A45" s="3" t="s">
        <v>105</v>
      </c>
      <c r="D45" s="66">
        <f>SUM(D43:D44)</f>
        <v>281902</v>
      </c>
      <c r="E45" s="29"/>
      <c r="F45" s="66">
        <f>SUM(F43:F44)</f>
        <v>253708</v>
      </c>
      <c r="G45" s="25"/>
    </row>
    <row r="46" spans="1:10" ht="15" customHeight="1" thickBot="1" x14ac:dyDescent="0.25">
      <c r="A46" s="3" t="s">
        <v>78</v>
      </c>
      <c r="D46" s="28">
        <f>D37+D45</f>
        <v>1591317</v>
      </c>
      <c r="E46" s="29"/>
      <c r="F46" s="28">
        <f>F37+F45</f>
        <v>1013985</v>
      </c>
      <c r="G46" s="25"/>
    </row>
    <row r="47" spans="1:10" ht="30" customHeight="1" thickBot="1" x14ac:dyDescent="0.25">
      <c r="A47" s="3" t="s">
        <v>79</v>
      </c>
      <c r="D47" s="591">
        <f>D31+D46</f>
        <v>3177298</v>
      </c>
      <c r="E47" s="31"/>
      <c r="F47" s="591">
        <f>F31+F46</f>
        <v>2526970</v>
      </c>
      <c r="G47" s="25"/>
    </row>
    <row r="48" spans="1:10" ht="15" customHeight="1" thickTop="1" x14ac:dyDescent="0.2">
      <c r="D48" s="611">
        <f>D24-D47</f>
        <v>0</v>
      </c>
      <c r="E48" s="612"/>
      <c r="F48" s="611">
        <f>F24-F47</f>
        <v>0</v>
      </c>
    </row>
    <row r="49" spans="1:12" ht="15" customHeight="1" thickBot="1" x14ac:dyDescent="0.25">
      <c r="A49" s="81" t="s">
        <v>84</v>
      </c>
      <c r="B49" s="315"/>
      <c r="C49" s="315"/>
      <c r="D49" s="82">
        <f>D29/D56</f>
        <v>1.3506403092746038</v>
      </c>
      <c r="E49" s="76"/>
      <c r="F49" s="82">
        <f>F29/F56</f>
        <v>1.5364547007232727</v>
      </c>
      <c r="G49" s="93"/>
      <c r="H49" s="93"/>
      <c r="I49" s="93"/>
      <c r="J49" s="93"/>
      <c r="K49" s="93"/>
      <c r="L49" s="93"/>
    </row>
    <row r="50" spans="1:12" ht="15" customHeight="1" x14ac:dyDescent="0.2">
      <c r="A50" s="81"/>
      <c r="B50" s="315"/>
      <c r="C50" s="485"/>
      <c r="D50" s="484"/>
      <c r="E50" s="485"/>
      <c r="F50" s="484"/>
      <c r="G50" s="488"/>
      <c r="H50" s="488"/>
      <c r="I50" s="93"/>
      <c r="J50" s="93"/>
      <c r="K50" s="93"/>
      <c r="L50" s="93"/>
    </row>
    <row r="51" spans="1:12" ht="15" customHeight="1" x14ac:dyDescent="0.2">
      <c r="A51" s="81"/>
      <c r="B51" s="340"/>
      <c r="C51" s="485"/>
      <c r="D51" s="485"/>
      <c r="E51" s="485"/>
      <c r="F51" s="485"/>
      <c r="G51" s="488"/>
      <c r="H51" s="488"/>
      <c r="I51" s="93"/>
      <c r="J51" s="93"/>
      <c r="K51" s="93"/>
      <c r="L51" s="93"/>
    </row>
    <row r="52" spans="1:12" ht="60" customHeight="1" x14ac:dyDescent="0.2">
      <c r="A52" s="651" t="s">
        <v>260</v>
      </c>
      <c r="B52" s="651"/>
      <c r="C52" s="651"/>
      <c r="D52" s="651"/>
      <c r="E52" s="651"/>
      <c r="F52" s="651"/>
      <c r="G52" s="651"/>
      <c r="H52" s="94"/>
      <c r="I52" s="94"/>
      <c r="J52" s="94"/>
    </row>
    <row r="53" spans="1:12" ht="15" customHeight="1" x14ac:dyDescent="0.2">
      <c r="D53" s="31"/>
      <c r="E53" s="31"/>
      <c r="F53" s="31"/>
    </row>
    <row r="54" spans="1:12" ht="15" customHeight="1" x14ac:dyDescent="0.2">
      <c r="D54" s="53"/>
      <c r="E54" s="31"/>
      <c r="F54" s="53"/>
    </row>
    <row r="55" spans="1:12" ht="15" customHeight="1" x14ac:dyDescent="0.2">
      <c r="D55" s="31"/>
      <c r="E55" s="31"/>
      <c r="F55" s="31"/>
    </row>
    <row r="56" spans="1:12" ht="15" hidden="1" customHeight="1" x14ac:dyDescent="0.2">
      <c r="D56" s="31">
        <f>(Equity!B34*2)</f>
        <v>880512</v>
      </c>
      <c r="E56" s="31"/>
      <c r="F56" s="31">
        <f>Equity!B22*2</f>
        <v>728356</v>
      </c>
      <c r="G56" s="31" t="e">
        <f>#REF!*2</f>
        <v>#REF!</v>
      </c>
    </row>
    <row r="57" spans="1:12" ht="15" customHeight="1" x14ac:dyDescent="0.2">
      <c r="D57" s="31"/>
      <c r="E57" s="31"/>
      <c r="F57" s="31"/>
    </row>
    <row r="58" spans="1:12" ht="15" customHeight="1" x14ac:dyDescent="0.2">
      <c r="D58" s="31"/>
      <c r="E58" s="31"/>
      <c r="F58" s="31"/>
    </row>
    <row r="59" spans="1:12" ht="15" customHeight="1" x14ac:dyDescent="0.2">
      <c r="D59" s="31"/>
      <c r="E59" s="31"/>
      <c r="F59" s="31"/>
    </row>
    <row r="60" spans="1:12" ht="15" customHeight="1" x14ac:dyDescent="0.2">
      <c r="D60" s="31"/>
      <c r="E60" s="31"/>
      <c r="F60" s="31"/>
    </row>
    <row r="61" spans="1:12" ht="15" customHeight="1" x14ac:dyDescent="0.2">
      <c r="D61" s="31"/>
      <c r="E61" s="31"/>
      <c r="F61" s="31"/>
    </row>
    <row r="62" spans="1:12" ht="15" customHeight="1" x14ac:dyDescent="0.2">
      <c r="D62" s="31"/>
      <c r="E62" s="31"/>
      <c r="F62" s="31"/>
    </row>
    <row r="63" spans="1:12" ht="15" customHeight="1" x14ac:dyDescent="0.2">
      <c r="D63" s="31"/>
      <c r="E63" s="31"/>
      <c r="F63" s="31"/>
    </row>
    <row r="64" spans="1:12" ht="15" customHeight="1" x14ac:dyDescent="0.2">
      <c r="D64" s="31"/>
      <c r="E64" s="31"/>
      <c r="F64" s="31"/>
    </row>
    <row r="65" spans="4:6" ht="15" customHeight="1" x14ac:dyDescent="0.2">
      <c r="D65" s="31"/>
      <c r="E65" s="31"/>
      <c r="F65" s="31"/>
    </row>
    <row r="66" spans="4:6" ht="15" customHeight="1" x14ac:dyDescent="0.2">
      <c r="D66" s="31"/>
      <c r="E66" s="31"/>
      <c r="F66" s="31"/>
    </row>
    <row r="67" spans="4:6" ht="15" customHeight="1" x14ac:dyDescent="0.2">
      <c r="D67" s="31"/>
      <c r="E67" s="31"/>
      <c r="F67" s="31"/>
    </row>
    <row r="68" spans="4:6" ht="15" customHeight="1" x14ac:dyDescent="0.2">
      <c r="D68" s="31"/>
      <c r="E68" s="31"/>
      <c r="F68" s="31"/>
    </row>
    <row r="69" spans="4:6" ht="15" customHeight="1" x14ac:dyDescent="0.2">
      <c r="D69" s="31"/>
      <c r="E69" s="31"/>
      <c r="F69" s="31"/>
    </row>
    <row r="70" spans="4:6" ht="15" customHeight="1" x14ac:dyDescent="0.2">
      <c r="D70" s="31"/>
      <c r="E70" s="31"/>
      <c r="F70" s="31"/>
    </row>
    <row r="71" spans="4:6" ht="15" customHeight="1" x14ac:dyDescent="0.2">
      <c r="D71" s="31"/>
      <c r="E71" s="31"/>
      <c r="F71" s="31"/>
    </row>
    <row r="72" spans="4:6" ht="15" customHeight="1" x14ac:dyDescent="0.2">
      <c r="D72" s="31"/>
      <c r="E72" s="31"/>
      <c r="F72" s="31"/>
    </row>
    <row r="73" spans="4:6" ht="15" customHeight="1" x14ac:dyDescent="0.2">
      <c r="D73" s="31"/>
      <c r="E73" s="31"/>
      <c r="F73" s="31"/>
    </row>
    <row r="74" spans="4:6" ht="15" customHeight="1" x14ac:dyDescent="0.2">
      <c r="D74" s="31"/>
      <c r="E74" s="31"/>
      <c r="F74" s="31"/>
    </row>
    <row r="75" spans="4:6" ht="15" customHeight="1" x14ac:dyDescent="0.2">
      <c r="D75" s="31"/>
      <c r="E75" s="31"/>
      <c r="F75" s="31"/>
    </row>
    <row r="76" spans="4:6" ht="15" customHeight="1" x14ac:dyDescent="0.2">
      <c r="D76" s="31"/>
      <c r="E76" s="31"/>
      <c r="F76" s="31"/>
    </row>
    <row r="77" spans="4:6" ht="15" customHeight="1" x14ac:dyDescent="0.2">
      <c r="D77" s="31"/>
      <c r="E77" s="31"/>
      <c r="F77" s="31"/>
    </row>
    <row r="78" spans="4:6" ht="15" customHeight="1" x14ac:dyDescent="0.2">
      <c r="D78" s="31"/>
      <c r="E78" s="31"/>
      <c r="F78" s="31"/>
    </row>
    <row r="79" spans="4:6" ht="15" customHeight="1" x14ac:dyDescent="0.2">
      <c r="D79" s="31"/>
      <c r="E79" s="31"/>
      <c r="F79" s="31"/>
    </row>
  </sheetData>
  <mergeCells count="2">
    <mergeCell ref="A29:B29"/>
    <mergeCell ref="A52:G52"/>
  </mergeCells>
  <phoneticPr fontId="0" type="noConversion"/>
  <printOptions horizontalCentered="1"/>
  <pageMargins left="0.5" right="0.28000000000000003" top="0.75" bottom="0.5" header="0.5" footer="0.25"/>
  <pageSetup paperSize="9" scale="88" orientation="portrait" r:id="rId1"/>
  <headerFooter alignWithMargins="0">
    <oddHeader>&amp;C( &amp;P+1 )</oddHeader>
    <oddFooter>&amp;R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view="pageBreakPreview" topLeftCell="A22" zoomScaleNormal="87" zoomScaleSheetLayoutView="100" workbookViewId="0">
      <selection activeCell="A29" sqref="A29"/>
    </sheetView>
  </sheetViews>
  <sheetFormatPr defaultColWidth="9.140625" defaultRowHeight="15" customHeight="1" x14ac:dyDescent="0.2"/>
  <cols>
    <col min="1" max="1" width="38.5703125" style="95" customWidth="1"/>
    <col min="2" max="2" width="16.5703125" style="95" customWidth="1"/>
    <col min="3" max="3" width="2.28515625" style="95" customWidth="1"/>
    <col min="4" max="4" width="16.5703125" style="95" customWidth="1"/>
    <col min="5" max="5" width="1.140625" style="95" customWidth="1"/>
    <col min="6" max="6" width="1" style="95" hidden="1" customWidth="1"/>
    <col min="7" max="7" width="15.28515625" style="95" customWidth="1"/>
    <col min="8" max="8" width="1.85546875" style="95" customWidth="1"/>
    <col min="9" max="9" width="15.42578125" style="95" bestFit="1" customWidth="1"/>
    <col min="10" max="10" width="2.28515625" style="95" customWidth="1"/>
    <col min="11" max="11" width="15.7109375" style="95" customWidth="1"/>
    <col min="12" max="12" width="2.28515625" style="95" customWidth="1"/>
    <col min="13" max="13" width="15" style="95" customWidth="1"/>
    <col min="14" max="14" width="1.28515625" style="95" customWidth="1"/>
    <col min="15" max="15" width="14.7109375" style="95" customWidth="1"/>
    <col min="16" max="16" width="1.28515625" style="95" customWidth="1"/>
    <col min="17" max="17" width="17.42578125" style="95" customWidth="1"/>
    <col min="18" max="18" width="1.140625" style="95" customWidth="1"/>
    <col min="19" max="19" width="13.7109375" style="95" customWidth="1"/>
    <col min="20" max="20" width="12.140625" style="95" bestFit="1" customWidth="1"/>
    <col min="21" max="21" width="9.42578125" style="95" bestFit="1" customWidth="1"/>
    <col min="22" max="16384" width="9.140625" style="95"/>
  </cols>
  <sheetData>
    <row r="1" spans="1:19" ht="15" customHeight="1" x14ac:dyDescent="0.2">
      <c r="B1" s="96"/>
      <c r="C1" s="96"/>
      <c r="D1" s="96"/>
      <c r="E1" s="96"/>
      <c r="F1" s="96"/>
      <c r="G1" s="96"/>
      <c r="H1" s="96"/>
      <c r="I1" s="96"/>
      <c r="J1" s="96"/>
      <c r="K1" s="96"/>
      <c r="L1" s="96"/>
      <c r="M1" s="96"/>
      <c r="N1" s="96"/>
      <c r="O1" s="97"/>
      <c r="P1" s="97"/>
      <c r="Q1" s="97"/>
      <c r="R1" s="97"/>
      <c r="S1" s="97"/>
    </row>
    <row r="2" spans="1:19" ht="15" customHeight="1" x14ac:dyDescent="0.2">
      <c r="A2" s="98" t="s">
        <v>351</v>
      </c>
    </row>
    <row r="3" spans="1:19" ht="15" customHeight="1" x14ac:dyDescent="0.2">
      <c r="A3" s="99"/>
    </row>
    <row r="4" spans="1:19" ht="15" customHeight="1" x14ac:dyDescent="0.2">
      <c r="A4" s="99"/>
    </row>
    <row r="5" spans="1:19" ht="15" customHeight="1" x14ac:dyDescent="0.2">
      <c r="A5" s="99"/>
      <c r="B5" s="654" t="s">
        <v>94</v>
      </c>
      <c r="C5" s="654"/>
      <c r="D5" s="654"/>
      <c r="E5" s="654"/>
      <c r="F5" s="654"/>
      <c r="G5" s="654"/>
      <c r="H5" s="654"/>
      <c r="I5" s="654"/>
      <c r="J5" s="654"/>
      <c r="K5" s="654"/>
      <c r="L5" s="654"/>
      <c r="M5" s="654"/>
      <c r="N5" s="654"/>
      <c r="O5" s="654"/>
      <c r="P5" s="122"/>
      <c r="Q5" s="122"/>
      <c r="R5" s="122"/>
    </row>
    <row r="6" spans="1:19" ht="16.5" customHeight="1" x14ac:dyDescent="0.2">
      <c r="A6" s="99"/>
      <c r="B6" s="655" t="s">
        <v>88</v>
      </c>
      <c r="C6" s="656"/>
      <c r="D6" s="656"/>
      <c r="E6" s="657"/>
      <c r="F6" s="657"/>
      <c r="G6" s="657"/>
      <c r="H6" s="657"/>
      <c r="I6" s="657"/>
      <c r="J6" s="657"/>
      <c r="K6" s="123"/>
      <c r="L6" s="123"/>
      <c r="M6" s="101" t="s">
        <v>32</v>
      </c>
      <c r="N6" s="101"/>
    </row>
    <row r="7" spans="1:19" ht="16.5" customHeight="1" x14ac:dyDescent="0.2">
      <c r="A7" s="99"/>
      <c r="B7" s="348"/>
      <c r="C7" s="349"/>
      <c r="D7" s="349"/>
      <c r="E7" s="350"/>
      <c r="F7" s="350"/>
      <c r="G7" s="350"/>
      <c r="H7" s="350"/>
      <c r="I7" s="350"/>
      <c r="J7" s="350"/>
      <c r="K7" s="348" t="s">
        <v>14</v>
      </c>
      <c r="L7" s="123"/>
      <c r="M7" s="101"/>
      <c r="N7" s="101"/>
    </row>
    <row r="8" spans="1:19" ht="16.5" customHeight="1" x14ac:dyDescent="0.2">
      <c r="A8" s="99"/>
      <c r="B8" s="100" t="s">
        <v>33</v>
      </c>
      <c r="C8" s="100"/>
      <c r="D8" s="100" t="s">
        <v>33</v>
      </c>
      <c r="E8" s="100"/>
      <c r="F8" s="101" t="s">
        <v>33</v>
      </c>
      <c r="G8" s="100" t="s">
        <v>113</v>
      </c>
      <c r="H8" s="101"/>
      <c r="I8" s="100" t="s">
        <v>110</v>
      </c>
      <c r="J8" s="101"/>
      <c r="K8" s="101" t="s">
        <v>257</v>
      </c>
      <c r="L8" s="101"/>
      <c r="M8" s="100" t="s">
        <v>34</v>
      </c>
      <c r="N8" s="100"/>
      <c r="O8" s="100"/>
      <c r="P8" s="100"/>
      <c r="Q8" s="100" t="s">
        <v>155</v>
      </c>
      <c r="S8" s="100"/>
    </row>
    <row r="9" spans="1:19" ht="15" customHeight="1" x14ac:dyDescent="0.2">
      <c r="B9" s="101" t="s">
        <v>35</v>
      </c>
      <c r="C9" s="101"/>
      <c r="D9" s="101" t="s">
        <v>36</v>
      </c>
      <c r="E9" s="100"/>
      <c r="F9" s="124" t="s">
        <v>36</v>
      </c>
      <c r="G9" s="101" t="s">
        <v>120</v>
      </c>
      <c r="H9" s="101"/>
      <c r="I9" s="101" t="s">
        <v>109</v>
      </c>
      <c r="J9" s="101"/>
      <c r="K9" s="101" t="s">
        <v>109</v>
      </c>
      <c r="L9" s="101"/>
      <c r="M9" s="101" t="s">
        <v>107</v>
      </c>
      <c r="N9" s="100"/>
      <c r="O9" s="101" t="s">
        <v>81</v>
      </c>
      <c r="P9" s="100"/>
      <c r="Q9" s="101" t="s">
        <v>56</v>
      </c>
      <c r="S9" s="101" t="s">
        <v>14</v>
      </c>
    </row>
    <row r="10" spans="1:19" ht="15" customHeight="1" x14ac:dyDescent="0.2">
      <c r="A10" s="102"/>
      <c r="B10" s="100" t="s">
        <v>3</v>
      </c>
      <c r="C10" s="100"/>
      <c r="D10" s="100" t="s">
        <v>3</v>
      </c>
      <c r="E10" s="100"/>
      <c r="F10" s="100" t="s">
        <v>3</v>
      </c>
      <c r="G10" s="100" t="s">
        <v>3</v>
      </c>
      <c r="H10" s="100"/>
      <c r="I10" s="100" t="s">
        <v>3</v>
      </c>
      <c r="J10" s="100"/>
      <c r="K10" s="100" t="s">
        <v>3</v>
      </c>
      <c r="L10" s="101"/>
      <c r="M10" s="100" t="s">
        <v>3</v>
      </c>
      <c r="N10" s="100"/>
      <c r="O10" s="100" t="s">
        <v>3</v>
      </c>
      <c r="P10" s="100"/>
      <c r="Q10" s="100" t="s">
        <v>3</v>
      </c>
      <c r="S10" s="100" t="s">
        <v>3</v>
      </c>
    </row>
    <row r="11" spans="1:19" ht="15" customHeight="1" x14ac:dyDescent="0.2">
      <c r="E11" s="100"/>
      <c r="N11" s="100"/>
      <c r="P11" s="100"/>
    </row>
    <row r="12" spans="1:19" ht="23.25" customHeight="1" x14ac:dyDescent="0.2">
      <c r="A12" s="99" t="s">
        <v>187</v>
      </c>
      <c r="B12" s="99">
        <v>254548</v>
      </c>
      <c r="C12" s="99"/>
      <c r="D12" s="99">
        <v>39925</v>
      </c>
      <c r="E12" s="105"/>
      <c r="F12" s="99">
        <v>0</v>
      </c>
      <c r="G12" s="99">
        <v>26245</v>
      </c>
      <c r="H12" s="99"/>
      <c r="I12" s="99">
        <v>5149</v>
      </c>
      <c r="J12" s="99"/>
      <c r="K12" s="99">
        <f t="shared" ref="K12:K20" si="0">SUM(B12:I12)</f>
        <v>325867</v>
      </c>
      <c r="L12" s="99"/>
      <c r="M12" s="99">
        <v>298149</v>
      </c>
      <c r="N12" s="100"/>
      <c r="O12" s="99">
        <f t="shared" ref="O12:O13" si="1">SUM(K12:M12)</f>
        <v>624016</v>
      </c>
      <c r="P12" s="105"/>
      <c r="Q12" s="99">
        <v>194631</v>
      </c>
      <c r="R12" s="99"/>
      <c r="S12" s="99">
        <f>SUM(O12:Q12)</f>
        <v>818647</v>
      </c>
    </row>
    <row r="13" spans="1:19" ht="33.75" customHeight="1" x14ac:dyDescent="0.2">
      <c r="A13" s="111" t="s">
        <v>161</v>
      </c>
      <c r="B13" s="99">
        <v>0</v>
      </c>
      <c r="C13" s="99"/>
      <c r="D13" s="99">
        <v>0</v>
      </c>
      <c r="E13" s="105"/>
      <c r="F13" s="99">
        <v>0</v>
      </c>
      <c r="G13" s="99">
        <v>0</v>
      </c>
      <c r="H13" s="99"/>
      <c r="I13" s="99">
        <v>0</v>
      </c>
      <c r="J13" s="99"/>
      <c r="K13" s="99">
        <f t="shared" ref="K13" si="2">SUM(B13:I13)</f>
        <v>0</v>
      </c>
      <c r="L13" s="99"/>
      <c r="M13" s="99">
        <v>156554</v>
      </c>
      <c r="N13" s="100"/>
      <c r="O13" s="99">
        <f t="shared" si="1"/>
        <v>156554</v>
      </c>
      <c r="P13" s="105"/>
      <c r="Q13" s="99">
        <v>10982</v>
      </c>
      <c r="R13" s="99"/>
      <c r="S13" s="99">
        <f>SUM(O13:Q13)</f>
        <v>167536</v>
      </c>
    </row>
    <row r="14" spans="1:19" ht="28.5" x14ac:dyDescent="0.2">
      <c r="A14" s="111" t="s">
        <v>116</v>
      </c>
      <c r="B14" s="99">
        <v>5013</v>
      </c>
      <c r="C14" s="99"/>
      <c r="D14" s="99">
        <f>11270+1988</f>
        <v>13258</v>
      </c>
      <c r="E14" s="105"/>
      <c r="F14" s="99"/>
      <c r="G14" s="99">
        <v>0</v>
      </c>
      <c r="H14" s="99"/>
      <c r="I14" s="99">
        <v>-1988</v>
      </c>
      <c r="J14" s="99"/>
      <c r="K14" s="99">
        <f t="shared" si="0"/>
        <v>16283</v>
      </c>
      <c r="L14" s="99"/>
      <c r="M14" s="99">
        <v>0</v>
      </c>
      <c r="N14" s="100"/>
      <c r="O14" s="99">
        <f t="shared" ref="O14:O20" si="3">SUM(K14:M14)</f>
        <v>16283</v>
      </c>
      <c r="P14" s="105"/>
      <c r="Q14" s="99">
        <v>0</v>
      </c>
      <c r="R14" s="99"/>
      <c r="S14" s="99">
        <f t="shared" ref="S14:S20" si="4">SUM(O14:Q14)</f>
        <v>16283</v>
      </c>
    </row>
    <row r="15" spans="1:19" ht="34.5" customHeight="1" x14ac:dyDescent="0.2">
      <c r="A15" s="111" t="s">
        <v>284</v>
      </c>
      <c r="B15" s="99">
        <v>104617</v>
      </c>
      <c r="C15" s="99"/>
      <c r="D15" s="99">
        <v>431023</v>
      </c>
      <c r="E15" s="105"/>
      <c r="F15" s="99"/>
      <c r="G15" s="99">
        <v>0</v>
      </c>
      <c r="H15" s="99"/>
      <c r="I15" s="99">
        <v>0</v>
      </c>
      <c r="J15" s="99"/>
      <c r="K15" s="99">
        <f t="shared" si="0"/>
        <v>535640</v>
      </c>
      <c r="L15" s="99"/>
      <c r="M15" s="99">
        <v>0</v>
      </c>
      <c r="N15" s="100"/>
      <c r="O15" s="99">
        <f t="shared" si="3"/>
        <v>535640</v>
      </c>
      <c r="P15" s="105"/>
      <c r="Q15" s="99">
        <v>0</v>
      </c>
      <c r="R15" s="99"/>
      <c r="S15" s="99">
        <f t="shared" si="4"/>
        <v>535640</v>
      </c>
    </row>
    <row r="16" spans="1:19" ht="34.5" customHeight="1" x14ac:dyDescent="0.2">
      <c r="A16" s="111" t="s">
        <v>279</v>
      </c>
      <c r="B16" s="99">
        <v>0</v>
      </c>
      <c r="C16" s="99"/>
      <c r="D16" s="99">
        <v>0</v>
      </c>
      <c r="E16" s="105"/>
      <c r="F16" s="99"/>
      <c r="G16" s="99">
        <v>0</v>
      </c>
      <c r="H16" s="99"/>
      <c r="I16" s="99">
        <v>0</v>
      </c>
      <c r="J16" s="99"/>
      <c r="K16" s="99">
        <v>0</v>
      </c>
      <c r="L16" s="99"/>
      <c r="M16" s="99">
        <v>0</v>
      </c>
      <c r="N16" s="100"/>
      <c r="O16" s="99">
        <f t="shared" si="3"/>
        <v>0</v>
      </c>
      <c r="P16" s="105"/>
      <c r="Q16" s="99">
        <v>192677</v>
      </c>
      <c r="R16" s="99"/>
      <c r="S16" s="99">
        <f t="shared" si="4"/>
        <v>192677</v>
      </c>
    </row>
    <row r="17" spans="1:21" ht="36.75" customHeight="1" x14ac:dyDescent="0.2">
      <c r="A17" s="111" t="s">
        <v>252</v>
      </c>
      <c r="B17" s="99">
        <v>0</v>
      </c>
      <c r="C17" s="99"/>
      <c r="D17" s="99">
        <v>0</v>
      </c>
      <c r="E17" s="105"/>
      <c r="F17" s="99"/>
      <c r="G17" s="99">
        <v>-108802</v>
      </c>
      <c r="H17" s="99"/>
      <c r="I17" s="99">
        <v>0</v>
      </c>
      <c r="J17" s="99"/>
      <c r="K17" s="99">
        <f t="shared" si="0"/>
        <v>-108802</v>
      </c>
      <c r="L17" s="99"/>
      <c r="M17" s="99">
        <v>0</v>
      </c>
      <c r="N17" s="100"/>
      <c r="O17" s="99">
        <f t="shared" si="3"/>
        <v>-108802</v>
      </c>
      <c r="P17" s="105"/>
      <c r="Q17" s="99">
        <v>0</v>
      </c>
      <c r="R17" s="99"/>
      <c r="S17" s="99">
        <f t="shared" si="4"/>
        <v>-108802</v>
      </c>
    </row>
    <row r="18" spans="1:21" ht="27" customHeight="1" x14ac:dyDescent="0.2">
      <c r="A18" s="111" t="s">
        <v>165</v>
      </c>
      <c r="B18" s="105">
        <v>0</v>
      </c>
      <c r="C18" s="105"/>
      <c r="D18" s="105">
        <v>0</v>
      </c>
      <c r="E18" s="105"/>
      <c r="F18" s="105"/>
      <c r="G18" s="105">
        <v>0</v>
      </c>
      <c r="H18" s="105"/>
      <c r="I18" s="105">
        <v>1156</v>
      </c>
      <c r="J18" s="105"/>
      <c r="K18" s="99">
        <f t="shared" si="0"/>
        <v>1156</v>
      </c>
      <c r="L18" s="105"/>
      <c r="M18" s="105">
        <v>0</v>
      </c>
      <c r="N18" s="101"/>
      <c r="O18" s="99">
        <f t="shared" si="3"/>
        <v>1156</v>
      </c>
      <c r="P18" s="105"/>
      <c r="Q18" s="105">
        <v>0</v>
      </c>
      <c r="R18" s="105"/>
      <c r="S18" s="105">
        <f t="shared" si="4"/>
        <v>1156</v>
      </c>
    </row>
    <row r="19" spans="1:21" ht="36" customHeight="1" x14ac:dyDescent="0.2">
      <c r="A19" s="113" t="s">
        <v>170</v>
      </c>
      <c r="B19" s="105">
        <v>0</v>
      </c>
      <c r="C19" s="105"/>
      <c r="D19" s="105">
        <v>0</v>
      </c>
      <c r="E19" s="105"/>
      <c r="F19" s="105"/>
      <c r="G19" s="105">
        <v>0</v>
      </c>
      <c r="H19" s="105"/>
      <c r="I19" s="105">
        <v>0</v>
      </c>
      <c r="J19" s="105"/>
      <c r="K19" s="99">
        <f t="shared" si="0"/>
        <v>0</v>
      </c>
      <c r="L19" s="105"/>
      <c r="M19" s="105">
        <v>-105761</v>
      </c>
      <c r="N19" s="101"/>
      <c r="O19" s="99">
        <f t="shared" si="3"/>
        <v>-105761</v>
      </c>
      <c r="P19" s="105"/>
      <c r="Q19" s="105">
        <v>0</v>
      </c>
      <c r="R19" s="105"/>
      <c r="S19" s="105">
        <f t="shared" si="4"/>
        <v>-105761</v>
      </c>
    </row>
    <row r="20" spans="1:21" ht="18" customHeight="1" x14ac:dyDescent="0.2">
      <c r="A20" s="113" t="s">
        <v>160</v>
      </c>
      <c r="B20" s="105">
        <v>0</v>
      </c>
      <c r="C20" s="105"/>
      <c r="D20" s="105">
        <v>0</v>
      </c>
      <c r="E20" s="105"/>
      <c r="F20" s="105"/>
      <c r="G20" s="105">
        <v>0</v>
      </c>
      <c r="H20" s="105"/>
      <c r="I20" s="105">
        <v>0</v>
      </c>
      <c r="J20" s="105"/>
      <c r="K20" s="99">
        <f t="shared" si="0"/>
        <v>0</v>
      </c>
      <c r="L20" s="105"/>
      <c r="M20" s="105">
        <v>0</v>
      </c>
      <c r="N20" s="101"/>
      <c r="O20" s="99">
        <f t="shared" si="3"/>
        <v>0</v>
      </c>
      <c r="P20" s="105"/>
      <c r="Q20" s="105">
        <v>-4391</v>
      </c>
      <c r="R20" s="105"/>
      <c r="S20" s="105">
        <f t="shared" si="4"/>
        <v>-4391</v>
      </c>
    </row>
    <row r="21" spans="1:21" ht="15" customHeight="1" x14ac:dyDescent="0.2">
      <c r="A21" s="104"/>
      <c r="B21" s="105"/>
      <c r="C21" s="105"/>
      <c r="D21" s="105"/>
      <c r="E21" s="105"/>
      <c r="F21" s="105"/>
      <c r="G21" s="105"/>
      <c r="H21" s="105"/>
      <c r="I21" s="105"/>
      <c r="J21" s="105"/>
      <c r="K21" s="105"/>
      <c r="L21" s="105"/>
      <c r="M21" s="105"/>
      <c r="N21" s="100"/>
      <c r="O21" s="99"/>
      <c r="P21" s="105"/>
      <c r="Q21" s="105"/>
      <c r="R21" s="99"/>
      <c r="S21" s="99"/>
    </row>
    <row r="22" spans="1:21" ht="15" customHeight="1" thickBot="1" x14ac:dyDescent="0.25">
      <c r="A22" s="105" t="s">
        <v>261</v>
      </c>
      <c r="B22" s="106">
        <f>SUM(B12:B21)</f>
        <v>364178</v>
      </c>
      <c r="C22" s="105"/>
      <c r="D22" s="106">
        <f>SUM(D12:D21)</f>
        <v>484206</v>
      </c>
      <c r="E22" s="105"/>
      <c r="F22" s="106">
        <f>SUM(F12:F14)</f>
        <v>0</v>
      </c>
      <c r="G22" s="106">
        <f>SUM(G12:G21)</f>
        <v>-82557</v>
      </c>
      <c r="H22" s="106"/>
      <c r="I22" s="106">
        <f>SUM(I12:I21)</f>
        <v>4317</v>
      </c>
      <c r="J22" s="106"/>
      <c r="K22" s="106">
        <f>SUM(B22:I22)</f>
        <v>770144</v>
      </c>
      <c r="L22" s="106"/>
      <c r="M22" s="106">
        <f>SUM(M12:M21)</f>
        <v>348942</v>
      </c>
      <c r="N22" s="100"/>
      <c r="O22" s="106">
        <f>SUM(O12:O21)</f>
        <v>1119086</v>
      </c>
      <c r="P22" s="105"/>
      <c r="Q22" s="106">
        <f>SUM(Q12:Q21)</f>
        <v>393899</v>
      </c>
      <c r="R22" s="99"/>
      <c r="S22" s="106">
        <f>SUM(S12:S21)</f>
        <v>1512985</v>
      </c>
      <c r="U22" s="95">
        <f>B22+D22+M22-O22+G22+I22</f>
        <v>0</v>
      </c>
    </row>
    <row r="23" spans="1:21" ht="15" customHeight="1" thickTop="1" x14ac:dyDescent="0.2">
      <c r="E23" s="105"/>
      <c r="N23" s="100"/>
      <c r="P23" s="105"/>
      <c r="R23" s="99"/>
    </row>
    <row r="24" spans="1:21" ht="15" customHeight="1" x14ac:dyDescent="0.2">
      <c r="A24" s="99"/>
    </row>
    <row r="25" spans="1:21" ht="15" customHeight="1" x14ac:dyDescent="0.2">
      <c r="A25" s="99" t="s">
        <v>262</v>
      </c>
      <c r="B25" s="99">
        <f>B22</f>
        <v>364178</v>
      </c>
      <c r="C25" s="99"/>
      <c r="D25" s="99">
        <f>D22</f>
        <v>484206</v>
      </c>
      <c r="E25" s="105"/>
      <c r="F25" s="99">
        <f>F22</f>
        <v>0</v>
      </c>
      <c r="G25" s="99">
        <f>G22</f>
        <v>-82557</v>
      </c>
      <c r="H25" s="99"/>
      <c r="I25" s="99">
        <f>I22</f>
        <v>4317</v>
      </c>
      <c r="J25" s="99"/>
      <c r="K25" s="99">
        <f>SUM(B25:I25)</f>
        <v>770144</v>
      </c>
      <c r="L25" s="99"/>
      <c r="M25" s="99">
        <f>M22</f>
        <v>348942</v>
      </c>
      <c r="N25" s="100"/>
      <c r="O25" s="99">
        <f>SUM(K25:M25)</f>
        <v>1119086</v>
      </c>
      <c r="P25" s="105"/>
      <c r="Q25" s="99">
        <f>Q22</f>
        <v>393899</v>
      </c>
      <c r="R25" s="99"/>
      <c r="S25" s="99">
        <f>SUM(O25:Q25)</f>
        <v>1512985</v>
      </c>
    </row>
    <row r="26" spans="1:21" ht="36" customHeight="1" x14ac:dyDescent="0.2">
      <c r="A26" s="111" t="s">
        <v>404</v>
      </c>
      <c r="B26" s="99">
        <v>0</v>
      </c>
      <c r="C26" s="99"/>
      <c r="D26" s="99">
        <v>0</v>
      </c>
      <c r="E26" s="105"/>
      <c r="F26" s="99">
        <v>0</v>
      </c>
      <c r="G26" s="99">
        <v>0</v>
      </c>
      <c r="H26" s="99"/>
      <c r="I26" s="99">
        <v>0</v>
      </c>
      <c r="J26" s="99"/>
      <c r="K26" s="99">
        <f>SUM(B26:I26)</f>
        <v>0</v>
      </c>
      <c r="L26" s="99"/>
      <c r="M26" s="99">
        <f>PL!L42</f>
        <v>63107</v>
      </c>
      <c r="N26" s="100"/>
      <c r="O26" s="99">
        <f>SUM(K26:M26)</f>
        <v>63107</v>
      </c>
      <c r="P26" s="105"/>
      <c r="Q26" s="99">
        <f>PL!L43</f>
        <v>13394</v>
      </c>
      <c r="R26" s="99"/>
      <c r="S26" s="99">
        <f>SUM(O26:Q26)</f>
        <v>76501</v>
      </c>
    </row>
    <row r="27" spans="1:21" ht="36" customHeight="1" x14ac:dyDescent="0.2">
      <c r="A27" s="111" t="s">
        <v>322</v>
      </c>
      <c r="B27" s="99">
        <v>0</v>
      </c>
      <c r="C27" s="99"/>
      <c r="D27" s="99">
        <v>0</v>
      </c>
      <c r="E27" s="105"/>
      <c r="F27" s="99"/>
      <c r="G27" s="99">
        <v>0</v>
      </c>
      <c r="H27" s="99"/>
      <c r="I27" s="99">
        <v>-492</v>
      </c>
      <c r="J27" s="99"/>
      <c r="K27" s="99">
        <f>SUM(B27:I27)</f>
        <v>-492</v>
      </c>
      <c r="L27" s="99"/>
      <c r="M27" s="99">
        <v>0</v>
      </c>
      <c r="N27" s="100"/>
      <c r="O27" s="99">
        <f>SUM(K27:M27)</f>
        <v>-492</v>
      </c>
      <c r="P27" s="105"/>
      <c r="Q27" s="99">
        <v>0</v>
      </c>
      <c r="R27" s="99"/>
      <c r="S27" s="99">
        <f>SUM(O27:Q27)</f>
        <v>-492</v>
      </c>
    </row>
    <row r="28" spans="1:21" ht="27.75" customHeight="1" x14ac:dyDescent="0.2">
      <c r="A28" s="111" t="s">
        <v>116</v>
      </c>
      <c r="B28" s="99">
        <v>2990</v>
      </c>
      <c r="C28" s="99"/>
      <c r="D28" s="99">
        <v>6441</v>
      </c>
      <c r="E28" s="105"/>
      <c r="F28" s="99"/>
      <c r="G28" s="99">
        <v>0</v>
      </c>
      <c r="H28" s="99"/>
      <c r="I28" s="99">
        <v>-1002</v>
      </c>
      <c r="J28" s="99"/>
      <c r="K28" s="99">
        <f>SUM(B28:I28)</f>
        <v>8429</v>
      </c>
      <c r="L28" s="99"/>
      <c r="M28" s="99">
        <v>0</v>
      </c>
      <c r="N28" s="100"/>
      <c r="O28" s="99">
        <f t="shared" ref="O28:O32" si="5">SUM(K28:M28)</f>
        <v>8429</v>
      </c>
      <c r="P28" s="105"/>
      <c r="Q28" s="99">
        <v>0</v>
      </c>
      <c r="R28" s="99"/>
      <c r="S28" s="99">
        <f t="shared" ref="S28:S32" si="6">SUM(O28:Q28)</f>
        <v>8429</v>
      </c>
    </row>
    <row r="29" spans="1:21" ht="27.75" customHeight="1" x14ac:dyDescent="0.2">
      <c r="A29" s="111" t="s">
        <v>321</v>
      </c>
      <c r="B29" s="99">
        <v>73088</v>
      </c>
      <c r="C29" s="99"/>
      <c r="D29" s="99">
        <v>-73088</v>
      </c>
      <c r="E29" s="105"/>
      <c r="F29" s="99"/>
      <c r="G29" s="99">
        <v>0</v>
      </c>
      <c r="H29" s="99"/>
      <c r="I29" s="99">
        <v>0</v>
      </c>
      <c r="J29" s="99"/>
      <c r="K29" s="99">
        <f>SUM(B29:I29)</f>
        <v>0</v>
      </c>
      <c r="L29" s="99"/>
      <c r="M29" s="99">
        <v>0</v>
      </c>
      <c r="N29" s="100"/>
      <c r="O29" s="99">
        <v>0</v>
      </c>
      <c r="P29" s="105"/>
      <c r="Q29" s="99">
        <v>0</v>
      </c>
      <c r="R29" s="99"/>
      <c r="S29" s="99">
        <v>0</v>
      </c>
    </row>
    <row r="30" spans="1:21" ht="36" customHeight="1" x14ac:dyDescent="0.2">
      <c r="A30" s="113" t="s">
        <v>170</v>
      </c>
      <c r="B30" s="105">
        <v>0</v>
      </c>
      <c r="C30" s="105"/>
      <c r="D30" s="105">
        <v>0</v>
      </c>
      <c r="E30" s="105"/>
      <c r="F30" s="105"/>
      <c r="G30" s="105">
        <v>0</v>
      </c>
      <c r="H30" s="105"/>
      <c r="I30" s="105">
        <v>0</v>
      </c>
      <c r="J30" s="105"/>
      <c r="K30" s="99">
        <f t="shared" ref="K30:K32" si="7">SUM(B30:I30)</f>
        <v>0</v>
      </c>
      <c r="L30" s="105"/>
      <c r="M30" s="105">
        <f>-7303</f>
        <v>-7303</v>
      </c>
      <c r="N30" s="101"/>
      <c r="O30" s="99">
        <f t="shared" si="5"/>
        <v>-7303</v>
      </c>
      <c r="P30" s="105"/>
      <c r="Q30" s="105">
        <v>0</v>
      </c>
      <c r="R30" s="105"/>
      <c r="S30" s="105">
        <f t="shared" si="6"/>
        <v>-7303</v>
      </c>
    </row>
    <row r="31" spans="1:21" ht="32.25" customHeight="1" x14ac:dyDescent="0.2">
      <c r="A31" s="111" t="s">
        <v>367</v>
      </c>
      <c r="B31" s="105">
        <v>0</v>
      </c>
      <c r="C31" s="105"/>
      <c r="D31" s="105">
        <v>0</v>
      </c>
      <c r="E31" s="105"/>
      <c r="F31" s="105"/>
      <c r="G31" s="105">
        <v>0</v>
      </c>
      <c r="H31" s="105"/>
      <c r="I31" s="105">
        <v>0</v>
      </c>
      <c r="J31" s="105"/>
      <c r="K31" s="99">
        <f t="shared" si="7"/>
        <v>0</v>
      </c>
      <c r="L31" s="105"/>
      <c r="M31" s="105">
        <v>0</v>
      </c>
      <c r="N31" s="101"/>
      <c r="O31" s="99">
        <v>0</v>
      </c>
      <c r="P31" s="105"/>
      <c r="Q31" s="105">
        <v>1241</v>
      </c>
      <c r="R31" s="105"/>
      <c r="S31" s="105">
        <f t="shared" si="6"/>
        <v>1241</v>
      </c>
    </row>
    <row r="32" spans="1:21" ht="18" customHeight="1" x14ac:dyDescent="0.2">
      <c r="A32" s="113" t="s">
        <v>160</v>
      </c>
      <c r="B32" s="105">
        <v>0</v>
      </c>
      <c r="C32" s="105"/>
      <c r="D32" s="105">
        <v>0</v>
      </c>
      <c r="E32" s="105"/>
      <c r="F32" s="105"/>
      <c r="G32" s="105">
        <v>0</v>
      </c>
      <c r="H32" s="105"/>
      <c r="I32" s="105">
        <v>0</v>
      </c>
      <c r="J32" s="105"/>
      <c r="K32" s="99">
        <f t="shared" si="7"/>
        <v>0</v>
      </c>
      <c r="L32" s="105"/>
      <c r="M32" s="105">
        <v>6428</v>
      </c>
      <c r="N32" s="101"/>
      <c r="O32" s="99">
        <f t="shared" si="5"/>
        <v>6428</v>
      </c>
      <c r="P32" s="105"/>
      <c r="Q32" s="105">
        <f>-5377-6431</f>
        <v>-11808</v>
      </c>
      <c r="R32" s="105"/>
      <c r="S32" s="105">
        <f t="shared" si="6"/>
        <v>-5380</v>
      </c>
    </row>
    <row r="33" spans="1:21" ht="15" customHeight="1" x14ac:dyDescent="0.2">
      <c r="B33" s="191"/>
      <c r="C33" s="99"/>
      <c r="D33" s="191"/>
      <c r="E33" s="105"/>
      <c r="F33" s="191"/>
      <c r="G33" s="191"/>
      <c r="H33" s="191"/>
      <c r="I33" s="191"/>
      <c r="J33" s="191"/>
      <c r="K33" s="191"/>
      <c r="L33" s="191"/>
      <c r="M33" s="191"/>
      <c r="N33" s="100"/>
      <c r="O33" s="192"/>
      <c r="P33" s="105"/>
      <c r="Q33" s="193"/>
      <c r="R33" s="99"/>
      <c r="S33" s="192"/>
    </row>
    <row r="34" spans="1:21" ht="15" customHeight="1" thickBot="1" x14ac:dyDescent="0.25">
      <c r="A34" s="105" t="s">
        <v>352</v>
      </c>
      <c r="B34" s="194">
        <f>SUM(B25:B33)</f>
        <v>440256</v>
      </c>
      <c r="C34" s="99"/>
      <c r="D34" s="194">
        <f>SUM(D25:D33)</f>
        <v>417559</v>
      </c>
      <c r="E34" s="105"/>
      <c r="F34" s="194">
        <f>SUM(F25:F28)</f>
        <v>0</v>
      </c>
      <c r="G34" s="194">
        <f>SUM(G25:G33)</f>
        <v>-82557</v>
      </c>
      <c r="H34" s="194"/>
      <c r="I34" s="194">
        <f>SUM(I25:I33)</f>
        <v>2823</v>
      </c>
      <c r="J34" s="194"/>
      <c r="K34" s="106">
        <f>SUM(B34:I34)</f>
        <v>778081</v>
      </c>
      <c r="L34" s="194"/>
      <c r="M34" s="194">
        <f>SUM(M25:M33)</f>
        <v>411174</v>
      </c>
      <c r="N34" s="100"/>
      <c r="O34" s="194">
        <f>SUM(O25:O33)</f>
        <v>1189255</v>
      </c>
      <c r="P34" s="105"/>
      <c r="Q34" s="194">
        <f>SUM(Q25:Q33)</f>
        <v>396726</v>
      </c>
      <c r="R34" s="99"/>
      <c r="S34" s="194">
        <f>SUM(S25:S33)</f>
        <v>1585981</v>
      </c>
      <c r="T34" s="130">
        <f>BS!D31-Equity!S34</f>
        <v>0</v>
      </c>
      <c r="U34" s="130">
        <f>B34+D34+M34-O34+I34+G34</f>
        <v>0</v>
      </c>
    </row>
    <row r="35" spans="1:21" ht="15" customHeight="1" thickTop="1" x14ac:dyDescent="0.2">
      <c r="B35" s="183"/>
      <c r="C35" s="183"/>
      <c r="D35" s="183"/>
      <c r="E35" s="486"/>
      <c r="F35" s="183"/>
      <c r="G35" s="183"/>
      <c r="H35" s="183"/>
      <c r="I35" s="183"/>
      <c r="J35" s="183"/>
      <c r="K35" s="183"/>
      <c r="L35" s="183"/>
      <c r="M35" s="183"/>
      <c r="N35" s="487"/>
      <c r="O35" s="183"/>
      <c r="P35" s="486"/>
      <c r="Q35" s="183"/>
      <c r="R35" s="226"/>
      <c r="S35" s="183"/>
    </row>
    <row r="36" spans="1:21" ht="15" customHeight="1" x14ac:dyDescent="0.2">
      <c r="B36" s="183"/>
      <c r="C36" s="183"/>
      <c r="D36" s="183"/>
      <c r="E36" s="183"/>
      <c r="F36" s="183"/>
      <c r="G36" s="183"/>
      <c r="H36" s="183"/>
      <c r="I36" s="183"/>
      <c r="J36" s="183"/>
      <c r="K36" s="183"/>
      <c r="L36" s="183"/>
      <c r="M36" s="183"/>
      <c r="N36" s="183"/>
      <c r="O36" s="183"/>
      <c r="P36" s="183"/>
      <c r="Q36" s="183"/>
      <c r="R36" s="183"/>
      <c r="S36" s="183"/>
    </row>
    <row r="37" spans="1:21" ht="45" customHeight="1" x14ac:dyDescent="0.2">
      <c r="A37" s="640" t="s">
        <v>263</v>
      </c>
      <c r="B37" s="640"/>
      <c r="C37" s="640"/>
      <c r="D37" s="640"/>
      <c r="E37" s="640"/>
      <c r="F37" s="640"/>
      <c r="G37" s="640"/>
      <c r="H37" s="640"/>
      <c r="I37" s="640"/>
      <c r="J37" s="640"/>
      <c r="K37" s="640"/>
      <c r="L37" s="640"/>
      <c r="M37" s="643"/>
      <c r="N37" s="643"/>
      <c r="O37" s="643"/>
      <c r="P37" s="643"/>
      <c r="Q37" s="643"/>
      <c r="R37" s="643"/>
      <c r="S37" s="643"/>
    </row>
    <row r="38" spans="1:21" ht="15" customHeight="1" x14ac:dyDescent="0.2">
      <c r="A38" s="652"/>
      <c r="B38" s="653"/>
      <c r="C38" s="653"/>
      <c r="D38" s="653"/>
      <c r="E38" s="653"/>
      <c r="F38" s="653"/>
      <c r="G38" s="653"/>
      <c r="H38" s="653"/>
      <c r="I38" s="653"/>
      <c r="J38" s="653"/>
      <c r="K38" s="653"/>
      <c r="L38" s="653"/>
      <c r="M38" s="653"/>
      <c r="N38" s="653"/>
      <c r="O38" s="653"/>
      <c r="P38" s="653"/>
      <c r="Q38" s="653"/>
      <c r="R38" s="653"/>
      <c r="S38" s="653"/>
    </row>
    <row r="39" spans="1:21" ht="15" customHeight="1" x14ac:dyDescent="0.2">
      <c r="B39" s="183"/>
      <c r="C39" s="183"/>
      <c r="D39" s="183"/>
      <c r="E39" s="183"/>
      <c r="F39" s="183"/>
      <c r="G39" s="183"/>
      <c r="H39" s="183"/>
      <c r="I39" s="183"/>
      <c r="J39" s="183"/>
      <c r="K39" s="183">
        <f>K34-BS!D27</f>
        <v>0</v>
      </c>
      <c r="L39" s="183"/>
      <c r="M39" s="183">
        <f>M34-BS!D28</f>
        <v>0</v>
      </c>
      <c r="N39" s="183"/>
      <c r="O39" s="183"/>
      <c r="P39" s="183"/>
      <c r="Q39" s="183">
        <f>Q34-BS!D30</f>
        <v>0</v>
      </c>
      <c r="R39" s="183"/>
      <c r="S39" s="183"/>
    </row>
    <row r="40" spans="1:21" ht="15" customHeight="1" x14ac:dyDescent="0.2">
      <c r="B40" s="183"/>
      <c r="C40" s="183"/>
      <c r="D40" s="183"/>
      <c r="E40" s="183"/>
      <c r="F40" s="183"/>
      <c r="G40" s="183"/>
      <c r="H40" s="183"/>
      <c r="I40" s="183"/>
      <c r="J40" s="183"/>
      <c r="K40" s="183"/>
      <c r="L40" s="183"/>
      <c r="M40" s="183"/>
      <c r="N40" s="183"/>
      <c r="O40" s="183"/>
      <c r="P40" s="183"/>
      <c r="Q40" s="183"/>
      <c r="R40" s="183"/>
      <c r="S40" s="183"/>
    </row>
    <row r="41" spans="1:21" ht="15" customHeight="1" x14ac:dyDescent="0.2">
      <c r="B41" s="183"/>
      <c r="C41" s="183"/>
      <c r="D41" s="183"/>
      <c r="E41" s="183"/>
      <c r="F41" s="183"/>
      <c r="G41" s="183"/>
      <c r="H41" s="183"/>
      <c r="I41" s="183"/>
      <c r="J41" s="183"/>
      <c r="K41" s="183"/>
      <c r="L41" s="183"/>
      <c r="M41" s="183"/>
      <c r="N41" s="183"/>
      <c r="O41" s="183"/>
      <c r="P41" s="183"/>
      <c r="Q41" s="183"/>
      <c r="R41" s="183"/>
      <c r="S41" s="183"/>
    </row>
    <row r="53" spans="1:19" ht="15" customHeight="1" x14ac:dyDescent="0.2">
      <c r="A53" s="99"/>
    </row>
    <row r="54" spans="1:19" ht="15" customHeight="1" x14ac:dyDescent="0.2">
      <c r="A54" s="99"/>
    </row>
    <row r="55" spans="1:19" ht="15" customHeight="1" x14ac:dyDescent="0.2">
      <c r="A55" s="99"/>
    </row>
    <row r="57" spans="1:19" ht="15" customHeight="1" x14ac:dyDescent="0.2">
      <c r="A57" s="99"/>
    </row>
    <row r="59" spans="1:19" ht="15" customHeight="1" x14ac:dyDescent="0.2">
      <c r="A59" s="99"/>
    </row>
    <row r="61" spans="1:19" ht="15" customHeight="1" x14ac:dyDescent="0.2">
      <c r="A61" s="99"/>
      <c r="M61" s="100"/>
      <c r="N61" s="100"/>
      <c r="O61" s="100"/>
      <c r="P61" s="100"/>
      <c r="Q61" s="100"/>
      <c r="R61" s="100"/>
    </row>
    <row r="62" spans="1:19" ht="15" customHeight="1" x14ac:dyDescent="0.2">
      <c r="A62" s="102"/>
      <c r="B62" s="102"/>
      <c r="C62" s="102"/>
      <c r="D62" s="102"/>
      <c r="E62" s="102"/>
      <c r="F62" s="102"/>
      <c r="G62" s="102"/>
      <c r="H62" s="102"/>
      <c r="I62" s="102"/>
      <c r="J62" s="102"/>
      <c r="K62" s="102"/>
      <c r="L62" s="102"/>
      <c r="M62" s="103"/>
      <c r="N62" s="103"/>
      <c r="O62" s="103"/>
      <c r="P62" s="103"/>
      <c r="Q62" s="103"/>
      <c r="R62" s="103"/>
      <c r="S62" s="103"/>
    </row>
    <row r="63" spans="1:19" ht="15" customHeight="1" x14ac:dyDescent="0.2">
      <c r="M63" s="100"/>
      <c r="N63" s="100"/>
      <c r="O63" s="100"/>
      <c r="P63" s="100"/>
      <c r="Q63" s="100"/>
      <c r="R63" s="100"/>
      <c r="S63" s="100"/>
    </row>
    <row r="67" spans="6:19" ht="15" customHeight="1" x14ac:dyDescent="0.2">
      <c r="F67" s="104"/>
      <c r="G67" s="104"/>
      <c r="H67" s="104"/>
      <c r="I67" s="104"/>
      <c r="J67" s="104"/>
      <c r="K67" s="104"/>
      <c r="L67" s="104"/>
      <c r="M67" s="104"/>
      <c r="N67" s="104"/>
      <c r="O67" s="104"/>
      <c r="P67" s="104"/>
      <c r="Q67" s="104"/>
      <c r="R67" s="104"/>
      <c r="S67" s="104"/>
    </row>
    <row r="68" spans="6:19" ht="15" customHeight="1" x14ac:dyDescent="0.2">
      <c r="F68" s="104"/>
      <c r="G68" s="104"/>
      <c r="H68" s="104"/>
      <c r="I68" s="104"/>
      <c r="J68" s="104"/>
      <c r="K68" s="104"/>
      <c r="L68" s="104"/>
      <c r="M68" s="104"/>
      <c r="N68" s="104"/>
      <c r="O68" s="104"/>
      <c r="P68" s="104"/>
      <c r="Q68" s="104"/>
      <c r="R68" s="104"/>
      <c r="S68" s="104"/>
    </row>
    <row r="69" spans="6:19" ht="15" customHeight="1" x14ac:dyDescent="0.2">
      <c r="F69" s="104"/>
      <c r="G69" s="104"/>
      <c r="H69" s="104"/>
      <c r="I69" s="104"/>
      <c r="J69" s="104"/>
      <c r="K69" s="104"/>
      <c r="L69" s="104"/>
      <c r="M69" s="104"/>
      <c r="N69" s="104"/>
      <c r="O69" s="104"/>
      <c r="P69" s="104"/>
      <c r="Q69" s="104"/>
      <c r="R69" s="104"/>
      <c r="S69" s="104"/>
    </row>
    <row r="70" spans="6:19" ht="15" customHeight="1" x14ac:dyDescent="0.2">
      <c r="F70" s="104"/>
      <c r="G70" s="104"/>
      <c r="H70" s="104"/>
      <c r="I70" s="104"/>
      <c r="J70" s="104"/>
      <c r="K70" s="104"/>
      <c r="L70" s="104"/>
      <c r="M70" s="104"/>
      <c r="N70" s="104"/>
      <c r="O70" s="104"/>
      <c r="P70" s="104"/>
      <c r="Q70" s="104"/>
      <c r="R70" s="104"/>
      <c r="S70" s="104"/>
    </row>
    <row r="71" spans="6:19" ht="15" customHeight="1" x14ac:dyDescent="0.2">
      <c r="F71" s="104"/>
      <c r="G71" s="104"/>
      <c r="H71" s="104"/>
      <c r="I71" s="104"/>
      <c r="J71" s="104"/>
      <c r="K71" s="104"/>
      <c r="L71" s="104"/>
      <c r="M71" s="104"/>
      <c r="N71" s="104"/>
      <c r="O71" s="104"/>
      <c r="P71" s="104"/>
      <c r="Q71" s="104"/>
      <c r="R71" s="104"/>
      <c r="S71" s="104"/>
    </row>
    <row r="72" spans="6:19" ht="15" customHeight="1" x14ac:dyDescent="0.2">
      <c r="F72" s="104"/>
      <c r="G72" s="104"/>
      <c r="H72" s="104"/>
      <c r="I72" s="104"/>
      <c r="J72" s="104"/>
      <c r="K72" s="104"/>
      <c r="L72" s="104"/>
      <c r="M72" s="104"/>
      <c r="N72" s="104"/>
      <c r="O72" s="104"/>
      <c r="P72" s="104"/>
      <c r="Q72" s="104"/>
      <c r="R72" s="104"/>
      <c r="S72" s="104"/>
    </row>
    <row r="73" spans="6:19" ht="15" customHeight="1" x14ac:dyDescent="0.2">
      <c r="F73" s="104"/>
      <c r="G73" s="104"/>
      <c r="H73" s="104"/>
      <c r="I73" s="104"/>
      <c r="J73" s="104"/>
      <c r="K73" s="104"/>
      <c r="L73" s="104"/>
      <c r="M73" s="104"/>
      <c r="N73" s="104"/>
      <c r="O73" s="104"/>
      <c r="P73" s="104"/>
      <c r="Q73" s="104"/>
      <c r="R73" s="104"/>
      <c r="S73" s="104"/>
    </row>
    <row r="74" spans="6:19" ht="15" customHeight="1" x14ac:dyDescent="0.2">
      <c r="F74" s="104"/>
      <c r="G74" s="104"/>
      <c r="H74" s="104"/>
      <c r="I74" s="104"/>
      <c r="J74" s="104"/>
      <c r="K74" s="104"/>
      <c r="L74" s="104"/>
      <c r="M74" s="104"/>
      <c r="N74" s="104"/>
      <c r="O74" s="104"/>
      <c r="P74" s="104"/>
      <c r="Q74" s="104"/>
      <c r="R74" s="104"/>
      <c r="S74" s="104"/>
    </row>
    <row r="75" spans="6:19" ht="15" customHeight="1" x14ac:dyDescent="0.2">
      <c r="F75" s="104"/>
      <c r="G75" s="104"/>
      <c r="H75" s="104"/>
      <c r="I75" s="104"/>
      <c r="J75" s="104"/>
      <c r="K75" s="104"/>
      <c r="L75" s="104"/>
      <c r="M75" s="104"/>
      <c r="N75" s="104"/>
      <c r="O75" s="104"/>
      <c r="P75" s="104"/>
      <c r="Q75" s="104"/>
      <c r="R75" s="104"/>
      <c r="S75" s="104"/>
    </row>
    <row r="76" spans="6:19" ht="15" customHeight="1" x14ac:dyDescent="0.2">
      <c r="F76" s="104"/>
      <c r="G76" s="104"/>
      <c r="H76" s="104"/>
      <c r="I76" s="104"/>
      <c r="J76" s="104"/>
      <c r="K76" s="104"/>
      <c r="L76" s="104"/>
      <c r="M76" s="104"/>
      <c r="N76" s="104"/>
      <c r="O76" s="104"/>
      <c r="P76" s="104"/>
      <c r="Q76" s="104"/>
      <c r="R76" s="104"/>
      <c r="S76" s="104"/>
    </row>
    <row r="77" spans="6:19" ht="15" customHeight="1" x14ac:dyDescent="0.2">
      <c r="F77" s="104"/>
      <c r="G77" s="104"/>
      <c r="H77" s="104"/>
      <c r="I77" s="104"/>
      <c r="J77" s="104"/>
      <c r="K77" s="104"/>
      <c r="L77" s="104"/>
      <c r="M77" s="104"/>
      <c r="N77" s="104"/>
      <c r="O77" s="104"/>
      <c r="P77" s="104"/>
      <c r="Q77" s="104"/>
      <c r="R77" s="104"/>
      <c r="S77" s="104"/>
    </row>
    <row r="78" spans="6:19" ht="15" customHeight="1" x14ac:dyDescent="0.2">
      <c r="F78" s="104"/>
      <c r="G78" s="104"/>
      <c r="H78" s="104"/>
      <c r="I78" s="104"/>
      <c r="J78" s="104"/>
      <c r="K78" s="104"/>
      <c r="L78" s="104"/>
      <c r="M78" s="104"/>
      <c r="N78" s="104"/>
      <c r="O78" s="104"/>
      <c r="P78" s="104"/>
      <c r="Q78" s="104"/>
      <c r="R78" s="104"/>
      <c r="S78" s="104"/>
    </row>
    <row r="79" spans="6:19" ht="15" customHeight="1" x14ac:dyDescent="0.2">
      <c r="F79" s="104"/>
      <c r="G79" s="104"/>
      <c r="H79" s="104"/>
      <c r="I79" s="104"/>
      <c r="J79" s="104"/>
      <c r="K79" s="104"/>
      <c r="L79" s="104"/>
      <c r="M79" s="104"/>
      <c r="N79" s="104"/>
      <c r="O79" s="104"/>
      <c r="P79" s="104"/>
      <c r="Q79" s="104"/>
      <c r="R79" s="104"/>
      <c r="S79" s="104"/>
    </row>
    <row r="80" spans="6:19" ht="15" customHeight="1" x14ac:dyDescent="0.2">
      <c r="F80" s="104"/>
      <c r="G80" s="104"/>
      <c r="H80" s="104"/>
      <c r="I80" s="104"/>
      <c r="J80" s="104"/>
      <c r="K80" s="104"/>
      <c r="L80" s="104"/>
      <c r="M80" s="104"/>
      <c r="N80" s="104"/>
      <c r="O80" s="104"/>
      <c r="P80" s="104"/>
      <c r="Q80" s="104"/>
      <c r="R80" s="104"/>
      <c r="S80" s="104"/>
    </row>
    <row r="81" spans="6:19" ht="15" customHeight="1" x14ac:dyDescent="0.2">
      <c r="F81" s="104"/>
      <c r="G81" s="104"/>
      <c r="H81" s="104"/>
      <c r="I81" s="104"/>
      <c r="J81" s="104"/>
      <c r="K81" s="104"/>
      <c r="L81" s="104"/>
      <c r="M81" s="104"/>
      <c r="N81" s="104"/>
      <c r="O81" s="104"/>
      <c r="P81" s="104"/>
      <c r="Q81" s="104"/>
      <c r="R81" s="104"/>
      <c r="S81" s="104"/>
    </row>
    <row r="82" spans="6:19" ht="15" customHeight="1" x14ac:dyDescent="0.2">
      <c r="F82" s="104"/>
      <c r="G82" s="104"/>
      <c r="H82" s="104"/>
      <c r="I82" s="104"/>
      <c r="J82" s="104"/>
      <c r="K82" s="104"/>
      <c r="L82" s="104"/>
      <c r="M82" s="104"/>
      <c r="N82" s="104"/>
      <c r="O82" s="104"/>
      <c r="P82" s="104"/>
      <c r="Q82" s="104"/>
      <c r="R82" s="104"/>
      <c r="S82" s="104"/>
    </row>
    <row r="83" spans="6:19" ht="15" customHeight="1" x14ac:dyDescent="0.2">
      <c r="F83" s="104"/>
      <c r="G83" s="104"/>
      <c r="H83" s="104"/>
      <c r="I83" s="104"/>
      <c r="J83" s="104"/>
      <c r="K83" s="104"/>
      <c r="L83" s="104"/>
      <c r="M83" s="104"/>
      <c r="N83" s="104"/>
      <c r="O83" s="104"/>
      <c r="P83" s="104"/>
      <c r="Q83" s="104"/>
      <c r="R83" s="104"/>
      <c r="S83" s="104"/>
    </row>
    <row r="84" spans="6:19" ht="15" customHeight="1" x14ac:dyDescent="0.2">
      <c r="F84" s="104"/>
      <c r="G84" s="104"/>
      <c r="H84" s="104"/>
      <c r="I84" s="104"/>
      <c r="J84" s="104"/>
      <c r="K84" s="104"/>
      <c r="L84" s="104"/>
      <c r="M84" s="104"/>
      <c r="N84" s="104"/>
      <c r="O84" s="104"/>
      <c r="P84" s="104"/>
      <c r="Q84" s="104"/>
      <c r="R84" s="104"/>
      <c r="S84" s="104"/>
    </row>
    <row r="100" spans="1:1" ht="15" customHeight="1" x14ac:dyDescent="0.2">
      <c r="A100" s="99">
        <f>A53</f>
        <v>0</v>
      </c>
    </row>
  </sheetData>
  <mergeCells count="4">
    <mergeCell ref="A38:S38"/>
    <mergeCell ref="A37:S37"/>
    <mergeCell ref="B5:O5"/>
    <mergeCell ref="B6:J6"/>
  </mergeCells>
  <phoneticPr fontId="0" type="noConversion"/>
  <printOptions horizontalCentered="1"/>
  <pageMargins left="0.25" right="0.25" top="0.75" bottom="0.25" header="0.5" footer="0.25"/>
  <pageSetup paperSize="9" scale="63" orientation="landscape" r:id="rId1"/>
  <headerFooter alignWithMargins="0">
    <oddHeader>&amp;C( &amp;P+2 )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view="pageBreakPreview" topLeftCell="A47" zoomScaleNormal="100" zoomScaleSheetLayoutView="100" workbookViewId="0">
      <selection activeCell="B72" sqref="B72"/>
    </sheetView>
  </sheetViews>
  <sheetFormatPr defaultColWidth="9.140625" defaultRowHeight="15" customHeight="1" x14ac:dyDescent="0.2"/>
  <cols>
    <col min="1" max="1" width="4.7109375" style="2" customWidth="1"/>
    <col min="2" max="2" width="62.42578125" style="2" customWidth="1"/>
    <col min="3" max="3" width="7" style="2" customWidth="1"/>
    <col min="4" max="4" width="14.7109375" style="2" customWidth="1"/>
    <col min="5" max="5" width="3" style="2" customWidth="1"/>
    <col min="6" max="6" width="15.140625" style="2" customWidth="1"/>
    <col min="7" max="7" width="13.140625" style="2" hidden="1" customWidth="1"/>
    <col min="8" max="8" width="9.42578125" style="2" bestFit="1" customWidth="1"/>
    <col min="9" max="16384" width="9.140625" style="2"/>
  </cols>
  <sheetData>
    <row r="1" spans="1:9" ht="15" customHeight="1" x14ac:dyDescent="0.2">
      <c r="A1" s="99" t="s">
        <v>146</v>
      </c>
      <c r="B1" s="95"/>
      <c r="C1" s="95"/>
      <c r="D1" s="95"/>
      <c r="E1" s="95"/>
      <c r="F1" s="95"/>
      <c r="G1" s="95"/>
      <c r="H1" s="95"/>
      <c r="I1" s="95"/>
    </row>
    <row r="2" spans="1:9" ht="15" customHeight="1" x14ac:dyDescent="0.2">
      <c r="A2" s="99" t="s">
        <v>353</v>
      </c>
      <c r="B2" s="95"/>
      <c r="C2" s="95"/>
      <c r="D2" s="95"/>
      <c r="E2" s="95"/>
      <c r="F2" s="95"/>
      <c r="G2" s="95"/>
      <c r="H2" s="95"/>
      <c r="I2" s="95"/>
    </row>
    <row r="3" spans="1:9" ht="15" customHeight="1" x14ac:dyDescent="0.2">
      <c r="A3" s="99"/>
      <c r="B3" s="95"/>
      <c r="C3" s="95"/>
      <c r="D3" s="126"/>
      <c r="E3" s="127"/>
      <c r="F3" s="127"/>
      <c r="G3" s="95"/>
      <c r="H3" s="95"/>
      <c r="I3" s="95"/>
    </row>
    <row r="4" spans="1:9" ht="15" customHeight="1" x14ac:dyDescent="0.2">
      <c r="A4" s="99"/>
      <c r="B4" s="95"/>
      <c r="C4" s="95"/>
      <c r="D4" s="127"/>
      <c r="E4" s="127"/>
      <c r="F4" s="127"/>
      <c r="G4" s="95"/>
      <c r="H4" s="95"/>
      <c r="I4" s="95"/>
    </row>
    <row r="5" spans="1:9" ht="28.5" customHeight="1" x14ac:dyDescent="0.2">
      <c r="A5" s="99"/>
      <c r="B5" s="95"/>
      <c r="C5" s="99" t="s">
        <v>244</v>
      </c>
      <c r="D5" s="658" t="s">
        <v>354</v>
      </c>
      <c r="E5" s="659"/>
      <c r="F5" s="659"/>
    </row>
    <row r="6" spans="1:9" ht="15" customHeight="1" x14ac:dyDescent="0.2">
      <c r="A6" s="95"/>
      <c r="B6" s="95"/>
      <c r="C6" s="95"/>
      <c r="D6" s="67" t="s">
        <v>348</v>
      </c>
      <c r="E6" s="103"/>
      <c r="F6" s="67" t="s">
        <v>349</v>
      </c>
    </row>
    <row r="7" spans="1:9" ht="15" customHeight="1" x14ac:dyDescent="0.2">
      <c r="A7" s="95"/>
      <c r="B7" s="95"/>
      <c r="C7" s="95"/>
      <c r="D7" s="100" t="s">
        <v>3</v>
      </c>
      <c r="E7" s="100"/>
      <c r="F7" s="100" t="s">
        <v>3</v>
      </c>
    </row>
    <row r="8" spans="1:9" ht="15" customHeight="1" x14ac:dyDescent="0.2">
      <c r="A8" s="95"/>
      <c r="B8" s="95"/>
      <c r="C8" s="95"/>
      <c r="D8" s="489" t="s">
        <v>8</v>
      </c>
      <c r="E8" s="6"/>
      <c r="F8" s="201" t="s">
        <v>8</v>
      </c>
    </row>
    <row r="9" spans="1:9" ht="15" customHeight="1" x14ac:dyDescent="0.2">
      <c r="A9" s="95"/>
      <c r="B9" s="95"/>
      <c r="C9" s="95"/>
      <c r="D9" s="489"/>
      <c r="E9" s="6"/>
      <c r="F9" s="6"/>
    </row>
    <row r="10" spans="1:9" ht="15" customHeight="1" x14ac:dyDescent="0.2">
      <c r="A10" s="99" t="s">
        <v>176</v>
      </c>
      <c r="B10" s="95"/>
      <c r="C10" s="95"/>
      <c r="D10" s="54"/>
      <c r="E10" s="100"/>
      <c r="F10" s="54"/>
    </row>
    <row r="11" spans="1:9" ht="15" customHeight="1" x14ac:dyDescent="0.2">
      <c r="A11" s="95" t="s">
        <v>103</v>
      </c>
      <c r="B11" s="95"/>
      <c r="C11" s="95"/>
      <c r="D11" s="54">
        <f>PL!L35</f>
        <v>71043</v>
      </c>
      <c r="E11" s="100"/>
      <c r="F11" s="54">
        <f>PL!N35</f>
        <v>185852</v>
      </c>
    </row>
    <row r="12" spans="1:9" ht="15" customHeight="1" x14ac:dyDescent="0.2">
      <c r="A12" s="95"/>
      <c r="B12" s="95"/>
      <c r="C12" s="95"/>
      <c r="D12" s="3"/>
      <c r="F12" s="3"/>
    </row>
    <row r="13" spans="1:9" ht="15" customHeight="1" x14ac:dyDescent="0.2">
      <c r="A13" s="95" t="s">
        <v>177</v>
      </c>
      <c r="B13" s="95"/>
      <c r="C13" s="95"/>
      <c r="D13" s="23">
        <f>97872+901</f>
        <v>98773</v>
      </c>
      <c r="E13" s="95"/>
      <c r="F13" s="23">
        <v>-50911</v>
      </c>
    </row>
    <row r="14" spans="1:9" ht="15" customHeight="1" x14ac:dyDescent="0.2">
      <c r="A14" s="95"/>
      <c r="B14" s="95"/>
      <c r="C14" s="95"/>
      <c r="D14" s="60"/>
      <c r="E14" s="95"/>
      <c r="F14" s="60"/>
    </row>
    <row r="15" spans="1:9" ht="15" customHeight="1" x14ac:dyDescent="0.2">
      <c r="A15" s="95" t="s">
        <v>178</v>
      </c>
      <c r="B15" s="95"/>
      <c r="C15" s="95"/>
      <c r="D15" s="68">
        <f>SUM(D11:D13)</f>
        <v>169816</v>
      </c>
      <c r="E15" s="95"/>
      <c r="F15" s="68">
        <f>SUM(F11:F13)</f>
        <v>134941</v>
      </c>
      <c r="G15" s="95"/>
    </row>
    <row r="16" spans="1:9" ht="15" customHeight="1" x14ac:dyDescent="0.2">
      <c r="A16" s="95"/>
      <c r="B16" s="95"/>
      <c r="C16" s="95"/>
      <c r="D16" s="68"/>
      <c r="E16" s="95"/>
      <c r="F16" s="68"/>
      <c r="G16" s="95"/>
    </row>
    <row r="17" spans="1:7" ht="15" customHeight="1" x14ac:dyDescent="0.2">
      <c r="A17" s="95" t="s">
        <v>179</v>
      </c>
      <c r="B17" s="95"/>
      <c r="C17" s="95"/>
      <c r="D17" s="54"/>
      <c r="E17" s="95"/>
      <c r="F17" s="54"/>
    </row>
    <row r="18" spans="1:7" ht="15" customHeight="1" x14ac:dyDescent="0.2">
      <c r="A18" s="95"/>
      <c r="B18" s="95" t="s">
        <v>37</v>
      </c>
      <c r="C18" s="95"/>
      <c r="D18" s="54">
        <f>22661-3-110-1278</f>
        <v>21270</v>
      </c>
      <c r="E18" s="95"/>
      <c r="F18" s="54">
        <v>-104697</v>
      </c>
    </row>
    <row r="19" spans="1:7" ht="15" customHeight="1" x14ac:dyDescent="0.2">
      <c r="A19" s="95"/>
      <c r="B19" s="95"/>
      <c r="C19" s="95"/>
      <c r="D19" s="54"/>
      <c r="E19" s="95"/>
      <c r="F19" s="54"/>
    </row>
    <row r="20" spans="1:7" ht="15" customHeight="1" x14ac:dyDescent="0.2">
      <c r="A20" s="99" t="s">
        <v>339</v>
      </c>
      <c r="B20" s="95"/>
      <c r="C20" s="95"/>
      <c r="D20" s="69">
        <f>SUM(D15:D18)</f>
        <v>191086</v>
      </c>
      <c r="E20" s="95"/>
      <c r="F20" s="69">
        <f>SUM(F15:F18)</f>
        <v>30244</v>
      </c>
    </row>
    <row r="21" spans="1:7" ht="15" customHeight="1" x14ac:dyDescent="0.2">
      <c r="A21" s="99"/>
      <c r="B21" s="95"/>
      <c r="C21" s="95"/>
      <c r="D21" s="68"/>
      <c r="E21" s="95"/>
      <c r="F21" s="68"/>
    </row>
    <row r="22" spans="1:7" ht="15" customHeight="1" x14ac:dyDescent="0.2">
      <c r="A22" s="95"/>
      <c r="B22" s="95" t="s">
        <v>118</v>
      </c>
      <c r="C22" s="95"/>
      <c r="D22" s="54">
        <f>-37685-D23</f>
        <v>-35145</v>
      </c>
      <c r="E22" s="95"/>
      <c r="F22" s="54">
        <v>-9317</v>
      </c>
      <c r="G22" s="95"/>
    </row>
    <row r="23" spans="1:7" ht="15" customHeight="1" x14ac:dyDescent="0.2">
      <c r="A23" s="95"/>
      <c r="B23" s="95" t="s">
        <v>237</v>
      </c>
      <c r="C23" s="95"/>
      <c r="D23" s="54">
        <f>-2540</f>
        <v>-2540</v>
      </c>
      <c r="E23" s="95"/>
      <c r="F23" s="54">
        <v>-3551</v>
      </c>
      <c r="G23" s="95"/>
    </row>
    <row r="24" spans="1:7" ht="15" customHeight="1" x14ac:dyDescent="0.2">
      <c r="A24" s="95"/>
      <c r="B24" s="95" t="s">
        <v>97</v>
      </c>
      <c r="C24" s="95"/>
      <c r="D24" s="54"/>
      <c r="E24" s="95"/>
      <c r="F24" s="54"/>
      <c r="G24" s="95"/>
    </row>
    <row r="25" spans="1:7" ht="15" customHeight="1" x14ac:dyDescent="0.2">
      <c r="A25" s="95"/>
      <c r="B25" s="95" t="s">
        <v>156</v>
      </c>
      <c r="C25" s="95"/>
      <c r="D25" s="54">
        <v>2190</v>
      </c>
      <c r="E25" s="95"/>
      <c r="F25" s="54">
        <v>2724</v>
      </c>
      <c r="G25" s="95"/>
    </row>
    <row r="26" spans="1:7" ht="15" customHeight="1" x14ac:dyDescent="0.2">
      <c r="A26" s="95"/>
      <c r="B26" s="95" t="s">
        <v>17</v>
      </c>
      <c r="C26" s="95"/>
      <c r="D26" s="54">
        <v>-33070</v>
      </c>
      <c r="E26" s="95"/>
      <c r="F26" s="54">
        <v>-49480</v>
      </c>
      <c r="G26" s="95"/>
    </row>
    <row r="27" spans="1:7" ht="15" customHeight="1" x14ac:dyDescent="0.2">
      <c r="A27" s="95"/>
      <c r="B27" s="95" t="s">
        <v>80</v>
      </c>
      <c r="C27" s="95"/>
      <c r="D27" s="54">
        <v>8694</v>
      </c>
      <c r="E27" s="95"/>
      <c r="F27" s="54">
        <v>0</v>
      </c>
      <c r="G27" s="95"/>
    </row>
    <row r="28" spans="1:7" ht="15" customHeight="1" x14ac:dyDescent="0.2">
      <c r="A28" s="95"/>
      <c r="B28" s="95"/>
      <c r="C28" s="95"/>
      <c r="D28" s="60"/>
      <c r="E28" s="95"/>
      <c r="F28" s="60"/>
    </row>
    <row r="29" spans="1:7" ht="15" customHeight="1" x14ac:dyDescent="0.2">
      <c r="A29" s="99" t="s">
        <v>406</v>
      </c>
      <c r="B29" s="95"/>
      <c r="C29" s="95"/>
      <c r="D29" s="60">
        <f>SUM(D20:D27)</f>
        <v>131215</v>
      </c>
      <c r="E29" s="95"/>
      <c r="F29" s="60">
        <f>SUM(F20:F27)</f>
        <v>-29380</v>
      </c>
    </row>
    <row r="30" spans="1:7" ht="15" customHeight="1" x14ac:dyDescent="0.2">
      <c r="A30" s="95"/>
      <c r="B30" s="95"/>
      <c r="C30" s="95"/>
      <c r="D30" s="68"/>
      <c r="E30" s="95"/>
      <c r="F30" s="68"/>
    </row>
    <row r="31" spans="1:7" ht="15" customHeight="1" x14ac:dyDescent="0.2">
      <c r="A31" s="99" t="s">
        <v>182</v>
      </c>
      <c r="B31" s="95"/>
      <c r="C31" s="95"/>
      <c r="D31" s="54"/>
      <c r="E31" s="100"/>
      <c r="F31" s="54"/>
      <c r="G31" s="95"/>
    </row>
    <row r="32" spans="1:7" ht="15" customHeight="1" x14ac:dyDescent="0.2">
      <c r="A32" s="99"/>
      <c r="B32" s="107" t="s">
        <v>85</v>
      </c>
      <c r="C32" s="95"/>
      <c r="D32" s="54">
        <v>-110873</v>
      </c>
      <c r="E32" s="100"/>
      <c r="F32" s="54">
        <v>-46550</v>
      </c>
    </row>
    <row r="33" spans="1:8" ht="15" customHeight="1" x14ac:dyDescent="0.2">
      <c r="A33" s="99"/>
      <c r="B33" s="107" t="s">
        <v>453</v>
      </c>
      <c r="C33" s="95"/>
      <c r="D33" s="54">
        <v>-264137</v>
      </c>
      <c r="E33" s="100"/>
      <c r="F33" s="54">
        <v>-72500</v>
      </c>
      <c r="H33" s="95">
        <f>'Notes(Pursuant to FRS 134'!R261+'Notes(Pursuant to FRS 134'!R225+D33</f>
        <v>0</v>
      </c>
    </row>
    <row r="34" spans="1:8" ht="15" customHeight="1" x14ac:dyDescent="0.2">
      <c r="A34" s="99"/>
      <c r="B34" s="107" t="s">
        <v>403</v>
      </c>
      <c r="C34" s="95"/>
      <c r="D34" s="54">
        <v>0</v>
      </c>
      <c r="E34" s="100"/>
      <c r="F34" s="54">
        <v>10112</v>
      </c>
      <c r="H34" s="95"/>
    </row>
    <row r="35" spans="1:8" ht="15" customHeight="1" x14ac:dyDescent="0.2">
      <c r="A35" s="99"/>
      <c r="B35" s="107" t="s">
        <v>338</v>
      </c>
      <c r="C35" s="95"/>
      <c r="D35" s="54">
        <v>-2489</v>
      </c>
      <c r="E35" s="100"/>
      <c r="F35" s="54">
        <v>-747</v>
      </c>
    </row>
    <row r="36" spans="1:8" ht="15" customHeight="1" x14ac:dyDescent="0.2">
      <c r="A36" s="99"/>
      <c r="B36" s="107" t="s">
        <v>43</v>
      </c>
      <c r="C36" s="95"/>
      <c r="D36" s="54">
        <f>-163638-901</f>
        <v>-164539</v>
      </c>
      <c r="E36" s="100"/>
      <c r="F36" s="54">
        <v>-89307</v>
      </c>
    </row>
    <row r="37" spans="1:8" ht="15" customHeight="1" x14ac:dyDescent="0.2">
      <c r="A37" s="99"/>
      <c r="B37" s="107" t="s">
        <v>89</v>
      </c>
      <c r="C37" s="95"/>
      <c r="D37" s="54">
        <v>213</v>
      </c>
      <c r="E37" s="100"/>
      <c r="F37" s="54">
        <v>127</v>
      </c>
    </row>
    <row r="38" spans="1:8" ht="15" customHeight="1" x14ac:dyDescent="0.2">
      <c r="A38" s="99"/>
      <c r="B38" s="107" t="s">
        <v>249</v>
      </c>
      <c r="C38" s="95"/>
      <c r="D38" s="54">
        <v>91</v>
      </c>
      <c r="E38" s="100"/>
      <c r="F38" s="54">
        <v>73</v>
      </c>
    </row>
    <row r="40" spans="1:8" ht="15" hidden="1" customHeight="1" x14ac:dyDescent="0.2">
      <c r="A40" s="99"/>
      <c r="B40" s="107" t="s">
        <v>86</v>
      </c>
      <c r="C40" s="95"/>
      <c r="D40" s="54">
        <v>0</v>
      </c>
      <c r="E40" s="100"/>
      <c r="F40" s="54">
        <v>0</v>
      </c>
    </row>
    <row r="41" spans="1:8" ht="15" customHeight="1" x14ac:dyDescent="0.2">
      <c r="A41" s="99" t="s">
        <v>207</v>
      </c>
      <c r="B41" s="95"/>
      <c r="C41" s="95"/>
      <c r="D41" s="108">
        <f>SUM(D32:D40)</f>
        <v>-541734</v>
      </c>
      <c r="E41" s="100"/>
      <c r="F41" s="108">
        <f>SUM(F32:F40)</f>
        <v>-198792</v>
      </c>
    </row>
    <row r="42" spans="1:8" ht="15" customHeight="1" x14ac:dyDescent="0.2">
      <c r="A42" s="99"/>
      <c r="B42" s="95"/>
      <c r="C42" s="95"/>
      <c r="D42" s="68"/>
      <c r="E42" s="100"/>
      <c r="F42" s="68"/>
    </row>
    <row r="43" spans="1:8" ht="15" customHeight="1" x14ac:dyDescent="0.2">
      <c r="A43" s="99" t="s">
        <v>181</v>
      </c>
      <c r="B43" s="95"/>
      <c r="C43" s="95"/>
      <c r="D43" s="54"/>
      <c r="E43" s="100"/>
      <c r="F43" s="54"/>
    </row>
    <row r="44" spans="1:8" ht="15" customHeight="1" x14ac:dyDescent="0.2">
      <c r="A44" s="99"/>
      <c r="B44" s="95" t="s">
        <v>193</v>
      </c>
      <c r="C44" s="95"/>
      <c r="D44" s="54">
        <v>-71765</v>
      </c>
      <c r="E44" s="100"/>
      <c r="F44" s="54">
        <v>0</v>
      </c>
    </row>
    <row r="45" spans="1:8" s="167" customFormat="1" ht="15" customHeight="1" x14ac:dyDescent="0.2">
      <c r="B45" s="95" t="s">
        <v>100</v>
      </c>
      <c r="C45" s="95"/>
      <c r="D45" s="54">
        <v>-45668</v>
      </c>
      <c r="E45" s="95"/>
      <c r="F45" s="54">
        <v>-80835</v>
      </c>
    </row>
    <row r="46" spans="1:8" ht="15" customHeight="1" x14ac:dyDescent="0.2">
      <c r="B46" s="95" t="s">
        <v>246</v>
      </c>
      <c r="C46" s="95"/>
      <c r="D46" s="54">
        <v>0</v>
      </c>
      <c r="E46" s="95"/>
      <c r="F46" s="54">
        <v>50000</v>
      </c>
    </row>
    <row r="47" spans="1:8" ht="15" customHeight="1" x14ac:dyDescent="0.2">
      <c r="B47" s="95" t="s">
        <v>248</v>
      </c>
      <c r="C47" s="95"/>
      <c r="D47" s="54">
        <v>510000</v>
      </c>
      <c r="E47" s="95"/>
      <c r="F47" s="54">
        <v>200000</v>
      </c>
    </row>
    <row r="48" spans="1:8" ht="15" customHeight="1" x14ac:dyDescent="0.2">
      <c r="B48" s="95" t="s">
        <v>269</v>
      </c>
      <c r="C48" s="95"/>
      <c r="D48" s="54">
        <v>27067</v>
      </c>
      <c r="E48" s="95"/>
      <c r="F48" s="54">
        <v>0</v>
      </c>
    </row>
    <row r="49" spans="1:40" ht="15" customHeight="1" x14ac:dyDescent="0.2">
      <c r="B49" s="95" t="s">
        <v>314</v>
      </c>
      <c r="C49" s="95"/>
      <c r="D49" s="54">
        <v>0</v>
      </c>
      <c r="E49" s="95"/>
      <c r="F49" s="54">
        <v>0</v>
      </c>
    </row>
    <row r="50" spans="1:40" s="186" customFormat="1" ht="15" customHeight="1" x14ac:dyDescent="0.2">
      <c r="A50" s="2"/>
      <c r="B50" s="95" t="s">
        <v>373</v>
      </c>
      <c r="C50" s="95"/>
      <c r="D50" s="54">
        <v>8429</v>
      </c>
      <c r="E50" s="95"/>
      <c r="F50" s="54">
        <v>16283</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15" customHeight="1" x14ac:dyDescent="0.2">
      <c r="A51" s="95"/>
      <c r="B51" s="95"/>
      <c r="C51" s="95"/>
      <c r="D51" s="60"/>
      <c r="E51" s="95"/>
      <c r="F51" s="60"/>
    </row>
    <row r="52" spans="1:40" ht="15" customHeight="1" x14ac:dyDescent="0.2">
      <c r="A52" s="99" t="s">
        <v>274</v>
      </c>
      <c r="B52" s="95"/>
      <c r="C52" s="95"/>
      <c r="D52" s="60">
        <f>SUM(D44:D50)</f>
        <v>428063</v>
      </c>
      <c r="E52" s="95"/>
      <c r="F52" s="60">
        <f>SUM(F44:F50)</f>
        <v>185448</v>
      </c>
    </row>
    <row r="53" spans="1:40" ht="15" customHeight="1" x14ac:dyDescent="0.2">
      <c r="A53" s="95"/>
      <c r="B53" s="95"/>
      <c r="C53" s="95"/>
      <c r="D53" s="54"/>
      <c r="E53" s="95"/>
      <c r="F53" s="54"/>
    </row>
    <row r="54" spans="1:40" ht="15" customHeight="1" x14ac:dyDescent="0.2">
      <c r="A54" s="99" t="s">
        <v>446</v>
      </c>
      <c r="B54" s="95"/>
      <c r="C54" s="95"/>
      <c r="D54" s="54">
        <f>+D29+D41+D52</f>
        <v>17544</v>
      </c>
      <c r="E54" s="95"/>
      <c r="F54" s="54">
        <f>+F29+F41+F52</f>
        <v>-42724</v>
      </c>
      <c r="G54" s="95"/>
      <c r="H54" s="95"/>
      <c r="I54" s="95"/>
    </row>
    <row r="55" spans="1:40" ht="15" customHeight="1" x14ac:dyDescent="0.2">
      <c r="A55" s="99" t="s">
        <v>175</v>
      </c>
      <c r="B55" s="95"/>
      <c r="C55" s="95"/>
      <c r="D55" s="54">
        <v>123764</v>
      </c>
      <c r="E55" s="95"/>
      <c r="F55" s="54">
        <v>166488</v>
      </c>
    </row>
    <row r="56" spans="1:40" ht="15" customHeight="1" x14ac:dyDescent="0.2">
      <c r="A56" s="99"/>
      <c r="B56" s="99"/>
      <c r="C56" s="95"/>
      <c r="D56" s="54"/>
      <c r="E56" s="95"/>
      <c r="F56" s="54"/>
    </row>
    <row r="57" spans="1:40" ht="15" customHeight="1" thickBot="1" x14ac:dyDescent="0.25">
      <c r="A57" s="99" t="s">
        <v>407</v>
      </c>
      <c r="B57" s="99"/>
      <c r="C57" s="95"/>
      <c r="D57" s="109">
        <f>SUM(D54:D56)</f>
        <v>141308</v>
      </c>
      <c r="E57" s="95"/>
      <c r="F57" s="109">
        <f>SUM(F54:F56)</f>
        <v>123764</v>
      </c>
    </row>
    <row r="58" spans="1:40" ht="15" customHeight="1" x14ac:dyDescent="0.2">
      <c r="A58" s="95"/>
      <c r="B58" s="95"/>
      <c r="C58" s="95"/>
      <c r="D58" s="110"/>
      <c r="E58" s="95"/>
      <c r="F58" s="110"/>
      <c r="G58" s="2" t="s">
        <v>427</v>
      </c>
    </row>
    <row r="59" spans="1:40" ht="15" customHeight="1" x14ac:dyDescent="0.2">
      <c r="A59" s="99" t="s">
        <v>180</v>
      </c>
      <c r="B59" s="95"/>
      <c r="C59" s="95"/>
      <c r="D59" s="110"/>
      <c r="E59" s="95"/>
      <c r="F59" s="110"/>
    </row>
    <row r="60" spans="1:40" ht="15" customHeight="1" x14ac:dyDescent="0.2">
      <c r="A60" s="95"/>
      <c r="B60" s="95" t="s">
        <v>101</v>
      </c>
      <c r="C60" s="95"/>
      <c r="D60" s="54">
        <f>132358+2775</f>
        <v>135133</v>
      </c>
      <c r="E60" s="54"/>
      <c r="F60" s="54">
        <v>104796</v>
      </c>
    </row>
    <row r="61" spans="1:40" ht="15" customHeight="1" x14ac:dyDescent="0.2">
      <c r="A61" s="95"/>
      <c r="B61" s="95" t="s">
        <v>208</v>
      </c>
      <c r="C61" s="95"/>
      <c r="D61" s="60">
        <f>10117-15</f>
        <v>10102</v>
      </c>
      <c r="E61" s="54"/>
      <c r="F61" s="54">
        <v>20421</v>
      </c>
    </row>
    <row r="62" spans="1:40" ht="15" customHeight="1" x14ac:dyDescent="0.2">
      <c r="A62" s="95"/>
      <c r="B62" s="95"/>
      <c r="C62" s="95"/>
      <c r="D62" s="54">
        <f>SUM(D60:D61)</f>
        <v>145235</v>
      </c>
      <c r="E62" s="54"/>
      <c r="F62" s="54"/>
    </row>
    <row r="63" spans="1:40" ht="15" customHeight="1" x14ac:dyDescent="0.2">
      <c r="A63" s="95"/>
      <c r="B63" s="2" t="s">
        <v>412</v>
      </c>
      <c r="C63" s="95">
        <v>11</v>
      </c>
      <c r="D63" s="54">
        <v>15</v>
      </c>
      <c r="E63" s="54"/>
      <c r="F63" s="54"/>
    </row>
    <row r="64" spans="1:40" ht="15" customHeight="1" x14ac:dyDescent="0.2">
      <c r="A64" s="95"/>
      <c r="B64" s="95"/>
      <c r="C64" s="95"/>
      <c r="D64" s="69">
        <f>SUM(D62:D63)</f>
        <v>145250</v>
      </c>
      <c r="E64" s="54"/>
      <c r="F64" s="69">
        <f>SUM(F60:F61)</f>
        <v>125217</v>
      </c>
    </row>
    <row r="65" spans="1:7" ht="15" customHeight="1" x14ac:dyDescent="0.2">
      <c r="A65" s="95"/>
      <c r="B65" s="95" t="s">
        <v>44</v>
      </c>
      <c r="C65" s="95"/>
      <c r="D65" s="54"/>
      <c r="E65" s="54"/>
      <c r="F65" s="54"/>
    </row>
    <row r="66" spans="1:7" ht="15" customHeight="1" x14ac:dyDescent="0.2">
      <c r="A66" s="95"/>
      <c r="B66" s="95" t="s">
        <v>102</v>
      </c>
      <c r="C66" s="95"/>
      <c r="D66" s="60">
        <v>-3942</v>
      </c>
      <c r="E66" s="54"/>
      <c r="F66" s="60">
        <v>-1453</v>
      </c>
      <c r="G66" s="95">
        <f>D66-F66</f>
        <v>-2489</v>
      </c>
    </row>
    <row r="67" spans="1:7" ht="15" customHeight="1" thickBot="1" x14ac:dyDescent="0.25">
      <c r="A67" s="95"/>
      <c r="B67" s="95"/>
      <c r="C67" s="95"/>
      <c r="D67" s="109">
        <f>SUM(D64:D66)</f>
        <v>141308</v>
      </c>
      <c r="E67" s="54"/>
      <c r="F67" s="109">
        <f>SUM(F64:F66)</f>
        <v>123764</v>
      </c>
      <c r="G67" s="95">
        <f>+D67-D57</f>
        <v>0</v>
      </c>
    </row>
    <row r="68" spans="1:7" s="222" customFormat="1" ht="15" customHeight="1" x14ac:dyDescent="0.2">
      <c r="A68" s="226"/>
      <c r="C68" s="183"/>
      <c r="D68" s="172">
        <f>BS!D20-Cashflow!D64</f>
        <v>-15</v>
      </c>
      <c r="E68" s="183"/>
      <c r="F68" s="182"/>
    </row>
    <row r="69" spans="1:7" s="222" customFormat="1" ht="20.25" customHeight="1" x14ac:dyDescent="0.2">
      <c r="A69" s="278"/>
      <c r="B69" s="379" t="s">
        <v>276</v>
      </c>
      <c r="C69" s="380"/>
      <c r="D69" s="100" t="s">
        <v>3</v>
      </c>
      <c r="E69" s="380"/>
      <c r="F69" s="101"/>
    </row>
    <row r="70" spans="1:7" s="222" customFormat="1" ht="29.25" customHeight="1" x14ac:dyDescent="0.2">
      <c r="A70" s="278"/>
      <c r="B70" s="379" t="s">
        <v>422</v>
      </c>
      <c r="C70" s="380"/>
      <c r="D70" s="607">
        <v>221689</v>
      </c>
      <c r="E70" s="380"/>
      <c r="F70" s="541"/>
    </row>
    <row r="71" spans="1:7" s="222" customFormat="1" ht="29.25" customHeight="1" x14ac:dyDescent="0.2">
      <c r="A71" s="278"/>
      <c r="B71" s="379" t="s">
        <v>423</v>
      </c>
      <c r="C71" s="380"/>
      <c r="D71" s="607">
        <v>42448</v>
      </c>
      <c r="E71" s="380"/>
      <c r="F71" s="541"/>
    </row>
    <row r="72" spans="1:7" s="222" customFormat="1" ht="20.25" customHeight="1" thickBot="1" x14ac:dyDescent="0.25">
      <c r="A72" s="278"/>
      <c r="B72" s="379"/>
      <c r="C72" s="380"/>
      <c r="D72" s="608">
        <v>264137</v>
      </c>
      <c r="E72" s="380"/>
      <c r="F72" s="542"/>
    </row>
    <row r="73" spans="1:7" s="222" customFormat="1" ht="20.25" customHeight="1" thickTop="1" x14ac:dyDescent="0.2">
      <c r="A73" s="278"/>
      <c r="B73" s="379"/>
      <c r="C73" s="380"/>
      <c r="D73" s="542"/>
      <c r="E73" s="380"/>
      <c r="F73" s="542"/>
    </row>
    <row r="74" spans="1:7" ht="15" customHeight="1" x14ac:dyDescent="0.2">
      <c r="A74" s="99"/>
      <c r="C74" s="95"/>
      <c r="D74" s="172">
        <f>D57-D67</f>
        <v>0</v>
      </c>
      <c r="E74" s="173"/>
      <c r="F74" s="172">
        <f>F57-F67</f>
        <v>0</v>
      </c>
    </row>
    <row r="75" spans="1:7" ht="45" customHeight="1" x14ac:dyDescent="0.2">
      <c r="A75" s="640" t="s">
        <v>264</v>
      </c>
      <c r="B75" s="640"/>
      <c r="C75" s="640"/>
      <c r="D75" s="640"/>
      <c r="E75" s="640"/>
      <c r="F75" s="640"/>
      <c r="G75" s="95"/>
    </row>
    <row r="76" spans="1:7" ht="15" customHeight="1" x14ac:dyDescent="0.2">
      <c r="A76" s="58"/>
      <c r="B76" s="58"/>
      <c r="C76" s="58"/>
      <c r="D76" s="111">
        <f>+D57-D67</f>
        <v>0</v>
      </c>
      <c r="E76" s="58"/>
      <c r="F76" s="111">
        <f>+F57-F67</f>
        <v>0</v>
      </c>
      <c r="G76" s="95"/>
    </row>
    <row r="77" spans="1:7" ht="15" hidden="1" customHeight="1" x14ac:dyDescent="0.2">
      <c r="A77" s="58"/>
      <c r="B77" s="58"/>
      <c r="C77" s="58"/>
      <c r="D77" s="111">
        <f>D64-BS!D20</f>
        <v>15</v>
      </c>
      <c r="E77" s="58"/>
      <c r="F77" s="58"/>
    </row>
    <row r="78" spans="1:7" ht="15" customHeight="1" x14ac:dyDescent="0.2">
      <c r="A78" s="58"/>
      <c r="B78" s="58"/>
      <c r="C78" s="58"/>
      <c r="D78" s="58"/>
      <c r="E78" s="58"/>
      <c r="F78" s="58"/>
    </row>
  </sheetData>
  <mergeCells count="2">
    <mergeCell ref="A75:F75"/>
    <mergeCell ref="D5:F5"/>
  </mergeCells>
  <phoneticPr fontId="0" type="noConversion"/>
  <printOptions horizontalCentered="1"/>
  <pageMargins left="0.5" right="0.25" top="0.37" bottom="0.39" header="0.16" footer="0.14000000000000001"/>
  <pageSetup paperSize="9" scale="66" orientation="portrait"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1"/>
  <sheetViews>
    <sheetView showGridLines="0" tabSelected="1" view="pageBreakPreview" zoomScale="120" zoomScaleNormal="100" zoomScaleSheetLayoutView="120" workbookViewId="0">
      <selection activeCell="G283" sqref="G283"/>
    </sheetView>
  </sheetViews>
  <sheetFormatPr defaultColWidth="9.140625" defaultRowHeight="14.45" customHeight="1" x14ac:dyDescent="0.2"/>
  <cols>
    <col min="1" max="1" width="4.140625" style="2" customWidth="1"/>
    <col min="2" max="2" width="5.42578125" style="2" customWidth="1"/>
    <col min="3" max="4" width="4.85546875" style="2" customWidth="1"/>
    <col min="5" max="5" width="3.140625" style="2" customWidth="1"/>
    <col min="6" max="6" width="29.5703125" style="2" customWidth="1"/>
    <col min="7" max="8" width="3.5703125" style="2" customWidth="1"/>
    <col min="9" max="9" width="1.7109375" style="2" customWidth="1"/>
    <col min="10" max="10" width="11.85546875" style="2" customWidth="1"/>
    <col min="11" max="11" width="1.42578125" style="2" customWidth="1"/>
    <col min="12" max="12" width="13.28515625" style="2" customWidth="1"/>
    <col min="13" max="13" width="1.42578125" style="2" customWidth="1"/>
    <col min="14" max="14" width="13" style="2" customWidth="1"/>
    <col min="15" max="15" width="1.7109375" style="2" customWidth="1"/>
    <col min="16" max="16" width="13.42578125" style="2" customWidth="1"/>
    <col min="17" max="17" width="2.140625" style="2" customWidth="1"/>
    <col min="18" max="18" width="15.140625" style="2" customWidth="1"/>
    <col min="19" max="19" width="1.5703125" style="2" customWidth="1"/>
    <col min="20" max="20" width="13.42578125" style="222" hidden="1" customWidth="1"/>
    <col min="21" max="21" width="11.85546875" style="222" hidden="1" customWidth="1"/>
    <col min="22" max="22" width="9.140625" style="2"/>
    <col min="23" max="23" width="10.7109375" style="2" bestFit="1" customWidth="1"/>
    <col min="24" max="16384" width="9.140625" style="2"/>
  </cols>
  <sheetData>
    <row r="1" spans="1:18" ht="14.45" customHeight="1" x14ac:dyDescent="0.2">
      <c r="A1" s="1" t="s">
        <v>124</v>
      </c>
    </row>
    <row r="3" spans="1:18" ht="14.45" customHeight="1" x14ac:dyDescent="0.2">
      <c r="A3" s="3">
        <v>1</v>
      </c>
      <c r="B3" s="3"/>
      <c r="C3" s="671" t="s">
        <v>45</v>
      </c>
      <c r="D3" s="671"/>
      <c r="E3" s="671"/>
      <c r="F3" s="671"/>
      <c r="G3" s="671"/>
      <c r="H3" s="671"/>
      <c r="I3" s="671"/>
      <c r="J3" s="671"/>
      <c r="K3" s="671"/>
      <c r="L3" s="671"/>
      <c r="M3" s="671"/>
      <c r="N3" s="671"/>
      <c r="O3" s="671"/>
      <c r="P3" s="671"/>
      <c r="Q3" s="671"/>
      <c r="R3" s="671"/>
    </row>
    <row r="4" spans="1:18" ht="14.45" customHeight="1" x14ac:dyDescent="0.2">
      <c r="A4" s="3"/>
      <c r="B4" s="3"/>
      <c r="C4" s="3"/>
      <c r="D4" s="3"/>
      <c r="E4" s="3"/>
      <c r="F4" s="3"/>
      <c r="G4" s="3"/>
    </row>
    <row r="5" spans="1:18" ht="17.25" customHeight="1" x14ac:dyDescent="0.2">
      <c r="C5" s="636" t="s">
        <v>139</v>
      </c>
      <c r="D5" s="636"/>
      <c r="E5" s="636"/>
      <c r="F5" s="636"/>
      <c r="G5" s="636"/>
      <c r="H5" s="636"/>
      <c r="I5" s="636"/>
      <c r="J5" s="636"/>
      <c r="K5" s="636"/>
      <c r="L5" s="636"/>
      <c r="M5" s="636"/>
      <c r="N5" s="636"/>
      <c r="O5" s="636"/>
      <c r="P5" s="636"/>
      <c r="Q5" s="636"/>
      <c r="R5" s="636"/>
    </row>
    <row r="6" spans="1:18" ht="14.45" customHeight="1" x14ac:dyDescent="0.2">
      <c r="C6" s="4"/>
      <c r="D6" s="321"/>
      <c r="E6" s="229"/>
      <c r="F6" s="4"/>
      <c r="G6" s="4"/>
      <c r="H6" s="4"/>
      <c r="I6" s="4"/>
      <c r="J6" s="4"/>
      <c r="K6" s="4"/>
      <c r="L6" s="4"/>
      <c r="M6" s="4"/>
      <c r="N6" s="4"/>
      <c r="O6" s="4"/>
      <c r="P6" s="4"/>
      <c r="Q6" s="4"/>
      <c r="R6" s="4"/>
    </row>
    <row r="7" spans="1:18" ht="44.25" customHeight="1" x14ac:dyDescent="0.2">
      <c r="C7" s="636" t="s">
        <v>228</v>
      </c>
      <c r="D7" s="636"/>
      <c r="E7" s="636"/>
      <c r="F7" s="636"/>
      <c r="G7" s="636"/>
      <c r="H7" s="636"/>
      <c r="I7" s="636"/>
      <c r="J7" s="636"/>
      <c r="K7" s="636"/>
      <c r="L7" s="636"/>
      <c r="M7" s="636"/>
      <c r="N7" s="636"/>
      <c r="O7" s="636"/>
      <c r="P7" s="636"/>
      <c r="Q7" s="636"/>
      <c r="R7" s="636"/>
    </row>
    <row r="8" spans="1:18" ht="9" customHeight="1" x14ac:dyDescent="0.2">
      <c r="C8" s="71"/>
      <c r="D8" s="329"/>
      <c r="E8" s="236"/>
      <c r="F8" s="71"/>
      <c r="G8" s="71"/>
      <c r="H8" s="71"/>
      <c r="I8" s="71"/>
      <c r="J8" s="71"/>
      <c r="K8" s="71"/>
      <c r="L8" s="71"/>
      <c r="M8" s="71"/>
      <c r="N8" s="71"/>
      <c r="O8" s="71"/>
      <c r="P8" s="71"/>
      <c r="Q8" s="71"/>
      <c r="R8" s="71"/>
    </row>
    <row r="9" spans="1:18" ht="63" customHeight="1" x14ac:dyDescent="0.2">
      <c r="C9" s="636" t="s">
        <v>285</v>
      </c>
      <c r="D9" s="636"/>
      <c r="E9" s="636"/>
      <c r="F9" s="636"/>
      <c r="G9" s="636"/>
      <c r="H9" s="636"/>
      <c r="I9" s="636"/>
      <c r="J9" s="636"/>
      <c r="K9" s="636"/>
      <c r="L9" s="636"/>
      <c r="M9" s="636"/>
      <c r="N9" s="636"/>
      <c r="O9" s="636"/>
      <c r="P9" s="636"/>
      <c r="Q9" s="636"/>
      <c r="R9" s="636"/>
    </row>
    <row r="10" spans="1:18" ht="10.5" customHeight="1" x14ac:dyDescent="0.2">
      <c r="C10" s="4"/>
      <c r="D10" s="321"/>
      <c r="E10" s="229"/>
      <c r="F10" s="4"/>
      <c r="G10" s="4"/>
      <c r="H10" s="4"/>
      <c r="I10" s="4"/>
      <c r="J10" s="4"/>
      <c r="K10" s="4"/>
      <c r="L10" s="4"/>
      <c r="M10" s="4"/>
      <c r="N10" s="4"/>
      <c r="O10" s="4"/>
      <c r="P10" s="4"/>
      <c r="Q10" s="4"/>
      <c r="R10" s="4"/>
    </row>
    <row r="11" spans="1:18" ht="12" customHeight="1" x14ac:dyDescent="0.2">
      <c r="A11" s="3">
        <v>2</v>
      </c>
      <c r="B11" s="3"/>
      <c r="C11" s="3" t="s">
        <v>198</v>
      </c>
      <c r="D11" s="3"/>
      <c r="E11" s="3"/>
      <c r="F11" s="3"/>
      <c r="G11" s="3"/>
      <c r="M11" s="4"/>
      <c r="N11" s="4"/>
      <c r="O11" s="4"/>
      <c r="P11" s="4"/>
      <c r="Q11" s="4"/>
      <c r="R11" s="4"/>
    </row>
    <row r="12" spans="1:18" ht="12" customHeight="1" x14ac:dyDescent="0.2">
      <c r="A12" s="3"/>
      <c r="B12" s="3"/>
      <c r="C12" s="674"/>
      <c r="D12" s="674"/>
      <c r="E12" s="674"/>
      <c r="F12" s="674"/>
      <c r="G12" s="674"/>
      <c r="H12" s="674"/>
      <c r="I12" s="674"/>
      <c r="J12" s="674"/>
      <c r="K12" s="674"/>
      <c r="L12" s="674"/>
      <c r="M12" s="674"/>
      <c r="N12" s="674"/>
      <c r="O12" s="674"/>
      <c r="P12" s="674"/>
      <c r="Q12" s="674"/>
      <c r="R12" s="674"/>
    </row>
    <row r="13" spans="1:18" ht="30" customHeight="1" x14ac:dyDescent="0.2">
      <c r="A13" s="3"/>
      <c r="B13" s="3"/>
      <c r="C13" s="672" t="s">
        <v>265</v>
      </c>
      <c r="D13" s="672"/>
      <c r="E13" s="672"/>
      <c r="F13" s="673"/>
      <c r="G13" s="673"/>
      <c r="H13" s="673"/>
      <c r="I13" s="673"/>
      <c r="J13" s="673"/>
      <c r="K13" s="673"/>
      <c r="L13" s="673"/>
      <c r="M13" s="673"/>
      <c r="N13" s="673"/>
      <c r="O13" s="673"/>
      <c r="P13" s="673"/>
      <c r="Q13" s="673"/>
      <c r="R13" s="673"/>
    </row>
    <row r="14" spans="1:18" ht="12.75" customHeight="1" x14ac:dyDescent="0.2">
      <c r="A14" s="3"/>
      <c r="B14" s="3"/>
      <c r="C14" s="204"/>
      <c r="D14" s="328"/>
      <c r="E14" s="235"/>
      <c r="F14" s="205"/>
      <c r="G14" s="205"/>
      <c r="H14" s="205"/>
      <c r="I14" s="205"/>
      <c r="J14" s="205"/>
      <c r="K14" s="205"/>
      <c r="L14" s="205"/>
      <c r="M14" s="205"/>
      <c r="N14" s="205"/>
      <c r="O14" s="205"/>
      <c r="P14" s="205"/>
      <c r="Q14" s="205"/>
      <c r="R14" s="205"/>
    </row>
    <row r="15" spans="1:18" ht="20.25" customHeight="1" x14ac:dyDescent="0.2">
      <c r="A15" s="3">
        <v>3</v>
      </c>
      <c r="B15" s="3"/>
      <c r="C15" s="3" t="s">
        <v>209</v>
      </c>
      <c r="D15" s="3"/>
      <c r="E15" s="274"/>
      <c r="F15" s="275"/>
      <c r="G15" s="275"/>
      <c r="H15" s="275"/>
      <c r="I15" s="275"/>
      <c r="J15" s="275"/>
      <c r="K15" s="275"/>
      <c r="L15" s="275"/>
      <c r="M15" s="275"/>
      <c r="N15" s="275"/>
      <c r="O15" s="275"/>
      <c r="P15" s="275"/>
      <c r="Q15" s="275"/>
      <c r="R15" s="275"/>
    </row>
    <row r="16" spans="1:18" ht="6.75" customHeight="1" x14ac:dyDescent="0.2">
      <c r="A16" s="3"/>
      <c r="B16" s="3"/>
      <c r="C16" s="3"/>
      <c r="D16" s="3"/>
      <c r="E16" s="289"/>
      <c r="F16" s="293"/>
      <c r="G16" s="293"/>
      <c r="H16" s="293"/>
      <c r="I16" s="293"/>
      <c r="J16" s="293"/>
      <c r="K16" s="293"/>
      <c r="L16" s="293"/>
      <c r="M16" s="293"/>
      <c r="N16" s="293"/>
      <c r="O16" s="293"/>
      <c r="P16" s="293"/>
      <c r="Q16" s="293"/>
      <c r="R16" s="293"/>
    </row>
    <row r="17" spans="1:35" ht="42" customHeight="1" x14ac:dyDescent="0.2">
      <c r="A17" s="3"/>
      <c r="B17" s="3"/>
      <c r="C17" s="670" t="s">
        <v>452</v>
      </c>
      <c r="D17" s="670"/>
      <c r="E17" s="670"/>
      <c r="F17" s="670"/>
      <c r="G17" s="670"/>
      <c r="H17" s="670"/>
      <c r="I17" s="670"/>
      <c r="J17" s="670"/>
      <c r="K17" s="670"/>
      <c r="L17" s="670"/>
      <c r="M17" s="670"/>
      <c r="N17" s="670"/>
      <c r="O17" s="670"/>
      <c r="P17" s="670"/>
      <c r="Q17" s="670"/>
      <c r="R17" s="670"/>
    </row>
    <row r="18" spans="1:35" ht="11.25" customHeight="1" x14ac:dyDescent="0.2">
      <c r="A18" s="3"/>
      <c r="B18" s="3"/>
      <c r="C18" s="279"/>
      <c r="D18" s="330"/>
      <c r="E18" s="279"/>
      <c r="F18" s="279"/>
      <c r="G18" s="279"/>
      <c r="H18" s="279"/>
      <c r="I18" s="279"/>
      <c r="J18" s="279"/>
      <c r="K18" s="279"/>
      <c r="L18" s="279"/>
      <c r="M18" s="279"/>
      <c r="N18" s="279"/>
      <c r="O18" s="279"/>
      <c r="P18" s="279"/>
      <c r="Q18" s="279"/>
      <c r="R18" s="279"/>
    </row>
    <row r="19" spans="1:35" ht="43.5" customHeight="1" x14ac:dyDescent="0.2">
      <c r="A19" s="3"/>
      <c r="B19" s="3"/>
      <c r="C19" s="663" t="s">
        <v>343</v>
      </c>
      <c r="D19" s="663"/>
      <c r="E19" s="663"/>
      <c r="F19" s="663"/>
      <c r="G19" s="663"/>
      <c r="H19" s="663"/>
      <c r="I19" s="663"/>
      <c r="J19" s="663"/>
      <c r="K19" s="663"/>
      <c r="L19" s="663"/>
      <c r="M19" s="663"/>
      <c r="N19" s="663"/>
      <c r="O19" s="663"/>
      <c r="P19" s="663"/>
      <c r="Q19" s="663"/>
      <c r="R19" s="663"/>
    </row>
    <row r="20" spans="1:35" ht="18.75" customHeight="1" x14ac:dyDescent="0.2">
      <c r="A20" s="3"/>
      <c r="B20" s="3"/>
      <c r="C20" s="274"/>
      <c r="D20" s="324"/>
      <c r="E20" s="274"/>
      <c r="F20" s="275"/>
      <c r="G20" s="275"/>
      <c r="H20" s="275"/>
      <c r="I20" s="275"/>
      <c r="J20" s="275"/>
      <c r="K20" s="275"/>
      <c r="L20" s="275"/>
      <c r="M20" s="275"/>
      <c r="N20" s="275"/>
      <c r="O20" s="275"/>
      <c r="P20" s="275"/>
      <c r="Q20" s="275"/>
      <c r="R20" s="275"/>
    </row>
    <row r="21" spans="1:35" ht="14.45" customHeight="1" x14ac:dyDescent="0.2">
      <c r="A21" s="3">
        <v>4</v>
      </c>
      <c r="B21" s="3"/>
      <c r="C21" s="3" t="s">
        <v>83</v>
      </c>
      <c r="D21" s="3"/>
      <c r="E21" s="3"/>
      <c r="F21" s="3"/>
      <c r="G21" s="3"/>
      <c r="N21" s="80"/>
      <c r="T21" s="269"/>
    </row>
    <row r="22" spans="1:35" ht="14.45" customHeight="1" x14ac:dyDescent="0.2">
      <c r="A22" s="3"/>
      <c r="B22" s="3"/>
      <c r="C22" s="4"/>
      <c r="D22" s="321"/>
      <c r="E22" s="229"/>
      <c r="F22" s="4"/>
      <c r="G22" s="4"/>
      <c r="J22" s="622"/>
      <c r="K22" s="622"/>
      <c r="L22" s="622"/>
      <c r="N22" s="622"/>
      <c r="O22" s="622"/>
      <c r="P22" s="622"/>
    </row>
    <row r="23" spans="1:35" ht="30" customHeight="1" x14ac:dyDescent="0.2">
      <c r="A23" s="3"/>
      <c r="B23" s="3"/>
      <c r="C23" s="636" t="s">
        <v>266</v>
      </c>
      <c r="D23" s="636"/>
      <c r="E23" s="636"/>
      <c r="F23" s="636"/>
      <c r="G23" s="636"/>
      <c r="H23" s="636"/>
      <c r="I23" s="636"/>
      <c r="J23" s="636"/>
      <c r="K23" s="636"/>
      <c r="L23" s="636"/>
      <c r="M23" s="636"/>
      <c r="N23" s="636"/>
      <c r="O23" s="636"/>
      <c r="P23" s="636"/>
      <c r="Q23" s="636"/>
      <c r="R23" s="636"/>
    </row>
    <row r="24" spans="1:35" ht="14.45" customHeight="1" x14ac:dyDescent="0.2">
      <c r="A24" s="3"/>
      <c r="B24" s="3"/>
      <c r="C24" s="4"/>
      <c r="D24" s="321"/>
      <c r="E24" s="229"/>
      <c r="F24" s="4"/>
      <c r="G24" s="4"/>
      <c r="J24" s="7"/>
      <c r="K24" s="7"/>
      <c r="L24" s="8"/>
      <c r="N24" s="7"/>
      <c r="O24" s="7"/>
      <c r="P24" s="7"/>
    </row>
    <row r="25" spans="1:35" ht="14.45" customHeight="1" x14ac:dyDescent="0.2">
      <c r="A25" s="3">
        <v>5</v>
      </c>
      <c r="B25" s="3"/>
      <c r="C25" s="3" t="s">
        <v>20</v>
      </c>
      <c r="D25" s="3"/>
      <c r="E25" s="3"/>
      <c r="F25" s="3"/>
      <c r="G25" s="3"/>
      <c r="T25" s="269"/>
    </row>
    <row r="26" spans="1:35" ht="14.45" customHeight="1" x14ac:dyDescent="0.2">
      <c r="A26" s="3"/>
      <c r="B26" s="3"/>
      <c r="C26" s="3"/>
      <c r="D26" s="3"/>
      <c r="E26" s="3"/>
      <c r="F26" s="3"/>
      <c r="G26" s="3"/>
    </row>
    <row r="27" spans="1:35" ht="22.5" customHeight="1" x14ac:dyDescent="0.2">
      <c r="A27" s="3"/>
      <c r="B27" s="3"/>
      <c r="C27" s="636" t="s">
        <v>344</v>
      </c>
      <c r="D27" s="636"/>
      <c r="E27" s="636"/>
      <c r="F27" s="636"/>
      <c r="G27" s="636"/>
      <c r="H27" s="636"/>
      <c r="I27" s="636"/>
      <c r="J27" s="636"/>
      <c r="K27" s="636"/>
      <c r="L27" s="636"/>
      <c r="M27" s="636"/>
      <c r="N27" s="636"/>
      <c r="O27" s="636"/>
      <c r="P27" s="636"/>
      <c r="Q27" s="636"/>
      <c r="R27" s="636"/>
    </row>
    <row r="28" spans="1:35" ht="14.45" customHeight="1" x14ac:dyDescent="0.2">
      <c r="A28" s="3"/>
      <c r="B28" s="3"/>
      <c r="C28" s="9"/>
      <c r="D28" s="323"/>
      <c r="E28" s="231"/>
      <c r="F28" s="9"/>
      <c r="G28" s="9"/>
      <c r="H28" s="9"/>
      <c r="I28" s="9"/>
      <c r="J28" s="9"/>
      <c r="K28" s="9"/>
      <c r="L28" s="9"/>
      <c r="M28" s="9"/>
      <c r="N28" s="9"/>
      <c r="O28" s="9"/>
      <c r="P28" s="9"/>
      <c r="Q28" s="9"/>
      <c r="R28" s="9"/>
    </row>
    <row r="29" spans="1:35" ht="14.45" customHeight="1" x14ac:dyDescent="0.2">
      <c r="A29" s="3">
        <v>6</v>
      </c>
      <c r="C29" s="650" t="s">
        <v>162</v>
      </c>
      <c r="D29" s="650"/>
      <c r="E29" s="650"/>
      <c r="F29" s="650"/>
      <c r="G29" s="650"/>
      <c r="H29" s="650"/>
      <c r="I29" s="650"/>
      <c r="J29" s="650"/>
      <c r="K29" s="650"/>
      <c r="L29" s="650"/>
      <c r="M29" s="650"/>
      <c r="N29" s="650"/>
      <c r="O29" s="650"/>
      <c r="P29" s="650"/>
      <c r="Q29" s="650"/>
      <c r="R29" s="650"/>
    </row>
    <row r="30" spans="1:35" ht="9" customHeight="1" x14ac:dyDescent="0.2">
      <c r="C30" s="4"/>
      <c r="D30" s="321"/>
      <c r="E30" s="229"/>
      <c r="F30" s="4"/>
      <c r="G30" s="4"/>
      <c r="H30" s="4"/>
      <c r="I30" s="4"/>
      <c r="J30" s="4"/>
      <c r="K30" s="4"/>
      <c r="L30" s="4"/>
      <c r="M30" s="4"/>
      <c r="N30" s="4"/>
      <c r="O30" s="4"/>
      <c r="P30" s="4"/>
    </row>
    <row r="31" spans="1:35" ht="20.25" customHeight="1" x14ac:dyDescent="0.2">
      <c r="C31" s="636" t="s">
        <v>143</v>
      </c>
      <c r="D31" s="636"/>
      <c r="E31" s="636"/>
      <c r="F31" s="636"/>
      <c r="G31" s="636"/>
      <c r="H31" s="636"/>
      <c r="I31" s="636"/>
      <c r="J31" s="636"/>
      <c r="K31" s="636"/>
      <c r="L31" s="636"/>
      <c r="M31" s="636"/>
      <c r="N31" s="636"/>
      <c r="O31" s="636"/>
      <c r="P31" s="636"/>
      <c r="Q31" s="636"/>
      <c r="R31" s="636"/>
      <c r="T31" s="636"/>
      <c r="U31" s="665"/>
      <c r="V31" s="665"/>
      <c r="W31" s="665"/>
      <c r="X31" s="665"/>
      <c r="Y31" s="665"/>
      <c r="Z31" s="665"/>
      <c r="AA31" s="665"/>
      <c r="AB31" s="665"/>
      <c r="AC31" s="665"/>
      <c r="AD31" s="665"/>
      <c r="AE31" s="665"/>
      <c r="AF31" s="665"/>
      <c r="AG31" s="665"/>
      <c r="AH31" s="665"/>
      <c r="AI31" s="665"/>
    </row>
    <row r="32" spans="1:35" ht="9.75" customHeight="1" x14ac:dyDescent="0.2">
      <c r="C32" s="10"/>
      <c r="D32" s="10"/>
      <c r="E32" s="10"/>
      <c r="F32" s="58"/>
      <c r="G32" s="58"/>
      <c r="H32" s="58"/>
      <c r="I32" s="58"/>
      <c r="J32" s="58"/>
      <c r="K32" s="58"/>
      <c r="L32" s="58"/>
      <c r="M32" s="58"/>
      <c r="N32" s="58"/>
      <c r="O32" s="58"/>
      <c r="P32" s="58"/>
      <c r="Q32" s="58"/>
      <c r="R32" s="58"/>
      <c r="S32" s="58"/>
      <c r="T32" s="270"/>
    </row>
    <row r="33" spans="1:35" ht="22.5" customHeight="1" x14ac:dyDescent="0.2">
      <c r="A33" s="59">
        <v>7</v>
      </c>
      <c r="C33" s="640" t="s">
        <v>30</v>
      </c>
      <c r="D33" s="640"/>
      <c r="E33" s="640"/>
      <c r="F33" s="640"/>
      <c r="G33" s="640"/>
      <c r="H33" s="640"/>
      <c r="I33" s="640"/>
      <c r="J33" s="640"/>
      <c r="K33" s="640"/>
      <c r="L33" s="640"/>
      <c r="M33" s="640"/>
      <c r="N33" s="640"/>
      <c r="O33" s="640"/>
      <c r="P33" s="640"/>
      <c r="Q33" s="640"/>
      <c r="R33" s="640"/>
      <c r="S33" s="58"/>
      <c r="T33" s="270"/>
    </row>
    <row r="34" spans="1:35" ht="5.25" customHeight="1" x14ac:dyDescent="0.2">
      <c r="A34" s="3"/>
      <c r="C34" s="11"/>
      <c r="D34" s="322"/>
      <c r="E34" s="230"/>
      <c r="F34" s="92"/>
      <c r="G34" s="92"/>
      <c r="H34" s="92"/>
      <c r="I34" s="92"/>
      <c r="J34" s="92"/>
      <c r="K34" s="92"/>
      <c r="L34" s="92"/>
      <c r="M34" s="92"/>
      <c r="N34" s="92"/>
      <c r="O34" s="92"/>
      <c r="P34" s="92"/>
      <c r="Q34" s="58"/>
      <c r="R34" s="58"/>
      <c r="S34" s="58"/>
      <c r="T34" s="270"/>
    </row>
    <row r="35" spans="1:35" ht="14.45" customHeight="1" x14ac:dyDescent="0.2">
      <c r="C35" s="636" t="s">
        <v>117</v>
      </c>
      <c r="D35" s="636"/>
      <c r="E35" s="636"/>
      <c r="F35" s="636"/>
      <c r="G35" s="636"/>
      <c r="H35" s="636"/>
      <c r="I35" s="636"/>
      <c r="J35" s="636"/>
      <c r="K35" s="636"/>
      <c r="L35" s="636"/>
      <c r="M35" s="636"/>
      <c r="N35" s="636"/>
      <c r="O35" s="636"/>
      <c r="P35" s="636"/>
      <c r="Q35" s="636"/>
      <c r="R35" s="636"/>
      <c r="S35" s="58"/>
      <c r="T35" s="270"/>
    </row>
    <row r="36" spans="1:35" ht="14.45" customHeight="1" x14ac:dyDescent="0.2">
      <c r="C36" s="4"/>
      <c r="D36" s="321"/>
      <c r="E36" s="229"/>
      <c r="F36" s="4"/>
      <c r="G36" s="4"/>
      <c r="H36" s="4"/>
      <c r="I36" s="4"/>
      <c r="J36" s="4"/>
      <c r="K36" s="4"/>
      <c r="L36" s="4"/>
      <c r="M36" s="4"/>
      <c r="N36" s="4"/>
      <c r="O36" s="4"/>
      <c r="P36" s="4"/>
      <c r="Q36" s="4"/>
      <c r="R36" s="4"/>
      <c r="S36" s="58"/>
      <c r="T36" s="270"/>
    </row>
    <row r="37" spans="1:35" ht="14.45" customHeight="1" x14ac:dyDescent="0.2">
      <c r="A37" s="3">
        <v>8</v>
      </c>
      <c r="B37" s="3"/>
      <c r="C37" s="3" t="s">
        <v>29</v>
      </c>
      <c r="D37" s="3"/>
      <c r="E37" s="3"/>
      <c r="F37" s="3"/>
      <c r="G37" s="3"/>
      <c r="T37" s="636"/>
      <c r="U37" s="664"/>
      <c r="V37" s="664"/>
      <c r="W37" s="664"/>
      <c r="X37" s="664"/>
      <c r="Y37" s="664"/>
      <c r="Z37" s="664"/>
      <c r="AA37" s="664"/>
      <c r="AB37" s="664"/>
      <c r="AC37" s="664"/>
      <c r="AD37" s="664"/>
      <c r="AE37" s="664"/>
      <c r="AF37" s="664"/>
      <c r="AG37" s="664"/>
      <c r="AH37" s="664"/>
      <c r="AI37" s="664"/>
    </row>
    <row r="38" spans="1:35" ht="14.45" customHeight="1" x14ac:dyDescent="0.2">
      <c r="A38" s="3"/>
      <c r="B38" s="3"/>
      <c r="C38" s="3"/>
      <c r="D38" s="3"/>
      <c r="E38" s="3"/>
      <c r="F38" s="3"/>
      <c r="G38" s="3"/>
    </row>
    <row r="39" spans="1:35" ht="14.45" customHeight="1" x14ac:dyDescent="0.2">
      <c r="A39" s="3"/>
      <c r="B39" s="3"/>
      <c r="C39" s="2" t="s">
        <v>317</v>
      </c>
      <c r="D39" s="3"/>
      <c r="E39" s="3"/>
      <c r="F39" s="3"/>
      <c r="G39" s="3"/>
    </row>
    <row r="40" spans="1:35" ht="6" customHeight="1" x14ac:dyDescent="0.2">
      <c r="A40" s="3"/>
      <c r="B40" s="3"/>
      <c r="D40" s="3"/>
      <c r="E40" s="3"/>
      <c r="F40" s="3"/>
      <c r="G40" s="3"/>
    </row>
    <row r="41" spans="1:35" ht="7.5" customHeight="1" x14ac:dyDescent="0.2">
      <c r="A41" s="3"/>
      <c r="B41" s="3"/>
      <c r="C41" s="544"/>
      <c r="D41" s="547"/>
      <c r="E41" s="546"/>
      <c r="F41" s="546"/>
      <c r="G41" s="546"/>
      <c r="H41" s="546"/>
      <c r="I41" s="546"/>
      <c r="J41" s="546"/>
      <c r="K41" s="546"/>
      <c r="L41" s="546"/>
      <c r="M41" s="546"/>
      <c r="N41" s="546"/>
      <c r="O41" s="546"/>
      <c r="P41" s="546"/>
      <c r="Q41" s="546"/>
      <c r="R41" s="546"/>
    </row>
    <row r="42" spans="1:35" ht="30.75" customHeight="1" x14ac:dyDescent="0.2">
      <c r="A42" s="3"/>
      <c r="B42" s="3"/>
      <c r="C42" s="544" t="s">
        <v>121</v>
      </c>
      <c r="D42" s="621" t="s">
        <v>365</v>
      </c>
      <c r="E42" s="644"/>
      <c r="F42" s="644"/>
      <c r="G42" s="644"/>
      <c r="H42" s="644"/>
      <c r="I42" s="644"/>
      <c r="J42" s="644"/>
      <c r="K42" s="644"/>
      <c r="L42" s="644"/>
      <c r="M42" s="644"/>
      <c r="N42" s="644"/>
      <c r="O42" s="644"/>
      <c r="P42" s="644"/>
      <c r="Q42" s="644"/>
      <c r="R42" s="644"/>
    </row>
    <row r="43" spans="1:35" ht="6.75" customHeight="1" x14ac:dyDescent="0.2">
      <c r="A43" s="3"/>
      <c r="B43" s="3"/>
      <c r="C43" s="3"/>
      <c r="D43" s="3"/>
      <c r="E43" s="3"/>
      <c r="F43" s="3"/>
      <c r="G43" s="3"/>
    </row>
    <row r="44" spans="1:35" ht="6.75" customHeight="1" x14ac:dyDescent="0.2">
      <c r="A44" s="3"/>
      <c r="B44" s="3"/>
      <c r="C44" s="3"/>
      <c r="D44" s="3"/>
      <c r="E44" s="3"/>
      <c r="F44" s="3"/>
      <c r="G44" s="3"/>
    </row>
    <row r="45" spans="1:35" ht="31.5" customHeight="1" x14ac:dyDescent="0.2">
      <c r="A45" s="3"/>
      <c r="B45" s="3"/>
      <c r="C45" s="544" t="s">
        <v>122</v>
      </c>
      <c r="D45" s="621" t="s">
        <v>366</v>
      </c>
      <c r="E45" s="660"/>
      <c r="F45" s="660"/>
      <c r="G45" s="660"/>
      <c r="H45" s="660"/>
      <c r="I45" s="660"/>
      <c r="J45" s="660"/>
      <c r="K45" s="660"/>
      <c r="L45" s="660"/>
      <c r="M45" s="660"/>
      <c r="N45" s="660"/>
      <c r="O45" s="660"/>
      <c r="P45" s="660"/>
      <c r="Q45" s="660"/>
      <c r="R45" s="660"/>
      <c r="S45" s="548"/>
    </row>
    <row r="46" spans="1:35" ht="4.5" customHeight="1" x14ac:dyDescent="0.2">
      <c r="A46" s="3"/>
      <c r="B46" s="3"/>
      <c r="C46" s="545"/>
      <c r="D46" s="545"/>
      <c r="E46" s="545"/>
      <c r="F46" s="548"/>
      <c r="G46" s="548"/>
      <c r="H46" s="548"/>
      <c r="I46" s="548"/>
      <c r="J46" s="548"/>
      <c r="K46" s="548"/>
      <c r="L46" s="548"/>
      <c r="M46" s="548"/>
      <c r="N46" s="548"/>
      <c r="O46" s="548"/>
      <c r="P46" s="548"/>
      <c r="Q46" s="548"/>
      <c r="R46" s="548"/>
      <c r="S46" s="548"/>
    </row>
    <row r="47" spans="1:35" ht="18.75" customHeight="1" thickBot="1" x14ac:dyDescent="0.25">
      <c r="A47" s="3"/>
      <c r="B47" s="3"/>
      <c r="F47" s="549" t="s">
        <v>150</v>
      </c>
      <c r="G47" s="549"/>
      <c r="H47" s="549"/>
      <c r="I47" s="549"/>
      <c r="J47" s="273"/>
      <c r="K47" s="550">
        <v>1.52</v>
      </c>
      <c r="L47" s="551">
        <v>1.52</v>
      </c>
      <c r="M47" s="552"/>
      <c r="N47" s="551">
        <v>1.74</v>
      </c>
      <c r="O47" s="553"/>
      <c r="P47" s="554">
        <v>2.09</v>
      </c>
      <c r="Q47" s="548"/>
      <c r="R47" s="548"/>
      <c r="S47" s="548"/>
    </row>
    <row r="48" spans="1:35" ht="29.25" customHeight="1" thickBot="1" x14ac:dyDescent="0.25">
      <c r="A48" s="3"/>
      <c r="B48" s="3"/>
      <c r="F48" s="667" t="s">
        <v>337</v>
      </c>
      <c r="G48" s="668"/>
      <c r="H48" s="668"/>
      <c r="I48" s="668"/>
      <c r="J48" s="668"/>
      <c r="K48" s="555"/>
      <c r="L48" s="556">
        <v>1.27</v>
      </c>
      <c r="M48" s="557"/>
      <c r="N48" s="556">
        <v>1.45</v>
      </c>
      <c r="O48" s="558"/>
      <c r="P48" s="559">
        <v>1.74</v>
      </c>
      <c r="Q48" s="548"/>
      <c r="R48" s="548"/>
      <c r="S48" s="548"/>
    </row>
    <row r="49" spans="1:37" ht="11.25" customHeight="1" x14ac:dyDescent="0.2">
      <c r="A49" s="3"/>
      <c r="B49" s="3"/>
      <c r="F49" s="560"/>
      <c r="G49" s="561"/>
      <c r="H49" s="561"/>
      <c r="I49" s="561"/>
      <c r="J49" s="561"/>
      <c r="K49" s="562"/>
      <c r="L49" s="563"/>
      <c r="M49" s="216"/>
      <c r="N49" s="563"/>
      <c r="O49" s="134"/>
      <c r="P49" s="562"/>
      <c r="Q49" s="548"/>
      <c r="R49" s="548"/>
      <c r="S49" s="548"/>
    </row>
    <row r="50" spans="1:37" ht="14.45" customHeight="1" x14ac:dyDescent="0.2">
      <c r="A50" s="3"/>
      <c r="B50" s="3"/>
      <c r="F50" s="560" t="s">
        <v>151</v>
      </c>
      <c r="G50" s="564"/>
      <c r="H50" s="564"/>
      <c r="I50" s="564"/>
      <c r="K50" s="562"/>
      <c r="L50" s="565">
        <v>5125</v>
      </c>
      <c r="M50" s="112"/>
      <c r="N50" s="112">
        <v>788</v>
      </c>
      <c r="O50" s="548"/>
      <c r="P50" s="566">
        <v>67</v>
      </c>
      <c r="Q50" s="548"/>
      <c r="R50" s="548"/>
      <c r="S50" s="548"/>
    </row>
    <row r="51" spans="1:37" ht="14.45" customHeight="1" x14ac:dyDescent="0.2">
      <c r="A51" s="3"/>
      <c r="B51" s="3"/>
      <c r="F51" s="560"/>
      <c r="G51" s="564"/>
      <c r="H51" s="564"/>
      <c r="I51" s="564"/>
      <c r="K51" s="562"/>
      <c r="L51" s="565"/>
      <c r="M51" s="112"/>
      <c r="N51" s="112"/>
      <c r="O51" s="548"/>
      <c r="P51" s="567"/>
      <c r="Q51" s="548"/>
      <c r="R51" s="548"/>
      <c r="S51" s="548"/>
    </row>
    <row r="52" spans="1:37" ht="15.75" customHeight="1" x14ac:dyDescent="0.2">
      <c r="A52" s="3"/>
      <c r="B52" s="3"/>
      <c r="C52" s="2" t="s">
        <v>200</v>
      </c>
      <c r="D52" s="2" t="s">
        <v>318</v>
      </c>
      <c r="F52" s="560"/>
      <c r="G52" s="564"/>
      <c r="H52" s="564"/>
      <c r="I52" s="564"/>
      <c r="K52" s="562"/>
      <c r="L52" s="565"/>
      <c r="M52" s="112"/>
      <c r="N52" s="112"/>
      <c r="O52" s="548"/>
      <c r="P52" s="567"/>
      <c r="Q52" s="548"/>
      <c r="R52" s="548"/>
      <c r="S52" s="548"/>
    </row>
    <row r="53" spans="1:37" ht="14.45" customHeight="1" x14ac:dyDescent="0.2">
      <c r="A53" s="3"/>
      <c r="B53" s="3"/>
      <c r="F53" s="560"/>
      <c r="G53" s="564"/>
      <c r="H53" s="564"/>
      <c r="I53" s="564"/>
      <c r="K53" s="562"/>
      <c r="L53" s="565"/>
      <c r="M53" s="112"/>
      <c r="N53" s="112"/>
      <c r="O53" s="548"/>
      <c r="P53" s="567"/>
      <c r="Q53" s="548"/>
      <c r="R53" s="548"/>
      <c r="S53" s="548"/>
    </row>
    <row r="54" spans="1:37" ht="29.25" customHeight="1" x14ac:dyDescent="0.2">
      <c r="C54" s="636" t="s">
        <v>278</v>
      </c>
      <c r="D54" s="636"/>
      <c r="E54" s="636"/>
      <c r="F54" s="664"/>
      <c r="G54" s="664"/>
      <c r="H54" s="664"/>
      <c r="I54" s="664"/>
      <c r="J54" s="664"/>
      <c r="K54" s="664"/>
      <c r="L54" s="664"/>
      <c r="M54" s="664"/>
      <c r="N54" s="664"/>
      <c r="O54" s="664"/>
      <c r="P54" s="664"/>
      <c r="Q54" s="664"/>
      <c r="R54" s="664"/>
      <c r="T54" s="219"/>
      <c r="U54" s="219"/>
      <c r="V54" s="544"/>
      <c r="W54" s="544"/>
      <c r="X54" s="13"/>
      <c r="Y54" s="13"/>
      <c r="AB54" s="622"/>
      <c r="AC54" s="622"/>
      <c r="AD54" s="622"/>
      <c r="AF54" s="635"/>
      <c r="AG54" s="635"/>
      <c r="AH54" s="635"/>
      <c r="AI54" s="665"/>
    </row>
    <row r="55" spans="1:37" ht="18" customHeight="1" x14ac:dyDescent="0.2">
      <c r="C55" s="198"/>
      <c r="D55" s="326"/>
      <c r="E55" s="233"/>
      <c r="F55" s="200"/>
      <c r="G55" s="200"/>
      <c r="H55" s="200"/>
      <c r="I55" s="200"/>
      <c r="J55" s="200"/>
      <c r="K55" s="200"/>
      <c r="L55" s="200"/>
      <c r="M55" s="200"/>
      <c r="N55" s="200"/>
      <c r="O55" s="200"/>
      <c r="P55" s="200"/>
      <c r="Q55" s="200"/>
      <c r="R55" s="200"/>
      <c r="T55" s="219"/>
      <c r="U55" s="219"/>
      <c r="V55" s="195"/>
      <c r="W55" s="195"/>
      <c r="X55" s="13"/>
      <c r="Y55" s="13"/>
      <c r="AB55" s="196"/>
      <c r="AC55" s="196"/>
      <c r="AD55" s="196"/>
      <c r="AF55" s="199"/>
      <c r="AG55" s="199"/>
      <c r="AH55" s="199"/>
      <c r="AI55" s="197"/>
    </row>
    <row r="56" spans="1:37" ht="14.45" customHeight="1" x14ac:dyDescent="0.2">
      <c r="A56" s="3">
        <v>9</v>
      </c>
      <c r="C56" s="640" t="s">
        <v>171</v>
      </c>
      <c r="D56" s="640"/>
      <c r="E56" s="640"/>
      <c r="F56" s="664"/>
      <c r="G56" s="664"/>
      <c r="H56" s="664"/>
      <c r="I56" s="14"/>
      <c r="J56" s="14"/>
      <c r="K56" s="14"/>
      <c r="L56" s="14"/>
      <c r="M56" s="14"/>
      <c r="N56" s="14"/>
      <c r="O56" s="14"/>
      <c r="P56" s="14"/>
      <c r="Q56" s="14"/>
      <c r="R56" s="14"/>
      <c r="T56" s="636"/>
      <c r="U56" s="636"/>
      <c r="V56" s="636"/>
      <c r="W56" s="636"/>
      <c r="X56" s="636"/>
      <c r="Y56" s="636"/>
      <c r="Z56" s="636"/>
      <c r="AA56" s="636"/>
      <c r="AB56" s="636"/>
      <c r="AC56" s="636"/>
      <c r="AD56" s="636"/>
      <c r="AE56" s="636"/>
      <c r="AF56" s="636"/>
      <c r="AG56" s="636"/>
      <c r="AH56" s="636"/>
      <c r="AI56" s="636"/>
      <c r="AJ56" s="636"/>
      <c r="AK56" s="636"/>
    </row>
    <row r="57" spans="1:37" ht="14.45" customHeight="1" x14ac:dyDescent="0.2">
      <c r="A57" s="3"/>
      <c r="C57" s="11"/>
      <c r="D57" s="322"/>
      <c r="E57" s="230"/>
      <c r="F57" s="14"/>
      <c r="G57" s="14"/>
      <c r="H57" s="14"/>
      <c r="I57" s="14"/>
      <c r="J57" s="14"/>
      <c r="K57" s="14"/>
      <c r="L57" s="14"/>
      <c r="M57" s="14"/>
      <c r="N57" s="14"/>
      <c r="O57" s="14"/>
      <c r="P57" s="14"/>
      <c r="Q57" s="14"/>
      <c r="R57" s="14"/>
      <c r="T57" s="219"/>
      <c r="U57" s="219"/>
      <c r="V57" s="12"/>
      <c r="W57" s="12"/>
      <c r="X57" s="13"/>
      <c r="Y57" s="13"/>
      <c r="AB57" s="6"/>
      <c r="AC57" s="6"/>
      <c r="AD57" s="6"/>
      <c r="AF57" s="27"/>
      <c r="AG57" s="27"/>
      <c r="AH57" s="27"/>
      <c r="AI57" s="58"/>
    </row>
    <row r="58" spans="1:37" ht="45.75" customHeight="1" x14ac:dyDescent="0.2">
      <c r="A58" s="3"/>
      <c r="C58" s="677" t="s">
        <v>454</v>
      </c>
      <c r="D58" s="677"/>
      <c r="E58" s="677"/>
      <c r="F58" s="677"/>
      <c r="G58" s="677"/>
      <c r="H58" s="677"/>
      <c r="I58" s="677"/>
      <c r="J58" s="677"/>
      <c r="K58" s="677"/>
      <c r="L58" s="677"/>
      <c r="M58" s="677"/>
      <c r="N58" s="677"/>
      <c r="O58" s="677"/>
      <c r="P58" s="677"/>
      <c r="Q58" s="677"/>
      <c r="R58" s="677"/>
      <c r="T58" s="219"/>
      <c r="U58" s="296"/>
      <c r="V58"/>
      <c r="W58"/>
      <c r="X58"/>
      <c r="Y58"/>
      <c r="Z58"/>
      <c r="AA58"/>
      <c r="AB58"/>
      <c r="AC58"/>
      <c r="AD58"/>
      <c r="AE58"/>
      <c r="AF58"/>
      <c r="AG58" s="280" t="s">
        <v>82</v>
      </c>
      <c r="AI58" s="280" t="s">
        <v>82</v>
      </c>
    </row>
    <row r="59" spans="1:37" ht="13.5" customHeight="1" x14ac:dyDescent="0.2">
      <c r="A59" s="3"/>
      <c r="C59" s="282"/>
      <c r="D59" s="321"/>
      <c r="E59" s="282"/>
      <c r="F59" s="282"/>
      <c r="G59" s="282"/>
      <c r="H59" s="282"/>
      <c r="I59" s="282"/>
      <c r="J59" s="282"/>
      <c r="K59" s="282"/>
      <c r="L59" s="282"/>
      <c r="M59" s="282"/>
      <c r="N59" s="282"/>
      <c r="O59" s="282"/>
      <c r="P59" s="282"/>
      <c r="Q59" s="282"/>
      <c r="R59" s="282"/>
      <c r="T59" s="219"/>
      <c r="U59" s="296"/>
      <c r="V59"/>
      <c r="W59"/>
      <c r="X59"/>
      <c r="Y59"/>
      <c r="Z59"/>
      <c r="AA59"/>
      <c r="AB59"/>
      <c r="AC59"/>
      <c r="AD59"/>
      <c r="AE59"/>
      <c r="AF59"/>
      <c r="AG59" s="280"/>
      <c r="AI59" s="280"/>
    </row>
    <row r="60" spans="1:37" ht="21" customHeight="1" x14ac:dyDescent="0.2">
      <c r="A60" s="3">
        <v>10</v>
      </c>
      <c r="C60" s="353" t="s">
        <v>253</v>
      </c>
      <c r="D60" s="353"/>
      <c r="E60" s="354"/>
      <c r="F60" s="354"/>
      <c r="G60" s="282"/>
      <c r="H60" s="282"/>
      <c r="I60" s="282"/>
      <c r="J60" s="282"/>
      <c r="K60" s="282"/>
      <c r="L60" s="282"/>
      <c r="M60" s="282"/>
      <c r="N60" s="282"/>
      <c r="O60" s="282"/>
      <c r="P60" s="282"/>
      <c r="Q60" s="282"/>
      <c r="R60" s="282"/>
      <c r="T60" s="219"/>
      <c r="U60" s="296"/>
      <c r="V60"/>
      <c r="W60"/>
      <c r="X60"/>
      <c r="Y60"/>
      <c r="Z60"/>
      <c r="AA60"/>
      <c r="AB60"/>
      <c r="AC60"/>
      <c r="AD60"/>
      <c r="AE60"/>
      <c r="AF60"/>
      <c r="AG60" s="280"/>
      <c r="AI60" s="280"/>
    </row>
    <row r="61" spans="1:37" ht="21" customHeight="1" x14ac:dyDescent="0.2">
      <c r="A61" s="3"/>
      <c r="C61" s="282"/>
      <c r="D61" s="321"/>
      <c r="E61" s="282"/>
      <c r="F61" s="282"/>
      <c r="G61" s="282"/>
      <c r="H61" s="282"/>
      <c r="I61" s="282"/>
      <c r="J61" s="282"/>
      <c r="K61" s="282"/>
      <c r="L61" s="282"/>
      <c r="M61" s="282"/>
      <c r="N61" s="282"/>
      <c r="O61" s="282"/>
      <c r="P61" s="280" t="s">
        <v>82</v>
      </c>
      <c r="R61" s="280" t="s">
        <v>82</v>
      </c>
      <c r="T61" s="219"/>
      <c r="U61" s="296"/>
      <c r="V61"/>
      <c r="W61"/>
      <c r="X61"/>
      <c r="Y61"/>
      <c r="Z61"/>
      <c r="AA61"/>
      <c r="AB61"/>
      <c r="AC61"/>
      <c r="AD61"/>
      <c r="AE61"/>
      <c r="AF61"/>
      <c r="AG61" s="280"/>
      <c r="AI61" s="280"/>
    </row>
    <row r="62" spans="1:37" ht="21" customHeight="1" x14ac:dyDescent="0.2">
      <c r="G62"/>
      <c r="H62"/>
      <c r="I62" s="282"/>
      <c r="J62" s="282"/>
      <c r="K62" s="282"/>
      <c r="L62" s="282"/>
      <c r="M62" s="282"/>
      <c r="N62" s="282" t="s">
        <v>244</v>
      </c>
      <c r="O62" s="282"/>
      <c r="P62" s="280" t="s">
        <v>355</v>
      </c>
      <c r="R62" s="356" t="s">
        <v>238</v>
      </c>
      <c r="T62" s="219"/>
      <c r="U62" s="296"/>
      <c r="V62"/>
      <c r="W62"/>
      <c r="X62"/>
      <c r="Y62"/>
      <c r="Z62"/>
      <c r="AA62"/>
      <c r="AB62"/>
      <c r="AC62"/>
      <c r="AD62"/>
      <c r="AE62"/>
      <c r="AF62"/>
      <c r="AG62" s="280" t="s">
        <v>201</v>
      </c>
      <c r="AI62" s="280" t="s">
        <v>173</v>
      </c>
    </row>
    <row r="63" spans="1:37" ht="21" customHeight="1" x14ac:dyDescent="0.2">
      <c r="A63" s="3"/>
      <c r="C63" s="295" t="s">
        <v>215</v>
      </c>
      <c r="D63" s="295"/>
      <c r="E63"/>
      <c r="F63"/>
      <c r="G63"/>
      <c r="H63"/>
      <c r="I63" s="282"/>
      <c r="J63" s="282"/>
      <c r="K63" s="282"/>
      <c r="L63" s="282"/>
      <c r="M63" s="282"/>
      <c r="N63" s="282"/>
      <c r="O63" s="282"/>
      <c r="P63" s="280" t="s">
        <v>3</v>
      </c>
      <c r="Q63" s="282"/>
      <c r="R63" s="280" t="s">
        <v>3</v>
      </c>
      <c r="T63" s="219"/>
      <c r="U63" s="296"/>
      <c r="V63"/>
      <c r="W63"/>
      <c r="X63"/>
      <c r="Y63"/>
      <c r="Z63"/>
      <c r="AA63"/>
      <c r="AB63"/>
      <c r="AC63"/>
      <c r="AD63"/>
      <c r="AE63"/>
      <c r="AF63"/>
      <c r="AG63" s="280"/>
      <c r="AI63" s="280"/>
    </row>
    <row r="64" spans="1:37" ht="21" customHeight="1" x14ac:dyDescent="0.2">
      <c r="A64" s="3"/>
      <c r="C64" s="296" t="s">
        <v>456</v>
      </c>
      <c r="D64" s="296"/>
      <c r="E64"/>
      <c r="F64"/>
      <c r="G64"/>
      <c r="H64"/>
      <c r="I64" s="282"/>
      <c r="J64" s="282"/>
      <c r="K64" s="282"/>
      <c r="L64" s="282"/>
      <c r="M64" s="282"/>
      <c r="N64" s="282"/>
      <c r="O64" s="282"/>
      <c r="P64" s="302">
        <v>14006</v>
      </c>
      <c r="Q64" s="282"/>
      <c r="R64" s="305">
        <v>0</v>
      </c>
      <c r="T64" s="219"/>
      <c r="U64" s="296"/>
      <c r="V64"/>
      <c r="W64"/>
      <c r="X64"/>
      <c r="Y64"/>
      <c r="Z64"/>
      <c r="AA64"/>
      <c r="AB64"/>
      <c r="AC64"/>
      <c r="AD64"/>
      <c r="AE64"/>
      <c r="AF64"/>
      <c r="AG64" s="280"/>
      <c r="AI64" s="280"/>
    </row>
    <row r="65" spans="1:35" ht="21" customHeight="1" x14ac:dyDescent="0.2">
      <c r="A65" s="3"/>
      <c r="C65" s="332" t="s">
        <v>445</v>
      </c>
      <c r="D65" s="332"/>
      <c r="E65" s="354"/>
      <c r="F65" s="354"/>
      <c r="G65" s="354"/>
      <c r="H65" s="354"/>
      <c r="I65" s="609"/>
      <c r="J65" s="609"/>
      <c r="K65" s="609"/>
      <c r="L65" s="609"/>
      <c r="M65" s="282"/>
      <c r="N65" s="282"/>
      <c r="O65" s="282"/>
      <c r="P65" s="305">
        <f>P67-P64+151</f>
        <v>59410</v>
      </c>
      <c r="Q65" s="282"/>
      <c r="R65" s="305">
        <v>14006</v>
      </c>
      <c r="T65" s="219"/>
      <c r="U65" s="296"/>
      <c r="V65"/>
      <c r="W65"/>
      <c r="X65"/>
      <c r="Y65"/>
      <c r="Z65"/>
      <c r="AA65"/>
      <c r="AB65"/>
      <c r="AC65"/>
      <c r="AD65"/>
      <c r="AE65"/>
      <c r="AF65"/>
      <c r="AG65" s="280"/>
      <c r="AI65" s="280"/>
    </row>
    <row r="66" spans="1:35" ht="21" customHeight="1" x14ac:dyDescent="0.2">
      <c r="A66" s="3"/>
      <c r="C66" s="296" t="s">
        <v>424</v>
      </c>
      <c r="D66" s="296"/>
      <c r="E66"/>
      <c r="F66"/>
      <c r="G66"/>
      <c r="H66"/>
      <c r="I66" s="586"/>
      <c r="J66" s="586"/>
      <c r="K66" s="586"/>
      <c r="L66" s="586"/>
      <c r="M66" s="586"/>
      <c r="N66" s="586">
        <v>11</v>
      </c>
      <c r="O66" s="586"/>
      <c r="P66" s="305">
        <v>-151</v>
      </c>
      <c r="Q66" s="586"/>
      <c r="R66" s="305">
        <v>0</v>
      </c>
      <c r="T66" s="219"/>
      <c r="U66" s="296"/>
      <c r="V66"/>
      <c r="W66"/>
      <c r="X66"/>
      <c r="Y66"/>
      <c r="Z66"/>
      <c r="AA66"/>
      <c r="AB66"/>
      <c r="AC66"/>
      <c r="AD66"/>
      <c r="AE66"/>
      <c r="AF66"/>
      <c r="AG66" s="587"/>
      <c r="AI66" s="587"/>
    </row>
    <row r="67" spans="1:35" ht="21" customHeight="1" thickBot="1" x14ac:dyDescent="0.25">
      <c r="A67" s="3"/>
      <c r="C67" s="295" t="s">
        <v>409</v>
      </c>
      <c r="D67" s="295"/>
      <c r="E67"/>
      <c r="F67"/>
      <c r="G67"/>
      <c r="H67"/>
      <c r="I67" s="282"/>
      <c r="J67" s="282"/>
      <c r="K67" s="282"/>
      <c r="L67" s="282"/>
      <c r="M67" s="282"/>
      <c r="N67" s="282"/>
      <c r="O67" s="282"/>
      <c r="P67" s="307">
        <f>BS!D12</f>
        <v>73265</v>
      </c>
      <c r="Q67" s="282"/>
      <c r="R67" s="307">
        <f>SUM(R64:R65)</f>
        <v>14006</v>
      </c>
      <c r="T67" s="311">
        <f>P67-BS!D12</f>
        <v>0</v>
      </c>
      <c r="U67" s="296"/>
      <c r="V67"/>
      <c r="W67"/>
      <c r="X67"/>
      <c r="Y67"/>
      <c r="Z67"/>
      <c r="AA67"/>
      <c r="AB67"/>
      <c r="AC67"/>
      <c r="AD67"/>
      <c r="AE67"/>
      <c r="AF67"/>
      <c r="AG67" s="280"/>
      <c r="AI67" s="280"/>
    </row>
    <row r="68" spans="1:35" ht="21" customHeight="1" x14ac:dyDescent="0.2">
      <c r="A68" s="3"/>
      <c r="C68" s="296"/>
      <c r="D68" s="296"/>
      <c r="E68"/>
      <c r="F68"/>
      <c r="G68"/>
      <c r="H68"/>
      <c r="I68" s="282"/>
      <c r="J68" s="282"/>
      <c r="K68" s="282"/>
      <c r="L68" s="282"/>
      <c r="M68" s="282"/>
      <c r="N68" s="282"/>
      <c r="O68" s="282"/>
      <c r="P68" s="309"/>
      <c r="Q68" s="282"/>
      <c r="R68" s="309"/>
      <c r="T68" s="219"/>
      <c r="U68" s="296"/>
      <c r="V68"/>
      <c r="W68"/>
      <c r="X68"/>
      <c r="Y68"/>
      <c r="Z68"/>
      <c r="AA68"/>
      <c r="AB68"/>
      <c r="AC68"/>
      <c r="AD68"/>
      <c r="AE68"/>
      <c r="AF68"/>
      <c r="AG68" s="280"/>
      <c r="AI68" s="280"/>
    </row>
    <row r="69" spans="1:35" ht="21" customHeight="1" x14ac:dyDescent="0.2">
      <c r="A69" s="3"/>
      <c r="C69" s="295" t="s">
        <v>216</v>
      </c>
      <c r="D69" s="295"/>
      <c r="E69"/>
      <c r="F69"/>
      <c r="G69"/>
      <c r="H69"/>
      <c r="I69" s="282"/>
      <c r="J69" s="282"/>
      <c r="K69" s="282"/>
      <c r="L69" s="282"/>
      <c r="M69" s="282"/>
      <c r="N69" s="282"/>
      <c r="O69" s="282"/>
      <c r="P69" s="309"/>
      <c r="Q69" s="282"/>
      <c r="R69" s="309"/>
      <c r="T69" s="219"/>
      <c r="U69" s="296"/>
      <c r="V69"/>
      <c r="W69"/>
      <c r="X69"/>
      <c r="Y69"/>
      <c r="Z69"/>
      <c r="AA69"/>
      <c r="AB69"/>
      <c r="AC69"/>
      <c r="AD69"/>
      <c r="AE69"/>
      <c r="AF69"/>
      <c r="AG69" s="280"/>
      <c r="AI69" s="280"/>
    </row>
    <row r="70" spans="1:35" ht="21" customHeight="1" thickBot="1" x14ac:dyDescent="0.25">
      <c r="A70" s="3"/>
      <c r="C70" s="295" t="s">
        <v>456</v>
      </c>
      <c r="D70" s="295"/>
      <c r="E70" s="413"/>
      <c r="F70" s="413"/>
      <c r="G70"/>
      <c r="H70"/>
      <c r="I70" s="282"/>
      <c r="J70" s="282"/>
      <c r="K70" s="282"/>
      <c r="L70" s="282"/>
      <c r="M70" s="282"/>
      <c r="N70" s="282"/>
      <c r="O70" s="282"/>
      <c r="P70" s="313">
        <v>14006</v>
      </c>
      <c r="Q70" s="32"/>
      <c r="R70" s="312">
        <v>0</v>
      </c>
      <c r="T70" s="219"/>
      <c r="U70" s="296"/>
      <c r="V70"/>
      <c r="W70"/>
      <c r="X70"/>
      <c r="Y70"/>
      <c r="Z70"/>
      <c r="AA70"/>
      <c r="AB70"/>
      <c r="AC70"/>
      <c r="AD70"/>
      <c r="AE70"/>
      <c r="AF70"/>
      <c r="AG70" s="280"/>
      <c r="AI70" s="280"/>
    </row>
    <row r="71" spans="1:35" ht="21" customHeight="1" x14ac:dyDescent="0.2">
      <c r="A71" s="3"/>
      <c r="C71" s="295"/>
      <c r="D71" s="295"/>
      <c r="E71" s="413"/>
      <c r="F71" s="413"/>
      <c r="G71"/>
      <c r="H71"/>
      <c r="I71" s="394"/>
      <c r="J71" s="394"/>
      <c r="K71" s="394"/>
      <c r="L71" s="394"/>
      <c r="M71" s="394"/>
      <c r="N71" s="394"/>
      <c r="O71" s="394"/>
      <c r="P71" s="310"/>
      <c r="Q71" s="32"/>
      <c r="R71" s="414"/>
      <c r="T71" s="219"/>
      <c r="U71" s="296"/>
      <c r="V71"/>
      <c r="W71"/>
      <c r="X71"/>
      <c r="Y71"/>
      <c r="Z71"/>
      <c r="AA71"/>
      <c r="AB71"/>
      <c r="AC71"/>
      <c r="AD71"/>
      <c r="AE71"/>
      <c r="AF71"/>
      <c r="AG71" s="393"/>
      <c r="AI71" s="393"/>
    </row>
    <row r="72" spans="1:35" ht="21" customHeight="1" thickBot="1" x14ac:dyDescent="0.25">
      <c r="A72" s="3"/>
      <c r="C72" s="295" t="s">
        <v>409</v>
      </c>
      <c r="D72" s="295"/>
      <c r="E72"/>
      <c r="F72"/>
      <c r="G72"/>
      <c r="H72"/>
      <c r="I72" s="282"/>
      <c r="J72" s="282"/>
      <c r="K72" s="282"/>
      <c r="L72" s="282"/>
      <c r="M72" s="282"/>
      <c r="N72" s="282"/>
      <c r="O72" s="282"/>
      <c r="P72" s="313">
        <f>P67</f>
        <v>73265</v>
      </c>
      <c r="Q72" s="282"/>
      <c r="R72" s="313">
        <v>14006</v>
      </c>
      <c r="T72" s="311">
        <f>P72-BS!D12</f>
        <v>0</v>
      </c>
      <c r="U72" s="295"/>
      <c r="V72"/>
      <c r="W72"/>
      <c r="X72"/>
      <c r="Y72"/>
      <c r="Z72"/>
      <c r="AA72"/>
      <c r="AB72"/>
      <c r="AC72"/>
      <c r="AD72"/>
      <c r="AE72"/>
      <c r="AF72"/>
      <c r="AG72" s="280"/>
      <c r="AI72" s="280"/>
    </row>
    <row r="73" spans="1:35" ht="21" customHeight="1" thickBot="1" x14ac:dyDescent="0.25">
      <c r="A73" s="3"/>
      <c r="C73" s="295"/>
      <c r="D73" s="295"/>
      <c r="E73" s="282"/>
      <c r="F73" s="282"/>
      <c r="G73" s="282"/>
      <c r="H73" s="282"/>
      <c r="I73" s="282"/>
      <c r="J73" s="282"/>
      <c r="K73" s="282"/>
      <c r="L73" s="282"/>
      <c r="M73" s="282"/>
      <c r="N73" s="282"/>
      <c r="O73" s="282"/>
      <c r="P73" s="282"/>
      <c r="Q73" s="282"/>
      <c r="R73" s="282"/>
      <c r="T73" s="219"/>
      <c r="U73" s="295"/>
      <c r="V73"/>
      <c r="W73"/>
      <c r="X73"/>
      <c r="Y73"/>
      <c r="Z73"/>
      <c r="AA73"/>
      <c r="AB73"/>
      <c r="AC73"/>
      <c r="AD73"/>
      <c r="AE73"/>
      <c r="AF73"/>
      <c r="AG73" s="298"/>
      <c r="AH73" s="297"/>
      <c r="AI73" s="298"/>
    </row>
    <row r="74" spans="1:35" ht="25.5" customHeight="1" x14ac:dyDescent="0.2">
      <c r="A74" s="3"/>
      <c r="C74" s="636" t="s">
        <v>226</v>
      </c>
      <c r="D74" s="636"/>
      <c r="E74" s="632"/>
      <c r="F74" s="632"/>
      <c r="G74" s="632"/>
      <c r="H74" s="632"/>
      <c r="I74" s="632"/>
      <c r="J74" s="632"/>
      <c r="K74" s="632"/>
      <c r="L74" s="632"/>
      <c r="M74" s="632"/>
      <c r="N74" s="632"/>
      <c r="O74" s="632"/>
      <c r="P74" s="632"/>
      <c r="Q74" s="632"/>
      <c r="R74" s="632"/>
      <c r="T74" s="219"/>
      <c r="U74" s="296"/>
      <c r="V74"/>
      <c r="W74"/>
      <c r="X74"/>
      <c r="Y74"/>
      <c r="Z74"/>
      <c r="AA74"/>
      <c r="AB74"/>
      <c r="AC74"/>
      <c r="AD74"/>
      <c r="AE74"/>
      <c r="AF74"/>
      <c r="AG74"/>
      <c r="AH74"/>
      <c r="AI74"/>
    </row>
    <row r="75" spans="1:35" ht="47.25" customHeight="1" x14ac:dyDescent="0.2">
      <c r="A75" s="3"/>
      <c r="C75" s="636" t="s">
        <v>405</v>
      </c>
      <c r="D75" s="636"/>
      <c r="E75" s="632"/>
      <c r="F75" s="632"/>
      <c r="G75" s="632"/>
      <c r="H75" s="632"/>
      <c r="I75" s="632"/>
      <c r="J75" s="632"/>
      <c r="K75" s="632"/>
      <c r="L75" s="632"/>
      <c r="M75" s="632"/>
      <c r="N75" s="632"/>
      <c r="O75" s="632"/>
      <c r="P75" s="632"/>
      <c r="Q75" s="632"/>
      <c r="R75" s="632"/>
      <c r="T75" s="219"/>
      <c r="U75" s="296"/>
      <c r="V75"/>
      <c r="W75"/>
      <c r="X75"/>
      <c r="Y75"/>
      <c r="Z75"/>
      <c r="AA75"/>
      <c r="AB75"/>
      <c r="AC75"/>
      <c r="AD75"/>
      <c r="AE75"/>
      <c r="AF75"/>
      <c r="AG75"/>
      <c r="AH75"/>
      <c r="AI75"/>
    </row>
    <row r="76" spans="1:35" ht="49.5" customHeight="1" x14ac:dyDescent="0.2">
      <c r="A76" s="3"/>
      <c r="C76" s="301" t="s">
        <v>217</v>
      </c>
      <c r="D76" s="301"/>
      <c r="E76" s="636" t="s">
        <v>443</v>
      </c>
      <c r="F76" s="636"/>
      <c r="G76" s="636"/>
      <c r="H76" s="636"/>
      <c r="I76" s="636"/>
      <c r="J76" s="636"/>
      <c r="K76" s="636"/>
      <c r="L76" s="636"/>
      <c r="M76" s="636"/>
      <c r="N76" s="636"/>
      <c r="O76" s="636"/>
      <c r="P76" s="636"/>
      <c r="Q76" s="636"/>
      <c r="R76" s="636"/>
      <c r="T76" s="219"/>
      <c r="U76" s="296"/>
      <c r="V76"/>
      <c r="W76"/>
      <c r="X76"/>
      <c r="Y76"/>
      <c r="Z76"/>
      <c r="AA76"/>
      <c r="AB76"/>
      <c r="AC76"/>
      <c r="AD76"/>
      <c r="AE76"/>
      <c r="AF76"/>
      <c r="AG76"/>
      <c r="AH76"/>
      <c r="AI76"/>
    </row>
    <row r="77" spans="1:35" ht="39.75" customHeight="1" x14ac:dyDescent="0.2">
      <c r="A77" s="3"/>
      <c r="C77" s="301" t="s">
        <v>217</v>
      </c>
      <c r="D77" s="301"/>
      <c r="E77" s="678" t="s">
        <v>227</v>
      </c>
      <c r="F77" s="632"/>
      <c r="G77" s="632"/>
      <c r="H77" s="632"/>
      <c r="I77" s="632"/>
      <c r="J77" s="632"/>
      <c r="K77" s="632"/>
      <c r="L77" s="632"/>
      <c r="M77" s="632"/>
      <c r="N77" s="632"/>
      <c r="O77" s="632"/>
      <c r="P77" s="632"/>
      <c r="Q77" s="632"/>
      <c r="R77" s="632"/>
      <c r="T77" s="219"/>
      <c r="U77" s="296"/>
      <c r="V77"/>
      <c r="W77"/>
      <c r="X77"/>
      <c r="Y77"/>
      <c r="Z77"/>
      <c r="AA77"/>
      <c r="AB77"/>
      <c r="AC77"/>
      <c r="AD77"/>
      <c r="AE77"/>
      <c r="AF77"/>
      <c r="AG77"/>
      <c r="AH77"/>
      <c r="AI77"/>
    </row>
    <row r="78" spans="1:35" ht="36" customHeight="1" x14ac:dyDescent="0.2">
      <c r="A78" s="3"/>
      <c r="C78" s="636" t="s">
        <v>254</v>
      </c>
      <c r="D78" s="636"/>
      <c r="E78" s="643"/>
      <c r="F78" s="643"/>
      <c r="G78" s="643"/>
      <c r="H78" s="643"/>
      <c r="I78" s="643"/>
      <c r="J78" s="643"/>
      <c r="K78" s="643"/>
      <c r="L78" s="643"/>
      <c r="M78" s="643"/>
      <c r="N78" s="643"/>
      <c r="O78" s="643"/>
      <c r="P78" s="643"/>
      <c r="Q78" s="643"/>
      <c r="R78" s="643"/>
      <c r="T78" s="219"/>
      <c r="U78" s="296"/>
      <c r="V78"/>
      <c r="W78"/>
      <c r="X78"/>
      <c r="Y78"/>
      <c r="Z78"/>
      <c r="AA78"/>
      <c r="AB78"/>
      <c r="AC78"/>
      <c r="AD78"/>
      <c r="AE78"/>
      <c r="AF78"/>
      <c r="AG78"/>
      <c r="AH78"/>
      <c r="AI78"/>
    </row>
    <row r="79" spans="1:35" ht="14.45" customHeight="1" x14ac:dyDescent="0.2">
      <c r="C79" s="4"/>
      <c r="D79" s="321"/>
      <c r="E79" s="229"/>
      <c r="F79" s="4"/>
      <c r="G79" s="4"/>
      <c r="H79" s="4"/>
      <c r="I79" s="4"/>
      <c r="J79" s="4"/>
      <c r="K79" s="4"/>
      <c r="L79" s="4"/>
      <c r="M79" s="4"/>
      <c r="N79" s="4"/>
      <c r="O79" s="4"/>
      <c r="P79" s="4"/>
      <c r="Q79" s="4"/>
      <c r="R79" s="4"/>
      <c r="U79" s="295"/>
      <c r="V79"/>
      <c r="W79"/>
      <c r="X79"/>
      <c r="Y79"/>
      <c r="Z79"/>
      <c r="AA79"/>
      <c r="AB79"/>
      <c r="AC79"/>
      <c r="AD79"/>
      <c r="AE79"/>
      <c r="AF79"/>
      <c r="AG79"/>
      <c r="AH79"/>
      <c r="AI79"/>
    </row>
    <row r="80" spans="1:35" ht="14.45" customHeight="1" x14ac:dyDescent="0.2">
      <c r="A80" s="3">
        <v>11</v>
      </c>
      <c r="C80" s="640" t="s">
        <v>414</v>
      </c>
      <c r="D80" s="640"/>
      <c r="E80" s="640"/>
      <c r="F80" s="664"/>
      <c r="G80" s="664"/>
      <c r="H80" s="664"/>
      <c r="I80" s="586"/>
      <c r="J80" s="586"/>
      <c r="K80" s="586"/>
      <c r="L80" s="586"/>
      <c r="M80" s="586"/>
      <c r="N80" s="586"/>
      <c r="O80" s="586"/>
      <c r="P80" s="586"/>
      <c r="Q80" s="586"/>
      <c r="R80" s="586"/>
      <c r="U80" s="295"/>
      <c r="V80"/>
      <c r="W80"/>
      <c r="X80"/>
      <c r="Y80"/>
      <c r="Z80"/>
      <c r="AA80"/>
      <c r="AB80"/>
      <c r="AC80"/>
      <c r="AD80"/>
      <c r="AE80"/>
      <c r="AF80"/>
      <c r="AG80"/>
      <c r="AH80"/>
      <c r="AI80"/>
    </row>
    <row r="81" spans="1:35" ht="14.45" customHeight="1" x14ac:dyDescent="0.2">
      <c r="A81" s="3"/>
      <c r="C81" s="586"/>
      <c r="D81" s="586"/>
      <c r="E81" s="586"/>
      <c r="F81" s="586"/>
      <c r="G81" s="586"/>
      <c r="H81" s="586"/>
      <c r="I81" s="586"/>
      <c r="J81" s="586"/>
      <c r="K81" s="586"/>
      <c r="L81" s="586"/>
      <c r="M81" s="586"/>
      <c r="N81" s="586"/>
      <c r="O81" s="586"/>
      <c r="P81" s="586"/>
      <c r="Q81" s="586"/>
      <c r="R81" s="586"/>
      <c r="U81" s="295"/>
      <c r="V81"/>
      <c r="W81"/>
      <c r="X81"/>
      <c r="Y81"/>
      <c r="Z81"/>
      <c r="AA81"/>
      <c r="AB81"/>
      <c r="AC81"/>
      <c r="AD81"/>
      <c r="AE81"/>
      <c r="AF81"/>
      <c r="AG81"/>
      <c r="AH81"/>
      <c r="AI81"/>
    </row>
    <row r="82" spans="1:35" ht="42.75" customHeight="1" x14ac:dyDescent="0.2">
      <c r="A82" s="3"/>
      <c r="C82" s="636" t="s">
        <v>431</v>
      </c>
      <c r="D82" s="643"/>
      <c r="E82" s="643"/>
      <c r="F82" s="643"/>
      <c r="G82" s="643"/>
      <c r="H82" s="643"/>
      <c r="I82" s="643"/>
      <c r="J82" s="643"/>
      <c r="K82" s="643"/>
      <c r="L82" s="643"/>
      <c r="M82" s="643"/>
      <c r="N82" s="643"/>
      <c r="O82" s="643"/>
      <c r="P82" s="643"/>
      <c r="Q82" s="643"/>
      <c r="R82" s="643"/>
      <c r="U82" s="295"/>
      <c r="V82"/>
      <c r="W82"/>
      <c r="X82"/>
      <c r="Y82"/>
      <c r="Z82"/>
      <c r="AA82"/>
      <c r="AB82"/>
      <c r="AC82"/>
      <c r="AD82"/>
      <c r="AE82"/>
      <c r="AF82"/>
      <c r="AG82"/>
      <c r="AH82"/>
      <c r="AI82"/>
    </row>
    <row r="83" spans="1:35" ht="14.45" customHeight="1" x14ac:dyDescent="0.2">
      <c r="A83" s="3"/>
      <c r="C83" s="586"/>
      <c r="D83" s="586"/>
      <c r="E83" s="586"/>
      <c r="F83" s="586"/>
      <c r="G83" s="586"/>
      <c r="H83" s="586"/>
      <c r="I83" s="586"/>
      <c r="J83" s="586"/>
      <c r="K83" s="586"/>
      <c r="L83" s="586"/>
      <c r="M83" s="586"/>
      <c r="N83" s="586"/>
      <c r="O83" s="586"/>
      <c r="P83" s="586"/>
      <c r="Q83" s="586"/>
      <c r="R83" s="586"/>
      <c r="U83" s="295"/>
      <c r="V83"/>
      <c r="W83"/>
      <c r="X83"/>
      <c r="Y83"/>
      <c r="Z83"/>
      <c r="AA83"/>
      <c r="AB83"/>
      <c r="AC83"/>
      <c r="AD83"/>
      <c r="AE83"/>
      <c r="AF83"/>
      <c r="AG83"/>
      <c r="AH83"/>
      <c r="AI83"/>
    </row>
    <row r="84" spans="1:35" ht="14.45" customHeight="1" x14ac:dyDescent="0.2">
      <c r="A84" s="3"/>
      <c r="C84" s="640" t="s">
        <v>412</v>
      </c>
      <c r="D84" s="640"/>
      <c r="E84" s="640"/>
      <c r="F84" s="664"/>
      <c r="G84" s="664"/>
      <c r="H84" s="664"/>
      <c r="I84" s="586"/>
      <c r="J84" s="586"/>
      <c r="K84" s="586"/>
      <c r="L84" s="586"/>
      <c r="M84" s="586"/>
      <c r="N84" s="586"/>
      <c r="O84" s="586"/>
      <c r="P84" s="55" t="s">
        <v>244</v>
      </c>
      <c r="Q84" s="586"/>
      <c r="R84" s="587" t="s">
        <v>3</v>
      </c>
      <c r="U84" s="295"/>
      <c r="V84"/>
      <c r="W84"/>
      <c r="X84"/>
      <c r="Y84"/>
      <c r="Z84"/>
      <c r="AA84"/>
      <c r="AB84"/>
      <c r="AC84"/>
      <c r="AD84"/>
      <c r="AE84"/>
      <c r="AF84"/>
      <c r="AG84"/>
      <c r="AH84"/>
      <c r="AI84"/>
    </row>
    <row r="85" spans="1:35" ht="14.45" customHeight="1" x14ac:dyDescent="0.2">
      <c r="A85" s="3"/>
      <c r="C85" s="586"/>
      <c r="D85" s="586"/>
      <c r="E85" s="586"/>
      <c r="F85" s="586"/>
      <c r="G85" s="586"/>
      <c r="H85" s="586"/>
      <c r="I85" s="586"/>
      <c r="J85" s="586"/>
      <c r="K85" s="586"/>
      <c r="L85" s="586"/>
      <c r="M85" s="586"/>
      <c r="N85" s="586"/>
      <c r="O85" s="586"/>
      <c r="P85" s="592"/>
      <c r="Q85" s="586"/>
      <c r="R85" s="586"/>
      <c r="U85" s="295"/>
      <c r="V85"/>
      <c r="W85"/>
      <c r="X85"/>
      <c r="Y85"/>
      <c r="Z85"/>
      <c r="AA85"/>
      <c r="AB85"/>
      <c r="AC85"/>
      <c r="AD85"/>
      <c r="AE85"/>
      <c r="AF85"/>
      <c r="AG85"/>
      <c r="AH85"/>
      <c r="AI85"/>
    </row>
    <row r="86" spans="1:35" ht="14.45" customHeight="1" x14ac:dyDescent="0.2">
      <c r="A86" s="3"/>
      <c r="C86" s="2" t="s">
        <v>233</v>
      </c>
      <c r="D86" s="586"/>
      <c r="E86" s="586"/>
      <c r="F86" s="586"/>
      <c r="G86" s="586"/>
      <c r="H86" s="586"/>
      <c r="I86" s="586"/>
      <c r="J86" s="586"/>
      <c r="K86" s="586"/>
      <c r="L86" s="586"/>
      <c r="M86" s="586"/>
      <c r="N86" s="586"/>
      <c r="O86" s="586"/>
      <c r="P86" s="592" t="s">
        <v>415</v>
      </c>
      <c r="Q86" s="586"/>
      <c r="R86" s="595">
        <v>34905</v>
      </c>
      <c r="U86" s="295"/>
      <c r="V86"/>
      <c r="W86"/>
      <c r="X86"/>
      <c r="Y86"/>
      <c r="Z86"/>
      <c r="AA86"/>
      <c r="AB86"/>
      <c r="AC86"/>
      <c r="AD86"/>
      <c r="AE86"/>
      <c r="AF86"/>
      <c r="AG86"/>
      <c r="AH86"/>
      <c r="AI86"/>
    </row>
    <row r="87" spans="1:35" ht="14.45" customHeight="1" x14ac:dyDescent="0.2">
      <c r="A87" s="3"/>
      <c r="C87" s="2" t="s">
        <v>425</v>
      </c>
      <c r="D87" s="586"/>
      <c r="E87" s="586"/>
      <c r="F87" s="586"/>
      <c r="G87" s="586"/>
      <c r="H87" s="586"/>
      <c r="I87" s="586"/>
      <c r="J87" s="586"/>
      <c r="K87" s="586"/>
      <c r="L87" s="586"/>
      <c r="M87" s="586"/>
      <c r="N87" s="586"/>
      <c r="O87" s="586"/>
      <c r="P87" s="592"/>
      <c r="Q87" s="586"/>
      <c r="R87" s="595">
        <v>151</v>
      </c>
      <c r="U87" s="295"/>
      <c r="V87"/>
      <c r="W87"/>
      <c r="X87"/>
      <c r="Y87"/>
      <c r="Z87"/>
      <c r="AA87"/>
      <c r="AB87"/>
      <c r="AC87"/>
      <c r="AD87"/>
      <c r="AE87"/>
      <c r="AF87"/>
      <c r="AG87"/>
      <c r="AH87"/>
      <c r="AI87"/>
    </row>
    <row r="88" spans="1:35" ht="14.45" customHeight="1" x14ac:dyDescent="0.2">
      <c r="A88" s="3"/>
      <c r="C88" s="2" t="s">
        <v>10</v>
      </c>
      <c r="D88" s="586"/>
      <c r="E88" s="586"/>
      <c r="F88" s="586"/>
      <c r="G88" s="586"/>
      <c r="H88" s="586"/>
      <c r="I88" s="586"/>
      <c r="J88" s="586"/>
      <c r="K88" s="586"/>
      <c r="L88" s="586"/>
      <c r="M88" s="586"/>
      <c r="N88" s="586"/>
      <c r="O88" s="586"/>
      <c r="P88" s="592"/>
      <c r="Q88" s="586"/>
      <c r="R88" s="595">
        <v>41</v>
      </c>
      <c r="U88" s="295"/>
      <c r="V88"/>
      <c r="W88"/>
      <c r="X88"/>
      <c r="Y88"/>
      <c r="Z88"/>
      <c r="AA88"/>
      <c r="AB88"/>
      <c r="AC88"/>
      <c r="AD88"/>
      <c r="AE88"/>
      <c r="AF88"/>
      <c r="AG88"/>
      <c r="AH88"/>
      <c r="AI88"/>
    </row>
    <row r="89" spans="1:35" ht="14.45" customHeight="1" x14ac:dyDescent="0.2">
      <c r="A89" s="3"/>
      <c r="C89" s="2" t="s">
        <v>268</v>
      </c>
      <c r="D89" s="586"/>
      <c r="E89" s="586"/>
      <c r="F89" s="586"/>
      <c r="G89" s="586"/>
      <c r="H89" s="586"/>
      <c r="I89" s="586"/>
      <c r="J89" s="586"/>
      <c r="K89" s="586"/>
      <c r="L89" s="586"/>
      <c r="M89" s="586"/>
      <c r="N89" s="586"/>
      <c r="O89" s="586"/>
      <c r="P89" s="592"/>
      <c r="Q89" s="586"/>
      <c r="R89" s="595">
        <v>161</v>
      </c>
      <c r="U89" s="295"/>
      <c r="V89"/>
      <c r="W89"/>
      <c r="X89"/>
      <c r="Y89"/>
      <c r="Z89"/>
      <c r="AA89"/>
      <c r="AB89"/>
      <c r="AC89"/>
      <c r="AD89"/>
      <c r="AE89"/>
      <c r="AF89"/>
      <c r="AG89"/>
      <c r="AH89"/>
      <c r="AI89"/>
    </row>
    <row r="90" spans="1:35" ht="14.45" customHeight="1" x14ac:dyDescent="0.2">
      <c r="A90" s="3"/>
      <c r="C90" s="2" t="s">
        <v>428</v>
      </c>
      <c r="D90" s="586"/>
      <c r="E90" s="586"/>
      <c r="F90" s="586"/>
      <c r="G90" s="586"/>
      <c r="H90" s="586"/>
      <c r="I90" s="586"/>
      <c r="J90" s="586"/>
      <c r="K90" s="586"/>
      <c r="L90" s="586"/>
      <c r="M90" s="586"/>
      <c r="N90" s="586"/>
      <c r="O90" s="586"/>
      <c r="P90" s="592"/>
      <c r="Q90" s="586"/>
      <c r="R90" s="595">
        <v>8</v>
      </c>
      <c r="U90" s="295"/>
      <c r="V90"/>
      <c r="W90"/>
      <c r="X90"/>
      <c r="Y90"/>
      <c r="Z90"/>
      <c r="AA90"/>
      <c r="AB90"/>
      <c r="AC90"/>
      <c r="AD90"/>
      <c r="AE90"/>
      <c r="AF90"/>
      <c r="AG90"/>
      <c r="AH90"/>
      <c r="AI90"/>
    </row>
    <row r="91" spans="1:35" ht="14.45" customHeight="1" x14ac:dyDescent="0.2">
      <c r="A91" s="3"/>
      <c r="C91" s="2" t="s">
        <v>247</v>
      </c>
      <c r="D91" s="586"/>
      <c r="E91" s="586"/>
      <c r="F91" s="586"/>
      <c r="G91" s="586"/>
      <c r="H91" s="586"/>
      <c r="I91" s="586"/>
      <c r="J91" s="586"/>
      <c r="K91" s="586"/>
      <c r="L91" s="586"/>
      <c r="M91" s="586"/>
      <c r="N91" s="586"/>
      <c r="O91" s="586"/>
      <c r="P91" s="592"/>
      <c r="Q91" s="586"/>
      <c r="R91" s="595">
        <v>15</v>
      </c>
      <c r="U91" s="295"/>
      <c r="V91"/>
      <c r="W91"/>
      <c r="X91"/>
      <c r="Y91"/>
      <c r="Z91"/>
      <c r="AA91"/>
      <c r="AB91"/>
      <c r="AC91"/>
      <c r="AD91"/>
      <c r="AE91"/>
      <c r="AF91"/>
      <c r="AG91"/>
      <c r="AH91"/>
      <c r="AI91"/>
    </row>
    <row r="92" spans="1:35" ht="14.45" customHeight="1" thickBot="1" x14ac:dyDescent="0.25">
      <c r="A92" s="3"/>
      <c r="C92" s="586"/>
      <c r="D92" s="586"/>
      <c r="E92" s="586"/>
      <c r="F92" s="586"/>
      <c r="G92" s="586"/>
      <c r="H92" s="586"/>
      <c r="I92" s="586"/>
      <c r="J92" s="586"/>
      <c r="K92" s="586"/>
      <c r="L92" s="586"/>
      <c r="M92" s="586"/>
      <c r="N92" s="586"/>
      <c r="O92" s="586"/>
      <c r="P92" s="586"/>
      <c r="Q92" s="586"/>
      <c r="R92" s="597">
        <f>SUM(R86:R91)</f>
        <v>35281</v>
      </c>
      <c r="U92" s="295"/>
      <c r="V92"/>
      <c r="W92"/>
      <c r="X92"/>
      <c r="Y92"/>
      <c r="Z92"/>
      <c r="AA92"/>
      <c r="AB92"/>
      <c r="AC92"/>
      <c r="AD92"/>
      <c r="AE92"/>
      <c r="AF92"/>
      <c r="AG92"/>
      <c r="AH92"/>
      <c r="AI92"/>
    </row>
    <row r="93" spans="1:35" ht="14.45" customHeight="1" thickTop="1" x14ac:dyDescent="0.2">
      <c r="A93" s="3"/>
      <c r="C93" s="640" t="s">
        <v>413</v>
      </c>
      <c r="D93" s="640"/>
      <c r="E93" s="640"/>
      <c r="F93" s="664"/>
      <c r="G93" s="664"/>
      <c r="H93" s="664"/>
      <c r="I93" s="586"/>
      <c r="J93" s="586"/>
      <c r="K93" s="586"/>
      <c r="L93" s="586"/>
      <c r="M93" s="586"/>
      <c r="N93" s="586"/>
      <c r="O93" s="586"/>
      <c r="P93" s="586"/>
      <c r="Q93" s="586"/>
      <c r="R93" s="586"/>
      <c r="U93" s="295"/>
      <c r="V93"/>
      <c r="W93"/>
      <c r="X93"/>
      <c r="Y93"/>
      <c r="Z93"/>
      <c r="AA93"/>
      <c r="AB93"/>
      <c r="AC93"/>
      <c r="AD93"/>
      <c r="AE93"/>
      <c r="AF93"/>
      <c r="AG93"/>
      <c r="AH93"/>
      <c r="AI93"/>
    </row>
    <row r="94" spans="1:35" ht="14.45" customHeight="1" x14ac:dyDescent="0.2">
      <c r="A94" s="3"/>
      <c r="C94" s="586"/>
      <c r="D94" s="586"/>
      <c r="E94" s="586"/>
      <c r="F94" s="586"/>
      <c r="G94" s="586"/>
      <c r="H94" s="586"/>
      <c r="I94" s="586"/>
      <c r="J94" s="586"/>
      <c r="K94" s="586"/>
      <c r="L94" s="586"/>
      <c r="M94" s="586"/>
      <c r="N94" s="586"/>
      <c r="O94" s="586"/>
      <c r="P94" s="586"/>
      <c r="Q94" s="586"/>
      <c r="R94" s="586"/>
      <c r="U94" s="295"/>
      <c r="V94"/>
      <c r="W94"/>
      <c r="X94"/>
      <c r="Y94"/>
      <c r="Z94"/>
      <c r="AA94"/>
      <c r="AB94"/>
      <c r="AC94"/>
      <c r="AD94"/>
      <c r="AE94"/>
      <c r="AF94"/>
      <c r="AG94"/>
      <c r="AH94"/>
      <c r="AI94"/>
    </row>
    <row r="95" spans="1:35" ht="14.45" customHeight="1" x14ac:dyDescent="0.2">
      <c r="A95" s="3"/>
      <c r="C95" s="2" t="s">
        <v>38</v>
      </c>
      <c r="D95" s="586"/>
      <c r="E95" s="586"/>
      <c r="F95" s="586"/>
      <c r="G95" s="586"/>
      <c r="H95" s="586"/>
      <c r="I95" s="586"/>
      <c r="J95" s="586"/>
      <c r="K95" s="586"/>
      <c r="L95" s="586"/>
      <c r="M95" s="586"/>
      <c r="N95" s="586"/>
      <c r="O95" s="586"/>
      <c r="P95" s="586"/>
      <c r="Q95" s="586"/>
      <c r="R95" s="598">
        <v>2870</v>
      </c>
      <c r="U95" s="295"/>
      <c r="V95"/>
      <c r="W95"/>
      <c r="X95"/>
      <c r="Y95"/>
      <c r="Z95"/>
      <c r="AA95"/>
      <c r="AB95"/>
      <c r="AC95"/>
      <c r="AD95"/>
      <c r="AE95"/>
      <c r="AF95"/>
      <c r="AG95"/>
      <c r="AH95"/>
      <c r="AI95"/>
    </row>
    <row r="96" spans="1:35" ht="14.45" customHeight="1" x14ac:dyDescent="0.2">
      <c r="A96" s="3"/>
      <c r="C96" s="636" t="s">
        <v>426</v>
      </c>
      <c r="D96" s="632"/>
      <c r="E96" s="632"/>
      <c r="F96" s="632"/>
      <c r="G96" s="586"/>
      <c r="H96" s="586"/>
      <c r="I96" s="586"/>
      <c r="J96" s="586"/>
      <c r="K96" s="586"/>
      <c r="L96" s="586"/>
      <c r="M96" s="586"/>
      <c r="N96" s="586"/>
      <c r="O96" s="586"/>
      <c r="P96" s="586"/>
      <c r="Q96" s="586"/>
      <c r="R96" s="599">
        <v>352</v>
      </c>
      <c r="U96" s="295"/>
      <c r="V96"/>
      <c r="W96"/>
      <c r="X96"/>
      <c r="Y96"/>
      <c r="Z96"/>
      <c r="AA96"/>
      <c r="AB96"/>
      <c r="AC96"/>
      <c r="AD96"/>
      <c r="AE96"/>
      <c r="AF96"/>
      <c r="AG96"/>
      <c r="AH96"/>
      <c r="AI96"/>
    </row>
    <row r="97" spans="1:35" ht="14.45" customHeight="1" x14ac:dyDescent="0.2">
      <c r="A97" s="3"/>
      <c r="C97" s="636" t="s">
        <v>90</v>
      </c>
      <c r="D97" s="632"/>
      <c r="E97" s="632"/>
      <c r="F97" s="632"/>
      <c r="G97" s="586"/>
      <c r="H97" s="586"/>
      <c r="I97" s="586"/>
      <c r="J97" s="586"/>
      <c r="K97" s="586"/>
      <c r="L97" s="586"/>
      <c r="M97" s="586"/>
      <c r="N97" s="586"/>
      <c r="O97" s="586"/>
      <c r="P97" s="586"/>
      <c r="Q97" s="586"/>
      <c r="R97" s="599">
        <v>1</v>
      </c>
      <c r="U97" s="295"/>
      <c r="V97"/>
      <c r="W97"/>
      <c r="X97"/>
      <c r="Y97"/>
      <c r="Z97"/>
      <c r="AA97"/>
      <c r="AB97"/>
      <c r="AC97"/>
      <c r="AD97"/>
      <c r="AE97"/>
      <c r="AF97"/>
      <c r="AG97"/>
      <c r="AH97"/>
      <c r="AI97"/>
    </row>
    <row r="98" spans="1:35" ht="14.45" customHeight="1" thickBot="1" x14ac:dyDescent="0.25">
      <c r="A98" s="3"/>
      <c r="C98" s="586"/>
      <c r="D98" s="586"/>
      <c r="E98" s="586"/>
      <c r="F98" s="586"/>
      <c r="G98" s="586"/>
      <c r="H98" s="586"/>
      <c r="I98" s="586"/>
      <c r="J98" s="586"/>
      <c r="K98" s="586"/>
      <c r="L98" s="586"/>
      <c r="M98" s="586"/>
      <c r="N98" s="586"/>
      <c r="O98" s="586"/>
      <c r="P98" s="586"/>
      <c r="Q98" s="586"/>
      <c r="R98" s="600">
        <f>SUM(R95:R97)</f>
        <v>3223</v>
      </c>
      <c r="U98" s="295"/>
      <c r="V98"/>
      <c r="W98"/>
      <c r="X98"/>
      <c r="Y98"/>
      <c r="Z98"/>
      <c r="AA98"/>
      <c r="AB98"/>
      <c r="AC98"/>
      <c r="AD98"/>
      <c r="AE98"/>
      <c r="AF98"/>
      <c r="AG98"/>
      <c r="AH98"/>
      <c r="AI98"/>
    </row>
    <row r="99" spans="1:35" ht="14.45" customHeight="1" thickTop="1" x14ac:dyDescent="0.2">
      <c r="A99" s="3"/>
      <c r="C99" s="586"/>
      <c r="D99" s="586"/>
      <c r="E99" s="586"/>
      <c r="F99" s="586"/>
      <c r="G99" s="586"/>
      <c r="H99" s="586"/>
      <c r="I99" s="586"/>
      <c r="J99" s="586"/>
      <c r="K99" s="586"/>
      <c r="L99" s="586"/>
      <c r="M99" s="586"/>
      <c r="N99" s="586"/>
      <c r="O99" s="586"/>
      <c r="P99" s="586"/>
      <c r="Q99" s="586"/>
      <c r="R99" s="596"/>
      <c r="U99" s="295"/>
      <c r="V99"/>
      <c r="W99"/>
      <c r="X99"/>
      <c r="Y99"/>
      <c r="Z99"/>
      <c r="AA99"/>
      <c r="AB99"/>
      <c r="AC99"/>
      <c r="AD99"/>
      <c r="AE99"/>
      <c r="AF99"/>
      <c r="AG99"/>
      <c r="AH99"/>
      <c r="AI99"/>
    </row>
    <row r="100" spans="1:35" ht="14.45" customHeight="1" x14ac:dyDescent="0.2">
      <c r="A100" s="3"/>
      <c r="C100" s="669" t="s">
        <v>416</v>
      </c>
      <c r="D100" s="669"/>
      <c r="E100" s="586"/>
      <c r="F100" s="586"/>
      <c r="G100" s="586"/>
      <c r="H100" s="586"/>
      <c r="I100" s="586"/>
      <c r="J100" s="586"/>
      <c r="K100" s="586"/>
      <c r="L100" s="586"/>
      <c r="M100" s="586"/>
      <c r="N100" s="586"/>
      <c r="O100" s="586"/>
      <c r="P100" s="586"/>
      <c r="Q100" s="586"/>
      <c r="R100" s="586"/>
      <c r="U100" s="295"/>
      <c r="V100"/>
      <c r="W100"/>
      <c r="X100"/>
      <c r="Y100"/>
      <c r="Z100"/>
      <c r="AA100"/>
      <c r="AB100"/>
      <c r="AC100"/>
      <c r="AD100"/>
      <c r="AE100"/>
      <c r="AF100"/>
      <c r="AG100"/>
      <c r="AH100"/>
      <c r="AI100"/>
    </row>
    <row r="101" spans="1:35" ht="14.45" customHeight="1" x14ac:dyDescent="0.2">
      <c r="A101" s="3"/>
      <c r="C101" s="636" t="s">
        <v>448</v>
      </c>
      <c r="D101" s="632"/>
      <c r="E101" s="632"/>
      <c r="F101" s="632"/>
      <c r="G101" s="632"/>
      <c r="H101" s="632"/>
      <c r="I101" s="632"/>
      <c r="J101" s="632"/>
      <c r="K101" s="632"/>
      <c r="L101" s="632"/>
      <c r="M101" s="632"/>
      <c r="N101" s="632"/>
      <c r="O101" s="632"/>
      <c r="P101" s="632"/>
      <c r="Q101" s="632"/>
      <c r="R101" s="632"/>
      <c r="U101" s="295"/>
      <c r="V101"/>
      <c r="W101"/>
      <c r="X101"/>
      <c r="Y101"/>
      <c r="Z101"/>
      <c r="AA101"/>
      <c r="AB101"/>
      <c r="AC101"/>
      <c r="AD101"/>
      <c r="AE101"/>
      <c r="AF101"/>
      <c r="AG101"/>
      <c r="AH101"/>
      <c r="AI101"/>
    </row>
    <row r="102" spans="1:35" ht="14.45" customHeight="1" x14ac:dyDescent="0.2">
      <c r="A102" s="3"/>
      <c r="L102" s="586"/>
      <c r="M102" s="586"/>
      <c r="N102" s="586"/>
      <c r="O102" s="586"/>
      <c r="P102" s="586"/>
      <c r="Q102" s="586"/>
      <c r="R102" s="587" t="s">
        <v>3</v>
      </c>
      <c r="U102" s="295"/>
      <c r="V102"/>
      <c r="W102"/>
      <c r="X102"/>
      <c r="Y102"/>
      <c r="Z102"/>
      <c r="AA102"/>
      <c r="AB102"/>
      <c r="AC102"/>
      <c r="AD102"/>
      <c r="AE102"/>
      <c r="AF102"/>
      <c r="AG102"/>
      <c r="AH102"/>
      <c r="AI102"/>
    </row>
    <row r="103" spans="1:35" ht="14.45" customHeight="1" x14ac:dyDescent="0.2">
      <c r="A103" s="3"/>
      <c r="C103" s="636" t="s">
        <v>215</v>
      </c>
      <c r="D103" s="632"/>
      <c r="E103" s="632"/>
      <c r="F103" s="632"/>
      <c r="G103" s="632"/>
      <c r="H103" s="632"/>
      <c r="I103" s="586"/>
      <c r="J103" s="586"/>
      <c r="K103" s="586"/>
      <c r="L103" s="586"/>
      <c r="M103" s="586"/>
      <c r="N103" s="586"/>
      <c r="O103" s="586"/>
      <c r="P103" s="586"/>
      <c r="Q103" s="586"/>
      <c r="R103" s="593">
        <v>36194</v>
      </c>
      <c r="U103" s="295"/>
      <c r="V103"/>
      <c r="W103"/>
      <c r="X103"/>
      <c r="Y103"/>
      <c r="Z103"/>
      <c r="AA103"/>
      <c r="AB103"/>
      <c r="AC103"/>
      <c r="AD103"/>
      <c r="AE103"/>
      <c r="AF103"/>
      <c r="AG103"/>
      <c r="AH103"/>
      <c r="AI103"/>
    </row>
    <row r="104" spans="1:35" ht="14.45" customHeight="1" x14ac:dyDescent="0.2">
      <c r="A104" s="3"/>
      <c r="C104" s="636" t="s">
        <v>417</v>
      </c>
      <c r="D104" s="632"/>
      <c r="E104" s="632"/>
      <c r="F104" s="632"/>
      <c r="G104" s="632"/>
      <c r="H104" s="632"/>
      <c r="I104" s="632"/>
      <c r="J104" s="632"/>
      <c r="K104" s="585"/>
      <c r="L104" s="586"/>
      <c r="M104" s="586"/>
      <c r="N104" s="586"/>
      <c r="O104" s="586"/>
      <c r="P104" s="586"/>
      <c r="Q104" s="586"/>
      <c r="R104" s="593">
        <v>-1289</v>
      </c>
      <c r="U104" s="295"/>
      <c r="V104"/>
      <c r="W104"/>
      <c r="X104"/>
      <c r="Y104"/>
      <c r="Z104"/>
      <c r="AA104"/>
      <c r="AB104"/>
      <c r="AC104"/>
      <c r="AD104"/>
      <c r="AE104"/>
      <c r="AF104"/>
      <c r="AG104"/>
      <c r="AH104"/>
      <c r="AI104"/>
    </row>
    <row r="105" spans="1:35" ht="14.45" customHeight="1" thickBot="1" x14ac:dyDescent="0.25">
      <c r="A105" s="3"/>
      <c r="C105" s="586"/>
      <c r="D105" s="586"/>
      <c r="E105" s="586"/>
      <c r="F105" s="586"/>
      <c r="G105" s="586"/>
      <c r="H105" s="586"/>
      <c r="I105" s="586"/>
      <c r="J105" s="586"/>
      <c r="K105" s="586"/>
      <c r="L105" s="586"/>
      <c r="M105" s="586"/>
      <c r="N105" s="586"/>
      <c r="O105" s="586"/>
      <c r="P105" s="586"/>
      <c r="Q105" s="586"/>
      <c r="R105" s="594">
        <f>SUM(R103:R104)</f>
        <v>34905</v>
      </c>
      <c r="U105" s="295"/>
      <c r="V105"/>
      <c r="W105"/>
      <c r="X105"/>
      <c r="Y105"/>
      <c r="Z105"/>
      <c r="AA105"/>
      <c r="AB105"/>
      <c r="AC105"/>
      <c r="AD105"/>
      <c r="AE105"/>
      <c r="AF105"/>
      <c r="AG105"/>
      <c r="AH105"/>
      <c r="AI105"/>
    </row>
    <row r="106" spans="1:35" ht="14.45" customHeight="1" thickTop="1" x14ac:dyDescent="0.2">
      <c r="C106" s="586"/>
      <c r="D106" s="586"/>
      <c r="E106" s="586"/>
      <c r="F106" s="586"/>
      <c r="G106" s="586"/>
      <c r="H106" s="586"/>
      <c r="I106" s="586"/>
      <c r="J106" s="586"/>
      <c r="K106" s="586"/>
      <c r="L106" s="586"/>
      <c r="M106" s="586"/>
      <c r="N106" s="586"/>
      <c r="O106" s="586"/>
      <c r="P106" s="586"/>
      <c r="Q106" s="586"/>
      <c r="R106" s="586"/>
      <c r="U106" s="295"/>
      <c r="V106"/>
      <c r="W106"/>
      <c r="X106"/>
      <c r="Y106"/>
      <c r="Z106"/>
      <c r="AA106"/>
      <c r="AB106"/>
      <c r="AC106"/>
      <c r="AD106"/>
      <c r="AE106"/>
      <c r="AF106"/>
      <c r="AG106"/>
      <c r="AH106"/>
      <c r="AI106"/>
    </row>
    <row r="107" spans="1:35" ht="14.45" customHeight="1" thickBot="1" x14ac:dyDescent="0.25">
      <c r="A107" s="3">
        <v>12</v>
      </c>
      <c r="B107" s="3"/>
      <c r="C107" s="277" t="s">
        <v>210</v>
      </c>
      <c r="D107" s="327"/>
      <c r="E107" s="234"/>
      <c r="F107" s="15"/>
      <c r="G107" s="15"/>
      <c r="H107" s="16"/>
      <c r="I107" s="16"/>
      <c r="J107" s="16"/>
      <c r="K107" s="16"/>
      <c r="L107" s="16"/>
      <c r="M107" s="16"/>
      <c r="N107" s="16"/>
      <c r="O107" s="16"/>
      <c r="P107" s="16"/>
      <c r="U107" s="296"/>
      <c r="V107"/>
      <c r="W107"/>
      <c r="X107"/>
      <c r="Y107"/>
      <c r="Z107"/>
      <c r="AA107"/>
      <c r="AB107"/>
      <c r="AC107"/>
      <c r="AD107"/>
      <c r="AE107"/>
      <c r="AF107"/>
      <c r="AG107" s="299"/>
      <c r="AH107"/>
      <c r="AI107" s="299"/>
    </row>
    <row r="108" spans="1:35" ht="14.45" customHeight="1" thickBot="1" x14ac:dyDescent="0.25">
      <c r="A108" s="3"/>
      <c r="B108" s="3"/>
      <c r="C108" s="15"/>
      <c r="D108" s="327"/>
      <c r="E108" s="234"/>
      <c r="F108" s="15"/>
      <c r="G108" s="15"/>
      <c r="H108" s="16"/>
      <c r="I108" s="16"/>
      <c r="J108" s="16"/>
      <c r="K108" s="16"/>
      <c r="L108" s="16"/>
      <c r="M108" s="16"/>
      <c r="N108" s="16"/>
      <c r="O108" s="16"/>
      <c r="P108" s="16"/>
      <c r="U108" s="295"/>
      <c r="V108"/>
      <c r="W108"/>
      <c r="X108"/>
      <c r="Y108"/>
      <c r="Z108"/>
      <c r="AA108"/>
      <c r="AB108"/>
      <c r="AC108"/>
      <c r="AD108"/>
      <c r="AE108"/>
      <c r="AF108"/>
      <c r="AG108" s="300"/>
      <c r="AH108"/>
      <c r="AI108" s="299"/>
    </row>
    <row r="109" spans="1:35" ht="27" customHeight="1" x14ac:dyDescent="0.2">
      <c r="A109" s="3"/>
      <c r="B109" s="3"/>
      <c r="C109" s="670" t="s">
        <v>229</v>
      </c>
      <c r="D109" s="670"/>
      <c r="E109" s="670"/>
      <c r="F109" s="670"/>
      <c r="G109" s="670"/>
      <c r="H109" s="670"/>
      <c r="I109" s="670"/>
      <c r="J109" s="670"/>
      <c r="K109" s="670"/>
      <c r="L109" s="670"/>
      <c r="M109" s="670"/>
      <c r="N109" s="670"/>
      <c r="O109" s="670"/>
      <c r="P109" s="670"/>
      <c r="Q109" s="670"/>
      <c r="R109" s="670"/>
      <c r="U109"/>
      <c r="V109"/>
      <c r="W109"/>
      <c r="X109"/>
      <c r="Y109"/>
      <c r="Z109"/>
      <c r="AA109"/>
      <c r="AB109"/>
      <c r="AC109"/>
      <c r="AD109"/>
      <c r="AE109"/>
      <c r="AF109"/>
      <c r="AG109"/>
      <c r="AH109"/>
      <c r="AI109"/>
    </row>
    <row r="110" spans="1:35" ht="14.45" customHeight="1" x14ac:dyDescent="0.2">
      <c r="A110" s="3"/>
      <c r="B110" s="3"/>
      <c r="C110" s="15"/>
      <c r="D110" s="327"/>
      <c r="E110" s="234"/>
      <c r="F110" s="15"/>
      <c r="G110" s="15"/>
      <c r="H110" s="16"/>
      <c r="I110" s="16"/>
      <c r="J110" s="16"/>
      <c r="K110" s="16"/>
      <c r="L110" s="16"/>
      <c r="M110" s="16"/>
      <c r="N110" s="16"/>
      <c r="O110" s="16"/>
      <c r="P110" s="16"/>
      <c r="U110"/>
      <c r="V110"/>
      <c r="W110"/>
      <c r="X110"/>
      <c r="Y110"/>
      <c r="Z110"/>
      <c r="AA110"/>
      <c r="AB110"/>
      <c r="AC110"/>
      <c r="AD110"/>
      <c r="AE110"/>
      <c r="AF110"/>
      <c r="AG110"/>
      <c r="AH110"/>
      <c r="AI110"/>
    </row>
    <row r="111" spans="1:35" ht="29.25" customHeight="1" thickBot="1" x14ac:dyDescent="0.25">
      <c r="A111" s="3"/>
      <c r="B111" s="3"/>
      <c r="C111" s="573"/>
      <c r="D111" s="573"/>
      <c r="E111" s="573"/>
      <c r="F111" s="573"/>
      <c r="G111" s="247"/>
      <c r="J111" s="21"/>
      <c r="K111" s="273"/>
      <c r="L111" s="574" t="s">
        <v>126</v>
      </c>
      <c r="M111" s="16"/>
      <c r="N111" s="575" t="s">
        <v>136</v>
      </c>
      <c r="O111" s="16"/>
      <c r="P111" s="574" t="s">
        <v>127</v>
      </c>
      <c r="Q111" s="16"/>
      <c r="R111" s="574" t="s">
        <v>128</v>
      </c>
      <c r="U111"/>
      <c r="V111"/>
      <c r="W111"/>
      <c r="X111"/>
      <c r="Y111"/>
      <c r="Z111"/>
      <c r="AA111"/>
      <c r="AB111"/>
      <c r="AC111"/>
      <c r="AD111"/>
      <c r="AE111"/>
      <c r="AF111"/>
      <c r="AG111"/>
      <c r="AH111"/>
      <c r="AI111"/>
    </row>
    <row r="112" spans="1:35" ht="14.45" customHeight="1" x14ac:dyDescent="0.2">
      <c r="A112" s="3"/>
      <c r="B112" s="3"/>
      <c r="C112" s="571" t="s">
        <v>315</v>
      </c>
      <c r="D112" s="571"/>
      <c r="E112" s="571"/>
      <c r="F112" s="571"/>
      <c r="G112" s="571"/>
      <c r="J112" s="16"/>
      <c r="K112" s="16"/>
      <c r="L112" s="16" t="s">
        <v>3</v>
      </c>
      <c r="M112" s="16"/>
      <c r="N112" s="16" t="s">
        <v>3</v>
      </c>
      <c r="O112" s="16"/>
      <c r="P112" s="16" t="s">
        <v>3</v>
      </c>
      <c r="Q112" s="16"/>
      <c r="R112" s="16" t="s">
        <v>3</v>
      </c>
    </row>
    <row r="113" spans="1:20" ht="14.45" customHeight="1" x14ac:dyDescent="0.2">
      <c r="A113" s="3"/>
      <c r="B113" s="3"/>
      <c r="C113" s="571" t="s">
        <v>368</v>
      </c>
      <c r="D113" s="571"/>
      <c r="E113" s="571"/>
      <c r="F113" s="571"/>
      <c r="G113" s="571"/>
      <c r="J113" s="16"/>
      <c r="K113" s="16"/>
      <c r="L113" s="16"/>
      <c r="M113" s="16"/>
      <c r="N113" s="16"/>
      <c r="O113" s="16"/>
      <c r="P113" s="16"/>
      <c r="Q113" s="16"/>
      <c r="R113" s="16"/>
    </row>
    <row r="114" spans="1:20" ht="14.45" customHeight="1" x14ac:dyDescent="0.2">
      <c r="A114" s="3"/>
      <c r="B114" s="3"/>
      <c r="C114" s="571"/>
      <c r="D114" s="571"/>
      <c r="E114" s="571"/>
      <c r="F114" s="571"/>
      <c r="G114" s="571"/>
      <c r="J114" s="16"/>
      <c r="K114" s="16"/>
      <c r="L114" s="16"/>
      <c r="M114" s="16"/>
      <c r="N114" s="16"/>
      <c r="O114" s="16"/>
      <c r="P114" s="16"/>
      <c r="Q114" s="16"/>
      <c r="R114" s="16"/>
    </row>
    <row r="115" spans="1:20" ht="14.45" customHeight="1" x14ac:dyDescent="0.2">
      <c r="A115" s="3"/>
      <c r="B115" s="3"/>
      <c r="C115" s="572" t="s">
        <v>129</v>
      </c>
      <c r="D115" s="572"/>
      <c r="E115" s="572"/>
      <c r="F115" s="571"/>
      <c r="G115" s="571"/>
      <c r="J115" s="16"/>
      <c r="K115" s="16"/>
      <c r="L115" s="244">
        <f>L144-306559+1</f>
        <v>148907</v>
      </c>
      <c r="M115" s="244">
        <f t="shared" ref="M115:O115" si="0">M144</f>
        <v>0</v>
      </c>
      <c r="N115" s="244">
        <f>N144-11469</f>
        <v>5641</v>
      </c>
      <c r="O115" s="244">
        <f t="shared" si="0"/>
        <v>0</v>
      </c>
      <c r="P115" s="244">
        <f>P144+2623</f>
        <v>0</v>
      </c>
      <c r="Q115" s="244"/>
      <c r="R115" s="244">
        <f>SUM(L115:P115)</f>
        <v>154548</v>
      </c>
      <c r="T115" s="271"/>
    </row>
    <row r="116" spans="1:20" ht="14.45" customHeight="1" x14ac:dyDescent="0.2">
      <c r="A116" s="3"/>
      <c r="B116" s="3"/>
      <c r="C116" s="245" t="s">
        <v>130</v>
      </c>
      <c r="D116" s="245"/>
      <c r="E116" s="245"/>
      <c r="F116" s="246"/>
      <c r="G116" s="247"/>
      <c r="J116" s="16"/>
      <c r="K116" s="245"/>
      <c r="L116" s="248">
        <f>L145-96833-1</f>
        <v>38159</v>
      </c>
      <c r="M116" s="244">
        <f t="shared" ref="M116:O116" si="1">M145</f>
        <v>0</v>
      </c>
      <c r="N116" s="248">
        <f>N145-13902</f>
        <v>5862</v>
      </c>
      <c r="O116" s="244">
        <f t="shared" si="1"/>
        <v>0</v>
      </c>
      <c r="P116" s="248">
        <f>P145+110736</f>
        <v>-44021</v>
      </c>
      <c r="Q116" s="244"/>
      <c r="R116" s="248">
        <f>SUM(L116:P116)</f>
        <v>0</v>
      </c>
    </row>
    <row r="117" spans="1:20" ht="14.45" customHeight="1" x14ac:dyDescent="0.2">
      <c r="A117" s="3"/>
      <c r="B117" s="3"/>
      <c r="C117" s="572" t="s">
        <v>131</v>
      </c>
      <c r="D117" s="572"/>
      <c r="E117" s="572"/>
      <c r="F117" s="571"/>
      <c r="G117" s="571"/>
      <c r="J117" s="16"/>
      <c r="K117" s="16"/>
      <c r="L117" s="244">
        <f>SUM(L115:L116)</f>
        <v>187066</v>
      </c>
      <c r="M117" s="244">
        <f t="shared" ref="M117:R117" si="2">SUM(M115:M116)</f>
        <v>0</v>
      </c>
      <c r="N117" s="244">
        <f t="shared" si="2"/>
        <v>11503</v>
      </c>
      <c r="O117" s="244">
        <f t="shared" si="2"/>
        <v>0</v>
      </c>
      <c r="P117" s="244">
        <f t="shared" si="2"/>
        <v>-44021</v>
      </c>
      <c r="Q117" s="244">
        <f t="shared" si="2"/>
        <v>0</v>
      </c>
      <c r="R117" s="244">
        <f t="shared" si="2"/>
        <v>154548</v>
      </c>
      <c r="T117" s="271">
        <f>R117-PL!H19</f>
        <v>0</v>
      </c>
    </row>
    <row r="118" spans="1:20" ht="14.45" customHeight="1" x14ac:dyDescent="0.2">
      <c r="A118" s="3"/>
      <c r="B118" s="3"/>
      <c r="C118" s="245" t="s">
        <v>92</v>
      </c>
      <c r="D118" s="245"/>
      <c r="E118" s="245"/>
      <c r="F118" s="245"/>
      <c r="G118" s="16"/>
      <c r="J118" s="16"/>
      <c r="K118" s="245"/>
      <c r="L118" s="248">
        <f>L147-62917</f>
        <v>25597</v>
      </c>
      <c r="M118" s="244"/>
      <c r="N118" s="248">
        <f>N147-7</f>
        <v>0</v>
      </c>
      <c r="O118" s="244"/>
      <c r="P118" s="248">
        <f>P147+59766</f>
        <v>-24521</v>
      </c>
      <c r="Q118" s="244"/>
      <c r="R118" s="248">
        <f>SUM(L118:P118)</f>
        <v>1076</v>
      </c>
      <c r="T118" s="271">
        <f>R118-PL!H25</f>
        <v>0</v>
      </c>
    </row>
    <row r="119" spans="1:20" ht="14.45" customHeight="1" x14ac:dyDescent="0.2">
      <c r="A119" s="3"/>
      <c r="B119" s="3"/>
      <c r="C119" s="572"/>
      <c r="D119" s="572"/>
      <c r="E119" s="572"/>
      <c r="F119" s="572"/>
      <c r="G119" s="572"/>
      <c r="J119" s="16"/>
      <c r="K119" s="16"/>
      <c r="L119" s="244">
        <f>SUM(L117:L118)</f>
        <v>212663</v>
      </c>
      <c r="M119" s="244">
        <f t="shared" ref="M119:R119" si="3">SUM(M117:M118)</f>
        <v>0</v>
      </c>
      <c r="N119" s="244">
        <f t="shared" si="3"/>
        <v>11503</v>
      </c>
      <c r="O119" s="244">
        <f t="shared" si="3"/>
        <v>0</v>
      </c>
      <c r="P119" s="244">
        <f t="shared" si="3"/>
        <v>-68542</v>
      </c>
      <c r="Q119" s="244">
        <f t="shared" si="3"/>
        <v>0</v>
      </c>
      <c r="R119" s="244">
        <f t="shared" si="3"/>
        <v>155624</v>
      </c>
    </row>
    <row r="120" spans="1:20" ht="14.45" customHeight="1" x14ac:dyDescent="0.2">
      <c r="A120" s="3"/>
      <c r="B120" s="3"/>
      <c r="C120" s="245" t="s">
        <v>137</v>
      </c>
      <c r="D120" s="245"/>
      <c r="E120" s="245"/>
      <c r="F120" s="245"/>
      <c r="G120" s="16"/>
      <c r="J120" s="16"/>
      <c r="K120" s="245"/>
      <c r="L120" s="248">
        <f>L149+252628</f>
        <v>-114093</v>
      </c>
      <c r="M120" s="244"/>
      <c r="N120" s="248">
        <f>N149+18561</f>
        <v>-7897</v>
      </c>
      <c r="O120" s="244"/>
      <c r="P120" s="248">
        <f>P149-28071</f>
        <v>11346</v>
      </c>
      <c r="Q120" s="244"/>
      <c r="R120" s="248">
        <f>SUM(L120:Q120)</f>
        <v>-110644</v>
      </c>
      <c r="T120" s="271">
        <f>R120-PL!H20-PL!H21</f>
        <v>0</v>
      </c>
    </row>
    <row r="121" spans="1:20" ht="14.45" customHeight="1" x14ac:dyDescent="0.2">
      <c r="A121" s="3"/>
      <c r="B121" s="3"/>
      <c r="C121" s="572" t="s">
        <v>132</v>
      </c>
      <c r="D121" s="572"/>
      <c r="E121" s="572"/>
      <c r="F121" s="572"/>
      <c r="G121" s="572"/>
      <c r="J121" s="16"/>
      <c r="K121" s="16"/>
      <c r="L121" s="244">
        <f>SUM(L119:L120)</f>
        <v>98570</v>
      </c>
      <c r="M121" s="244">
        <f t="shared" ref="M121:R121" si="4">SUM(M119:M120)</f>
        <v>0</v>
      </c>
      <c r="N121" s="244">
        <f t="shared" si="4"/>
        <v>3606</v>
      </c>
      <c r="O121" s="244">
        <f t="shared" si="4"/>
        <v>0</v>
      </c>
      <c r="P121" s="244">
        <f t="shared" si="4"/>
        <v>-57196</v>
      </c>
      <c r="Q121" s="244">
        <f t="shared" si="4"/>
        <v>0</v>
      </c>
      <c r="R121" s="244">
        <f t="shared" si="4"/>
        <v>44980</v>
      </c>
    </row>
    <row r="122" spans="1:20" ht="14.45" customHeight="1" x14ac:dyDescent="0.2">
      <c r="A122" s="3"/>
      <c r="B122" s="3"/>
      <c r="C122" s="572" t="s">
        <v>138</v>
      </c>
      <c r="D122" s="572"/>
      <c r="E122" s="572"/>
      <c r="F122" s="572"/>
      <c r="G122" s="572"/>
      <c r="J122" s="16"/>
      <c r="K122" s="16"/>
      <c r="L122" s="244">
        <f>L151+24720</f>
        <v>-9631</v>
      </c>
      <c r="M122" s="244"/>
      <c r="N122" s="244">
        <f>N151+3816</f>
        <v>-1466</v>
      </c>
      <c r="O122" s="244"/>
      <c r="P122" s="244">
        <f>P151-10709</f>
        <v>3658</v>
      </c>
      <c r="Q122" s="244"/>
      <c r="R122" s="244">
        <f>SUM(L122:Q122)</f>
        <v>-7439</v>
      </c>
    </row>
    <row r="123" spans="1:20" ht="14.45" customHeight="1" x14ac:dyDescent="0.2">
      <c r="A123" s="3"/>
      <c r="B123" s="3"/>
      <c r="C123" s="572" t="s">
        <v>104</v>
      </c>
      <c r="D123" s="572"/>
      <c r="E123" s="572"/>
      <c r="F123" s="572"/>
      <c r="G123" s="572"/>
      <c r="J123" s="16"/>
      <c r="K123" s="16"/>
      <c r="L123" s="244">
        <f>L152+51565</f>
        <v>-21159</v>
      </c>
      <c r="M123" s="244"/>
      <c r="N123" s="244">
        <v>0</v>
      </c>
      <c r="O123" s="244"/>
      <c r="P123" s="244">
        <f>P152-34190</f>
        <v>14419</v>
      </c>
      <c r="Q123" s="244"/>
      <c r="R123" s="244">
        <f>SUM(L123:Q123)</f>
        <v>-6740</v>
      </c>
      <c r="T123" s="271">
        <f>R123-PL!H33</f>
        <v>0</v>
      </c>
    </row>
    <row r="124" spans="1:20" ht="14.45" customHeight="1" thickBot="1" x14ac:dyDescent="0.25">
      <c r="A124" s="3"/>
      <c r="B124" s="3"/>
      <c r="C124" s="249" t="s">
        <v>103</v>
      </c>
      <c r="D124" s="249"/>
      <c r="E124" s="249"/>
      <c r="F124" s="250"/>
      <c r="G124" s="16"/>
      <c r="J124" s="16"/>
      <c r="K124" s="250"/>
      <c r="L124" s="251">
        <f>SUM(L121:L123)</f>
        <v>67780</v>
      </c>
      <c r="M124" s="244">
        <f t="shared" ref="M124:R124" si="5">SUM(M121:M123)</f>
        <v>0</v>
      </c>
      <c r="N124" s="251">
        <f t="shared" si="5"/>
        <v>2140</v>
      </c>
      <c r="O124" s="244">
        <f t="shared" si="5"/>
        <v>0</v>
      </c>
      <c r="P124" s="251">
        <f t="shared" si="5"/>
        <v>-39119</v>
      </c>
      <c r="Q124" s="244">
        <f t="shared" si="5"/>
        <v>0</v>
      </c>
      <c r="R124" s="251">
        <f t="shared" si="5"/>
        <v>30801</v>
      </c>
      <c r="T124" s="271">
        <f>R124-PL!H35</f>
        <v>0</v>
      </c>
    </row>
    <row r="125" spans="1:20" ht="14.45" customHeight="1" x14ac:dyDescent="0.2">
      <c r="A125" s="3"/>
      <c r="B125" s="3"/>
      <c r="C125" s="265"/>
      <c r="D125" s="327"/>
      <c r="E125" s="265"/>
      <c r="F125" s="265"/>
      <c r="G125" s="265"/>
      <c r="J125" s="16"/>
      <c r="K125" s="16"/>
      <c r="L125" s="16"/>
      <c r="M125" s="16"/>
      <c r="N125" s="16"/>
      <c r="O125" s="16"/>
      <c r="P125" s="16"/>
      <c r="Q125" s="16"/>
      <c r="R125" s="16"/>
    </row>
    <row r="126" spans="1:20" ht="14.45" customHeight="1" x14ac:dyDescent="0.2">
      <c r="A126" s="3"/>
      <c r="B126" s="3"/>
      <c r="C126" s="392" t="s">
        <v>315</v>
      </c>
      <c r="D126" s="392"/>
      <c r="E126" s="392"/>
      <c r="F126" s="392"/>
      <c r="G126" s="242"/>
      <c r="H126" s="16"/>
      <c r="I126" s="16"/>
      <c r="J126" s="16"/>
      <c r="K126" s="16"/>
      <c r="L126" s="16"/>
      <c r="M126" s="16"/>
      <c r="N126" s="16"/>
      <c r="O126" s="16"/>
      <c r="P126" s="16"/>
    </row>
    <row r="127" spans="1:20" ht="14.45" customHeight="1" x14ac:dyDescent="0.2">
      <c r="A127" s="3"/>
      <c r="B127" s="3"/>
      <c r="C127" s="359" t="s">
        <v>369</v>
      </c>
      <c r="D127" s="359"/>
      <c r="E127" s="359"/>
      <c r="F127" s="359"/>
      <c r="G127" s="242"/>
      <c r="H127" s="16"/>
      <c r="I127" s="16"/>
      <c r="J127" s="16"/>
      <c r="K127" s="16"/>
      <c r="L127" s="16"/>
      <c r="M127" s="16"/>
      <c r="N127" s="16"/>
      <c r="O127" s="16"/>
      <c r="P127" s="16"/>
    </row>
    <row r="128" spans="1:20" ht="14.45" customHeight="1" x14ac:dyDescent="0.2">
      <c r="A128" s="3"/>
      <c r="B128" s="3"/>
      <c r="C128" s="242"/>
      <c r="D128" s="327"/>
      <c r="E128" s="242"/>
      <c r="F128" s="242"/>
      <c r="G128" s="242"/>
      <c r="H128" s="16"/>
      <c r="I128" s="16"/>
      <c r="J128" s="16"/>
      <c r="K128" s="16"/>
      <c r="L128" s="16"/>
      <c r="M128" s="16"/>
      <c r="N128" s="16"/>
      <c r="O128" s="16"/>
      <c r="P128" s="16"/>
    </row>
    <row r="129" spans="1:35" ht="14.45" customHeight="1" x14ac:dyDescent="0.2">
      <c r="A129" s="3"/>
      <c r="B129" s="3"/>
      <c r="C129" s="243" t="s">
        <v>129</v>
      </c>
      <c r="D129" s="331"/>
      <c r="E129" s="243"/>
      <c r="F129" s="242"/>
      <c r="G129" s="242"/>
      <c r="H129" s="16"/>
      <c r="K129" s="16"/>
      <c r="L129" s="244">
        <v>272576</v>
      </c>
      <c r="M129" s="244"/>
      <c r="N129" s="244">
        <v>4837</v>
      </c>
      <c r="O129" s="244"/>
      <c r="P129" s="244">
        <v>-178307</v>
      </c>
      <c r="Q129" s="244"/>
      <c r="R129" s="244">
        <f>SUM(L129:P129)</f>
        <v>99106</v>
      </c>
    </row>
    <row r="130" spans="1:35" ht="14.45" customHeight="1" x14ac:dyDescent="0.2">
      <c r="A130" s="3"/>
      <c r="B130" s="3"/>
      <c r="C130" s="245" t="s">
        <v>130</v>
      </c>
      <c r="D130" s="245"/>
      <c r="E130" s="245"/>
      <c r="F130" s="246"/>
      <c r="G130" s="247"/>
      <c r="H130" s="16"/>
      <c r="K130" s="245"/>
      <c r="L130" s="248">
        <v>55926</v>
      </c>
      <c r="M130" s="244"/>
      <c r="N130" s="248">
        <v>3307</v>
      </c>
      <c r="O130" s="244"/>
      <c r="P130" s="248">
        <v>-59233</v>
      </c>
      <c r="Q130" s="244"/>
      <c r="R130" s="248">
        <f>SUM(L130:P130)</f>
        <v>0</v>
      </c>
    </row>
    <row r="131" spans="1:35" ht="14.45" customHeight="1" x14ac:dyDescent="0.2">
      <c r="A131" s="3"/>
      <c r="B131" s="3"/>
      <c r="C131" s="243" t="s">
        <v>131</v>
      </c>
      <c r="D131" s="331"/>
      <c r="E131" s="243"/>
      <c r="F131" s="242"/>
      <c r="G131" s="242"/>
      <c r="H131" s="16"/>
      <c r="K131" s="16"/>
      <c r="L131" s="244">
        <f>SUM(L129:L130)</f>
        <v>328502</v>
      </c>
      <c r="M131" s="244">
        <f t="shared" ref="M131:R131" si="6">SUM(M129:M130)</f>
        <v>0</v>
      </c>
      <c r="N131" s="244">
        <f t="shared" si="6"/>
        <v>8144</v>
      </c>
      <c r="O131" s="244">
        <f t="shared" si="6"/>
        <v>0</v>
      </c>
      <c r="P131" s="244">
        <f t="shared" si="6"/>
        <v>-237540</v>
      </c>
      <c r="Q131" s="244">
        <f t="shared" si="6"/>
        <v>0</v>
      </c>
      <c r="R131" s="244">
        <f t="shared" si="6"/>
        <v>99106</v>
      </c>
      <c r="T131" s="271">
        <f>R131-PL!J19</f>
        <v>0</v>
      </c>
    </row>
    <row r="132" spans="1:35" ht="14.45" customHeight="1" x14ac:dyDescent="0.2">
      <c r="A132" s="3"/>
      <c r="B132" s="3"/>
      <c r="C132" s="245" t="s">
        <v>92</v>
      </c>
      <c r="D132" s="245"/>
      <c r="E132" s="245"/>
      <c r="F132" s="245"/>
      <c r="G132" s="16"/>
      <c r="H132" s="16"/>
      <c r="K132" s="245"/>
      <c r="L132" s="248">
        <v>130757</v>
      </c>
      <c r="M132" s="244"/>
      <c r="N132" s="248">
        <v>0</v>
      </c>
      <c r="O132" s="244"/>
      <c r="P132" s="248">
        <v>-28177</v>
      </c>
      <c r="Q132" s="244"/>
      <c r="R132" s="248">
        <f>SUM(L132:P132)</f>
        <v>102580</v>
      </c>
      <c r="T132" s="271">
        <f>R132-PL!J25</f>
        <v>0</v>
      </c>
    </row>
    <row r="133" spans="1:35" ht="14.45" customHeight="1" x14ac:dyDescent="0.2">
      <c r="A133" s="3"/>
      <c r="B133" s="3"/>
      <c r="C133" s="243"/>
      <c r="D133" s="331"/>
      <c r="E133" s="243"/>
      <c r="F133" s="243"/>
      <c r="G133" s="243"/>
      <c r="H133" s="16"/>
      <c r="K133" s="16"/>
      <c r="L133" s="244">
        <f>SUM(L131:L132)</f>
        <v>459259</v>
      </c>
      <c r="M133" s="244">
        <f t="shared" ref="M133:R133" si="7">SUM(M131:M132)</f>
        <v>0</v>
      </c>
      <c r="N133" s="244">
        <f t="shared" si="7"/>
        <v>8144</v>
      </c>
      <c r="O133" s="244">
        <f t="shared" si="7"/>
        <v>0</v>
      </c>
      <c r="P133" s="244">
        <f t="shared" si="7"/>
        <v>-265717</v>
      </c>
      <c r="Q133" s="244">
        <f t="shared" si="7"/>
        <v>0</v>
      </c>
      <c r="R133" s="244">
        <f t="shared" si="7"/>
        <v>201686</v>
      </c>
    </row>
    <row r="134" spans="1:35" ht="14.45" customHeight="1" x14ac:dyDescent="0.2">
      <c r="A134" s="3"/>
      <c r="B134" s="3"/>
      <c r="C134" s="245" t="s">
        <v>137</v>
      </c>
      <c r="D134" s="245"/>
      <c r="E134" s="245"/>
      <c r="F134" s="245"/>
      <c r="G134" s="16"/>
      <c r="H134" s="16"/>
      <c r="K134" s="245"/>
      <c r="L134" s="248">
        <v>-200754</v>
      </c>
      <c r="M134" s="244"/>
      <c r="N134" s="248">
        <v>-5803</v>
      </c>
      <c r="O134" s="244"/>
      <c r="P134" s="248">
        <v>134053</v>
      </c>
      <c r="Q134" s="244"/>
      <c r="R134" s="248">
        <f>SUM(L134:Q134)</f>
        <v>-72504</v>
      </c>
      <c r="T134" s="271">
        <f>R134-PL!J20-PL!J21</f>
        <v>0</v>
      </c>
    </row>
    <row r="135" spans="1:35" ht="14.45" customHeight="1" x14ac:dyDescent="0.2">
      <c r="A135" s="3"/>
      <c r="B135" s="3"/>
      <c r="C135" s="243" t="s">
        <v>132</v>
      </c>
      <c r="D135" s="331"/>
      <c r="E135" s="243"/>
      <c r="F135" s="243"/>
      <c r="G135" s="243"/>
      <c r="H135" s="16"/>
      <c r="K135" s="16"/>
      <c r="L135" s="244">
        <f>SUM(L133:L134)</f>
        <v>258505</v>
      </c>
      <c r="M135" s="244">
        <f t="shared" ref="M135:R135" si="8">SUM(M133:M134)</f>
        <v>0</v>
      </c>
      <c r="N135" s="244">
        <f t="shared" si="8"/>
        <v>2341</v>
      </c>
      <c r="O135" s="244">
        <f t="shared" si="8"/>
        <v>0</v>
      </c>
      <c r="P135" s="244">
        <f t="shared" si="8"/>
        <v>-131664</v>
      </c>
      <c r="Q135" s="244">
        <f t="shared" si="8"/>
        <v>0</v>
      </c>
      <c r="R135" s="244">
        <f t="shared" si="8"/>
        <v>129182</v>
      </c>
    </row>
    <row r="136" spans="1:35" ht="14.45" customHeight="1" x14ac:dyDescent="0.2">
      <c r="A136" s="3"/>
      <c r="B136" s="3"/>
      <c r="C136" s="243" t="s">
        <v>138</v>
      </c>
      <c r="D136" s="331"/>
      <c r="E136" s="243"/>
      <c r="F136" s="243"/>
      <c r="G136" s="243"/>
      <c r="H136" s="16"/>
      <c r="K136" s="16"/>
      <c r="L136" s="244">
        <v>-109412</v>
      </c>
      <c r="M136" s="244"/>
      <c r="N136" s="244">
        <v>-1277</v>
      </c>
      <c r="O136" s="244"/>
      <c r="P136" s="244">
        <v>101870</v>
      </c>
      <c r="Q136" s="244"/>
      <c r="R136" s="244">
        <f>SUM(L136:Q136)</f>
        <v>-8819</v>
      </c>
    </row>
    <row r="137" spans="1:35" ht="14.45" customHeight="1" x14ac:dyDescent="0.2">
      <c r="A137" s="3"/>
      <c r="B137" s="3"/>
      <c r="C137" s="243" t="s">
        <v>104</v>
      </c>
      <c r="D137" s="331"/>
      <c r="E137" s="243"/>
      <c r="F137" s="243"/>
      <c r="G137" s="243"/>
      <c r="H137" s="16"/>
      <c r="K137" s="16"/>
      <c r="L137" s="244">
        <v>-19428</v>
      </c>
      <c r="M137" s="244"/>
      <c r="N137" s="244">
        <v>0</v>
      </c>
      <c r="O137" s="244"/>
      <c r="P137" s="244">
        <v>15362</v>
      </c>
      <c r="Q137" s="244"/>
      <c r="R137" s="244">
        <f>SUM(L137:Q137)</f>
        <v>-4066</v>
      </c>
    </row>
    <row r="138" spans="1:35" ht="14.45" customHeight="1" thickBot="1" x14ac:dyDescent="0.25">
      <c r="A138" s="3"/>
      <c r="B138" s="3"/>
      <c r="C138" s="249" t="s">
        <v>103</v>
      </c>
      <c r="D138" s="249"/>
      <c r="E138" s="249"/>
      <c r="F138" s="250"/>
      <c r="G138" s="16"/>
      <c r="H138" s="16"/>
      <c r="K138" s="250"/>
      <c r="L138" s="251">
        <f>SUM(L135:L137)</f>
        <v>129665</v>
      </c>
      <c r="M138" s="244">
        <f t="shared" ref="M138:R138" si="9">SUM(M135:M137)</f>
        <v>0</v>
      </c>
      <c r="N138" s="251">
        <f t="shared" si="9"/>
        <v>1064</v>
      </c>
      <c r="O138" s="244">
        <f t="shared" si="9"/>
        <v>0</v>
      </c>
      <c r="P138" s="251">
        <f t="shared" si="9"/>
        <v>-14432</v>
      </c>
      <c r="Q138" s="244">
        <f t="shared" si="9"/>
        <v>0</v>
      </c>
      <c r="R138" s="251">
        <f t="shared" si="9"/>
        <v>116297</v>
      </c>
      <c r="T138" s="271">
        <f>PL!J35-R138</f>
        <v>0</v>
      </c>
    </row>
    <row r="139" spans="1:35" ht="14.45" customHeight="1" x14ac:dyDescent="0.2">
      <c r="A139" s="3"/>
      <c r="B139" s="3"/>
      <c r="C139" s="242"/>
      <c r="D139" s="327"/>
      <c r="E139" s="242"/>
      <c r="F139" s="242"/>
      <c r="G139" s="242"/>
      <c r="H139" s="16"/>
      <c r="K139" s="16"/>
      <c r="L139" s="16"/>
      <c r="M139" s="16"/>
      <c r="N139" s="16"/>
      <c r="O139" s="16"/>
      <c r="P139" s="16"/>
      <c r="Q139" s="16"/>
      <c r="R139" s="16"/>
    </row>
    <row r="140" spans="1:35" ht="29.25" customHeight="1" thickBot="1" x14ac:dyDescent="0.25">
      <c r="A140" s="3"/>
      <c r="B140" s="3"/>
      <c r="C140" s="573"/>
      <c r="D140" s="573"/>
      <c r="E140" s="573"/>
      <c r="F140" s="573"/>
      <c r="G140" s="247"/>
      <c r="J140" s="21"/>
      <c r="K140" s="273"/>
      <c r="L140" s="574" t="s">
        <v>126</v>
      </c>
      <c r="M140" s="16"/>
      <c r="N140" s="575" t="s">
        <v>136</v>
      </c>
      <c r="O140" s="16"/>
      <c r="P140" s="574" t="s">
        <v>127</v>
      </c>
      <c r="Q140" s="16"/>
      <c r="R140" s="574" t="s">
        <v>128</v>
      </c>
      <c r="U140"/>
      <c r="V140"/>
      <c r="W140"/>
      <c r="X140"/>
      <c r="Y140"/>
      <c r="Z140"/>
      <c r="AA140"/>
      <c r="AB140"/>
      <c r="AC140"/>
      <c r="AD140"/>
      <c r="AE140"/>
      <c r="AF140"/>
      <c r="AG140"/>
      <c r="AH140"/>
      <c r="AI140"/>
    </row>
    <row r="141" spans="1:35" ht="14.45" customHeight="1" x14ac:dyDescent="0.2">
      <c r="A141" s="3"/>
      <c r="B141" s="3"/>
      <c r="C141" s="571" t="s">
        <v>370</v>
      </c>
      <c r="D141" s="571"/>
      <c r="E141" s="571"/>
      <c r="F141" s="571"/>
      <c r="G141" s="571"/>
      <c r="J141" s="16"/>
      <c r="K141" s="16"/>
      <c r="L141" s="16" t="s">
        <v>3</v>
      </c>
      <c r="M141" s="16"/>
      <c r="N141" s="16" t="s">
        <v>3</v>
      </c>
      <c r="O141" s="16"/>
      <c r="P141" s="16" t="s">
        <v>3</v>
      </c>
      <c r="Q141" s="16"/>
      <c r="R141" s="16" t="s">
        <v>3</v>
      </c>
    </row>
    <row r="142" spans="1:35" ht="14.45" customHeight="1" x14ac:dyDescent="0.2">
      <c r="A142" s="3"/>
      <c r="B142" s="3"/>
      <c r="C142" s="571" t="s">
        <v>368</v>
      </c>
      <c r="D142" s="571"/>
      <c r="E142" s="571"/>
      <c r="F142" s="571"/>
      <c r="G142" s="571"/>
      <c r="J142" s="16"/>
      <c r="K142" s="16"/>
      <c r="L142" s="16"/>
      <c r="M142" s="16"/>
      <c r="N142" s="16"/>
      <c r="O142" s="16"/>
      <c r="P142" s="16"/>
      <c r="Q142" s="16"/>
      <c r="R142" s="16"/>
    </row>
    <row r="143" spans="1:35" ht="14.45" customHeight="1" x14ac:dyDescent="0.2">
      <c r="A143" s="3"/>
      <c r="B143" s="3"/>
      <c r="C143" s="571"/>
      <c r="D143" s="571"/>
      <c r="E143" s="571"/>
      <c r="F143" s="571"/>
      <c r="G143" s="571"/>
      <c r="J143" s="16"/>
      <c r="K143" s="16"/>
      <c r="L143" s="16"/>
      <c r="M143" s="16"/>
      <c r="N143" s="16"/>
      <c r="O143" s="16"/>
      <c r="P143" s="16"/>
      <c r="Q143" s="16"/>
      <c r="R143" s="16"/>
    </row>
    <row r="144" spans="1:35" ht="14.45" customHeight="1" x14ac:dyDescent="0.2">
      <c r="A144" s="3"/>
      <c r="B144" s="3"/>
      <c r="C144" s="572" t="s">
        <v>129</v>
      </c>
      <c r="D144" s="572"/>
      <c r="E144" s="572"/>
      <c r="F144" s="571"/>
      <c r="G144" s="571"/>
      <c r="J144" s="16"/>
      <c r="K144" s="16"/>
      <c r="L144" s="244">
        <f>590459-L145-1</f>
        <v>455465</v>
      </c>
      <c r="M144" s="244"/>
      <c r="N144" s="244">
        <v>17110</v>
      </c>
      <c r="O144" s="244"/>
      <c r="P144" s="244">
        <v>-2623</v>
      </c>
      <c r="Q144" s="244"/>
      <c r="R144" s="244">
        <f>SUM(L144:P144)</f>
        <v>469952</v>
      </c>
    </row>
    <row r="145" spans="1:20" ht="14.45" customHeight="1" x14ac:dyDescent="0.2">
      <c r="A145" s="3"/>
      <c r="B145" s="3"/>
      <c r="C145" s="245" t="s">
        <v>130</v>
      </c>
      <c r="D145" s="245"/>
      <c r="E145" s="245"/>
      <c r="F145" s="246"/>
      <c r="G145" s="247"/>
      <c r="J145" s="16"/>
      <c r="K145" s="245"/>
      <c r="L145" s="248">
        <v>134993</v>
      </c>
      <c r="M145" s="244"/>
      <c r="N145" s="248">
        <v>19764</v>
      </c>
      <c r="O145" s="244"/>
      <c r="P145" s="248">
        <f>-L145-N145</f>
        <v>-154757</v>
      </c>
      <c r="Q145" s="244"/>
      <c r="R145" s="248">
        <f>SUM(L145:P145)</f>
        <v>0</v>
      </c>
    </row>
    <row r="146" spans="1:20" ht="14.45" customHeight="1" x14ac:dyDescent="0.2">
      <c r="A146" s="3"/>
      <c r="B146" s="3"/>
      <c r="C146" s="572" t="s">
        <v>131</v>
      </c>
      <c r="D146" s="572"/>
      <c r="E146" s="572"/>
      <c r="F146" s="571"/>
      <c r="G146" s="571"/>
      <c r="J146" s="16"/>
      <c r="K146" s="16"/>
      <c r="L146" s="244">
        <f>SUM(L144:L145)</f>
        <v>590458</v>
      </c>
      <c r="M146" s="244">
        <f t="shared" ref="M146:R146" si="10">SUM(M144:M145)</f>
        <v>0</v>
      </c>
      <c r="N146" s="244">
        <f t="shared" si="10"/>
        <v>36874</v>
      </c>
      <c r="O146" s="244">
        <f t="shared" si="10"/>
        <v>0</v>
      </c>
      <c r="P146" s="244">
        <f t="shared" si="10"/>
        <v>-157380</v>
      </c>
      <c r="Q146" s="244">
        <f t="shared" si="10"/>
        <v>0</v>
      </c>
      <c r="R146" s="244">
        <f t="shared" si="10"/>
        <v>469952</v>
      </c>
      <c r="T146" s="271">
        <f>R146-PL!L19</f>
        <v>0</v>
      </c>
    </row>
    <row r="147" spans="1:20" ht="14.45" customHeight="1" x14ac:dyDescent="0.2">
      <c r="A147" s="3"/>
      <c r="B147" s="3"/>
      <c r="C147" s="245" t="s">
        <v>92</v>
      </c>
      <c r="D147" s="245"/>
      <c r="E147" s="245"/>
      <c r="F147" s="245"/>
      <c r="G147" s="16"/>
      <c r="J147" s="16"/>
      <c r="K147" s="245"/>
      <c r="L147" s="248">
        <f>8010+80504</f>
        <v>88514</v>
      </c>
      <c r="M147" s="244"/>
      <c r="N147" s="248">
        <v>7</v>
      </c>
      <c r="O147" s="244"/>
      <c r="P147" s="248">
        <f>-77777-6510</f>
        <v>-84287</v>
      </c>
      <c r="Q147" s="244"/>
      <c r="R147" s="248">
        <f>SUM(L147:P147)</f>
        <v>4234</v>
      </c>
      <c r="T147" s="271">
        <f>R147-PL!L25</f>
        <v>0</v>
      </c>
    </row>
    <row r="148" spans="1:20" ht="14.45" customHeight="1" x14ac:dyDescent="0.2">
      <c r="A148" s="3"/>
      <c r="B148" s="3"/>
      <c r="C148" s="572"/>
      <c r="D148" s="572"/>
      <c r="E148" s="572"/>
      <c r="F148" s="572"/>
      <c r="G148" s="572"/>
      <c r="J148" s="16"/>
      <c r="K148" s="16"/>
      <c r="L148" s="244">
        <f>SUM(L146:L147)</f>
        <v>678972</v>
      </c>
      <c r="M148" s="244">
        <f t="shared" ref="M148:R148" si="11">SUM(M146:M147)</f>
        <v>0</v>
      </c>
      <c r="N148" s="244">
        <f t="shared" si="11"/>
        <v>36881</v>
      </c>
      <c r="O148" s="244">
        <f t="shared" si="11"/>
        <v>0</v>
      </c>
      <c r="P148" s="244">
        <f t="shared" si="11"/>
        <v>-241667</v>
      </c>
      <c r="Q148" s="244">
        <f t="shared" si="11"/>
        <v>0</v>
      </c>
      <c r="R148" s="244">
        <f t="shared" si="11"/>
        <v>474186</v>
      </c>
    </row>
    <row r="149" spans="1:20" ht="14.45" customHeight="1" x14ac:dyDescent="0.2">
      <c r="A149" s="3"/>
      <c r="B149" s="3"/>
      <c r="C149" s="245" t="s">
        <v>137</v>
      </c>
      <c r="D149" s="245"/>
      <c r="E149" s="245"/>
      <c r="F149" s="245"/>
      <c r="G149" s="16"/>
      <c r="J149" s="16"/>
      <c r="K149" s="245"/>
      <c r="L149" s="248">
        <f>-366723+2</f>
        <v>-366721</v>
      </c>
      <c r="M149" s="244"/>
      <c r="N149" s="248">
        <f>-27663+1095+110</f>
        <v>-26458</v>
      </c>
      <c r="O149" s="244"/>
      <c r="P149" s="248">
        <v>39417</v>
      </c>
      <c r="Q149" s="244"/>
      <c r="R149" s="248">
        <f>SUM(L149:Q149)</f>
        <v>-353762</v>
      </c>
      <c r="T149" s="271">
        <f>R149-PL!L20-PL!L21</f>
        <v>0</v>
      </c>
    </row>
    <row r="150" spans="1:20" ht="14.45" customHeight="1" x14ac:dyDescent="0.2">
      <c r="A150" s="3"/>
      <c r="B150" s="3"/>
      <c r="C150" s="572" t="s">
        <v>132</v>
      </c>
      <c r="D150" s="572"/>
      <c r="E150" s="572"/>
      <c r="F150" s="572"/>
      <c r="G150" s="572"/>
      <c r="J150" s="16"/>
      <c r="K150" s="16"/>
      <c r="L150" s="244">
        <f>SUM(L148:L149)</f>
        <v>312251</v>
      </c>
      <c r="M150" s="244">
        <f t="shared" ref="M150:R150" si="12">SUM(M148:M149)</f>
        <v>0</v>
      </c>
      <c r="N150" s="244">
        <f t="shared" si="12"/>
        <v>10423</v>
      </c>
      <c r="O150" s="244">
        <f t="shared" si="12"/>
        <v>0</v>
      </c>
      <c r="P150" s="244">
        <f t="shared" si="12"/>
        <v>-202250</v>
      </c>
      <c r="Q150" s="244">
        <f t="shared" si="12"/>
        <v>0</v>
      </c>
      <c r="R150" s="244">
        <f t="shared" si="12"/>
        <v>120424</v>
      </c>
    </row>
    <row r="151" spans="1:20" ht="14.45" customHeight="1" x14ac:dyDescent="0.2">
      <c r="A151" s="3"/>
      <c r="B151" s="3"/>
      <c r="C151" s="572" t="s">
        <v>138</v>
      </c>
      <c r="D151" s="572"/>
      <c r="E151" s="572"/>
      <c r="F151" s="572"/>
      <c r="G151" s="572"/>
      <c r="J151" s="16"/>
      <c r="K151" s="16"/>
      <c r="L151" s="244">
        <f>-28253-5988-110</f>
        <v>-34351</v>
      </c>
      <c r="M151" s="244"/>
      <c r="N151" s="244">
        <f>-3771-1343-124-44</f>
        <v>-5282</v>
      </c>
      <c r="O151" s="244"/>
      <c r="P151" s="244">
        <f>14394-25-2</f>
        <v>14367</v>
      </c>
      <c r="Q151" s="244"/>
      <c r="R151" s="244">
        <f>SUM(L151:Q151)</f>
        <v>-25266</v>
      </c>
    </row>
    <row r="152" spans="1:20" ht="14.45" customHeight="1" x14ac:dyDescent="0.2">
      <c r="A152" s="3"/>
      <c r="B152" s="3"/>
      <c r="C152" s="572" t="s">
        <v>104</v>
      </c>
      <c r="D152" s="572"/>
      <c r="E152" s="572"/>
      <c r="F152" s="572"/>
      <c r="G152" s="572"/>
      <c r="J152" s="16"/>
      <c r="K152" s="16"/>
      <c r="L152" s="244">
        <v>-72724</v>
      </c>
      <c r="M152" s="244"/>
      <c r="N152" s="244">
        <v>0</v>
      </c>
      <c r="O152" s="244"/>
      <c r="P152" s="244">
        <v>48609</v>
      </c>
      <c r="Q152" s="244"/>
      <c r="R152" s="244">
        <f>SUM(L152:Q152)</f>
        <v>-24115</v>
      </c>
    </row>
    <row r="153" spans="1:20" ht="14.45" customHeight="1" thickBot="1" x14ac:dyDescent="0.25">
      <c r="A153" s="3"/>
      <c r="B153" s="3"/>
      <c r="C153" s="249" t="s">
        <v>103</v>
      </c>
      <c r="D153" s="249"/>
      <c r="E153" s="249"/>
      <c r="F153" s="250"/>
      <c r="G153" s="16"/>
      <c r="J153" s="16"/>
      <c r="K153" s="250"/>
      <c r="L153" s="251">
        <f>SUM(L150:L152)</f>
        <v>205176</v>
      </c>
      <c r="M153" s="244">
        <f t="shared" ref="M153:R153" si="13">SUM(M150:M152)</f>
        <v>0</v>
      </c>
      <c r="N153" s="251">
        <f t="shared" si="13"/>
        <v>5141</v>
      </c>
      <c r="O153" s="244">
        <f t="shared" si="13"/>
        <v>0</v>
      </c>
      <c r="P153" s="251">
        <f t="shared" si="13"/>
        <v>-139274</v>
      </c>
      <c r="Q153" s="244">
        <f t="shared" si="13"/>
        <v>0</v>
      </c>
      <c r="R153" s="251">
        <f t="shared" si="13"/>
        <v>71043</v>
      </c>
      <c r="T153" s="271">
        <f>R153-PL!L35</f>
        <v>0</v>
      </c>
    </row>
    <row r="154" spans="1:20" ht="14.45" customHeight="1" x14ac:dyDescent="0.2">
      <c r="A154" s="3"/>
      <c r="B154" s="3"/>
      <c r="C154" s="471"/>
      <c r="D154" s="471"/>
      <c r="E154" s="471"/>
      <c r="F154" s="471"/>
      <c r="G154" s="471"/>
      <c r="H154" s="16"/>
      <c r="K154" s="16"/>
      <c r="L154" s="16"/>
      <c r="M154" s="16"/>
      <c r="N154" s="16"/>
      <c r="O154" s="16"/>
      <c r="P154" s="16"/>
      <c r="Q154" s="16"/>
      <c r="R154" s="16"/>
    </row>
    <row r="155" spans="1:20" ht="14.45" customHeight="1" x14ac:dyDescent="0.2">
      <c r="A155" s="3"/>
      <c r="B155" s="3"/>
      <c r="C155" s="471"/>
      <c r="D155" s="471"/>
      <c r="E155" s="471"/>
      <c r="F155" s="471"/>
      <c r="G155" s="471"/>
      <c r="H155" s="16"/>
      <c r="K155" s="16"/>
      <c r="L155" s="16"/>
      <c r="M155" s="16"/>
      <c r="N155" s="16"/>
      <c r="O155" s="16"/>
      <c r="P155" s="16"/>
      <c r="Q155" s="16"/>
      <c r="R155" s="16"/>
    </row>
    <row r="156" spans="1:20" ht="14.45" customHeight="1" x14ac:dyDescent="0.2">
      <c r="A156" s="3"/>
      <c r="B156" s="3"/>
      <c r="C156" s="525" t="s">
        <v>370</v>
      </c>
      <c r="D156" s="525"/>
      <c r="E156" s="525"/>
      <c r="F156" s="525"/>
      <c r="G156" s="471"/>
      <c r="H156" s="16"/>
      <c r="I156" s="16"/>
      <c r="J156" s="16"/>
      <c r="K156" s="16"/>
      <c r="L156" s="16"/>
      <c r="M156" s="16"/>
      <c r="N156" s="16"/>
      <c r="O156" s="16"/>
      <c r="P156" s="16"/>
    </row>
    <row r="157" spans="1:20" ht="14.45" customHeight="1" x14ac:dyDescent="0.2">
      <c r="A157" s="3"/>
      <c r="B157" s="3"/>
      <c r="C157" s="479" t="s">
        <v>371</v>
      </c>
      <c r="D157" s="479"/>
      <c r="E157" s="479"/>
      <c r="F157" s="479"/>
      <c r="G157" s="471"/>
      <c r="H157" s="16"/>
      <c r="I157" s="16"/>
      <c r="J157" s="16"/>
      <c r="K157" s="16"/>
      <c r="L157" s="16"/>
      <c r="M157" s="16"/>
      <c r="N157" s="16"/>
      <c r="O157" s="16"/>
      <c r="P157" s="16"/>
    </row>
    <row r="158" spans="1:20" ht="14.45" customHeight="1" x14ac:dyDescent="0.2">
      <c r="A158" s="3"/>
      <c r="B158" s="3"/>
      <c r="C158" s="471"/>
      <c r="D158" s="471"/>
      <c r="E158" s="471"/>
      <c r="F158" s="471"/>
      <c r="G158" s="471"/>
      <c r="H158" s="16"/>
      <c r="I158" s="16"/>
      <c r="J158" s="16"/>
      <c r="K158" s="16"/>
      <c r="L158" s="16"/>
      <c r="M158" s="16"/>
      <c r="N158" s="16"/>
      <c r="O158" s="16"/>
      <c r="P158" s="16"/>
    </row>
    <row r="159" spans="1:20" ht="14.45" customHeight="1" x14ac:dyDescent="0.2">
      <c r="A159" s="3"/>
      <c r="B159" s="3"/>
      <c r="C159" s="472" t="s">
        <v>129</v>
      </c>
      <c r="D159" s="472"/>
      <c r="E159" s="472"/>
      <c r="F159" s="471"/>
      <c r="G159" s="471"/>
      <c r="H159" s="16"/>
      <c r="K159" s="16"/>
      <c r="L159" s="244">
        <v>530809</v>
      </c>
      <c r="M159" s="244"/>
      <c r="N159" s="244">
        <v>23344</v>
      </c>
      <c r="O159" s="244"/>
      <c r="P159" s="244">
        <v>-178307</v>
      </c>
      <c r="Q159" s="244"/>
      <c r="R159" s="244">
        <f>SUM(L159:P159)</f>
        <v>375846</v>
      </c>
    </row>
    <row r="160" spans="1:20" ht="14.45" customHeight="1" x14ac:dyDescent="0.2">
      <c r="A160" s="3"/>
      <c r="B160" s="3"/>
      <c r="C160" s="245" t="s">
        <v>130</v>
      </c>
      <c r="D160" s="245"/>
      <c r="E160" s="245"/>
      <c r="F160" s="246"/>
      <c r="G160" s="247"/>
      <c r="H160" s="16"/>
      <c r="K160" s="245"/>
      <c r="L160" s="248">
        <v>68146</v>
      </c>
      <c r="M160" s="244"/>
      <c r="N160" s="248">
        <v>12145</v>
      </c>
      <c r="O160" s="244"/>
      <c r="P160" s="248">
        <v>-80291</v>
      </c>
      <c r="Q160" s="244"/>
      <c r="R160" s="248">
        <f>SUM(L160:P160)</f>
        <v>0</v>
      </c>
    </row>
    <row r="161" spans="1:20" ht="14.45" customHeight="1" x14ac:dyDescent="0.2">
      <c r="A161" s="3"/>
      <c r="B161" s="3"/>
      <c r="C161" s="472" t="s">
        <v>131</v>
      </c>
      <c r="D161" s="472"/>
      <c r="E161" s="472"/>
      <c r="F161" s="471"/>
      <c r="G161" s="471"/>
      <c r="H161" s="16"/>
      <c r="K161" s="16"/>
      <c r="L161" s="244">
        <f>SUM(L159:L160)</f>
        <v>598955</v>
      </c>
      <c r="M161" s="244">
        <f t="shared" ref="M161:R161" si="14">SUM(M159:M160)</f>
        <v>0</v>
      </c>
      <c r="N161" s="244">
        <f t="shared" si="14"/>
        <v>35489</v>
      </c>
      <c r="O161" s="244">
        <f t="shared" si="14"/>
        <v>0</v>
      </c>
      <c r="P161" s="244">
        <f t="shared" si="14"/>
        <v>-258598</v>
      </c>
      <c r="Q161" s="244">
        <f t="shared" si="14"/>
        <v>0</v>
      </c>
      <c r="R161" s="244">
        <f t="shared" si="14"/>
        <v>375846</v>
      </c>
      <c r="T161" s="271">
        <f>R161-PL!N19</f>
        <v>0</v>
      </c>
    </row>
    <row r="162" spans="1:20" ht="14.45" customHeight="1" x14ac:dyDescent="0.2">
      <c r="A162" s="3"/>
      <c r="B162" s="3"/>
      <c r="C162" s="245" t="s">
        <v>92</v>
      </c>
      <c r="D162" s="245"/>
      <c r="E162" s="245"/>
      <c r="F162" s="245"/>
      <c r="G162" s="16"/>
      <c r="H162" s="16"/>
      <c r="K162" s="245"/>
      <c r="L162" s="248">
        <v>173193</v>
      </c>
      <c r="M162" s="244"/>
      <c r="N162" s="248">
        <v>1</v>
      </c>
      <c r="O162" s="244"/>
      <c r="P162" s="248">
        <v>-66350</v>
      </c>
      <c r="Q162" s="244"/>
      <c r="R162" s="248">
        <f>SUM(L162:P162)</f>
        <v>106844</v>
      </c>
      <c r="T162" s="271">
        <f>R162-PL!N25</f>
        <v>0</v>
      </c>
    </row>
    <row r="163" spans="1:20" ht="14.45" customHeight="1" x14ac:dyDescent="0.2">
      <c r="A163" s="3"/>
      <c r="B163" s="3"/>
      <c r="C163" s="472"/>
      <c r="D163" s="472"/>
      <c r="E163" s="472"/>
      <c r="F163" s="472"/>
      <c r="G163" s="472"/>
      <c r="H163" s="16"/>
      <c r="K163" s="16"/>
      <c r="L163" s="244">
        <f>SUM(L161:L162)</f>
        <v>772148</v>
      </c>
      <c r="M163" s="244">
        <f t="shared" ref="M163:R163" si="15">SUM(M161:M162)</f>
        <v>0</v>
      </c>
      <c r="N163" s="244">
        <f t="shared" si="15"/>
        <v>35490</v>
      </c>
      <c r="O163" s="244">
        <f t="shared" si="15"/>
        <v>0</v>
      </c>
      <c r="P163" s="244">
        <f t="shared" si="15"/>
        <v>-324948</v>
      </c>
      <c r="Q163" s="244">
        <f t="shared" si="15"/>
        <v>0</v>
      </c>
      <c r="R163" s="244">
        <f t="shared" si="15"/>
        <v>482690</v>
      </c>
    </row>
    <row r="164" spans="1:20" ht="14.45" customHeight="1" x14ac:dyDescent="0.2">
      <c r="A164" s="3"/>
      <c r="B164" s="3"/>
      <c r="C164" s="245" t="s">
        <v>137</v>
      </c>
      <c r="D164" s="245"/>
      <c r="E164" s="245"/>
      <c r="F164" s="245"/>
      <c r="G164" s="16"/>
      <c r="H164" s="16"/>
      <c r="K164" s="245"/>
      <c r="L164" s="248">
        <v>-377573</v>
      </c>
      <c r="M164" s="244"/>
      <c r="N164" s="248">
        <v>-23562</v>
      </c>
      <c r="O164" s="244"/>
      <c r="P164" s="248">
        <v>138624</v>
      </c>
      <c r="Q164" s="244"/>
      <c r="R164" s="248">
        <f>SUM(L164:Q164)</f>
        <v>-262511</v>
      </c>
      <c r="T164" s="271">
        <f>R164-PL!N20-PL!N21</f>
        <v>0</v>
      </c>
    </row>
    <row r="165" spans="1:20" ht="14.45" customHeight="1" x14ac:dyDescent="0.2">
      <c r="A165" s="3"/>
      <c r="B165" s="3"/>
      <c r="C165" s="472" t="s">
        <v>132</v>
      </c>
      <c r="D165" s="472"/>
      <c r="E165" s="472"/>
      <c r="F165" s="472"/>
      <c r="G165" s="472"/>
      <c r="H165" s="16"/>
      <c r="K165" s="16"/>
      <c r="L165" s="244">
        <f>SUM(L163:L164)</f>
        <v>394575</v>
      </c>
      <c r="M165" s="244">
        <f t="shared" ref="M165:R165" si="16">SUM(M163:M164)</f>
        <v>0</v>
      </c>
      <c r="N165" s="244">
        <f t="shared" si="16"/>
        <v>11928</v>
      </c>
      <c r="O165" s="244">
        <f t="shared" si="16"/>
        <v>0</v>
      </c>
      <c r="P165" s="244">
        <f t="shared" si="16"/>
        <v>-186324</v>
      </c>
      <c r="Q165" s="244">
        <f t="shared" si="16"/>
        <v>0</v>
      </c>
      <c r="R165" s="244">
        <f t="shared" si="16"/>
        <v>220179</v>
      </c>
    </row>
    <row r="166" spans="1:20" ht="14.45" customHeight="1" x14ac:dyDescent="0.2">
      <c r="A166" s="3"/>
      <c r="B166" s="3"/>
      <c r="C166" s="472" t="s">
        <v>138</v>
      </c>
      <c r="D166" s="472"/>
      <c r="E166" s="472"/>
      <c r="F166" s="472"/>
      <c r="G166" s="472"/>
      <c r="H166" s="16"/>
      <c r="K166" s="16"/>
      <c r="L166" s="244">
        <v>-128146</v>
      </c>
      <c r="M166" s="244"/>
      <c r="N166" s="244">
        <v>-5233</v>
      </c>
      <c r="O166" s="244"/>
      <c r="P166" s="244">
        <v>109338</v>
      </c>
      <c r="Q166" s="244"/>
      <c r="R166" s="244">
        <f>SUM(L166:Q166)</f>
        <v>-24041</v>
      </c>
    </row>
    <row r="167" spans="1:20" ht="14.45" customHeight="1" x14ac:dyDescent="0.2">
      <c r="A167" s="3"/>
      <c r="B167" s="3"/>
      <c r="C167" s="472" t="s">
        <v>104</v>
      </c>
      <c r="D167" s="472"/>
      <c r="E167" s="472"/>
      <c r="F167" s="472"/>
      <c r="G167" s="472"/>
      <c r="H167" s="16"/>
      <c r="K167" s="16"/>
      <c r="L167" s="244">
        <v>-41220</v>
      </c>
      <c r="M167" s="244"/>
      <c r="N167" s="244">
        <v>0</v>
      </c>
      <c r="O167" s="244"/>
      <c r="P167" s="244">
        <v>30934</v>
      </c>
      <c r="Q167" s="244"/>
      <c r="R167" s="244">
        <f>SUM(L167:Q167)</f>
        <v>-10286</v>
      </c>
    </row>
    <row r="168" spans="1:20" ht="14.45" customHeight="1" thickBot="1" x14ac:dyDescent="0.25">
      <c r="A168" s="3"/>
      <c r="B168" s="3"/>
      <c r="C168" s="249" t="s">
        <v>103</v>
      </c>
      <c r="D168" s="249"/>
      <c r="E168" s="249"/>
      <c r="F168" s="250"/>
      <c r="G168" s="16"/>
      <c r="H168" s="16"/>
      <c r="K168" s="250"/>
      <c r="L168" s="251">
        <f>SUM(L165:L167)</f>
        <v>225209</v>
      </c>
      <c r="M168" s="244">
        <f t="shared" ref="M168:R168" si="17">SUM(M165:M167)</f>
        <v>0</v>
      </c>
      <c r="N168" s="251">
        <f t="shared" si="17"/>
        <v>6695</v>
      </c>
      <c r="O168" s="244">
        <f t="shared" si="17"/>
        <v>0</v>
      </c>
      <c r="P168" s="251">
        <f t="shared" si="17"/>
        <v>-46052</v>
      </c>
      <c r="Q168" s="244">
        <f t="shared" si="17"/>
        <v>0</v>
      </c>
      <c r="R168" s="251">
        <f t="shared" si="17"/>
        <v>185852</v>
      </c>
      <c r="T168" s="271">
        <f>R168-PL!N35</f>
        <v>0</v>
      </c>
    </row>
    <row r="169" spans="1:20" ht="14.45" customHeight="1" x14ac:dyDescent="0.2">
      <c r="A169" s="3"/>
      <c r="B169" s="3"/>
      <c r="C169" s="247"/>
      <c r="D169" s="247"/>
      <c r="E169" s="247"/>
      <c r="F169" s="16"/>
      <c r="G169" s="16"/>
      <c r="H169" s="16"/>
      <c r="K169" s="16"/>
      <c r="L169" s="244"/>
      <c r="M169" s="244"/>
      <c r="N169" s="244"/>
      <c r="O169" s="244"/>
      <c r="P169" s="244"/>
      <c r="Q169" s="244"/>
      <c r="R169" s="244"/>
      <c r="T169" s="271"/>
    </row>
    <row r="170" spans="1:20" ht="14.45" customHeight="1" x14ac:dyDescent="0.2">
      <c r="A170" s="3"/>
      <c r="B170" s="3"/>
      <c r="C170" s="471"/>
      <c r="D170" s="471"/>
      <c r="E170" s="471"/>
      <c r="F170" s="471"/>
      <c r="G170" s="471"/>
      <c r="H170" s="16"/>
      <c r="K170" s="16"/>
      <c r="L170" s="16"/>
      <c r="M170" s="16"/>
      <c r="N170" s="16"/>
      <c r="O170" s="16"/>
      <c r="P170" s="16"/>
      <c r="Q170" s="16"/>
      <c r="R170" s="16"/>
    </row>
    <row r="171" spans="1:20" ht="14.45" customHeight="1" x14ac:dyDescent="0.2">
      <c r="A171" s="3">
        <v>12</v>
      </c>
      <c r="B171" s="3"/>
      <c r="C171" s="606" t="s">
        <v>430</v>
      </c>
      <c r="D171" s="606"/>
      <c r="E171" s="606"/>
      <c r="F171" s="606"/>
      <c r="G171" s="471"/>
      <c r="H171" s="16"/>
      <c r="K171" s="16"/>
      <c r="L171" s="16"/>
      <c r="M171" s="16"/>
      <c r="N171" s="16"/>
      <c r="O171" s="16"/>
      <c r="P171" s="16"/>
      <c r="Q171" s="16"/>
      <c r="R171" s="16"/>
    </row>
    <row r="172" spans="1:20" ht="14.45" customHeight="1" x14ac:dyDescent="0.2">
      <c r="A172" s="3"/>
      <c r="B172" s="3"/>
      <c r="C172" s="606"/>
      <c r="D172" s="606"/>
      <c r="E172" s="606"/>
      <c r="F172" s="606"/>
      <c r="G172" s="606"/>
      <c r="H172" s="16"/>
      <c r="K172" s="16"/>
      <c r="L172" s="16"/>
      <c r="M172" s="16"/>
      <c r="N172" s="16"/>
      <c r="O172" s="16"/>
      <c r="P172" s="16"/>
      <c r="Q172" s="16"/>
      <c r="R172" s="16"/>
    </row>
    <row r="173" spans="1:20" ht="29.25" customHeight="1" thickBot="1" x14ac:dyDescent="0.25">
      <c r="A173" s="3"/>
      <c r="B173" s="3"/>
      <c r="C173" s="573"/>
      <c r="D173" s="573"/>
      <c r="E173" s="573"/>
      <c r="F173" s="573"/>
      <c r="G173" s="247"/>
      <c r="H173" s="21"/>
      <c r="K173" s="273"/>
      <c r="L173" s="574" t="s">
        <v>126</v>
      </c>
      <c r="M173" s="16"/>
      <c r="N173" s="575" t="s">
        <v>136</v>
      </c>
      <c r="O173" s="16"/>
      <c r="P173" s="574" t="s">
        <v>127</v>
      </c>
      <c r="Q173" s="16"/>
      <c r="R173" s="574" t="s">
        <v>128</v>
      </c>
    </row>
    <row r="174" spans="1:20" ht="14.45" customHeight="1" x14ac:dyDescent="0.2">
      <c r="A174" s="3"/>
      <c r="B174" s="3"/>
      <c r="C174" s="571" t="s">
        <v>133</v>
      </c>
      <c r="D174" s="571"/>
      <c r="E174" s="571"/>
      <c r="F174" s="571"/>
      <c r="G174" s="571"/>
      <c r="H174" s="16"/>
      <c r="K174" s="16"/>
      <c r="L174" s="16" t="s">
        <v>3</v>
      </c>
      <c r="M174" s="16"/>
      <c r="N174" s="16" t="s">
        <v>3</v>
      </c>
      <c r="O174" s="16"/>
      <c r="P174" s="16" t="s">
        <v>3</v>
      </c>
      <c r="Q174" s="16"/>
      <c r="R174" s="16" t="s">
        <v>3</v>
      </c>
    </row>
    <row r="175" spans="1:20" ht="14.45" customHeight="1" x14ac:dyDescent="0.2">
      <c r="A175" s="3"/>
      <c r="B175" s="3"/>
      <c r="C175" s="571" t="s">
        <v>372</v>
      </c>
      <c r="D175" s="571"/>
      <c r="E175" s="571"/>
      <c r="F175" s="571"/>
      <c r="G175" s="571"/>
      <c r="H175" s="16"/>
      <c r="K175" s="16"/>
      <c r="L175" s="16"/>
      <c r="M175" s="16"/>
      <c r="N175" s="16"/>
      <c r="O175" s="16"/>
      <c r="P175" s="16"/>
      <c r="Q175" s="16"/>
      <c r="R175" s="16"/>
    </row>
    <row r="176" spans="1:20" ht="14.45" customHeight="1" x14ac:dyDescent="0.2">
      <c r="A176" s="3"/>
      <c r="B176" s="3"/>
      <c r="C176" s="571"/>
      <c r="D176" s="571"/>
      <c r="E176" s="571"/>
      <c r="F176" s="571"/>
      <c r="G176" s="571"/>
      <c r="H176" s="16"/>
      <c r="K176" s="16"/>
      <c r="L176" s="16"/>
      <c r="M176" s="16"/>
      <c r="N176" s="16"/>
      <c r="O176" s="16"/>
      <c r="P176" s="16"/>
      <c r="Q176" s="16"/>
      <c r="R176" s="16"/>
    </row>
    <row r="177" spans="1:20" ht="14.45" customHeight="1" x14ac:dyDescent="0.2">
      <c r="A177" s="3"/>
      <c r="B177" s="3"/>
      <c r="C177" s="572" t="s">
        <v>134</v>
      </c>
      <c r="D177" s="572"/>
      <c r="E177" s="572"/>
      <c r="F177" s="571"/>
      <c r="G177" s="571"/>
      <c r="H177" s="16"/>
      <c r="K177" s="16"/>
      <c r="L177" s="244">
        <v>4598422</v>
      </c>
      <c r="M177" s="16"/>
      <c r="N177" s="244">
        <v>16187</v>
      </c>
      <c r="O177" s="16"/>
      <c r="P177" s="244">
        <v>-1437311</v>
      </c>
      <c r="Q177" s="16"/>
      <c r="R177" s="244">
        <f>SUM(L177:P177)</f>
        <v>3177298</v>
      </c>
    </row>
    <row r="178" spans="1:20" ht="14.45" customHeight="1" thickBot="1" x14ac:dyDescent="0.25">
      <c r="A178" s="3"/>
      <c r="B178" s="3"/>
      <c r="C178" s="249" t="s">
        <v>72</v>
      </c>
      <c r="D178" s="249"/>
      <c r="E178" s="249"/>
      <c r="F178" s="249"/>
      <c r="G178" s="247"/>
      <c r="H178" s="16"/>
      <c r="K178" s="250"/>
      <c r="L178" s="252">
        <f>SUM(L177)</f>
        <v>4598422</v>
      </c>
      <c r="M178" s="157" t="e">
        <f>SUM(#REF!)</f>
        <v>#REF!</v>
      </c>
      <c r="N178" s="252">
        <f>SUM(N177)</f>
        <v>16187</v>
      </c>
      <c r="O178" s="157" t="e">
        <f>SUM(#REF!)</f>
        <v>#REF!</v>
      </c>
      <c r="P178" s="252">
        <f>SUM(P177)</f>
        <v>-1437311</v>
      </c>
      <c r="Q178" s="157" t="e">
        <f>SUM(#REF!)</f>
        <v>#REF!</v>
      </c>
      <c r="R178" s="252">
        <f>SUM(R177)</f>
        <v>3177298</v>
      </c>
      <c r="T178" s="271">
        <f>BS!D24-R178</f>
        <v>0</v>
      </c>
    </row>
    <row r="179" spans="1:20" ht="14.45" customHeight="1" x14ac:dyDescent="0.2">
      <c r="A179" s="3"/>
      <c r="B179" s="3"/>
      <c r="C179" s="572"/>
      <c r="D179" s="572"/>
      <c r="E179" s="572"/>
      <c r="F179" s="572"/>
      <c r="G179" s="572"/>
      <c r="H179" s="16"/>
      <c r="K179" s="16"/>
      <c r="L179" s="16"/>
      <c r="M179" s="16"/>
      <c r="N179" s="16"/>
      <c r="O179" s="16"/>
      <c r="P179" s="16"/>
      <c r="Q179" s="16"/>
      <c r="R179" s="16"/>
    </row>
    <row r="180" spans="1:20" ht="14.45" customHeight="1" x14ac:dyDescent="0.2">
      <c r="A180" s="3"/>
      <c r="B180" s="3"/>
      <c r="C180" s="572" t="s">
        <v>135</v>
      </c>
      <c r="D180" s="572"/>
      <c r="E180" s="572"/>
      <c r="F180" s="571"/>
      <c r="G180" s="571"/>
      <c r="H180" s="16"/>
      <c r="K180" s="16"/>
      <c r="L180" s="244">
        <v>2291786</v>
      </c>
      <c r="M180" s="244"/>
      <c r="N180" s="244">
        <v>9535</v>
      </c>
      <c r="O180" s="244"/>
      <c r="P180" s="244">
        <v>-710004</v>
      </c>
      <c r="Q180" s="244"/>
      <c r="R180" s="244">
        <f>SUM(L180:P180)</f>
        <v>1591317</v>
      </c>
    </row>
    <row r="181" spans="1:20" ht="14.45" customHeight="1" thickBot="1" x14ac:dyDescent="0.25">
      <c r="A181" s="3"/>
      <c r="B181" s="3"/>
      <c r="C181" s="249" t="s">
        <v>78</v>
      </c>
      <c r="D181" s="249"/>
      <c r="E181" s="249"/>
      <c r="F181" s="249"/>
      <c r="G181" s="247"/>
      <c r="H181" s="16"/>
      <c r="K181" s="250"/>
      <c r="L181" s="252">
        <f>SUM(L180)</f>
        <v>2291786</v>
      </c>
      <c r="M181" s="157" t="e">
        <f>SUM(#REF!)</f>
        <v>#REF!</v>
      </c>
      <c r="N181" s="252">
        <f>SUM(N180)</f>
        <v>9535</v>
      </c>
      <c r="O181" s="157" t="e">
        <f>SUM(#REF!)</f>
        <v>#REF!</v>
      </c>
      <c r="P181" s="252">
        <f>SUM(P180)</f>
        <v>-710004</v>
      </c>
      <c r="Q181" s="157" t="e">
        <f>SUM(#REF!)</f>
        <v>#REF!</v>
      </c>
      <c r="R181" s="252">
        <f>SUM(R180)</f>
        <v>1591317</v>
      </c>
      <c r="T181" s="271">
        <f>BS!D46-R181</f>
        <v>0</v>
      </c>
    </row>
    <row r="182" spans="1:20" ht="14.45" customHeight="1" x14ac:dyDescent="0.2">
      <c r="A182" s="3"/>
      <c r="B182" s="3"/>
      <c r="C182" s="265"/>
      <c r="D182" s="327"/>
      <c r="E182" s="265"/>
      <c r="F182" s="265"/>
      <c r="G182" s="265"/>
      <c r="H182" s="16"/>
      <c r="K182" s="16"/>
      <c r="L182" s="16"/>
      <c r="M182" s="16"/>
      <c r="N182" s="16"/>
      <c r="O182" s="16"/>
      <c r="P182" s="16"/>
      <c r="Q182" s="16"/>
      <c r="R182" s="16"/>
    </row>
    <row r="183" spans="1:20" ht="14.45" customHeight="1" x14ac:dyDescent="0.2">
      <c r="A183" s="3"/>
      <c r="B183" s="3"/>
      <c r="C183" s="242" t="s">
        <v>133</v>
      </c>
      <c r="D183" s="327"/>
      <c r="E183" s="242"/>
      <c r="F183" s="242"/>
      <c r="G183" s="242"/>
      <c r="H183" s="16"/>
      <c r="K183" s="16"/>
      <c r="L183" s="16"/>
      <c r="M183" s="16"/>
      <c r="N183" s="16"/>
      <c r="O183" s="16"/>
      <c r="P183" s="16"/>
      <c r="Q183" s="16"/>
      <c r="R183" s="16"/>
    </row>
    <row r="184" spans="1:20" ht="14.45" customHeight="1" x14ac:dyDescent="0.2">
      <c r="A184" s="3"/>
      <c r="B184" s="3"/>
      <c r="C184" s="242" t="s">
        <v>239</v>
      </c>
      <c r="D184" s="327"/>
      <c r="E184" s="242"/>
      <c r="F184" s="242"/>
      <c r="G184" s="242"/>
      <c r="H184" s="16"/>
      <c r="K184" s="16"/>
      <c r="L184" s="16"/>
      <c r="M184" s="16"/>
      <c r="N184" s="16"/>
      <c r="O184" s="16"/>
      <c r="P184" s="16"/>
      <c r="Q184" s="16"/>
      <c r="R184" s="16"/>
    </row>
    <row r="185" spans="1:20" ht="14.45" customHeight="1" x14ac:dyDescent="0.2">
      <c r="A185" s="3"/>
      <c r="B185" s="3"/>
      <c r="C185" s="242"/>
      <c r="D185" s="327"/>
      <c r="E185" s="242"/>
      <c r="F185" s="242"/>
      <c r="G185" s="242"/>
      <c r="H185" s="16"/>
      <c r="K185" s="16"/>
      <c r="L185" s="16"/>
      <c r="M185" s="16"/>
      <c r="N185" s="16"/>
      <c r="O185" s="16"/>
      <c r="P185" s="16"/>
      <c r="Q185" s="16"/>
      <c r="R185" s="16"/>
    </row>
    <row r="186" spans="1:20" ht="14.45" customHeight="1" x14ac:dyDescent="0.2">
      <c r="A186" s="3"/>
      <c r="B186" s="3"/>
      <c r="C186" s="243" t="s">
        <v>134</v>
      </c>
      <c r="D186" s="331"/>
      <c r="E186" s="243"/>
      <c r="F186" s="242"/>
      <c r="G186" s="242"/>
      <c r="H186" s="16"/>
      <c r="K186" s="16"/>
      <c r="L186" s="244">
        <v>3623363</v>
      </c>
      <c r="M186" s="16"/>
      <c r="N186" s="244">
        <v>13986</v>
      </c>
      <c r="O186" s="16"/>
      <c r="P186" s="244">
        <v>-1110379</v>
      </c>
      <c r="Q186" s="16"/>
      <c r="R186" s="244">
        <f>SUM(L186:P186)</f>
        <v>2526970</v>
      </c>
    </row>
    <row r="187" spans="1:20" ht="14.45" customHeight="1" thickBot="1" x14ac:dyDescent="0.25">
      <c r="A187" s="3"/>
      <c r="B187" s="3"/>
      <c r="C187" s="249" t="s">
        <v>72</v>
      </c>
      <c r="D187" s="249"/>
      <c r="E187" s="249"/>
      <c r="F187" s="249"/>
      <c r="G187" s="247"/>
      <c r="H187" s="16"/>
      <c r="K187" s="250"/>
      <c r="L187" s="252">
        <f>SUM(L186)</f>
        <v>3623363</v>
      </c>
      <c r="M187" s="157" t="e">
        <f>SUM(#REF!)</f>
        <v>#REF!</v>
      </c>
      <c r="N187" s="252">
        <f>SUM(N186)</f>
        <v>13986</v>
      </c>
      <c r="O187" s="157" t="e">
        <f>SUM(#REF!)</f>
        <v>#REF!</v>
      </c>
      <c r="P187" s="252">
        <f>SUM(P186)</f>
        <v>-1110379</v>
      </c>
      <c r="Q187" s="157" t="e">
        <f>SUM(#REF!)</f>
        <v>#REF!</v>
      </c>
      <c r="R187" s="252">
        <f>SUM(R186)</f>
        <v>2526970</v>
      </c>
      <c r="T187" s="271">
        <f>R187-BS!F24</f>
        <v>0</v>
      </c>
    </row>
    <row r="188" spans="1:20" ht="14.45" customHeight="1" x14ac:dyDescent="0.2">
      <c r="A188" s="3"/>
      <c r="B188" s="3"/>
      <c r="C188" s="243"/>
      <c r="D188" s="331"/>
      <c r="E188" s="243"/>
      <c r="F188" s="243"/>
      <c r="G188" s="243"/>
      <c r="H188" s="16"/>
      <c r="K188" s="16"/>
      <c r="L188" s="16"/>
      <c r="M188" s="16"/>
      <c r="N188" s="16"/>
      <c r="O188" s="16"/>
      <c r="P188" s="16"/>
      <c r="Q188" s="16"/>
      <c r="R188" s="16"/>
    </row>
    <row r="189" spans="1:20" ht="14.45" customHeight="1" x14ac:dyDescent="0.2">
      <c r="A189" s="3"/>
      <c r="B189" s="3"/>
      <c r="C189" s="243" t="s">
        <v>135</v>
      </c>
      <c r="D189" s="331"/>
      <c r="E189" s="243"/>
      <c r="F189" s="242"/>
      <c r="G189" s="242"/>
      <c r="H189" s="16"/>
      <c r="K189" s="16"/>
      <c r="L189" s="244">
        <v>1484419</v>
      </c>
      <c r="M189" s="244"/>
      <c r="N189" s="244">
        <v>6790</v>
      </c>
      <c r="O189" s="244"/>
      <c r="P189" s="244">
        <f>-477223-1</f>
        <v>-477224</v>
      </c>
      <c r="Q189" s="244"/>
      <c r="R189" s="244">
        <f>SUM(L189:P189)</f>
        <v>1013985</v>
      </c>
    </row>
    <row r="190" spans="1:20" ht="14.45" customHeight="1" thickBot="1" x14ac:dyDescent="0.25">
      <c r="A190" s="3"/>
      <c r="B190" s="3"/>
      <c r="C190" s="249" t="s">
        <v>78</v>
      </c>
      <c r="D190" s="249"/>
      <c r="E190" s="249"/>
      <c r="F190" s="249"/>
      <c r="G190" s="247"/>
      <c r="H190" s="16"/>
      <c r="K190" s="250"/>
      <c r="L190" s="252">
        <f>SUM(L189)</f>
        <v>1484419</v>
      </c>
      <c r="M190" s="157" t="e">
        <f>SUM(#REF!)</f>
        <v>#REF!</v>
      </c>
      <c r="N190" s="252">
        <f>SUM(N189)</f>
        <v>6790</v>
      </c>
      <c r="O190" s="157" t="e">
        <f>SUM(#REF!)</f>
        <v>#REF!</v>
      </c>
      <c r="P190" s="252">
        <f>SUM(P189)</f>
        <v>-477224</v>
      </c>
      <c r="Q190" s="157" t="e">
        <f>SUM(#REF!)</f>
        <v>#REF!</v>
      </c>
      <c r="R190" s="252">
        <f>SUM(R189)</f>
        <v>1013985</v>
      </c>
      <c r="T190" s="271">
        <f>R190-BS!F46</f>
        <v>0</v>
      </c>
    </row>
    <row r="191" spans="1:20" ht="14.25" customHeight="1" x14ac:dyDescent="0.2">
      <c r="A191" s="3"/>
      <c r="B191" s="3"/>
      <c r="C191" s="15"/>
      <c r="D191" s="327"/>
      <c r="E191" s="234"/>
      <c r="F191" s="15"/>
      <c r="G191" s="15"/>
      <c r="H191" s="16"/>
      <c r="I191" s="16"/>
      <c r="J191" s="16"/>
      <c r="K191" s="16"/>
      <c r="L191" s="16"/>
      <c r="M191" s="16"/>
      <c r="N191" s="16"/>
      <c r="O191" s="16"/>
      <c r="P191" s="16"/>
    </row>
    <row r="192" spans="1:20" ht="12.75" customHeight="1" x14ac:dyDescent="0.2">
      <c r="A192" s="3"/>
      <c r="B192" s="3"/>
      <c r="C192" s="127"/>
      <c r="D192" s="127"/>
      <c r="E192" s="127"/>
      <c r="F192" s="127"/>
      <c r="G192" s="127"/>
      <c r="H192" s="127"/>
      <c r="I192" s="127"/>
      <c r="J192" s="127"/>
      <c r="K192" s="127"/>
      <c r="L192" s="127"/>
      <c r="M192" s="127"/>
      <c r="N192" s="127"/>
      <c r="O192" s="127"/>
      <c r="P192" s="127"/>
      <c r="Q192" s="127"/>
      <c r="R192" s="127"/>
    </row>
    <row r="193" spans="1:38" ht="14.45" customHeight="1" x14ac:dyDescent="0.2">
      <c r="A193" s="3">
        <v>13</v>
      </c>
      <c r="B193" s="3"/>
      <c r="C193" s="640" t="s">
        <v>185</v>
      </c>
      <c r="D193" s="640"/>
      <c r="E193" s="640"/>
      <c r="F193" s="650"/>
      <c r="G193" s="650"/>
      <c r="H193" s="650"/>
      <c r="I193" s="650"/>
      <c r="J193" s="650"/>
      <c r="K193" s="650"/>
      <c r="L193" s="650"/>
      <c r="M193" s="650"/>
      <c r="N193" s="650"/>
      <c r="O193" s="650"/>
      <c r="P193" s="650"/>
      <c r="R193" s="29"/>
    </row>
    <row r="194" spans="1:38" ht="14.45" customHeight="1" x14ac:dyDescent="0.2">
      <c r="A194" s="3"/>
      <c r="B194" s="3"/>
      <c r="C194" s="640"/>
      <c r="D194" s="640"/>
      <c r="E194" s="640"/>
      <c r="F194" s="650"/>
      <c r="G194" s="650"/>
      <c r="H194" s="650"/>
      <c r="I194" s="650"/>
      <c r="J194" s="650"/>
      <c r="K194" s="650"/>
      <c r="L194" s="650"/>
      <c r="M194" s="650"/>
      <c r="N194" s="650"/>
      <c r="O194" s="650"/>
      <c r="P194" s="650"/>
      <c r="T194" s="640"/>
      <c r="U194" s="650"/>
      <c r="V194" s="650"/>
      <c r="W194" s="650"/>
      <c r="X194" s="650"/>
      <c r="Y194" s="650"/>
      <c r="Z194" s="650"/>
      <c r="AA194" s="650"/>
      <c r="AB194" s="650"/>
      <c r="AC194" s="650"/>
      <c r="AD194" s="650"/>
      <c r="AE194" s="650"/>
      <c r="AF194" s="650"/>
    </row>
    <row r="195" spans="1:38" ht="30.75" customHeight="1" x14ac:dyDescent="0.2">
      <c r="A195" s="3"/>
      <c r="B195" s="3"/>
      <c r="C195" s="636" t="s">
        <v>444</v>
      </c>
      <c r="D195" s="636"/>
      <c r="E195" s="636"/>
      <c r="F195" s="636"/>
      <c r="G195" s="636"/>
      <c r="H195" s="636"/>
      <c r="I195" s="636"/>
      <c r="J195" s="636"/>
      <c r="K195" s="636"/>
      <c r="L195" s="636"/>
      <c r="M195" s="636"/>
      <c r="N195" s="636"/>
      <c r="O195" s="636"/>
      <c r="P195" s="636"/>
      <c r="Q195" s="636"/>
      <c r="R195" s="636"/>
      <c r="S195" s="58"/>
      <c r="T195" s="272"/>
      <c r="U195" s="266"/>
      <c r="V195" s="92"/>
      <c r="W195" s="92"/>
      <c r="X195" s="92"/>
      <c r="Y195" s="92"/>
      <c r="Z195" s="92"/>
      <c r="AA195" s="92"/>
      <c r="AB195" s="92"/>
      <c r="AC195" s="92"/>
      <c r="AD195" s="92"/>
      <c r="AE195" s="92"/>
      <c r="AF195" s="92"/>
    </row>
    <row r="196" spans="1:38" ht="14.45" customHeight="1" x14ac:dyDescent="0.2">
      <c r="A196" s="3"/>
      <c r="B196" s="3"/>
      <c r="C196" s="11"/>
      <c r="D196" s="322"/>
      <c r="E196" s="230"/>
      <c r="F196" s="92"/>
      <c r="G196" s="92"/>
      <c r="H196" s="92"/>
      <c r="I196" s="92"/>
      <c r="J196" s="92"/>
      <c r="K196" s="92"/>
      <c r="L196" s="92"/>
      <c r="M196" s="92"/>
      <c r="N196" s="92"/>
      <c r="O196" s="92"/>
      <c r="P196" s="92"/>
      <c r="T196" s="272"/>
      <c r="U196" s="266"/>
      <c r="V196" s="92"/>
      <c r="W196" s="92"/>
      <c r="X196" s="92"/>
      <c r="Y196" s="92"/>
      <c r="Z196" s="92"/>
      <c r="AA196" s="92"/>
      <c r="AB196" s="92"/>
      <c r="AC196" s="92"/>
      <c r="AD196" s="92"/>
      <c r="AE196" s="92"/>
      <c r="AF196" s="92"/>
    </row>
    <row r="197" spans="1:38" ht="14.45" customHeight="1" x14ac:dyDescent="0.2">
      <c r="A197" s="20">
        <v>14</v>
      </c>
      <c r="B197" s="3"/>
      <c r="C197" s="3" t="s">
        <v>115</v>
      </c>
      <c r="D197" s="3"/>
      <c r="E197" s="3"/>
      <c r="F197" s="3"/>
      <c r="G197" s="3"/>
      <c r="T197" s="269"/>
    </row>
    <row r="198" spans="1:38" ht="14.45" customHeight="1" x14ac:dyDescent="0.2">
      <c r="A198" s="3"/>
      <c r="B198" s="3"/>
      <c r="C198" s="3"/>
      <c r="D198" s="3"/>
      <c r="E198" s="3"/>
      <c r="F198" s="3"/>
      <c r="G198" s="3"/>
    </row>
    <row r="199" spans="1:38" ht="90.75" customHeight="1" x14ac:dyDescent="0.2">
      <c r="A199" s="3"/>
      <c r="B199" s="3"/>
      <c r="C199" s="636" t="s">
        <v>447</v>
      </c>
      <c r="D199" s="636"/>
      <c r="E199" s="643"/>
      <c r="F199" s="643"/>
      <c r="G199" s="643"/>
      <c r="H199" s="643"/>
      <c r="I199" s="643"/>
      <c r="J199" s="643"/>
      <c r="K199" s="643"/>
      <c r="L199" s="643"/>
      <c r="M199" s="643"/>
      <c r="N199" s="643"/>
      <c r="O199" s="643"/>
      <c r="P199" s="643"/>
      <c r="Q199" s="643"/>
      <c r="R199" s="643"/>
    </row>
    <row r="200" spans="1:38" ht="10.5" customHeight="1" x14ac:dyDescent="0.2">
      <c r="A200" s="3"/>
      <c r="B200" s="3"/>
      <c r="C200" s="3"/>
      <c r="D200" s="3"/>
      <c r="E200" s="3"/>
      <c r="F200" s="42"/>
      <c r="G200" s="42"/>
    </row>
    <row r="201" spans="1:38" ht="14.45" customHeight="1" x14ac:dyDescent="0.2">
      <c r="A201" s="3">
        <v>15</v>
      </c>
      <c r="C201" s="640" t="s">
        <v>28</v>
      </c>
      <c r="D201" s="640"/>
      <c r="E201" s="640"/>
      <c r="F201" s="636"/>
      <c r="G201" s="636"/>
      <c r="H201" s="636"/>
      <c r="I201" s="636"/>
      <c r="J201" s="636"/>
      <c r="K201" s="636"/>
      <c r="L201" s="636"/>
      <c r="M201" s="636"/>
      <c r="N201" s="636"/>
      <c r="O201" s="636"/>
      <c r="P201" s="636"/>
      <c r="Q201" s="636"/>
      <c r="R201" s="636"/>
      <c r="U201" s="636"/>
      <c r="V201" s="663"/>
      <c r="W201" s="663"/>
      <c r="X201" s="663"/>
      <c r="Y201" s="663"/>
      <c r="Z201" s="663"/>
      <c r="AA201" s="663"/>
      <c r="AB201" s="663"/>
      <c r="AC201" s="663"/>
      <c r="AD201" s="663"/>
      <c r="AE201" s="663"/>
      <c r="AF201" s="663"/>
      <c r="AG201" s="663"/>
      <c r="AH201" s="663"/>
      <c r="AI201" s="663"/>
      <c r="AJ201" s="663"/>
      <c r="AK201" s="4"/>
      <c r="AL201" s="4"/>
    </row>
    <row r="202" spans="1:38" ht="14.45" customHeight="1" x14ac:dyDescent="0.2">
      <c r="A202" s="3"/>
      <c r="C202" s="11"/>
      <c r="D202" s="322"/>
      <c r="E202" s="230"/>
      <c r="F202" s="4"/>
      <c r="G202" s="4"/>
      <c r="H202" s="4"/>
      <c r="I202" s="4"/>
      <c r="J202" s="4"/>
      <c r="K202" s="4"/>
      <c r="L202" s="4"/>
      <c r="M202" s="4"/>
      <c r="N202" s="4"/>
      <c r="O202" s="4"/>
      <c r="P202" s="4"/>
      <c r="Q202" s="4"/>
      <c r="R202" s="4"/>
      <c r="U202" s="267"/>
      <c r="V202" s="71"/>
      <c r="W202" s="71"/>
      <c r="X202" s="71"/>
      <c r="Y202" s="71"/>
      <c r="Z202" s="71"/>
      <c r="AA202" s="71"/>
      <c r="AB202" s="71"/>
      <c r="AC202" s="71"/>
      <c r="AD202" s="71"/>
      <c r="AE202" s="71"/>
      <c r="AF202" s="71"/>
      <c r="AG202" s="71"/>
      <c r="AH202" s="71"/>
      <c r="AI202" s="71"/>
      <c r="AJ202" s="71"/>
      <c r="AK202" s="4"/>
      <c r="AL202" s="4"/>
    </row>
    <row r="203" spans="1:38" ht="30" customHeight="1" x14ac:dyDescent="0.2">
      <c r="B203" s="12"/>
      <c r="C203" s="325" t="s">
        <v>194</v>
      </c>
      <c r="D203" s="636" t="s">
        <v>286</v>
      </c>
      <c r="E203" s="660"/>
      <c r="F203" s="660"/>
      <c r="G203" s="660"/>
      <c r="H203" s="660"/>
      <c r="I203" s="660"/>
      <c r="J203" s="660"/>
      <c r="K203" s="660"/>
      <c r="L203" s="660"/>
      <c r="M203" s="660"/>
      <c r="N203" s="660"/>
      <c r="O203" s="660"/>
      <c r="P203" s="660"/>
      <c r="Q203" s="660"/>
      <c r="R203" s="660"/>
      <c r="U203" s="652"/>
      <c r="V203" s="663"/>
      <c r="W203" s="663"/>
      <c r="X203" s="663"/>
      <c r="Y203" s="663"/>
      <c r="Z203" s="663"/>
      <c r="AA203" s="663"/>
      <c r="AB203" s="663"/>
      <c r="AC203" s="663"/>
      <c r="AD203" s="663"/>
      <c r="AE203" s="663"/>
      <c r="AF203" s="663"/>
      <c r="AG203" s="663"/>
      <c r="AH203" s="663"/>
      <c r="AI203" s="663"/>
      <c r="AJ203" s="663"/>
      <c r="AK203" s="663"/>
      <c r="AL203" s="663"/>
    </row>
    <row r="204" spans="1:38" ht="12" customHeight="1" x14ac:dyDescent="0.2">
      <c r="B204" s="258"/>
      <c r="C204" s="254"/>
      <c r="D204" s="321"/>
      <c r="E204" s="254"/>
      <c r="F204" s="253"/>
      <c r="G204" s="253"/>
      <c r="H204" s="253"/>
      <c r="I204" s="253"/>
      <c r="J204" s="253"/>
      <c r="K204" s="253"/>
      <c r="L204" s="253"/>
      <c r="M204" s="253"/>
      <c r="N204" s="253"/>
      <c r="O204" s="253"/>
      <c r="P204" s="253"/>
      <c r="Q204" s="253"/>
      <c r="R204" s="253"/>
      <c r="U204" s="268"/>
      <c r="V204" s="261"/>
      <c r="W204" s="261"/>
      <c r="X204" s="261"/>
      <c r="Y204" s="261"/>
      <c r="Z204" s="261"/>
      <c r="AA204" s="261"/>
      <c r="AB204" s="261"/>
      <c r="AC204" s="261"/>
      <c r="AD204" s="261"/>
      <c r="AE204" s="261"/>
      <c r="AF204" s="261"/>
      <c r="AG204" s="261"/>
      <c r="AH204" s="261"/>
      <c r="AI204" s="261"/>
      <c r="AJ204" s="261"/>
      <c r="AK204" s="261"/>
      <c r="AL204" s="261"/>
    </row>
    <row r="205" spans="1:38" ht="35.25" customHeight="1" x14ac:dyDescent="0.2">
      <c r="B205" s="286"/>
      <c r="D205" s="636" t="s">
        <v>218</v>
      </c>
      <c r="E205" s="620"/>
      <c r="F205" s="620"/>
      <c r="G205" s="620"/>
      <c r="H205" s="620"/>
      <c r="I205" s="620"/>
      <c r="J205" s="620"/>
      <c r="K205" s="620"/>
      <c r="L205" s="620"/>
      <c r="M205" s="620"/>
      <c r="N205" s="620"/>
      <c r="O205" s="620"/>
      <c r="P205" s="620"/>
      <c r="Q205" s="620"/>
      <c r="R205" s="620"/>
      <c r="U205" s="268"/>
      <c r="V205" s="290"/>
      <c r="W205" s="290"/>
      <c r="X205" s="290"/>
      <c r="Y205" s="290"/>
      <c r="Z205" s="290"/>
      <c r="AA205" s="290"/>
      <c r="AB205" s="290"/>
      <c r="AC205" s="290"/>
      <c r="AD205" s="290"/>
      <c r="AE205" s="290"/>
      <c r="AF205" s="290"/>
      <c r="AG205" s="290"/>
      <c r="AH205" s="290"/>
      <c r="AI205" s="290"/>
      <c r="AJ205" s="290"/>
      <c r="AK205" s="290"/>
      <c r="AL205" s="290"/>
    </row>
    <row r="206" spans="1:38" ht="18" customHeight="1" x14ac:dyDescent="0.2">
      <c r="B206" s="286"/>
      <c r="C206" s="282"/>
      <c r="D206" s="321"/>
      <c r="E206" s="282"/>
      <c r="F206" s="281"/>
      <c r="G206" s="281"/>
      <c r="H206" s="281"/>
      <c r="I206" s="281"/>
      <c r="J206" s="281"/>
      <c r="K206" s="281"/>
      <c r="L206" s="281"/>
      <c r="M206" s="281"/>
      <c r="N206" s="281"/>
      <c r="O206" s="281"/>
      <c r="P206" s="281"/>
      <c r="Q206" s="281"/>
      <c r="R206" s="308"/>
      <c r="U206" s="268"/>
      <c r="V206" s="290"/>
      <c r="W206" s="290"/>
      <c r="X206" s="290"/>
      <c r="Y206" s="290"/>
      <c r="Z206" s="290"/>
      <c r="AA206" s="290"/>
      <c r="AB206" s="290"/>
      <c r="AC206" s="290"/>
      <c r="AD206" s="290"/>
      <c r="AE206" s="290"/>
      <c r="AF206" s="290"/>
      <c r="AG206" s="290"/>
      <c r="AH206" s="290"/>
      <c r="AI206" s="290"/>
      <c r="AJ206" s="290"/>
      <c r="AK206" s="290"/>
      <c r="AL206" s="290"/>
    </row>
    <row r="207" spans="1:38" ht="18" customHeight="1" x14ac:dyDescent="0.2">
      <c r="B207" s="286"/>
      <c r="C207" s="282"/>
      <c r="D207" s="321"/>
      <c r="E207" s="282"/>
      <c r="F207" s="281"/>
      <c r="G207" s="281"/>
      <c r="H207" s="281"/>
      <c r="I207" s="281"/>
      <c r="J207" s="281"/>
      <c r="K207" s="281"/>
      <c r="L207" s="281"/>
      <c r="M207" s="281"/>
      <c r="N207" s="281"/>
      <c r="O207" s="281"/>
      <c r="P207" s="281"/>
      <c r="Q207" s="281"/>
      <c r="R207" s="303" t="s">
        <v>82</v>
      </c>
      <c r="U207" s="268"/>
      <c r="V207" s="290"/>
      <c r="W207" s="290"/>
      <c r="X207" s="290"/>
      <c r="Y207" s="290"/>
      <c r="Z207" s="290"/>
      <c r="AA207" s="290"/>
      <c r="AB207" s="290"/>
      <c r="AC207" s="290"/>
      <c r="AD207" s="290"/>
      <c r="AE207" s="290"/>
      <c r="AF207" s="290"/>
      <c r="AG207" s="290"/>
      <c r="AH207" s="290"/>
      <c r="AI207" s="290"/>
      <c r="AJ207" s="290"/>
      <c r="AK207" s="290"/>
      <c r="AL207" s="290"/>
    </row>
    <row r="208" spans="1:38" ht="18" customHeight="1" x14ac:dyDescent="0.2">
      <c r="B208" s="286"/>
      <c r="C208" s="282"/>
      <c r="D208" s="321"/>
      <c r="E208" s="282"/>
      <c r="F208" s="281"/>
      <c r="G208" s="281"/>
      <c r="H208" s="281"/>
      <c r="I208" s="281"/>
      <c r="J208" s="281"/>
      <c r="K208" s="281"/>
      <c r="L208" s="281"/>
      <c r="M208" s="281"/>
      <c r="N208" s="281"/>
      <c r="O208" s="281"/>
      <c r="P208" s="281"/>
      <c r="Q208" s="281"/>
      <c r="R208" s="303" t="s">
        <v>267</v>
      </c>
      <c r="U208" s="268"/>
      <c r="V208" s="290"/>
      <c r="W208" s="290"/>
      <c r="X208" s="290"/>
      <c r="Y208" s="290"/>
      <c r="Z208" s="290"/>
      <c r="AA208" s="290"/>
      <c r="AB208" s="290"/>
      <c r="AC208" s="290"/>
      <c r="AD208" s="290"/>
      <c r="AE208" s="290"/>
      <c r="AF208" s="290"/>
      <c r="AG208" s="290"/>
      <c r="AH208" s="290"/>
      <c r="AI208" s="290"/>
      <c r="AJ208" s="290"/>
      <c r="AK208" s="290"/>
      <c r="AL208" s="290"/>
    </row>
    <row r="209" spans="2:38" ht="18" customHeight="1" x14ac:dyDescent="0.2">
      <c r="B209" s="286"/>
      <c r="D209" s="295" t="s">
        <v>219</v>
      </c>
      <c r="E209" s="282"/>
      <c r="F209" s="281"/>
      <c r="G209" s="281"/>
      <c r="H209" s="281"/>
      <c r="I209" s="281"/>
      <c r="J209" s="281"/>
      <c r="K209" s="281"/>
      <c r="L209" s="281"/>
      <c r="M209" s="281"/>
      <c r="N209" s="281"/>
      <c r="O209" s="281"/>
      <c r="P209" s="281"/>
      <c r="Q209" s="281"/>
      <c r="R209" s="303" t="s">
        <v>3</v>
      </c>
      <c r="U209" s="268"/>
      <c r="V209" s="290"/>
      <c r="W209" s="290"/>
      <c r="X209" s="290"/>
      <c r="Y209" s="290"/>
      <c r="Z209" s="290"/>
      <c r="AA209" s="290"/>
      <c r="AB209" s="290"/>
      <c r="AC209" s="290"/>
      <c r="AD209" s="290"/>
      <c r="AE209" s="290"/>
      <c r="AF209" s="290"/>
      <c r="AG209" s="290"/>
      <c r="AH209" s="290"/>
      <c r="AI209" s="290"/>
      <c r="AJ209" s="290"/>
      <c r="AK209" s="290"/>
      <c r="AL209" s="290"/>
    </row>
    <row r="210" spans="2:38" ht="18" customHeight="1" x14ac:dyDescent="0.2">
      <c r="B210" s="286"/>
      <c r="D210" s="296" t="s">
        <v>202</v>
      </c>
      <c r="E210" s="282"/>
      <c r="F210" s="281"/>
      <c r="G210" s="281"/>
      <c r="H210" s="281"/>
      <c r="I210" s="281"/>
      <c r="J210" s="281"/>
      <c r="K210" s="281"/>
      <c r="L210" s="281"/>
      <c r="M210" s="281"/>
      <c r="N210" s="281"/>
      <c r="O210" s="281"/>
      <c r="P210" s="281"/>
      <c r="Q210" s="281"/>
      <c r="R210" s="305">
        <v>282485</v>
      </c>
      <c r="U210" s="268"/>
      <c r="V210" s="290"/>
      <c r="W210" s="290"/>
      <c r="X210" s="290"/>
      <c r="Y210" s="290"/>
      <c r="Z210" s="290"/>
      <c r="AA210" s="290"/>
      <c r="AB210" s="290"/>
      <c r="AC210" s="290"/>
      <c r="AD210" s="290"/>
      <c r="AE210" s="290"/>
      <c r="AF210" s="290"/>
      <c r="AG210" s="290"/>
      <c r="AH210" s="290"/>
      <c r="AI210" s="290"/>
      <c r="AJ210" s="290"/>
      <c r="AK210" s="290"/>
      <c r="AL210" s="290"/>
    </row>
    <row r="211" spans="2:38" ht="18" customHeight="1" x14ac:dyDescent="0.2">
      <c r="B211" s="286"/>
      <c r="D211" s="296" t="s">
        <v>43</v>
      </c>
      <c r="E211" s="282"/>
      <c r="F211" s="281"/>
      <c r="G211" s="281"/>
      <c r="H211" s="281"/>
      <c r="I211" s="281"/>
      <c r="J211" s="281"/>
      <c r="K211" s="281"/>
      <c r="L211" s="281"/>
      <c r="M211" s="281"/>
      <c r="N211" s="281"/>
      <c r="O211" s="281"/>
      <c r="P211" s="281"/>
      <c r="Q211" s="281"/>
      <c r="R211" s="305">
        <v>74121</v>
      </c>
      <c r="U211" s="268"/>
      <c r="V211" s="290"/>
      <c r="W211" s="290"/>
      <c r="X211" s="290"/>
      <c r="Y211" s="290"/>
      <c r="Z211" s="290"/>
      <c r="AA211" s="290"/>
      <c r="AB211" s="290"/>
      <c r="AC211" s="290"/>
      <c r="AD211" s="290"/>
      <c r="AE211" s="290"/>
      <c r="AF211" s="290"/>
      <c r="AG211" s="290"/>
      <c r="AH211" s="290"/>
      <c r="AI211" s="290"/>
      <c r="AJ211" s="290"/>
      <c r="AK211" s="290"/>
      <c r="AL211" s="290"/>
    </row>
    <row r="212" spans="2:38" ht="18" customHeight="1" x14ac:dyDescent="0.2">
      <c r="B212" s="286"/>
      <c r="D212" s="296" t="s">
        <v>10</v>
      </c>
      <c r="E212" s="282"/>
      <c r="F212" s="281"/>
      <c r="G212" s="281"/>
      <c r="H212" s="281"/>
      <c r="I212" s="281"/>
      <c r="J212" s="281"/>
      <c r="K212" s="281"/>
      <c r="L212" s="281"/>
      <c r="M212" s="281"/>
      <c r="N212" s="281"/>
      <c r="O212" s="281"/>
      <c r="P212" s="281"/>
      <c r="Q212" s="281"/>
      <c r="R212" s="305">
        <v>838</v>
      </c>
      <c r="U212" s="268"/>
      <c r="V212" s="290"/>
      <c r="W212" s="290"/>
      <c r="X212" s="290"/>
      <c r="Y212" s="290"/>
      <c r="Z212" s="290"/>
      <c r="AA212" s="290"/>
      <c r="AB212" s="290"/>
      <c r="AC212" s="290"/>
      <c r="AD212" s="290"/>
      <c r="AE212" s="290"/>
      <c r="AF212" s="290"/>
      <c r="AG212" s="290"/>
      <c r="AH212" s="290"/>
      <c r="AI212" s="290"/>
      <c r="AJ212" s="290"/>
      <c r="AK212" s="290"/>
      <c r="AL212" s="290"/>
    </row>
    <row r="213" spans="2:38" ht="18" customHeight="1" x14ac:dyDescent="0.2">
      <c r="B213" s="378"/>
      <c r="D213" s="296" t="s">
        <v>268</v>
      </c>
      <c r="E213" s="377"/>
      <c r="F213" s="376"/>
      <c r="G213" s="376"/>
      <c r="H213" s="376"/>
      <c r="I213" s="376"/>
      <c r="J213" s="376"/>
      <c r="K213" s="376"/>
      <c r="L213" s="376"/>
      <c r="M213" s="376"/>
      <c r="N213" s="376"/>
      <c r="O213" s="376"/>
      <c r="P213" s="376"/>
      <c r="Q213" s="376"/>
      <c r="R213" s="305">
        <v>1206</v>
      </c>
      <c r="U213" s="268"/>
      <c r="V213" s="381"/>
      <c r="W213" s="381"/>
      <c r="X213" s="381"/>
      <c r="Y213" s="381"/>
      <c r="Z213" s="381"/>
      <c r="AA213" s="381"/>
      <c r="AB213" s="381"/>
      <c r="AC213" s="381"/>
      <c r="AD213" s="381"/>
      <c r="AE213" s="381"/>
      <c r="AF213" s="381"/>
      <c r="AG213" s="381"/>
      <c r="AH213" s="381"/>
      <c r="AI213" s="381"/>
      <c r="AJ213" s="381"/>
      <c r="AK213" s="381"/>
      <c r="AL213" s="381"/>
    </row>
    <row r="214" spans="2:38" ht="18" customHeight="1" x14ac:dyDescent="0.2">
      <c r="B214" s="286"/>
      <c r="D214" s="296" t="s">
        <v>208</v>
      </c>
      <c r="E214" s="282"/>
      <c r="F214" s="281"/>
      <c r="G214" s="281"/>
      <c r="H214" s="281"/>
      <c r="I214" s="281"/>
      <c r="J214" s="281"/>
      <c r="K214" s="281"/>
      <c r="L214" s="281"/>
      <c r="M214" s="281"/>
      <c r="N214" s="281"/>
      <c r="O214" s="281"/>
      <c r="P214" s="281"/>
      <c r="Q214" s="281"/>
      <c r="R214" s="306">
        <v>10</v>
      </c>
      <c r="U214" s="268"/>
      <c r="V214" s="290"/>
      <c r="W214" s="290"/>
      <c r="X214" s="290"/>
      <c r="Y214" s="290"/>
      <c r="Z214" s="290"/>
      <c r="AA214" s="290"/>
      <c r="AB214" s="290"/>
      <c r="AC214" s="290"/>
      <c r="AD214" s="290"/>
      <c r="AE214" s="290"/>
      <c r="AF214" s="290"/>
      <c r="AG214" s="290"/>
      <c r="AH214" s="290"/>
      <c r="AI214" s="290"/>
      <c r="AJ214" s="290"/>
      <c r="AK214" s="290"/>
      <c r="AL214" s="290"/>
    </row>
    <row r="215" spans="2:38" ht="18" customHeight="1" x14ac:dyDescent="0.2">
      <c r="B215" s="378"/>
      <c r="D215" s="296" t="s">
        <v>183</v>
      </c>
      <c r="E215" s="377"/>
      <c r="F215" s="376"/>
      <c r="G215" s="376"/>
      <c r="H215" s="376"/>
      <c r="I215" s="376"/>
      <c r="J215" s="376"/>
      <c r="K215" s="376"/>
      <c r="L215" s="376"/>
      <c r="M215" s="376"/>
      <c r="N215" s="376"/>
      <c r="O215" s="376"/>
      <c r="P215" s="376"/>
      <c r="Q215" s="376"/>
      <c r="R215" s="306">
        <v>-55701</v>
      </c>
      <c r="U215" s="268"/>
      <c r="V215" s="381"/>
      <c r="W215" s="381"/>
      <c r="X215" s="381"/>
      <c r="Y215" s="381"/>
      <c r="Z215" s="381"/>
      <c r="AA215" s="381"/>
      <c r="AB215" s="381"/>
      <c r="AC215" s="381"/>
      <c r="AD215" s="381"/>
      <c r="AE215" s="381"/>
      <c r="AF215" s="381"/>
      <c r="AG215" s="381"/>
      <c r="AH215" s="381"/>
      <c r="AI215" s="381"/>
      <c r="AJ215" s="381"/>
      <c r="AK215" s="381"/>
      <c r="AL215" s="381"/>
    </row>
    <row r="216" spans="2:38" ht="18" customHeight="1" x14ac:dyDescent="0.2">
      <c r="B216" s="378"/>
      <c r="D216" s="296" t="s">
        <v>235</v>
      </c>
      <c r="E216" s="377"/>
      <c r="F216" s="376"/>
      <c r="G216" s="376"/>
      <c r="H216" s="376"/>
      <c r="I216" s="376"/>
      <c r="J216" s="376"/>
      <c r="K216" s="376"/>
      <c r="L216" s="376"/>
      <c r="M216" s="376"/>
      <c r="N216" s="376"/>
      <c r="O216" s="376"/>
      <c r="P216" s="376"/>
      <c r="Q216" s="376"/>
      <c r="R216" s="306">
        <v>-51765</v>
      </c>
      <c r="U216" s="268"/>
      <c r="V216" s="381"/>
      <c r="W216" s="381"/>
      <c r="X216" s="381"/>
      <c r="Y216" s="381"/>
      <c r="Z216" s="381"/>
      <c r="AA216" s="381"/>
      <c r="AB216" s="381"/>
      <c r="AC216" s="381"/>
      <c r="AD216" s="381"/>
      <c r="AE216" s="381"/>
      <c r="AF216" s="381"/>
      <c r="AG216" s="381"/>
      <c r="AH216" s="381"/>
      <c r="AI216" s="381"/>
      <c r="AJ216" s="381"/>
      <c r="AK216" s="381"/>
      <c r="AL216" s="381"/>
    </row>
    <row r="217" spans="2:38" ht="18" customHeight="1" x14ac:dyDescent="0.2">
      <c r="B217" s="286"/>
      <c r="D217" s="296" t="s">
        <v>220</v>
      </c>
      <c r="E217" s="282"/>
      <c r="F217" s="281"/>
      <c r="G217" s="281"/>
      <c r="H217" s="281"/>
      <c r="I217" s="281"/>
      <c r="J217" s="281"/>
      <c r="K217" s="281"/>
      <c r="L217" s="281"/>
      <c r="M217" s="281"/>
      <c r="N217" s="281"/>
      <c r="O217" s="281"/>
      <c r="P217" s="281"/>
      <c r="Q217" s="281"/>
      <c r="R217" s="305">
        <v>-57284</v>
      </c>
      <c r="U217" s="268"/>
      <c r="V217" s="290"/>
      <c r="W217" s="290"/>
      <c r="X217" s="290"/>
      <c r="Y217" s="290"/>
      <c r="Z217" s="290"/>
      <c r="AA217" s="290"/>
      <c r="AB217" s="290"/>
      <c r="AC217" s="290"/>
      <c r="AD217" s="290"/>
      <c r="AE217" s="290"/>
      <c r="AF217" s="290"/>
      <c r="AG217" s="290"/>
      <c r="AH217" s="290"/>
      <c r="AI217" s="290"/>
      <c r="AJ217" s="290"/>
      <c r="AK217" s="290"/>
      <c r="AL217" s="290"/>
    </row>
    <row r="218" spans="2:38" ht="18" customHeight="1" thickBot="1" x14ac:dyDescent="0.25">
      <c r="B218" s="286"/>
      <c r="D218" s="296" t="s">
        <v>221</v>
      </c>
      <c r="E218" s="282"/>
      <c r="F218" s="281"/>
      <c r="G218" s="281"/>
      <c r="H218" s="281"/>
      <c r="I218" s="281"/>
      <c r="J218" s="281"/>
      <c r="K218" s="281"/>
      <c r="L218" s="281"/>
      <c r="M218" s="281"/>
      <c r="N218" s="281"/>
      <c r="O218" s="281"/>
      <c r="P218" s="281"/>
      <c r="Q218" s="281"/>
      <c r="R218" s="307">
        <f>SUM(R210:R217)</f>
        <v>193910</v>
      </c>
      <c r="U218" s="268"/>
      <c r="V218" s="290"/>
      <c r="W218" s="290"/>
      <c r="X218" s="290"/>
      <c r="Y218" s="290"/>
      <c r="Z218" s="290"/>
      <c r="AA218" s="290"/>
      <c r="AB218" s="290"/>
      <c r="AC218" s="290"/>
      <c r="AD218" s="290"/>
      <c r="AE218" s="290"/>
      <c r="AF218" s="290"/>
      <c r="AG218" s="290"/>
      <c r="AH218" s="290"/>
      <c r="AI218" s="290"/>
      <c r="AJ218" s="290"/>
      <c r="AK218" s="290"/>
      <c r="AL218" s="290"/>
    </row>
    <row r="219" spans="2:38" ht="18" customHeight="1" x14ac:dyDescent="0.2">
      <c r="B219" s="286"/>
      <c r="C219" s="296"/>
      <c r="D219" s="296"/>
      <c r="E219" s="282"/>
      <c r="F219" s="281"/>
      <c r="G219" s="281"/>
      <c r="H219" s="281"/>
      <c r="I219" s="281"/>
      <c r="J219" s="281"/>
      <c r="K219" s="281"/>
      <c r="L219" s="281"/>
      <c r="M219" s="281"/>
      <c r="N219" s="281"/>
      <c r="O219" s="281"/>
      <c r="P219" s="281"/>
      <c r="Q219" s="281"/>
      <c r="U219" s="268"/>
      <c r="V219" s="290"/>
      <c r="W219" s="290"/>
      <c r="X219" s="290"/>
      <c r="Y219" s="290"/>
      <c r="Z219" s="290"/>
      <c r="AA219" s="290"/>
      <c r="AB219" s="290"/>
      <c r="AC219" s="290"/>
      <c r="AD219" s="290"/>
      <c r="AE219" s="290"/>
      <c r="AF219" s="290"/>
      <c r="AG219" s="290"/>
      <c r="AH219" s="290"/>
      <c r="AI219" s="290"/>
      <c r="AJ219" s="290"/>
      <c r="AK219" s="290"/>
      <c r="AL219" s="290"/>
    </row>
    <row r="220" spans="2:38" ht="18" customHeight="1" x14ac:dyDescent="0.2">
      <c r="B220" s="286"/>
      <c r="C220" s="296"/>
      <c r="D220" s="296"/>
      <c r="E220" s="282"/>
      <c r="F220" s="281"/>
      <c r="G220" s="281"/>
      <c r="H220" s="281"/>
      <c r="I220" s="281"/>
      <c r="J220" s="281"/>
      <c r="K220" s="281"/>
      <c r="L220" s="281"/>
      <c r="M220" s="281"/>
      <c r="N220" s="281"/>
      <c r="O220" s="281"/>
      <c r="P220" s="281"/>
      <c r="Q220" s="281"/>
      <c r="R220" s="303" t="s">
        <v>82</v>
      </c>
      <c r="U220" s="268"/>
      <c r="V220" s="290"/>
      <c r="W220" s="290"/>
      <c r="X220" s="290"/>
      <c r="Y220" s="290"/>
      <c r="Z220" s="290"/>
      <c r="AA220" s="290"/>
      <c r="AB220" s="290"/>
      <c r="AC220" s="290"/>
      <c r="AD220" s="290"/>
      <c r="AE220" s="290"/>
      <c r="AF220" s="290"/>
      <c r="AG220" s="290"/>
      <c r="AH220" s="290"/>
      <c r="AI220" s="290"/>
      <c r="AJ220" s="290"/>
      <c r="AK220" s="290"/>
      <c r="AL220" s="290"/>
    </row>
    <row r="221" spans="2:38" ht="18" customHeight="1" x14ac:dyDescent="0.2">
      <c r="B221" s="286"/>
      <c r="C221" s="296"/>
      <c r="D221" s="296"/>
      <c r="E221" s="282"/>
      <c r="F221" s="281"/>
      <c r="G221" s="281"/>
      <c r="H221" s="281"/>
      <c r="I221" s="281"/>
      <c r="J221" s="281"/>
      <c r="K221" s="281"/>
      <c r="L221" s="281"/>
      <c r="M221" s="281"/>
      <c r="N221" s="281"/>
      <c r="O221" s="281"/>
      <c r="P221" s="281"/>
      <c r="Q221" s="281"/>
      <c r="R221" s="303" t="s">
        <v>267</v>
      </c>
      <c r="U221" s="268"/>
      <c r="V221" s="290"/>
      <c r="W221" s="290"/>
      <c r="X221" s="290"/>
      <c r="Y221" s="290"/>
      <c r="Z221" s="290"/>
      <c r="AA221" s="290"/>
      <c r="AB221" s="290"/>
      <c r="AC221" s="290"/>
      <c r="AD221" s="290"/>
      <c r="AE221" s="290"/>
      <c r="AF221" s="290"/>
      <c r="AG221" s="290"/>
      <c r="AH221" s="290"/>
      <c r="AI221" s="290"/>
      <c r="AJ221" s="290"/>
      <c r="AK221" s="290"/>
      <c r="AL221" s="290"/>
    </row>
    <row r="222" spans="2:38" ht="18" customHeight="1" x14ac:dyDescent="0.2">
      <c r="B222" s="286"/>
      <c r="D222" s="295" t="s">
        <v>222</v>
      </c>
      <c r="E222" s="282"/>
      <c r="F222" s="281"/>
      <c r="G222" s="281"/>
      <c r="H222" s="281"/>
      <c r="I222" s="281"/>
      <c r="J222" s="281"/>
      <c r="K222" s="281"/>
      <c r="L222" s="281"/>
      <c r="M222" s="281"/>
      <c r="N222" s="281"/>
      <c r="O222" s="281"/>
      <c r="P222" s="281"/>
      <c r="Q222" s="281"/>
      <c r="R222" s="303" t="s">
        <v>3</v>
      </c>
      <c r="U222" s="268"/>
      <c r="V222" s="290"/>
      <c r="W222" s="290"/>
      <c r="X222" s="290"/>
      <c r="Y222" s="290"/>
      <c r="Z222" s="290"/>
      <c r="AA222" s="290"/>
      <c r="AB222" s="290"/>
      <c r="AC222" s="290"/>
      <c r="AD222" s="290"/>
      <c r="AE222" s="290"/>
      <c r="AF222" s="290"/>
      <c r="AG222" s="290"/>
      <c r="AH222" s="290"/>
      <c r="AI222" s="290"/>
      <c r="AJ222" s="290"/>
      <c r="AK222" s="290"/>
      <c r="AL222" s="290"/>
    </row>
    <row r="223" spans="2:38" ht="18" customHeight="1" x14ac:dyDescent="0.2">
      <c r="B223" s="286"/>
      <c r="D223" s="332" t="s">
        <v>290</v>
      </c>
      <c r="E223" s="321"/>
      <c r="F223" s="323"/>
      <c r="G223" s="323"/>
      <c r="H223" s="323"/>
      <c r="I223" s="323"/>
      <c r="J223" s="323"/>
      <c r="K223" s="323"/>
      <c r="L223" s="323"/>
      <c r="M223" s="281"/>
      <c r="N223" s="281"/>
      <c r="O223" s="281"/>
      <c r="P223" s="281"/>
      <c r="Q223" s="281"/>
      <c r="R223" s="305">
        <v>221699</v>
      </c>
      <c r="U223" s="268"/>
      <c r="V223" s="290"/>
      <c r="W223" s="290"/>
      <c r="X223" s="290"/>
      <c r="Y223" s="290"/>
      <c r="Z223" s="290"/>
      <c r="AA223" s="290"/>
      <c r="AB223" s="290"/>
      <c r="AC223" s="290"/>
      <c r="AD223" s="290"/>
      <c r="AE223" s="290"/>
      <c r="AF223" s="290"/>
      <c r="AG223" s="290"/>
      <c r="AH223" s="290"/>
      <c r="AI223" s="290"/>
      <c r="AJ223" s="290"/>
      <c r="AK223" s="290"/>
      <c r="AL223" s="290"/>
    </row>
    <row r="224" spans="2:38" ht="18" customHeight="1" x14ac:dyDescent="0.2">
      <c r="B224" s="286"/>
      <c r="D224" s="296" t="s">
        <v>230</v>
      </c>
      <c r="E224" s="282"/>
      <c r="F224" s="281"/>
      <c r="G224" s="281"/>
      <c r="H224" s="281"/>
      <c r="I224" s="281"/>
      <c r="J224" s="281"/>
      <c r="K224" s="281"/>
      <c r="L224" s="281"/>
      <c r="M224" s="281"/>
      <c r="N224" s="281"/>
      <c r="O224" s="281"/>
      <c r="P224" s="281"/>
      <c r="Q224" s="281"/>
      <c r="R224" s="306">
        <f>-R214</f>
        <v>-10</v>
      </c>
      <c r="U224" s="268"/>
      <c r="V224" s="290"/>
      <c r="W224" s="290"/>
      <c r="X224" s="290"/>
      <c r="Y224" s="290"/>
      <c r="Z224" s="290"/>
      <c r="AA224" s="290"/>
      <c r="AB224" s="290"/>
      <c r="AC224" s="290"/>
      <c r="AD224" s="290"/>
      <c r="AE224" s="290"/>
      <c r="AF224" s="290"/>
      <c r="AG224" s="290"/>
      <c r="AH224" s="290"/>
      <c r="AI224" s="290"/>
      <c r="AJ224" s="290"/>
      <c r="AK224" s="290"/>
      <c r="AL224" s="290"/>
    </row>
    <row r="225" spans="2:38" ht="18" customHeight="1" thickBot="1" x14ac:dyDescent="0.25">
      <c r="B225" s="286"/>
      <c r="D225" s="296" t="s">
        <v>203</v>
      </c>
      <c r="E225" s="282"/>
      <c r="F225" s="281"/>
      <c r="G225" s="281"/>
      <c r="H225" s="281"/>
      <c r="I225" s="281"/>
      <c r="J225" s="281"/>
      <c r="K225" s="281"/>
      <c r="L225" s="281"/>
      <c r="M225" s="281"/>
      <c r="N225" s="281"/>
      <c r="O225" s="281"/>
      <c r="P225" s="281"/>
      <c r="Q225" s="281"/>
      <c r="R225" s="307">
        <f>SUM(R223:R224)</f>
        <v>221689</v>
      </c>
      <c r="U225" s="268"/>
      <c r="V225" s="290"/>
      <c r="W225" s="290"/>
      <c r="X225" s="290"/>
      <c r="Y225" s="290"/>
      <c r="Z225" s="290"/>
      <c r="AA225" s="290"/>
      <c r="AB225" s="290"/>
      <c r="AC225" s="290"/>
      <c r="AD225" s="290"/>
      <c r="AE225" s="290"/>
      <c r="AF225" s="290"/>
      <c r="AG225" s="290"/>
      <c r="AH225" s="290"/>
      <c r="AI225" s="290"/>
      <c r="AJ225" s="290"/>
      <c r="AK225" s="290"/>
      <c r="AL225" s="290"/>
    </row>
    <row r="226" spans="2:38" ht="18" customHeight="1" x14ac:dyDescent="0.2">
      <c r="B226" s="286"/>
      <c r="C226" s="296"/>
      <c r="D226" s="296"/>
      <c r="E226" s="282"/>
      <c r="F226" s="281"/>
      <c r="G226" s="281"/>
      <c r="H226" s="281"/>
      <c r="I226" s="281"/>
      <c r="J226" s="281"/>
      <c r="K226" s="281"/>
      <c r="L226" s="281"/>
      <c r="M226" s="281"/>
      <c r="N226" s="281"/>
      <c r="O226" s="281"/>
      <c r="P226" s="281"/>
      <c r="Q226" s="281"/>
      <c r="R226" s="310"/>
      <c r="U226" s="268"/>
      <c r="V226" s="290"/>
      <c r="W226" s="290"/>
      <c r="X226" s="290"/>
      <c r="Y226" s="290"/>
      <c r="Z226" s="290"/>
      <c r="AA226" s="290"/>
      <c r="AB226" s="290"/>
      <c r="AC226" s="290"/>
      <c r="AD226" s="290"/>
      <c r="AE226" s="290"/>
      <c r="AF226" s="290"/>
      <c r="AG226" s="290"/>
      <c r="AH226" s="290"/>
      <c r="AI226" s="290"/>
      <c r="AJ226" s="290"/>
      <c r="AK226" s="290"/>
      <c r="AL226" s="290"/>
    </row>
    <row r="227" spans="2:38" ht="18" customHeight="1" x14ac:dyDescent="0.2">
      <c r="B227" s="286"/>
      <c r="C227" s="296"/>
      <c r="D227" s="296"/>
      <c r="E227" s="282"/>
      <c r="F227" s="281"/>
      <c r="G227" s="281"/>
      <c r="H227" s="281"/>
      <c r="I227" s="281"/>
      <c r="J227" s="281"/>
      <c r="K227" s="281"/>
      <c r="L227" s="281"/>
      <c r="M227" s="281"/>
      <c r="N227" s="281"/>
      <c r="O227" s="281"/>
      <c r="P227" s="281"/>
      <c r="Q227" s="281"/>
      <c r="R227" s="303" t="s">
        <v>82</v>
      </c>
      <c r="U227" s="268"/>
      <c r="V227" s="290"/>
      <c r="W227" s="290"/>
      <c r="X227" s="290"/>
      <c r="Y227" s="290"/>
      <c r="Z227" s="290"/>
      <c r="AA227" s="290"/>
      <c r="AB227" s="290"/>
      <c r="AC227" s="290"/>
      <c r="AD227" s="290"/>
      <c r="AE227" s="290"/>
      <c r="AF227" s="290"/>
      <c r="AG227" s="290"/>
      <c r="AH227" s="290"/>
      <c r="AI227" s="290"/>
      <c r="AJ227" s="290"/>
      <c r="AK227" s="290"/>
      <c r="AL227" s="290"/>
    </row>
    <row r="228" spans="2:38" ht="18" customHeight="1" x14ac:dyDescent="0.2">
      <c r="B228" s="286"/>
      <c r="C228" s="296"/>
      <c r="D228" s="296"/>
      <c r="E228" s="282"/>
      <c r="F228" s="281"/>
      <c r="G228" s="281"/>
      <c r="H228" s="281"/>
      <c r="I228" s="281"/>
      <c r="J228" s="281"/>
      <c r="K228" s="281"/>
      <c r="L228" s="281"/>
      <c r="M228" s="281"/>
      <c r="N228" s="281"/>
      <c r="O228" s="281"/>
      <c r="P228" s="281"/>
      <c r="Q228" s="281"/>
      <c r="R228" s="303" t="s">
        <v>267</v>
      </c>
      <c r="U228" s="268"/>
      <c r="V228" s="290"/>
      <c r="W228" s="290"/>
      <c r="X228" s="290"/>
      <c r="Y228" s="290"/>
      <c r="Z228" s="290"/>
      <c r="AA228" s="290"/>
      <c r="AB228" s="290"/>
      <c r="AC228" s="290"/>
      <c r="AD228" s="290"/>
      <c r="AE228" s="290"/>
      <c r="AF228" s="290"/>
      <c r="AG228" s="290"/>
      <c r="AH228" s="290"/>
      <c r="AI228" s="290"/>
      <c r="AJ228" s="290"/>
      <c r="AK228" s="290"/>
      <c r="AL228" s="290"/>
    </row>
    <row r="229" spans="2:38" ht="18" customHeight="1" x14ac:dyDescent="0.2">
      <c r="B229" s="286"/>
      <c r="D229" s="353" t="s">
        <v>253</v>
      </c>
      <c r="E229" s="351"/>
      <c r="F229" s="352"/>
      <c r="G229" s="352"/>
      <c r="H229" s="352"/>
      <c r="I229" s="352"/>
      <c r="J229" s="352"/>
      <c r="K229" s="352"/>
      <c r="L229" s="352"/>
      <c r="M229" s="281"/>
      <c r="N229" s="281"/>
      <c r="O229" s="281"/>
      <c r="P229" s="281"/>
      <c r="Q229" s="281"/>
      <c r="R229" s="303" t="s">
        <v>3</v>
      </c>
      <c r="U229" s="268"/>
      <c r="V229" s="290"/>
      <c r="W229" s="290"/>
      <c r="X229" s="290"/>
      <c r="Y229" s="290"/>
      <c r="Z229" s="290"/>
      <c r="AA229" s="290"/>
      <c r="AB229" s="290"/>
      <c r="AC229" s="290"/>
      <c r="AD229" s="290"/>
      <c r="AE229" s="290"/>
      <c r="AF229" s="290"/>
      <c r="AG229" s="290"/>
      <c r="AH229" s="290"/>
      <c r="AI229" s="290"/>
      <c r="AJ229" s="290"/>
      <c r="AK229" s="290"/>
      <c r="AL229" s="290"/>
    </row>
    <row r="230" spans="2:38" ht="18" customHeight="1" x14ac:dyDescent="0.2">
      <c r="B230" s="286"/>
      <c r="D230" s="332" t="s">
        <v>255</v>
      </c>
      <c r="E230" s="351"/>
      <c r="F230" s="352"/>
      <c r="G230" s="352"/>
      <c r="H230" s="352"/>
      <c r="I230" s="352"/>
      <c r="J230" s="352"/>
      <c r="K230" s="352"/>
      <c r="L230" s="352"/>
      <c r="M230" s="281"/>
      <c r="N230" s="281"/>
      <c r="O230" s="281"/>
      <c r="P230" s="281"/>
      <c r="Q230" s="281"/>
      <c r="R230" s="297"/>
      <c r="U230" s="268"/>
      <c r="V230" s="290"/>
      <c r="W230" s="290"/>
      <c r="X230" s="290"/>
      <c r="Y230" s="290"/>
      <c r="Z230" s="290"/>
      <c r="AA230" s="290"/>
      <c r="AB230" s="290"/>
      <c r="AC230" s="290"/>
      <c r="AD230" s="290"/>
      <c r="AE230" s="290"/>
      <c r="AF230" s="290"/>
      <c r="AG230" s="290"/>
      <c r="AH230" s="290"/>
      <c r="AI230" s="290"/>
      <c r="AJ230" s="290"/>
      <c r="AK230" s="290"/>
      <c r="AL230" s="290"/>
    </row>
    <row r="231" spans="2:38" ht="18" customHeight="1" x14ac:dyDescent="0.2">
      <c r="B231" s="286"/>
      <c r="D231" s="296" t="s">
        <v>223</v>
      </c>
      <c r="E231" s="282"/>
      <c r="F231" s="281"/>
      <c r="G231" s="281"/>
      <c r="H231" s="281"/>
      <c r="I231" s="281"/>
      <c r="J231" s="281"/>
      <c r="K231" s="281"/>
      <c r="L231" s="281"/>
      <c r="M231" s="281"/>
      <c r="N231" s="281"/>
      <c r="O231" s="281"/>
      <c r="P231" s="281"/>
      <c r="Q231" s="281"/>
      <c r="R231" s="305">
        <f>R223</f>
        <v>221699</v>
      </c>
      <c r="U231" s="268"/>
      <c r="V231" s="290"/>
      <c r="W231" s="290"/>
      <c r="X231" s="290"/>
      <c r="Y231" s="290"/>
      <c r="Z231" s="290"/>
      <c r="AA231" s="290"/>
      <c r="AB231" s="290"/>
      <c r="AC231" s="290"/>
      <c r="AD231" s="290"/>
      <c r="AE231" s="290"/>
      <c r="AF231" s="290"/>
      <c r="AG231" s="290"/>
      <c r="AH231" s="290"/>
      <c r="AI231" s="290"/>
      <c r="AJ231" s="290"/>
      <c r="AK231" s="290"/>
      <c r="AL231" s="290"/>
    </row>
    <row r="232" spans="2:38" ht="18" customHeight="1" x14ac:dyDescent="0.2">
      <c r="B232" s="286"/>
      <c r="D232" s="296" t="s">
        <v>224</v>
      </c>
      <c r="E232" s="282"/>
      <c r="F232" s="281"/>
      <c r="G232" s="281"/>
      <c r="H232" s="281"/>
      <c r="I232" s="281"/>
      <c r="J232" s="281"/>
      <c r="K232" s="281"/>
      <c r="L232" s="281"/>
      <c r="M232" s="281"/>
      <c r="N232" s="281"/>
      <c r="O232" s="281"/>
      <c r="P232" s="281"/>
      <c r="Q232" s="281"/>
      <c r="R232" s="305">
        <f>-R218</f>
        <v>-193910</v>
      </c>
      <c r="U232" s="268"/>
      <c r="V232" s="290"/>
      <c r="W232" s="290"/>
      <c r="X232" s="290"/>
      <c r="Y232" s="290"/>
      <c r="Z232" s="290"/>
      <c r="AA232" s="290"/>
      <c r="AB232" s="290"/>
      <c r="AC232" s="290"/>
      <c r="AD232" s="290"/>
      <c r="AE232" s="290"/>
      <c r="AF232" s="290"/>
      <c r="AG232" s="290"/>
      <c r="AH232" s="290"/>
      <c r="AI232" s="290"/>
      <c r="AJ232" s="290"/>
      <c r="AK232" s="290"/>
      <c r="AL232" s="290"/>
    </row>
    <row r="233" spans="2:38" ht="18" customHeight="1" thickBot="1" x14ac:dyDescent="0.25">
      <c r="B233" s="286"/>
      <c r="D233" s="332" t="s">
        <v>256</v>
      </c>
      <c r="E233" s="351"/>
      <c r="F233" s="352"/>
      <c r="G233" s="281"/>
      <c r="H233" s="281"/>
      <c r="I233" s="281"/>
      <c r="J233" s="281"/>
      <c r="K233" s="281"/>
      <c r="L233" s="281"/>
      <c r="M233" s="281"/>
      <c r="N233" s="281"/>
      <c r="O233" s="281"/>
      <c r="P233" s="281"/>
      <c r="Q233" s="281" t="s">
        <v>327</v>
      </c>
      <c r="R233" s="307">
        <f>SUM(R230:R232)</f>
        <v>27789</v>
      </c>
      <c r="T233" s="271">
        <f>R233+R269</f>
        <v>59410</v>
      </c>
      <c r="U233" s="268"/>
      <c r="V233" s="290"/>
      <c r="W233" s="290"/>
      <c r="X233" s="290"/>
      <c r="Y233" s="290"/>
      <c r="Z233" s="290"/>
      <c r="AA233" s="290"/>
      <c r="AB233" s="290"/>
      <c r="AC233" s="290"/>
      <c r="AD233" s="290"/>
      <c r="AE233" s="290"/>
      <c r="AF233" s="290"/>
      <c r="AG233" s="290"/>
      <c r="AH233" s="290"/>
      <c r="AI233" s="290"/>
      <c r="AJ233" s="290"/>
      <c r="AK233" s="290"/>
      <c r="AL233" s="290"/>
    </row>
    <row r="234" spans="2:38" ht="18" customHeight="1" x14ac:dyDescent="0.2">
      <c r="B234" s="286"/>
      <c r="C234" s="296"/>
      <c r="D234" s="296"/>
      <c r="E234" s="282"/>
      <c r="F234" s="281"/>
      <c r="G234" s="281"/>
      <c r="H234" s="281"/>
      <c r="I234" s="281"/>
      <c r="J234" s="281"/>
      <c r="K234" s="281"/>
      <c r="L234" s="281"/>
      <c r="M234" s="281"/>
      <c r="N234" s="281"/>
      <c r="O234" s="281"/>
      <c r="P234" s="281"/>
      <c r="Q234" s="281"/>
      <c r="R234" s="281"/>
      <c r="U234" s="268"/>
      <c r="V234" s="290"/>
      <c r="W234" s="290"/>
      <c r="X234" s="290"/>
      <c r="Y234" s="290"/>
      <c r="Z234" s="290"/>
      <c r="AA234" s="290"/>
      <c r="AB234" s="290"/>
      <c r="AC234" s="290"/>
      <c r="AD234" s="290"/>
      <c r="AE234" s="290"/>
      <c r="AF234" s="290"/>
      <c r="AG234" s="290"/>
      <c r="AH234" s="290"/>
      <c r="AI234" s="290"/>
      <c r="AJ234" s="290"/>
      <c r="AK234" s="290"/>
      <c r="AL234" s="290"/>
    </row>
    <row r="235" spans="2:38" ht="18" customHeight="1" x14ac:dyDescent="0.2">
      <c r="B235" s="286"/>
      <c r="C235" s="304"/>
      <c r="D235" s="519" t="s">
        <v>328</v>
      </c>
      <c r="E235" s="498"/>
      <c r="F235" s="500"/>
      <c r="G235" s="500"/>
      <c r="H235" s="500"/>
      <c r="I235" s="500"/>
      <c r="J235" s="500"/>
      <c r="K235" s="500"/>
      <c r="L235" s="500"/>
      <c r="M235" s="500"/>
      <c r="N235" s="500"/>
      <c r="O235" s="500"/>
      <c r="P235" s="500"/>
      <c r="Q235" s="500"/>
      <c r="R235" s="500"/>
      <c r="U235" s="268"/>
      <c r="V235" s="290"/>
      <c r="W235" s="290"/>
      <c r="X235" s="290"/>
      <c r="Y235" s="290"/>
      <c r="Z235" s="290"/>
      <c r="AA235" s="290"/>
      <c r="AB235" s="290"/>
      <c r="AC235" s="290"/>
      <c r="AD235" s="290"/>
      <c r="AE235" s="290"/>
      <c r="AF235" s="290"/>
      <c r="AG235" s="290"/>
      <c r="AH235" s="290"/>
      <c r="AI235" s="290"/>
      <c r="AJ235" s="290"/>
      <c r="AK235" s="290"/>
      <c r="AL235" s="290"/>
    </row>
    <row r="236" spans="2:38" ht="29.25" customHeight="1" x14ac:dyDescent="0.2">
      <c r="B236" s="497"/>
      <c r="C236" s="304"/>
      <c r="D236" s="666" t="s">
        <v>345</v>
      </c>
      <c r="E236" s="663"/>
      <c r="F236" s="663"/>
      <c r="G236" s="663"/>
      <c r="H236" s="663"/>
      <c r="I236" s="663"/>
      <c r="J236" s="663"/>
      <c r="K236" s="663"/>
      <c r="L236" s="663"/>
      <c r="M236" s="663"/>
      <c r="N236" s="663"/>
      <c r="O236" s="663"/>
      <c r="P236" s="663"/>
      <c r="Q236" s="663"/>
      <c r="R236" s="663"/>
      <c r="U236" s="268"/>
      <c r="V236" s="501"/>
      <c r="W236" s="501"/>
      <c r="X236" s="501"/>
      <c r="Y236" s="501"/>
      <c r="Z236" s="501"/>
      <c r="AA236" s="501"/>
      <c r="AB236" s="501"/>
      <c r="AC236" s="501"/>
      <c r="AD236" s="501"/>
      <c r="AE236" s="501"/>
      <c r="AF236" s="501"/>
      <c r="AG236" s="501"/>
      <c r="AH236" s="501"/>
      <c r="AI236" s="501"/>
      <c r="AJ236" s="501"/>
      <c r="AK236" s="501"/>
      <c r="AL236" s="501"/>
    </row>
    <row r="237" spans="2:38" ht="18" customHeight="1" x14ac:dyDescent="0.2">
      <c r="B237" s="497"/>
      <c r="C237" s="304"/>
      <c r="D237" s="398"/>
      <c r="E237" s="498"/>
      <c r="F237" s="500"/>
      <c r="G237" s="500"/>
      <c r="H237" s="500"/>
      <c r="I237" s="500"/>
      <c r="J237" s="500"/>
      <c r="K237" s="500"/>
      <c r="L237" s="500"/>
      <c r="M237" s="500"/>
      <c r="N237" s="500"/>
      <c r="O237" s="500"/>
      <c r="P237" s="500"/>
      <c r="Q237" s="500"/>
      <c r="R237" s="500"/>
      <c r="U237" s="268"/>
      <c r="V237" s="501"/>
      <c r="W237" s="501"/>
      <c r="X237" s="501"/>
      <c r="Y237" s="501"/>
      <c r="Z237" s="501"/>
      <c r="AA237" s="501"/>
      <c r="AB237" s="501"/>
      <c r="AC237" s="501"/>
      <c r="AD237" s="501"/>
      <c r="AE237" s="501"/>
      <c r="AF237" s="501"/>
      <c r="AG237" s="501"/>
      <c r="AH237" s="501"/>
      <c r="AI237" s="501"/>
      <c r="AJ237" s="501"/>
      <c r="AK237" s="501"/>
      <c r="AL237" s="501"/>
    </row>
    <row r="238" spans="2:38" ht="18" customHeight="1" x14ac:dyDescent="0.2">
      <c r="B238" s="286"/>
      <c r="D238" s="295" t="s">
        <v>243</v>
      </c>
      <c r="E238" s="282"/>
      <c r="F238" s="281"/>
      <c r="G238" s="281"/>
      <c r="H238" s="281"/>
      <c r="I238" s="281"/>
      <c r="J238" s="281"/>
      <c r="K238" s="281"/>
      <c r="L238" s="281"/>
      <c r="M238" s="281"/>
      <c r="N238" s="281"/>
      <c r="O238" s="281"/>
      <c r="P238" s="281"/>
      <c r="Q238" s="281"/>
      <c r="R238" s="281"/>
      <c r="U238" s="268"/>
      <c r="V238" s="290"/>
      <c r="W238" s="290"/>
      <c r="X238" s="290"/>
      <c r="Y238" s="290"/>
      <c r="Z238" s="290"/>
      <c r="AA238" s="290"/>
      <c r="AB238" s="290"/>
      <c r="AC238" s="290"/>
      <c r="AD238" s="290"/>
      <c r="AE238" s="290"/>
      <c r="AF238" s="290"/>
      <c r="AG238" s="290"/>
      <c r="AH238" s="290"/>
      <c r="AI238" s="290"/>
      <c r="AJ238" s="290"/>
      <c r="AK238" s="290"/>
      <c r="AL238" s="290"/>
    </row>
    <row r="239" spans="2:38" ht="36" customHeight="1" x14ac:dyDescent="0.2">
      <c r="B239" s="258"/>
      <c r="D239" s="661" t="s">
        <v>329</v>
      </c>
      <c r="E239" s="662"/>
      <c r="F239" s="662"/>
      <c r="G239" s="662"/>
      <c r="H239" s="662"/>
      <c r="I239" s="662"/>
      <c r="J239" s="662"/>
      <c r="K239" s="662"/>
      <c r="L239" s="662"/>
      <c r="M239" s="662"/>
      <c r="N239" s="662"/>
      <c r="O239" s="662"/>
      <c r="P239" s="662"/>
      <c r="Q239" s="662"/>
      <c r="R239" s="662"/>
      <c r="U239" s="268"/>
      <c r="V239" s="261"/>
      <c r="W239" s="261"/>
      <c r="X239" s="261"/>
      <c r="Y239" s="261"/>
      <c r="Z239" s="261"/>
      <c r="AA239" s="261"/>
      <c r="AB239" s="261"/>
      <c r="AC239" s="261"/>
      <c r="AD239" s="261"/>
      <c r="AE239" s="261"/>
      <c r="AF239" s="261"/>
      <c r="AG239" s="261"/>
      <c r="AH239" s="261"/>
      <c r="AI239" s="261"/>
      <c r="AJ239" s="261"/>
      <c r="AK239" s="261"/>
      <c r="AL239" s="261"/>
    </row>
    <row r="240" spans="2:38" ht="16.5" customHeight="1" x14ac:dyDescent="0.2">
      <c r="B240" s="363"/>
      <c r="D240" s="366"/>
      <c r="E240" s="367"/>
      <c r="F240" s="367"/>
      <c r="G240" s="367"/>
      <c r="H240" s="367"/>
      <c r="I240" s="367"/>
      <c r="J240" s="367"/>
      <c r="K240" s="367"/>
      <c r="L240" s="367"/>
      <c r="M240" s="367"/>
      <c r="N240" s="367"/>
      <c r="O240" s="367"/>
      <c r="P240" s="367"/>
      <c r="Q240" s="367"/>
      <c r="R240" s="367"/>
      <c r="U240" s="268"/>
      <c r="V240" s="370"/>
      <c r="W240" s="370"/>
      <c r="X240" s="370"/>
      <c r="Y240" s="370"/>
      <c r="Z240" s="370"/>
      <c r="AA240" s="370"/>
      <c r="AB240" s="370"/>
      <c r="AC240" s="370"/>
      <c r="AD240" s="370"/>
      <c r="AE240" s="370"/>
      <c r="AF240" s="370"/>
      <c r="AG240" s="370"/>
      <c r="AH240" s="370"/>
      <c r="AI240" s="370"/>
      <c r="AJ240" s="370"/>
      <c r="AK240" s="370"/>
      <c r="AL240" s="370"/>
    </row>
    <row r="241" spans="1:38" ht="16.5" customHeight="1" x14ac:dyDescent="0.2">
      <c r="A241" s="3">
        <v>15</v>
      </c>
      <c r="C241" s="640" t="s">
        <v>429</v>
      </c>
      <c r="D241" s="640"/>
      <c r="E241" s="640"/>
      <c r="F241" s="636"/>
      <c r="G241" s="636"/>
      <c r="H241" s="636"/>
      <c r="I241" s="636"/>
      <c r="J241" s="636"/>
      <c r="K241" s="636"/>
      <c r="L241" s="636"/>
      <c r="M241" s="636"/>
      <c r="N241" s="636"/>
      <c r="O241" s="636"/>
      <c r="P241" s="636"/>
      <c r="Q241" s="636"/>
      <c r="R241" s="636"/>
      <c r="U241" s="268"/>
      <c r="V241" s="605"/>
      <c r="W241" s="605"/>
      <c r="X241" s="605"/>
      <c r="Y241" s="605"/>
      <c r="Z241" s="605"/>
      <c r="AA241" s="605"/>
      <c r="AB241" s="605"/>
      <c r="AC241" s="605"/>
      <c r="AD241" s="605"/>
      <c r="AE241" s="605"/>
      <c r="AF241" s="605"/>
      <c r="AG241" s="605"/>
      <c r="AH241" s="605"/>
      <c r="AI241" s="605"/>
      <c r="AJ241" s="605"/>
      <c r="AK241" s="605"/>
      <c r="AL241" s="605"/>
    </row>
    <row r="242" spans="1:38" ht="16.5" customHeight="1" x14ac:dyDescent="0.2">
      <c r="A242" s="3"/>
      <c r="C242" s="601"/>
      <c r="D242" s="601"/>
      <c r="E242" s="601"/>
      <c r="F242" s="602"/>
      <c r="G242" s="602"/>
      <c r="H242" s="602"/>
      <c r="I242" s="602"/>
      <c r="J242" s="602"/>
      <c r="K242" s="602"/>
      <c r="L242" s="602"/>
      <c r="M242" s="602"/>
      <c r="N242" s="602"/>
      <c r="O242" s="602"/>
      <c r="P242" s="602"/>
      <c r="Q242" s="602"/>
      <c r="R242" s="602"/>
      <c r="U242" s="268"/>
      <c r="V242" s="605"/>
      <c r="W242" s="605"/>
      <c r="X242" s="605"/>
      <c r="Y242" s="605"/>
      <c r="Z242" s="605"/>
      <c r="AA242" s="605"/>
      <c r="AB242" s="605"/>
      <c r="AC242" s="605"/>
      <c r="AD242" s="605"/>
      <c r="AE242" s="605"/>
      <c r="AF242" s="605"/>
      <c r="AG242" s="605"/>
      <c r="AH242" s="605"/>
      <c r="AI242" s="605"/>
      <c r="AJ242" s="605"/>
      <c r="AK242" s="605"/>
      <c r="AL242" s="605"/>
    </row>
    <row r="243" spans="1:38" ht="38.25" customHeight="1" x14ac:dyDescent="0.2">
      <c r="B243" s="320"/>
      <c r="C243" s="369" t="s">
        <v>174</v>
      </c>
      <c r="D243" s="636" t="s">
        <v>287</v>
      </c>
      <c r="E243" s="660"/>
      <c r="F243" s="660"/>
      <c r="G243" s="660"/>
      <c r="H243" s="660"/>
      <c r="I243" s="660"/>
      <c r="J243" s="660"/>
      <c r="K243" s="660"/>
      <c r="L243" s="660"/>
      <c r="M243" s="660"/>
      <c r="N243" s="660"/>
      <c r="O243" s="660"/>
      <c r="P243" s="660"/>
      <c r="Q243" s="660"/>
      <c r="R243" s="660"/>
      <c r="U243" s="268"/>
      <c r="V243" s="329"/>
      <c r="W243" s="329"/>
      <c r="X243" s="329"/>
      <c r="Y243" s="329"/>
      <c r="Z243" s="329"/>
      <c r="AA243" s="329"/>
      <c r="AB243" s="329"/>
      <c r="AC243" s="329"/>
      <c r="AD243" s="329"/>
      <c r="AE243" s="329"/>
      <c r="AF243" s="329"/>
      <c r="AG243" s="329"/>
      <c r="AH243" s="329"/>
      <c r="AI243" s="329"/>
      <c r="AJ243" s="329"/>
      <c r="AK243" s="329"/>
      <c r="AL243" s="329"/>
    </row>
    <row r="244" spans="1:38" ht="38.25" customHeight="1" x14ac:dyDescent="0.2">
      <c r="B244" s="363"/>
      <c r="C244" s="369"/>
      <c r="D244" s="636" t="s">
        <v>218</v>
      </c>
      <c r="E244" s="620"/>
      <c r="F244" s="620"/>
      <c r="G244" s="620"/>
      <c r="H244" s="620"/>
      <c r="I244" s="620"/>
      <c r="J244" s="620"/>
      <c r="K244" s="620"/>
      <c r="L244" s="620"/>
      <c r="M244" s="620"/>
      <c r="N244" s="620"/>
      <c r="O244" s="620"/>
      <c r="P244" s="620"/>
      <c r="Q244" s="620"/>
      <c r="R244" s="620"/>
      <c r="U244" s="268"/>
      <c r="V244" s="370"/>
      <c r="W244" s="370"/>
      <c r="X244" s="370"/>
      <c r="Y244" s="370"/>
      <c r="Z244" s="370"/>
      <c r="AA244" s="370"/>
      <c r="AB244" s="370"/>
      <c r="AC244" s="370"/>
      <c r="AD244" s="370"/>
      <c r="AE244" s="370"/>
      <c r="AF244" s="370"/>
      <c r="AG244" s="370"/>
      <c r="AH244" s="370"/>
      <c r="AI244" s="370"/>
      <c r="AJ244" s="370"/>
      <c r="AK244" s="370"/>
      <c r="AL244" s="370"/>
    </row>
    <row r="245" spans="1:38" ht="19.5" customHeight="1" x14ac:dyDescent="0.2">
      <c r="B245" s="363"/>
      <c r="C245" s="369"/>
      <c r="D245" s="364"/>
      <c r="E245" s="364"/>
      <c r="F245" s="365"/>
      <c r="G245" s="365"/>
      <c r="H245" s="365"/>
      <c r="I245" s="365"/>
      <c r="J245" s="365"/>
      <c r="K245" s="365"/>
      <c r="L245" s="365"/>
      <c r="M245" s="365"/>
      <c r="N245" s="365"/>
      <c r="O245" s="365"/>
      <c r="P245" s="365"/>
      <c r="Q245" s="365"/>
      <c r="R245" s="308"/>
      <c r="U245" s="268"/>
      <c r="V245" s="370"/>
      <c r="W245" s="370"/>
      <c r="X245" s="370"/>
      <c r="Y245" s="370"/>
      <c r="Z245" s="370"/>
      <c r="AA245" s="370"/>
      <c r="AB245" s="370"/>
      <c r="AC245" s="370"/>
      <c r="AD245" s="370"/>
      <c r="AE245" s="370"/>
      <c r="AF245" s="370"/>
      <c r="AG245" s="370"/>
      <c r="AH245" s="370"/>
      <c r="AI245" s="370"/>
      <c r="AJ245" s="370"/>
      <c r="AK245" s="370"/>
      <c r="AL245" s="370"/>
    </row>
    <row r="246" spans="1:38" ht="15" customHeight="1" x14ac:dyDescent="0.2">
      <c r="B246" s="363"/>
      <c r="C246" s="369"/>
      <c r="D246" s="364"/>
      <c r="E246" s="364"/>
      <c r="F246" s="365"/>
      <c r="G246" s="365"/>
      <c r="H246" s="365"/>
      <c r="I246" s="365"/>
      <c r="J246" s="365"/>
      <c r="K246" s="365"/>
      <c r="L246" s="365"/>
      <c r="M246" s="365"/>
      <c r="N246" s="365"/>
      <c r="O246" s="365"/>
      <c r="P246" s="365"/>
      <c r="Q246" s="365"/>
      <c r="R246" s="303" t="s">
        <v>82</v>
      </c>
      <c r="U246" s="268"/>
      <c r="V246" s="370"/>
      <c r="W246" s="370"/>
      <c r="X246" s="370"/>
      <c r="Y246" s="370"/>
      <c r="Z246" s="370"/>
      <c r="AA246" s="370"/>
      <c r="AB246" s="370"/>
      <c r="AC246" s="370"/>
      <c r="AD246" s="370"/>
      <c r="AE246" s="370"/>
      <c r="AF246" s="370"/>
      <c r="AG246" s="370"/>
      <c r="AH246" s="370"/>
      <c r="AI246" s="370"/>
      <c r="AJ246" s="370"/>
      <c r="AK246" s="370"/>
      <c r="AL246" s="370"/>
    </row>
    <row r="247" spans="1:38" ht="15" customHeight="1" x14ac:dyDescent="0.2">
      <c r="B247" s="363"/>
      <c r="C247" s="369"/>
      <c r="D247" s="364"/>
      <c r="E247" s="364"/>
      <c r="F247" s="365"/>
      <c r="G247" s="365"/>
      <c r="H247" s="365"/>
      <c r="I247" s="365"/>
      <c r="J247" s="365"/>
      <c r="K247" s="365"/>
      <c r="L247" s="365"/>
      <c r="M247" s="365"/>
      <c r="N247" s="365"/>
      <c r="O247" s="365"/>
      <c r="P247" s="365"/>
      <c r="Q247" s="365"/>
      <c r="R247" s="303" t="s">
        <v>267</v>
      </c>
      <c r="U247" s="268"/>
      <c r="V247" s="370"/>
      <c r="W247" s="370"/>
      <c r="X247" s="370"/>
      <c r="Y247" s="370"/>
      <c r="Z247" s="370"/>
      <c r="AA247" s="370"/>
      <c r="AB247" s="370"/>
      <c r="AC247" s="370"/>
      <c r="AD247" s="370"/>
      <c r="AE247" s="370"/>
      <c r="AF247" s="370"/>
      <c r="AG247" s="370"/>
      <c r="AH247" s="370"/>
      <c r="AI247" s="370"/>
      <c r="AJ247" s="370"/>
      <c r="AK247" s="370"/>
      <c r="AL247" s="370"/>
    </row>
    <row r="248" spans="1:38" ht="15" customHeight="1" x14ac:dyDescent="0.2">
      <c r="B248" s="363"/>
      <c r="C248" s="369"/>
      <c r="D248" s="295" t="s">
        <v>219</v>
      </c>
      <c r="E248" s="364"/>
      <c r="F248" s="365"/>
      <c r="G248" s="365"/>
      <c r="H248" s="365"/>
      <c r="I248" s="365"/>
      <c r="J248" s="365"/>
      <c r="K248" s="365"/>
      <c r="L248" s="365"/>
      <c r="M248" s="365"/>
      <c r="N248" s="365"/>
      <c r="O248" s="365"/>
      <c r="P248" s="365"/>
      <c r="Q248" s="365"/>
      <c r="R248" s="303" t="s">
        <v>3</v>
      </c>
      <c r="U248" s="268"/>
      <c r="V248" s="370"/>
      <c r="W248" s="370"/>
      <c r="X248" s="370"/>
      <c r="Y248" s="370"/>
      <c r="Z248" s="370"/>
      <c r="AA248" s="370"/>
      <c r="AB248" s="370"/>
      <c r="AC248" s="370"/>
      <c r="AD248" s="370"/>
      <c r="AE248" s="370"/>
      <c r="AF248" s="370"/>
      <c r="AG248" s="370"/>
      <c r="AH248" s="370"/>
      <c r="AI248" s="370"/>
      <c r="AJ248" s="370"/>
      <c r="AK248" s="370"/>
      <c r="AL248" s="370"/>
    </row>
    <row r="249" spans="1:38" ht="15" customHeight="1" x14ac:dyDescent="0.2">
      <c r="B249" s="363"/>
      <c r="C249" s="369"/>
      <c r="D249" s="296" t="s">
        <v>202</v>
      </c>
      <c r="E249" s="377"/>
      <c r="F249" s="376"/>
      <c r="G249" s="365"/>
      <c r="H249" s="365"/>
      <c r="I249" s="365"/>
      <c r="J249" s="365"/>
      <c r="K249" s="365"/>
      <c r="L249" s="365"/>
      <c r="M249" s="365"/>
      <c r="N249" s="365"/>
      <c r="O249" s="365"/>
      <c r="P249" s="365"/>
      <c r="Q249" s="365"/>
      <c r="R249" s="305">
        <v>13775</v>
      </c>
      <c r="U249" s="268"/>
      <c r="V249" s="370"/>
      <c r="W249" s="370"/>
      <c r="X249" s="370"/>
      <c r="Y249" s="370"/>
      <c r="Z249" s="370"/>
      <c r="AA249" s="370"/>
      <c r="AB249" s="370"/>
      <c r="AC249" s="370"/>
      <c r="AD249" s="370"/>
      <c r="AE249" s="370"/>
      <c r="AF249" s="370"/>
      <c r="AG249" s="370"/>
      <c r="AH249" s="370"/>
      <c r="AI249" s="370"/>
      <c r="AJ249" s="370"/>
      <c r="AK249" s="370"/>
      <c r="AL249" s="370"/>
    </row>
    <row r="250" spans="1:38" ht="15" customHeight="1" x14ac:dyDescent="0.2">
      <c r="B250" s="363"/>
      <c r="C250" s="369"/>
      <c r="D250" s="296" t="s">
        <v>268</v>
      </c>
      <c r="E250" s="364"/>
      <c r="F250" s="365"/>
      <c r="G250" s="365"/>
      <c r="H250" s="365"/>
      <c r="I250" s="365"/>
      <c r="J250" s="365"/>
      <c r="K250" s="365"/>
      <c r="L250" s="365"/>
      <c r="M250" s="365"/>
      <c r="N250" s="365"/>
      <c r="O250" s="365"/>
      <c r="P250" s="365"/>
      <c r="Q250" s="365"/>
      <c r="R250" s="305">
        <v>430</v>
      </c>
      <c r="U250" s="268"/>
      <c r="V250" s="370"/>
      <c r="W250" s="370"/>
      <c r="X250" s="370"/>
      <c r="Y250" s="370"/>
      <c r="Z250" s="370"/>
      <c r="AA250" s="370"/>
      <c r="AB250" s="370"/>
      <c r="AC250" s="370"/>
      <c r="AD250" s="370"/>
      <c r="AE250" s="370"/>
      <c r="AF250" s="370"/>
      <c r="AG250" s="370"/>
      <c r="AH250" s="370"/>
      <c r="AI250" s="370"/>
      <c r="AJ250" s="370"/>
      <c r="AK250" s="370"/>
      <c r="AL250" s="370"/>
    </row>
    <row r="251" spans="1:38" ht="15" customHeight="1" x14ac:dyDescent="0.2">
      <c r="B251" s="363"/>
      <c r="C251" s="369"/>
      <c r="D251" s="296" t="s">
        <v>208</v>
      </c>
      <c r="E251" s="364"/>
      <c r="F251" s="365"/>
      <c r="G251" s="365"/>
      <c r="H251" s="365"/>
      <c r="I251" s="365"/>
      <c r="J251" s="365"/>
      <c r="K251" s="365"/>
      <c r="L251" s="365"/>
      <c r="M251" s="365"/>
      <c r="N251" s="365"/>
      <c r="O251" s="365"/>
      <c r="P251" s="365"/>
      <c r="Q251" s="365"/>
      <c r="R251" s="306">
        <v>46</v>
      </c>
      <c r="U251" s="268"/>
      <c r="V251" s="370"/>
      <c r="W251" s="370"/>
      <c r="X251" s="370"/>
      <c r="Y251" s="370"/>
      <c r="Z251" s="370"/>
      <c r="AA251" s="370"/>
      <c r="AB251" s="370"/>
      <c r="AC251" s="370"/>
      <c r="AD251" s="370"/>
      <c r="AE251" s="370"/>
      <c r="AF251" s="370"/>
      <c r="AG251" s="370"/>
      <c r="AH251" s="370"/>
      <c r="AI251" s="370"/>
      <c r="AJ251" s="370"/>
      <c r="AK251" s="370"/>
      <c r="AL251" s="370"/>
    </row>
    <row r="252" spans="1:38" ht="15" customHeight="1" x14ac:dyDescent="0.2">
      <c r="B252" s="378"/>
      <c r="C252" s="382"/>
      <c r="D252" s="296" t="s">
        <v>183</v>
      </c>
      <c r="E252" s="377"/>
      <c r="F252" s="376"/>
      <c r="G252" s="376"/>
      <c r="H252" s="376"/>
      <c r="I252" s="376"/>
      <c r="J252" s="376"/>
      <c r="K252" s="376"/>
      <c r="L252" s="376"/>
      <c r="M252" s="376"/>
      <c r="N252" s="376"/>
      <c r="O252" s="376"/>
      <c r="P252" s="376"/>
      <c r="Q252" s="376"/>
      <c r="R252" s="306">
        <v>-66</v>
      </c>
      <c r="U252" s="268"/>
      <c r="V252" s="381"/>
      <c r="W252" s="381"/>
      <c r="X252" s="381"/>
      <c r="Y252" s="381"/>
      <c r="Z252" s="381"/>
      <c r="AA252" s="381"/>
      <c r="AB252" s="381"/>
      <c r="AC252" s="381"/>
      <c r="AD252" s="381"/>
      <c r="AE252" s="381"/>
      <c r="AF252" s="381"/>
      <c r="AG252" s="381"/>
      <c r="AH252" s="381"/>
      <c r="AI252" s="381"/>
      <c r="AJ252" s="381"/>
      <c r="AK252" s="381"/>
      <c r="AL252" s="381"/>
    </row>
    <row r="253" spans="1:38" ht="15" customHeight="1" x14ac:dyDescent="0.2">
      <c r="B253" s="363"/>
      <c r="C253" s="369"/>
      <c r="D253" s="296" t="s">
        <v>220</v>
      </c>
      <c r="E253" s="364"/>
      <c r="F253" s="365"/>
      <c r="G253" s="365"/>
      <c r="H253" s="365"/>
      <c r="I253" s="365"/>
      <c r="J253" s="365"/>
      <c r="K253" s="365"/>
      <c r="L253" s="365"/>
      <c r="M253" s="365"/>
      <c r="N253" s="365"/>
      <c r="O253" s="365"/>
      <c r="P253" s="365"/>
      <c r="Q253" s="365"/>
      <c r="R253" s="305">
        <v>-3312</v>
      </c>
      <c r="U253" s="268"/>
      <c r="V253" s="370"/>
      <c r="W253" s="370"/>
      <c r="X253" s="370"/>
      <c r="Y253" s="370"/>
      <c r="Z253" s="370"/>
      <c r="AA253" s="370"/>
      <c r="AB253" s="370"/>
      <c r="AC253" s="370"/>
      <c r="AD253" s="370"/>
      <c r="AE253" s="370"/>
      <c r="AF253" s="370"/>
      <c r="AG253" s="370"/>
      <c r="AH253" s="370"/>
      <c r="AI253" s="370"/>
      <c r="AJ253" s="370"/>
      <c r="AK253" s="370"/>
      <c r="AL253" s="370"/>
    </row>
    <row r="254" spans="1:38" ht="15" customHeight="1" thickBot="1" x14ac:dyDescent="0.25">
      <c r="B254" s="363"/>
      <c r="C254" s="369"/>
      <c r="D254" s="296" t="s">
        <v>221</v>
      </c>
      <c r="E254" s="364"/>
      <c r="F254" s="365"/>
      <c r="G254" s="365"/>
      <c r="H254" s="365"/>
      <c r="I254" s="365"/>
      <c r="J254" s="365"/>
      <c r="K254" s="365"/>
      <c r="L254" s="365"/>
      <c r="M254" s="365"/>
      <c r="N254" s="365"/>
      <c r="O254" s="365"/>
      <c r="P254" s="365"/>
      <c r="Q254" s="365"/>
      <c r="R254" s="307">
        <f>SUM(R249:R253)</f>
        <v>10873</v>
      </c>
      <c r="U254" s="268"/>
      <c r="V254" s="370"/>
      <c r="W254" s="370"/>
      <c r="X254" s="370"/>
      <c r="Y254" s="370"/>
      <c r="Z254" s="370"/>
      <c r="AA254" s="370"/>
      <c r="AB254" s="370"/>
      <c r="AC254" s="370"/>
      <c r="AD254" s="370"/>
      <c r="AE254" s="370"/>
      <c r="AF254" s="370"/>
      <c r="AG254" s="370"/>
      <c r="AH254" s="370"/>
      <c r="AI254" s="370"/>
      <c r="AJ254" s="370"/>
      <c r="AK254" s="370"/>
      <c r="AL254" s="370"/>
    </row>
    <row r="255" spans="1:38" ht="15" customHeight="1" x14ac:dyDescent="0.2">
      <c r="B255" s="363"/>
      <c r="C255" s="369"/>
      <c r="D255" s="296"/>
      <c r="E255" s="364"/>
      <c r="F255" s="365"/>
      <c r="G255" s="365"/>
      <c r="H255" s="365"/>
      <c r="I255" s="365"/>
      <c r="J255" s="365"/>
      <c r="K255" s="365"/>
      <c r="L255" s="365"/>
      <c r="M255" s="365"/>
      <c r="N255" s="365"/>
      <c r="O255" s="365"/>
      <c r="P255" s="365"/>
      <c r="Q255" s="365"/>
      <c r="U255" s="268"/>
      <c r="V255" s="370"/>
      <c r="W255" s="370"/>
      <c r="X255" s="370"/>
      <c r="Y255" s="370"/>
      <c r="Z255" s="370"/>
      <c r="AA255" s="370"/>
      <c r="AB255" s="370"/>
      <c r="AC255" s="370"/>
      <c r="AD255" s="370"/>
      <c r="AE255" s="370"/>
      <c r="AF255" s="370"/>
      <c r="AG255" s="370"/>
      <c r="AH255" s="370"/>
      <c r="AI255" s="370"/>
      <c r="AJ255" s="370"/>
      <c r="AK255" s="370"/>
      <c r="AL255" s="370"/>
    </row>
    <row r="256" spans="1:38" ht="15" customHeight="1" x14ac:dyDescent="0.2">
      <c r="B256" s="363"/>
      <c r="C256" s="369"/>
      <c r="D256" s="296"/>
      <c r="E256" s="364"/>
      <c r="F256" s="365"/>
      <c r="G256" s="365"/>
      <c r="H256" s="365"/>
      <c r="I256" s="365"/>
      <c r="J256" s="365"/>
      <c r="K256" s="365"/>
      <c r="L256" s="365"/>
      <c r="M256" s="365"/>
      <c r="N256" s="365"/>
      <c r="O256" s="365"/>
      <c r="P256" s="365"/>
      <c r="Q256" s="365"/>
      <c r="R256" s="303" t="s">
        <v>82</v>
      </c>
      <c r="U256" s="268"/>
      <c r="V256" s="370"/>
      <c r="W256" s="370"/>
      <c r="X256" s="370"/>
      <c r="Y256" s="370"/>
      <c r="Z256" s="370"/>
      <c r="AA256" s="370"/>
      <c r="AB256" s="370"/>
      <c r="AC256" s="370"/>
      <c r="AD256" s="370"/>
      <c r="AE256" s="370"/>
      <c r="AF256" s="370"/>
      <c r="AG256" s="370"/>
      <c r="AH256" s="370"/>
      <c r="AI256" s="370"/>
      <c r="AJ256" s="370"/>
      <c r="AK256" s="370"/>
      <c r="AL256" s="370"/>
    </row>
    <row r="257" spans="2:38" ht="15" customHeight="1" x14ac:dyDescent="0.2">
      <c r="B257" s="363"/>
      <c r="C257" s="369"/>
      <c r="D257" s="296"/>
      <c r="E257" s="364"/>
      <c r="F257" s="365"/>
      <c r="G257" s="365"/>
      <c r="H257" s="365"/>
      <c r="I257" s="365"/>
      <c r="J257" s="365"/>
      <c r="K257" s="365"/>
      <c r="L257" s="365"/>
      <c r="M257" s="365"/>
      <c r="N257" s="365"/>
      <c r="O257" s="365"/>
      <c r="P257" s="365"/>
      <c r="Q257" s="365"/>
      <c r="R257" s="303" t="s">
        <v>267</v>
      </c>
      <c r="U257" s="268"/>
      <c r="V257" s="370"/>
      <c r="W257" s="370"/>
      <c r="X257" s="370"/>
      <c r="Y257" s="370"/>
      <c r="Z257" s="370"/>
      <c r="AA257" s="370"/>
      <c r="AB257" s="370"/>
      <c r="AC257" s="370"/>
      <c r="AD257" s="370"/>
      <c r="AE257" s="370"/>
      <c r="AF257" s="370"/>
      <c r="AG257" s="370"/>
      <c r="AH257" s="370"/>
      <c r="AI257" s="370"/>
      <c r="AJ257" s="370"/>
      <c r="AK257" s="370"/>
      <c r="AL257" s="370"/>
    </row>
    <row r="258" spans="2:38" ht="15" customHeight="1" x14ac:dyDescent="0.2">
      <c r="B258" s="363"/>
      <c r="C258" s="369"/>
      <c r="D258" s="295" t="s">
        <v>222</v>
      </c>
      <c r="E258" s="364"/>
      <c r="F258" s="365"/>
      <c r="G258" s="365"/>
      <c r="H258" s="365"/>
      <c r="I258" s="365"/>
      <c r="J258" s="365"/>
      <c r="K258" s="365"/>
      <c r="L258" s="365"/>
      <c r="M258" s="365"/>
      <c r="N258" s="365"/>
      <c r="O258" s="365"/>
      <c r="P258" s="365"/>
      <c r="Q258" s="365"/>
      <c r="R258" s="303" t="s">
        <v>3</v>
      </c>
      <c r="U258" s="268"/>
      <c r="V258" s="370"/>
      <c r="W258" s="370"/>
      <c r="X258" s="370"/>
      <c r="Y258" s="370"/>
      <c r="Z258" s="370"/>
      <c r="AA258" s="370"/>
      <c r="AB258" s="370"/>
      <c r="AC258" s="370"/>
      <c r="AD258" s="370"/>
      <c r="AE258" s="370"/>
      <c r="AF258" s="370"/>
      <c r="AG258" s="370"/>
      <c r="AH258" s="370"/>
      <c r="AI258" s="370"/>
      <c r="AJ258" s="370"/>
      <c r="AK258" s="370"/>
      <c r="AL258" s="370"/>
    </row>
    <row r="259" spans="2:38" ht="15" customHeight="1" x14ac:dyDescent="0.2">
      <c r="B259" s="363"/>
      <c r="C259" s="369"/>
      <c r="D259" s="332" t="s">
        <v>290</v>
      </c>
      <c r="E259" s="364"/>
      <c r="F259" s="365"/>
      <c r="G259" s="365"/>
      <c r="H259" s="365"/>
      <c r="I259" s="365"/>
      <c r="J259" s="365"/>
      <c r="K259" s="365"/>
      <c r="L259" s="365"/>
      <c r="M259" s="365"/>
      <c r="N259" s="365"/>
      <c r="O259" s="365"/>
      <c r="P259" s="365"/>
      <c r="Q259" s="365"/>
      <c r="R259" s="305">
        <v>42494</v>
      </c>
      <c r="U259" s="268"/>
      <c r="V259" s="370"/>
      <c r="W259" s="370"/>
      <c r="X259" s="370"/>
      <c r="Y259" s="370"/>
      <c r="Z259" s="370"/>
      <c r="AA259" s="370"/>
      <c r="AB259" s="370"/>
      <c r="AC259" s="370"/>
      <c r="AD259" s="370"/>
      <c r="AE259" s="370"/>
      <c r="AF259" s="370"/>
      <c r="AG259" s="370"/>
      <c r="AH259" s="370"/>
      <c r="AI259" s="370"/>
      <c r="AJ259" s="370"/>
      <c r="AK259" s="370"/>
      <c r="AL259" s="370"/>
    </row>
    <row r="260" spans="2:38" ht="15" customHeight="1" x14ac:dyDescent="0.2">
      <c r="B260" s="363"/>
      <c r="C260" s="369"/>
      <c r="D260" s="296" t="s">
        <v>230</v>
      </c>
      <c r="E260" s="364"/>
      <c r="F260" s="365"/>
      <c r="G260" s="365"/>
      <c r="H260" s="365"/>
      <c r="I260" s="365"/>
      <c r="J260" s="365"/>
      <c r="K260" s="365"/>
      <c r="L260" s="365"/>
      <c r="M260" s="365"/>
      <c r="N260" s="365"/>
      <c r="O260" s="365"/>
      <c r="P260" s="365"/>
      <c r="Q260" s="365"/>
      <c r="R260" s="306">
        <f>-R251</f>
        <v>-46</v>
      </c>
      <c r="U260" s="268"/>
      <c r="V260" s="370"/>
      <c r="W260" s="370"/>
      <c r="X260" s="370"/>
      <c r="Y260" s="370"/>
      <c r="Z260" s="370"/>
      <c r="AA260" s="370"/>
      <c r="AB260" s="370"/>
      <c r="AC260" s="370"/>
      <c r="AD260" s="370"/>
      <c r="AE260" s="370"/>
      <c r="AF260" s="370"/>
      <c r="AG260" s="370"/>
      <c r="AH260" s="370"/>
      <c r="AI260" s="370"/>
      <c r="AJ260" s="370"/>
      <c r="AK260" s="370"/>
      <c r="AL260" s="370"/>
    </row>
    <row r="261" spans="2:38" ht="15" customHeight="1" thickBot="1" x14ac:dyDescent="0.25">
      <c r="B261" s="363"/>
      <c r="C261" s="369"/>
      <c r="D261" s="296" t="s">
        <v>203</v>
      </c>
      <c r="E261" s="364"/>
      <c r="F261" s="365"/>
      <c r="G261" s="365"/>
      <c r="H261" s="365"/>
      <c r="I261" s="365"/>
      <c r="J261" s="365"/>
      <c r="K261" s="365"/>
      <c r="L261" s="365"/>
      <c r="M261" s="365"/>
      <c r="N261" s="365"/>
      <c r="O261" s="365"/>
      <c r="P261" s="365"/>
      <c r="Q261" s="365"/>
      <c r="R261" s="307">
        <f>SUM(R259:R260)</f>
        <v>42448</v>
      </c>
      <c r="U261" s="268"/>
      <c r="V261" s="370"/>
      <c r="W261" s="370"/>
      <c r="X261" s="370"/>
      <c r="Y261" s="370"/>
      <c r="Z261" s="370"/>
      <c r="AA261" s="370"/>
      <c r="AB261" s="370"/>
      <c r="AC261" s="370"/>
      <c r="AD261" s="370"/>
      <c r="AE261" s="370"/>
      <c r="AF261" s="370"/>
      <c r="AG261" s="370"/>
      <c r="AH261" s="370"/>
      <c r="AI261" s="370"/>
      <c r="AJ261" s="370"/>
      <c r="AK261" s="370"/>
      <c r="AL261" s="370"/>
    </row>
    <row r="262" spans="2:38" ht="15" customHeight="1" x14ac:dyDescent="0.2">
      <c r="B262" s="363"/>
      <c r="C262" s="369"/>
      <c r="D262" s="364"/>
      <c r="E262" s="368"/>
      <c r="F262" s="368"/>
      <c r="G262" s="368"/>
      <c r="H262" s="368"/>
      <c r="I262" s="368"/>
      <c r="J262" s="368"/>
      <c r="K262" s="368"/>
      <c r="L262" s="368"/>
      <c r="M262" s="368"/>
      <c r="N262" s="368"/>
      <c r="O262" s="368"/>
      <c r="P262" s="368"/>
      <c r="Q262" s="368"/>
      <c r="R262" s="368"/>
      <c r="U262" s="268"/>
      <c r="V262" s="370"/>
      <c r="W262" s="370"/>
      <c r="X262" s="370"/>
      <c r="Y262" s="370"/>
      <c r="Z262" s="370"/>
      <c r="AA262" s="370"/>
      <c r="AB262" s="370"/>
      <c r="AC262" s="370"/>
      <c r="AD262" s="370"/>
      <c r="AE262" s="370"/>
      <c r="AF262" s="370"/>
      <c r="AG262" s="370"/>
      <c r="AH262" s="370"/>
      <c r="AI262" s="370"/>
      <c r="AJ262" s="370"/>
      <c r="AK262" s="370"/>
      <c r="AL262" s="370"/>
    </row>
    <row r="263" spans="2:38" ht="15" customHeight="1" x14ac:dyDescent="0.2">
      <c r="B263" s="363"/>
      <c r="C263" s="369"/>
      <c r="D263" s="296"/>
      <c r="E263" s="364"/>
      <c r="F263" s="365"/>
      <c r="G263" s="365"/>
      <c r="H263" s="365"/>
      <c r="I263" s="365"/>
      <c r="J263" s="365"/>
      <c r="K263" s="365"/>
      <c r="L263" s="365"/>
      <c r="M263" s="365"/>
      <c r="N263" s="365"/>
      <c r="O263" s="365"/>
      <c r="P263" s="365"/>
      <c r="Q263" s="365"/>
      <c r="R263" s="303" t="s">
        <v>82</v>
      </c>
      <c r="U263" s="268"/>
      <c r="V263" s="370"/>
      <c r="W263" s="370"/>
      <c r="X263" s="370"/>
      <c r="Y263" s="370"/>
      <c r="Z263" s="370"/>
      <c r="AA263" s="370"/>
      <c r="AB263" s="370"/>
      <c r="AC263" s="370"/>
      <c r="AD263" s="370"/>
      <c r="AE263" s="370"/>
      <c r="AF263" s="370"/>
      <c r="AG263" s="370"/>
      <c r="AH263" s="370"/>
      <c r="AI263" s="370"/>
      <c r="AJ263" s="370"/>
      <c r="AK263" s="370"/>
      <c r="AL263" s="370"/>
    </row>
    <row r="264" spans="2:38" ht="15" customHeight="1" x14ac:dyDescent="0.2">
      <c r="B264" s="363"/>
      <c r="C264" s="369"/>
      <c r="D264" s="296"/>
      <c r="E264" s="364"/>
      <c r="F264" s="365"/>
      <c r="G264" s="365"/>
      <c r="H264" s="365"/>
      <c r="I264" s="365"/>
      <c r="J264" s="365"/>
      <c r="K264" s="365"/>
      <c r="L264" s="365"/>
      <c r="M264" s="365"/>
      <c r="N264" s="365"/>
      <c r="O264" s="365"/>
      <c r="P264" s="365"/>
      <c r="Q264" s="365"/>
      <c r="R264" s="303" t="s">
        <v>267</v>
      </c>
      <c r="U264" s="268"/>
      <c r="V264" s="370"/>
      <c r="W264" s="370"/>
      <c r="X264" s="370"/>
      <c r="Y264" s="370"/>
      <c r="Z264" s="370"/>
      <c r="AA264" s="370"/>
      <c r="AB264" s="370"/>
      <c r="AC264" s="370"/>
      <c r="AD264" s="370"/>
      <c r="AE264" s="370"/>
      <c r="AF264" s="370"/>
      <c r="AG264" s="370"/>
      <c r="AH264" s="370"/>
      <c r="AI264" s="370"/>
      <c r="AJ264" s="370"/>
      <c r="AK264" s="370"/>
      <c r="AL264" s="370"/>
    </row>
    <row r="265" spans="2:38" ht="15" customHeight="1" x14ac:dyDescent="0.2">
      <c r="B265" s="363"/>
      <c r="C265" s="369"/>
      <c r="D265" s="353" t="s">
        <v>253</v>
      </c>
      <c r="E265" s="364"/>
      <c r="F265" s="365"/>
      <c r="G265" s="365"/>
      <c r="H265" s="365"/>
      <c r="I265" s="365"/>
      <c r="J265" s="365"/>
      <c r="K265" s="365"/>
      <c r="L265" s="365"/>
      <c r="M265" s="365"/>
      <c r="N265" s="365"/>
      <c r="O265" s="365"/>
      <c r="P265" s="365"/>
      <c r="Q265" s="365"/>
      <c r="R265" s="303" t="s">
        <v>3</v>
      </c>
      <c r="U265" s="268"/>
      <c r="V265" s="370"/>
      <c r="W265" s="370"/>
      <c r="X265" s="370"/>
      <c r="Y265" s="370"/>
      <c r="Z265" s="370"/>
      <c r="AA265" s="370"/>
      <c r="AB265" s="370"/>
      <c r="AC265" s="370"/>
      <c r="AD265" s="370"/>
      <c r="AE265" s="370"/>
      <c r="AF265" s="370"/>
      <c r="AG265" s="370"/>
      <c r="AH265" s="370"/>
      <c r="AI265" s="370"/>
      <c r="AJ265" s="370"/>
      <c r="AK265" s="370"/>
      <c r="AL265" s="370"/>
    </row>
    <row r="266" spans="2:38" ht="15" customHeight="1" x14ac:dyDescent="0.2">
      <c r="B266" s="363"/>
      <c r="C266" s="369"/>
      <c r="D266" s="332" t="s">
        <v>255</v>
      </c>
      <c r="E266" s="364"/>
      <c r="F266" s="365"/>
      <c r="G266" s="365"/>
      <c r="H266" s="365"/>
      <c r="I266" s="365"/>
      <c r="J266" s="365"/>
      <c r="K266" s="365"/>
      <c r="L266" s="365"/>
      <c r="M266" s="365"/>
      <c r="N266" s="365"/>
      <c r="O266" s="365"/>
      <c r="P266" s="365"/>
      <c r="Q266" s="365"/>
      <c r="R266" s="297"/>
      <c r="U266" s="268"/>
      <c r="V266" s="370"/>
      <c r="W266" s="370"/>
      <c r="X266" s="370"/>
      <c r="Y266" s="370"/>
      <c r="Z266" s="370"/>
      <c r="AA266" s="370"/>
      <c r="AB266" s="370"/>
      <c r="AC266" s="370"/>
      <c r="AD266" s="370"/>
      <c r="AE266" s="370"/>
      <c r="AF266" s="370"/>
      <c r="AG266" s="370"/>
      <c r="AH266" s="370"/>
      <c r="AI266" s="370"/>
      <c r="AJ266" s="370"/>
      <c r="AK266" s="370"/>
      <c r="AL266" s="370"/>
    </row>
    <row r="267" spans="2:38" ht="15" customHeight="1" x14ac:dyDescent="0.2">
      <c r="B267" s="363"/>
      <c r="C267" s="369"/>
      <c r="D267" s="296" t="s">
        <v>223</v>
      </c>
      <c r="E267" s="364"/>
      <c r="F267" s="365"/>
      <c r="G267" s="365"/>
      <c r="H267" s="365"/>
      <c r="I267" s="365"/>
      <c r="J267" s="365"/>
      <c r="K267" s="365"/>
      <c r="L267" s="365"/>
      <c r="M267" s="365"/>
      <c r="N267" s="365"/>
      <c r="O267" s="365"/>
      <c r="P267" s="365"/>
      <c r="Q267" s="365"/>
      <c r="R267" s="305">
        <f>R259</f>
        <v>42494</v>
      </c>
      <c r="U267" s="268"/>
      <c r="V267" s="370"/>
      <c r="W267" s="370"/>
      <c r="X267" s="370"/>
      <c r="Y267" s="370"/>
      <c r="Z267" s="370"/>
      <c r="AA267" s="370"/>
      <c r="AB267" s="370"/>
      <c r="AC267" s="370"/>
      <c r="AD267" s="370"/>
      <c r="AE267" s="370"/>
      <c r="AF267" s="370"/>
      <c r="AG267" s="370"/>
      <c r="AH267" s="370"/>
      <c r="AI267" s="370"/>
      <c r="AJ267" s="370"/>
      <c r="AK267" s="370"/>
      <c r="AL267" s="370"/>
    </row>
    <row r="268" spans="2:38" ht="15" customHeight="1" x14ac:dyDescent="0.2">
      <c r="B268" s="363"/>
      <c r="C268" s="369"/>
      <c r="D268" s="296" t="s">
        <v>224</v>
      </c>
      <c r="E268" s="364"/>
      <c r="F268" s="365"/>
      <c r="G268" s="365"/>
      <c r="H268" s="365"/>
      <c r="I268" s="365"/>
      <c r="J268" s="365"/>
      <c r="K268" s="365"/>
      <c r="L268" s="365"/>
      <c r="M268" s="365"/>
      <c r="N268" s="365"/>
      <c r="O268" s="365"/>
      <c r="P268" s="365"/>
      <c r="Q268" s="365"/>
      <c r="R268" s="305">
        <f>-R254</f>
        <v>-10873</v>
      </c>
      <c r="U268" s="268"/>
      <c r="V268" s="370"/>
      <c r="W268" s="370"/>
      <c r="X268" s="370"/>
      <c r="Y268" s="370"/>
      <c r="Z268" s="370"/>
      <c r="AA268" s="370"/>
      <c r="AB268" s="370"/>
      <c r="AC268" s="370"/>
      <c r="AD268" s="370"/>
      <c r="AE268" s="370"/>
      <c r="AF268" s="370"/>
      <c r="AG268" s="370"/>
      <c r="AH268" s="370"/>
      <c r="AI268" s="370"/>
      <c r="AJ268" s="370"/>
      <c r="AK268" s="370"/>
      <c r="AL268" s="370"/>
    </row>
    <row r="269" spans="2:38" ht="15" customHeight="1" thickBot="1" x14ac:dyDescent="0.25">
      <c r="B269" s="363"/>
      <c r="C269" s="369"/>
      <c r="D269" s="332" t="s">
        <v>256</v>
      </c>
      <c r="E269" s="364"/>
      <c r="F269" s="365"/>
      <c r="G269" s="365"/>
      <c r="H269" s="365"/>
      <c r="I269" s="365"/>
      <c r="J269" s="365"/>
      <c r="K269" s="365"/>
      <c r="L269" s="365"/>
      <c r="M269" s="365"/>
      <c r="N269" s="365"/>
      <c r="O269" s="365"/>
      <c r="P269" s="365"/>
      <c r="Q269" s="365"/>
      <c r="R269" s="307">
        <f>SUM(R266:R268)</f>
        <v>31621</v>
      </c>
      <c r="T269" s="271">
        <f>R269+R233</f>
        <v>59410</v>
      </c>
      <c r="U269" s="490">
        <f>T269-BS!D12-BS!F12</f>
        <v>-27861</v>
      </c>
      <c r="V269" s="370"/>
      <c r="W269" s="370"/>
      <c r="X269" s="370"/>
      <c r="Y269" s="370"/>
      <c r="Z269" s="370"/>
      <c r="AA269" s="370"/>
      <c r="AB269" s="370"/>
      <c r="AC269" s="370"/>
      <c r="AD269" s="370"/>
      <c r="AE269" s="370"/>
      <c r="AF269" s="370"/>
      <c r="AG269" s="370"/>
      <c r="AH269" s="370"/>
      <c r="AI269" s="370"/>
      <c r="AJ269" s="370"/>
      <c r="AK269" s="370"/>
      <c r="AL269" s="370"/>
    </row>
    <row r="270" spans="2:38" ht="15" customHeight="1" x14ac:dyDescent="0.2">
      <c r="B270" s="363"/>
      <c r="C270" s="369"/>
      <c r="D270" s="364"/>
      <c r="E270" s="368"/>
      <c r="F270" s="368"/>
      <c r="G270" s="368"/>
      <c r="H270" s="368"/>
      <c r="I270" s="368"/>
      <c r="J270" s="368"/>
      <c r="K270" s="368"/>
      <c r="L270" s="368"/>
      <c r="M270" s="368"/>
      <c r="N270" s="368"/>
      <c r="O270" s="368"/>
      <c r="P270" s="368"/>
      <c r="Q270" s="368"/>
      <c r="R270" s="368"/>
      <c r="U270" s="268"/>
      <c r="V270" s="370"/>
      <c r="W270" s="370"/>
      <c r="X270" s="370"/>
      <c r="Y270" s="370"/>
      <c r="Z270" s="370"/>
      <c r="AA270" s="370"/>
      <c r="AB270" s="370"/>
      <c r="AC270" s="370"/>
      <c r="AD270" s="370"/>
      <c r="AE270" s="370"/>
      <c r="AF270" s="370"/>
      <c r="AG270" s="370"/>
      <c r="AH270" s="370"/>
      <c r="AI270" s="370"/>
      <c r="AJ270" s="370"/>
      <c r="AK270" s="370"/>
      <c r="AL270" s="370"/>
    </row>
    <row r="271" spans="2:38" ht="15" customHeight="1" x14ac:dyDescent="0.2">
      <c r="B271" s="363"/>
      <c r="C271" s="369"/>
      <c r="D271" s="398" t="s">
        <v>291</v>
      </c>
      <c r="E271" s="364"/>
      <c r="F271" s="365"/>
      <c r="G271" s="365"/>
      <c r="H271" s="365"/>
      <c r="I271" s="365"/>
      <c r="J271" s="365"/>
      <c r="K271" s="365"/>
      <c r="L271" s="365"/>
      <c r="M271" s="365"/>
      <c r="N271" s="365"/>
      <c r="O271" s="365"/>
      <c r="P271" s="365"/>
      <c r="Q271" s="365"/>
      <c r="R271" s="365"/>
      <c r="U271" s="268"/>
      <c r="V271" s="370"/>
      <c r="W271" s="370"/>
      <c r="X271" s="370"/>
      <c r="Y271" s="370"/>
      <c r="Z271" s="370"/>
      <c r="AA271" s="370"/>
      <c r="AB271" s="370"/>
      <c r="AC271" s="370"/>
      <c r="AD271" s="370"/>
      <c r="AE271" s="370"/>
      <c r="AF271" s="370"/>
      <c r="AG271" s="370"/>
      <c r="AH271" s="370"/>
      <c r="AI271" s="370"/>
      <c r="AJ271" s="370"/>
      <c r="AK271" s="370"/>
      <c r="AL271" s="370"/>
    </row>
    <row r="272" spans="2:38" ht="32.25" customHeight="1" x14ac:dyDescent="0.2">
      <c r="B272" s="384"/>
      <c r="C272" s="389"/>
      <c r="D272" s="399" t="s">
        <v>292</v>
      </c>
      <c r="E272" s="636" t="s">
        <v>312</v>
      </c>
      <c r="F272" s="620"/>
      <c r="G272" s="620"/>
      <c r="H272" s="620"/>
      <c r="I272" s="620"/>
      <c r="J272" s="620"/>
      <c r="K272" s="620"/>
      <c r="L272" s="620"/>
      <c r="M272" s="620"/>
      <c r="N272" s="620"/>
      <c r="O272" s="620"/>
      <c r="P272" s="620"/>
      <c r="Q272" s="620"/>
      <c r="R272" s="620"/>
      <c r="U272" s="268"/>
      <c r="V272" s="390"/>
      <c r="W272" s="390"/>
      <c r="X272" s="390"/>
      <c r="Y272" s="390"/>
      <c r="Z272" s="390"/>
      <c r="AA272" s="390"/>
      <c r="AB272" s="390"/>
      <c r="AC272" s="390"/>
      <c r="AD272" s="390"/>
      <c r="AE272" s="390"/>
      <c r="AF272" s="390"/>
      <c r="AG272" s="390"/>
      <c r="AH272" s="390"/>
      <c r="AI272" s="390"/>
      <c r="AJ272" s="390"/>
      <c r="AK272" s="390"/>
      <c r="AL272" s="390"/>
    </row>
    <row r="273" spans="1:38" ht="15" customHeight="1" x14ac:dyDescent="0.2">
      <c r="B273" s="384"/>
      <c r="C273" s="389"/>
      <c r="D273" s="304"/>
      <c r="E273" s="385"/>
      <c r="F273" s="388"/>
      <c r="G273" s="388"/>
      <c r="H273" s="388"/>
      <c r="I273" s="388"/>
      <c r="J273" s="388"/>
      <c r="K273" s="388"/>
      <c r="L273" s="388"/>
      <c r="M273" s="388"/>
      <c r="N273" s="388"/>
      <c r="O273" s="388"/>
      <c r="P273" s="388"/>
      <c r="Q273" s="388"/>
      <c r="R273" s="388"/>
      <c r="U273" s="268"/>
      <c r="V273" s="390"/>
      <c r="W273" s="390"/>
      <c r="X273" s="390"/>
      <c r="Y273" s="390"/>
      <c r="Z273" s="390"/>
      <c r="AA273" s="390"/>
      <c r="AB273" s="390"/>
      <c r="AC273" s="390"/>
      <c r="AD273" s="390"/>
      <c r="AE273" s="390"/>
      <c r="AF273" s="390"/>
      <c r="AG273" s="390"/>
      <c r="AH273" s="390"/>
      <c r="AI273" s="390"/>
      <c r="AJ273" s="390"/>
      <c r="AK273" s="390"/>
      <c r="AL273" s="390"/>
    </row>
    <row r="274" spans="1:38" ht="15" customHeight="1" x14ac:dyDescent="0.2">
      <c r="B274" s="363"/>
      <c r="C274" s="369"/>
      <c r="D274" s="295" t="s">
        <v>243</v>
      </c>
      <c r="E274" s="364"/>
      <c r="F274" s="365"/>
      <c r="G274" s="365"/>
      <c r="H274" s="365"/>
      <c r="I274" s="365"/>
      <c r="J274" s="365"/>
      <c r="K274" s="365"/>
      <c r="L274" s="365"/>
      <c r="M274" s="365"/>
      <c r="N274" s="365"/>
      <c r="O274" s="365"/>
      <c r="P274" s="365"/>
      <c r="Q274" s="365"/>
      <c r="R274" s="365"/>
      <c r="U274" s="268"/>
      <c r="V274" s="370"/>
      <c r="W274" s="370"/>
      <c r="X274" s="370"/>
      <c r="Y274" s="370"/>
      <c r="Z274" s="370"/>
      <c r="AA274" s="370"/>
      <c r="AB274" s="370"/>
      <c r="AC274" s="370"/>
      <c r="AD274" s="370"/>
      <c r="AE274" s="370"/>
      <c r="AF274" s="370"/>
      <c r="AG274" s="370"/>
      <c r="AH274" s="370"/>
      <c r="AI274" s="370"/>
      <c r="AJ274" s="370"/>
      <c r="AK274" s="370"/>
      <c r="AL274" s="370"/>
    </row>
    <row r="275" spans="1:38" ht="29.25" customHeight="1" x14ac:dyDescent="0.2">
      <c r="C275" s="4"/>
      <c r="D275" s="661" t="s">
        <v>275</v>
      </c>
      <c r="E275" s="662"/>
      <c r="F275" s="662"/>
      <c r="G275" s="662"/>
      <c r="H275" s="662"/>
      <c r="I275" s="662"/>
      <c r="J275" s="662"/>
      <c r="K275" s="662"/>
      <c r="L275" s="662"/>
      <c r="M275" s="662"/>
      <c r="N275" s="662"/>
      <c r="O275" s="662"/>
      <c r="P275" s="662"/>
      <c r="Q275" s="662"/>
      <c r="R275" s="662"/>
    </row>
    <row r="276" spans="1:38" ht="16.5" customHeight="1" x14ac:dyDescent="0.2">
      <c r="C276" s="364"/>
      <c r="D276" s="366"/>
      <c r="E276" s="367"/>
      <c r="F276" s="367"/>
      <c r="G276" s="367"/>
      <c r="H276" s="367"/>
      <c r="I276" s="367"/>
      <c r="J276" s="367"/>
      <c r="K276" s="367"/>
      <c r="L276" s="367"/>
      <c r="M276" s="367"/>
      <c r="N276" s="367"/>
      <c r="O276" s="367"/>
      <c r="P276" s="367"/>
      <c r="Q276" s="367"/>
      <c r="R276" s="367"/>
    </row>
    <row r="277" spans="1:38" ht="14.45" customHeight="1" x14ac:dyDescent="0.2">
      <c r="A277" s="3">
        <v>16</v>
      </c>
      <c r="B277" s="3"/>
      <c r="C277" s="3" t="s">
        <v>4</v>
      </c>
      <c r="D277" s="3"/>
      <c r="E277" s="3"/>
      <c r="F277" s="3"/>
      <c r="G277" s="3"/>
      <c r="T277" s="269"/>
    </row>
    <row r="279" spans="1:38" ht="33" customHeight="1" x14ac:dyDescent="0.2">
      <c r="C279" s="636" t="s">
        <v>459</v>
      </c>
      <c r="D279" s="636"/>
      <c r="E279" s="636"/>
      <c r="F279" s="664"/>
      <c r="G279" s="664"/>
      <c r="H279" s="664"/>
      <c r="I279" s="664"/>
      <c r="J279" s="664"/>
      <c r="K279" s="664"/>
      <c r="L279" s="664"/>
      <c r="M279" s="664"/>
      <c r="N279" s="664"/>
      <c r="O279" s="664"/>
      <c r="P279" s="664"/>
      <c r="Q279" s="664"/>
      <c r="R279" s="664"/>
      <c r="U279" s="664"/>
      <c r="V279" s="664"/>
      <c r="W279" s="664"/>
      <c r="X279" s="664"/>
      <c r="Y279" s="664"/>
      <c r="Z279" s="664"/>
      <c r="AA279" s="664"/>
      <c r="AB279" s="664"/>
      <c r="AC279" s="664"/>
      <c r="AD279" s="664"/>
      <c r="AE279" s="664"/>
      <c r="AF279" s="664"/>
      <c r="AG279" s="664"/>
    </row>
    <row r="280" spans="1:38" ht="14.45" customHeight="1" x14ac:dyDescent="0.2">
      <c r="C280" s="4"/>
      <c r="D280" s="321"/>
      <c r="E280" s="229"/>
      <c r="F280" s="14"/>
      <c r="G280" s="14"/>
      <c r="H280" s="14"/>
      <c r="I280" s="14"/>
      <c r="J280" s="14"/>
      <c r="K280" s="14"/>
      <c r="L280" s="14"/>
      <c r="M280" s="14"/>
      <c r="N280" s="14"/>
      <c r="O280" s="14"/>
      <c r="P280" s="14"/>
      <c r="Q280" s="14"/>
      <c r="R280" s="14"/>
      <c r="T280" s="636"/>
      <c r="U280" s="636"/>
      <c r="V280" s="636"/>
      <c r="W280" s="636"/>
      <c r="X280" s="636"/>
      <c r="Y280" s="636"/>
      <c r="Z280" s="636"/>
    </row>
    <row r="281" spans="1:38" ht="14.45" customHeight="1" x14ac:dyDescent="0.2">
      <c r="A281" s="3">
        <v>17</v>
      </c>
      <c r="C281" s="3" t="s">
        <v>184</v>
      </c>
      <c r="D281" s="3"/>
      <c r="E281" s="3"/>
      <c r="F281" s="14"/>
      <c r="G281" s="14"/>
      <c r="H281" s="14"/>
      <c r="I281" s="14"/>
      <c r="J281" s="14"/>
      <c r="K281" s="14"/>
      <c r="L281" s="14"/>
      <c r="M281" s="14"/>
      <c r="N281" s="14"/>
      <c r="O281" s="14"/>
      <c r="P281" s="14"/>
      <c r="Q281" s="14"/>
      <c r="R281" s="14"/>
      <c r="T281" s="267"/>
      <c r="U281" s="267"/>
      <c r="V281" s="4"/>
      <c r="W281" s="4"/>
      <c r="X281" s="4"/>
      <c r="Y281" s="4"/>
      <c r="Z281" s="4"/>
    </row>
    <row r="282" spans="1:38" ht="14.45" customHeight="1" x14ac:dyDescent="0.2">
      <c r="C282" s="4"/>
      <c r="D282" s="321"/>
      <c r="E282" s="229"/>
      <c r="F282" s="14"/>
      <c r="G282" s="14"/>
      <c r="H282" s="14"/>
      <c r="I282" s="14"/>
      <c r="J282" s="14"/>
      <c r="K282" s="14"/>
      <c r="L282" s="14"/>
      <c r="M282" s="14"/>
      <c r="N282" s="14"/>
      <c r="O282" s="14"/>
      <c r="P282" s="14"/>
      <c r="Q282" s="14"/>
      <c r="R282" s="14"/>
      <c r="T282" s="267"/>
      <c r="U282" s="267"/>
      <c r="V282" s="4"/>
      <c r="W282" s="4"/>
      <c r="X282" s="4"/>
      <c r="Y282" s="4"/>
      <c r="Z282" s="4"/>
    </row>
    <row r="283" spans="1:38" ht="45.75" customHeight="1" x14ac:dyDescent="0.2">
      <c r="C283" s="4"/>
      <c r="D283" s="321"/>
      <c r="E283" s="229"/>
      <c r="F283" s="14"/>
      <c r="G283" s="14"/>
      <c r="H283" s="14"/>
      <c r="I283" s="14"/>
      <c r="J283" s="14"/>
      <c r="K283" s="14"/>
      <c r="M283" s="19"/>
      <c r="O283" s="14"/>
      <c r="P283" s="55"/>
      <c r="Q283" s="14"/>
      <c r="R283" s="55" t="s">
        <v>356</v>
      </c>
      <c r="T283" s="267"/>
      <c r="U283" s="267"/>
      <c r="V283" s="4"/>
      <c r="W283" s="4"/>
      <c r="X283" s="4"/>
      <c r="Y283" s="4"/>
      <c r="Z283" s="4"/>
    </row>
    <row r="284" spans="1:38" ht="14.45" customHeight="1" x14ac:dyDescent="0.2">
      <c r="C284" s="4"/>
      <c r="D284" s="321"/>
      <c r="E284" s="229"/>
      <c r="F284" s="14"/>
      <c r="G284" s="14"/>
      <c r="H284" s="14"/>
      <c r="I284" s="14"/>
      <c r="J284" s="14"/>
      <c r="K284" s="14"/>
      <c r="M284" s="6"/>
      <c r="O284" s="14"/>
      <c r="P284" s="17"/>
      <c r="Q284" s="14"/>
      <c r="R284" s="6" t="s">
        <v>3</v>
      </c>
      <c r="T284" s="267"/>
      <c r="U284" s="267"/>
      <c r="V284" s="4"/>
      <c r="W284" s="4"/>
      <c r="X284" s="4"/>
      <c r="Y284" s="4"/>
      <c r="Z284" s="4"/>
    </row>
    <row r="285" spans="1:38" ht="14.45" customHeight="1" x14ac:dyDescent="0.2">
      <c r="C285" s="4"/>
      <c r="D285" s="321"/>
      <c r="E285" s="229"/>
      <c r="F285" s="14"/>
      <c r="G285" s="14"/>
      <c r="H285" s="14"/>
      <c r="I285" s="14"/>
      <c r="J285" s="14"/>
      <c r="K285" s="14"/>
      <c r="M285" s="4"/>
      <c r="O285" s="14"/>
      <c r="P285" s="33"/>
      <c r="Q285" s="14"/>
      <c r="R285" s="17"/>
      <c r="T285" s="267"/>
      <c r="U285" s="267"/>
      <c r="V285" s="4"/>
      <c r="W285" s="4"/>
      <c r="X285" s="4"/>
      <c r="Y285" s="4"/>
      <c r="Z285" s="4"/>
    </row>
    <row r="286" spans="1:38" ht="14.45" customHeight="1" x14ac:dyDescent="0.2">
      <c r="C286" s="665" t="s">
        <v>62</v>
      </c>
      <c r="D286" s="665"/>
      <c r="E286" s="665"/>
      <c r="F286" s="665"/>
      <c r="G286" s="665"/>
      <c r="H286" s="665"/>
      <c r="I286" s="58"/>
      <c r="J286" s="14"/>
      <c r="K286" s="14"/>
      <c r="M286" s="62"/>
      <c r="O286" s="14"/>
      <c r="P286" s="61"/>
      <c r="Q286" s="12"/>
      <c r="R286" s="61">
        <v>0</v>
      </c>
      <c r="T286" s="267"/>
      <c r="U286" s="267"/>
      <c r="V286" s="4"/>
      <c r="W286" s="4"/>
      <c r="X286" s="4"/>
      <c r="Y286" s="4"/>
      <c r="Z286" s="4"/>
    </row>
    <row r="287" spans="1:38" ht="14.45" customHeight="1" x14ac:dyDescent="0.2">
      <c r="C287" s="665" t="s">
        <v>61</v>
      </c>
      <c r="D287" s="665"/>
      <c r="E287" s="665"/>
      <c r="F287" s="665"/>
      <c r="G287" s="665"/>
      <c r="H287" s="665"/>
      <c r="I287" s="58"/>
      <c r="J287" s="14"/>
      <c r="K287" s="14"/>
      <c r="M287" s="62"/>
      <c r="O287" s="14"/>
      <c r="P287" s="61"/>
      <c r="Q287" s="12"/>
      <c r="R287" s="61">
        <v>418175</v>
      </c>
      <c r="T287" s="267"/>
      <c r="U287" s="267"/>
      <c r="V287" s="4"/>
      <c r="W287" s="4"/>
      <c r="X287" s="4"/>
      <c r="Y287" s="4"/>
      <c r="Z287" s="4"/>
    </row>
    <row r="288" spans="1:38" ht="14.45" customHeight="1" x14ac:dyDescent="0.2">
      <c r="C288" s="4"/>
      <c r="D288" s="321"/>
      <c r="E288" s="229"/>
      <c r="F288" s="14"/>
      <c r="G288" s="14"/>
      <c r="H288" s="14"/>
      <c r="I288" s="14"/>
      <c r="J288" s="14"/>
      <c r="K288" s="14"/>
      <c r="M288" s="62"/>
      <c r="O288" s="14"/>
      <c r="P288" s="34"/>
      <c r="Q288" s="12"/>
      <c r="T288" s="267"/>
      <c r="U288" s="267"/>
      <c r="V288" s="4"/>
      <c r="W288" s="4"/>
      <c r="X288" s="4"/>
      <c r="Y288" s="4"/>
      <c r="Z288" s="4"/>
    </row>
    <row r="289" spans="1:29" ht="14.45" customHeight="1" thickBot="1" x14ac:dyDescent="0.25">
      <c r="F289" s="3"/>
      <c r="G289" s="3"/>
      <c r="M289" s="63"/>
      <c r="P289" s="57"/>
      <c r="Q289" s="80"/>
      <c r="R289" s="166">
        <f>SUM(R286:R287)</f>
        <v>418175</v>
      </c>
      <c r="T289" s="269"/>
      <c r="U289" s="636"/>
      <c r="V289" s="636"/>
      <c r="W289" s="636"/>
      <c r="X289" s="636"/>
      <c r="Y289" s="636"/>
      <c r="Z289" s="636"/>
      <c r="AA289" s="636"/>
    </row>
    <row r="290" spans="1:29" ht="14.45" customHeight="1" x14ac:dyDescent="0.2">
      <c r="A290" s="3"/>
      <c r="C290" s="3"/>
      <c r="D290" s="3"/>
      <c r="E290" s="3"/>
      <c r="F290" s="3"/>
      <c r="G290" s="3"/>
      <c r="L290" s="38"/>
      <c r="M290" s="37"/>
      <c r="N290" s="39"/>
      <c r="P290" s="21"/>
      <c r="U290" s="636"/>
      <c r="V290" s="636"/>
      <c r="W290" s="636"/>
      <c r="X290" s="636"/>
      <c r="Y290" s="636"/>
      <c r="Z290" s="636"/>
      <c r="AA290" s="636"/>
    </row>
    <row r="291" spans="1:29" ht="14.45" customHeight="1" x14ac:dyDescent="0.2">
      <c r="A291" s="3">
        <v>18</v>
      </c>
      <c r="C291" s="676" t="s">
        <v>46</v>
      </c>
      <c r="D291" s="676"/>
      <c r="E291" s="676"/>
      <c r="F291" s="676"/>
      <c r="G291" s="676"/>
      <c r="H291" s="676"/>
      <c r="I291" s="676"/>
      <c r="J291" s="676"/>
      <c r="K291" s="676"/>
      <c r="L291" s="676"/>
      <c r="M291" s="676"/>
      <c r="N291" s="676"/>
      <c r="O291" s="676"/>
      <c r="P291" s="676"/>
      <c r="Q291" s="676"/>
      <c r="R291" s="676"/>
      <c r="T291" s="636"/>
      <c r="U291" s="636"/>
      <c r="V291" s="636"/>
      <c r="W291" s="636"/>
      <c r="X291" s="636"/>
      <c r="Y291" s="636"/>
      <c r="Z291" s="636"/>
      <c r="AA291" s="14"/>
      <c r="AB291" s="14"/>
      <c r="AC291" s="14"/>
    </row>
    <row r="292" spans="1:29" ht="14.45" customHeight="1" x14ac:dyDescent="0.2">
      <c r="C292" s="14"/>
      <c r="D292" s="325"/>
      <c r="E292" s="232"/>
      <c r="F292" s="14"/>
      <c r="G292" s="14"/>
      <c r="H292" s="14"/>
      <c r="I292" s="14"/>
      <c r="J292" s="14"/>
      <c r="K292" s="14"/>
      <c r="L292" s="14"/>
      <c r="M292" s="14"/>
      <c r="N292" s="14"/>
      <c r="O292" s="14"/>
      <c r="P292" s="14"/>
      <c r="Q292" s="14"/>
      <c r="R292" s="14"/>
      <c r="T292" s="267"/>
      <c r="U292" s="267"/>
      <c r="V292" s="4"/>
      <c r="W292" s="4"/>
      <c r="X292" s="4"/>
      <c r="Y292" s="4"/>
      <c r="Z292" s="4"/>
      <c r="AA292" s="14"/>
      <c r="AB292" s="14"/>
      <c r="AC292" s="14"/>
    </row>
    <row r="293" spans="1:29" ht="56.25" customHeight="1" x14ac:dyDescent="0.2">
      <c r="C293" s="14"/>
      <c r="D293" s="325"/>
      <c r="E293" s="232"/>
      <c r="F293" s="14"/>
      <c r="G293" s="14"/>
      <c r="H293" s="14"/>
      <c r="I293" s="14"/>
      <c r="J293" s="14"/>
      <c r="K293" s="14"/>
      <c r="M293" s="19"/>
      <c r="O293" s="14"/>
      <c r="Q293" s="14"/>
      <c r="R293" s="65" t="s">
        <v>357</v>
      </c>
      <c r="T293" s="267"/>
      <c r="U293" s="267"/>
      <c r="V293" s="4"/>
      <c r="W293" s="4"/>
      <c r="X293" s="4"/>
      <c r="Y293" s="4"/>
      <c r="Z293" s="4"/>
      <c r="AA293" s="14"/>
      <c r="AB293" s="14"/>
      <c r="AC293" s="14"/>
    </row>
    <row r="294" spans="1:29" ht="14.45" customHeight="1" x14ac:dyDescent="0.2">
      <c r="C294" s="1" t="s">
        <v>119</v>
      </c>
      <c r="D294" s="1"/>
      <c r="E294" s="1"/>
      <c r="F294" s="153"/>
      <c r="G294" s="153"/>
      <c r="H294" s="153"/>
      <c r="Q294" s="12"/>
      <c r="R294" s="12"/>
      <c r="T294" s="267"/>
      <c r="U294" s="220"/>
      <c r="V294" s="9"/>
      <c r="W294" s="12"/>
      <c r="X294" s="12"/>
      <c r="Y294" s="12"/>
      <c r="AA294" s="12"/>
      <c r="AC294" s="12"/>
    </row>
    <row r="295" spans="1:29" ht="14.45" customHeight="1" x14ac:dyDescent="0.2">
      <c r="C295" s="1"/>
      <c r="D295" s="1"/>
      <c r="E295" s="1"/>
      <c r="F295" s="153"/>
      <c r="G295" s="153"/>
      <c r="H295" s="153"/>
      <c r="Q295" s="12"/>
      <c r="R295" s="12"/>
      <c r="T295" s="267"/>
      <c r="U295" s="220"/>
      <c r="V295" s="9"/>
      <c r="W295" s="12"/>
      <c r="X295" s="12"/>
      <c r="Y295" s="12"/>
      <c r="AA295" s="12"/>
      <c r="AC295" s="12"/>
    </row>
    <row r="296" spans="1:29" ht="14.45" customHeight="1" x14ac:dyDescent="0.2">
      <c r="C296" s="3" t="s">
        <v>64</v>
      </c>
      <c r="D296" s="3"/>
      <c r="E296" s="3"/>
      <c r="J296" s="47" t="s">
        <v>63</v>
      </c>
      <c r="N296" s="675" t="s">
        <v>186</v>
      </c>
      <c r="O296" s="675"/>
      <c r="P296" s="675"/>
      <c r="Q296" s="12"/>
      <c r="R296" s="6" t="s">
        <v>3</v>
      </c>
      <c r="T296" s="267"/>
      <c r="U296" s="220"/>
      <c r="V296" s="9"/>
      <c r="W296" s="12"/>
      <c r="X296" s="12"/>
      <c r="Y296" s="12"/>
      <c r="AA296" s="12"/>
      <c r="AC296" s="12"/>
    </row>
    <row r="297" spans="1:29" ht="9" customHeight="1" x14ac:dyDescent="0.2">
      <c r="C297" s="3"/>
      <c r="D297" s="3"/>
      <c r="E297" s="3"/>
      <c r="J297" s="3"/>
      <c r="N297" s="55"/>
      <c r="O297" s="55"/>
      <c r="P297" s="55"/>
      <c r="Q297" s="12"/>
      <c r="R297" s="6"/>
      <c r="T297" s="267"/>
      <c r="U297" s="220"/>
      <c r="V297" s="9"/>
      <c r="W297" s="12"/>
      <c r="X297" s="12"/>
      <c r="Y297" s="12"/>
      <c r="AA297" s="12"/>
      <c r="AC297" s="12"/>
    </row>
    <row r="298" spans="1:29" ht="18" customHeight="1" x14ac:dyDescent="0.2">
      <c r="C298" s="12" t="s">
        <v>57</v>
      </c>
      <c r="D298" s="320"/>
      <c r="E298" s="228"/>
      <c r="F298" s="12"/>
      <c r="G298" s="12"/>
      <c r="H298" s="12"/>
      <c r="I298" s="12"/>
      <c r="J298" s="12" t="s">
        <v>157</v>
      </c>
      <c r="K298" s="12"/>
      <c r="L298" s="12"/>
      <c r="M298" s="12"/>
      <c r="N298" s="621" t="s">
        <v>58</v>
      </c>
      <c r="O298" s="621"/>
      <c r="P298" s="621"/>
      <c r="Q298" s="12"/>
      <c r="R298" s="152">
        <v>2420</v>
      </c>
      <c r="T298" s="267"/>
      <c r="Y298" s="12"/>
      <c r="AA298" s="112"/>
      <c r="AC298" s="12"/>
    </row>
    <row r="299" spans="1:29" ht="18.75" customHeight="1" x14ac:dyDescent="0.2">
      <c r="C299" s="12" t="s">
        <v>57</v>
      </c>
      <c r="D299" s="320"/>
      <c r="E299" s="228"/>
      <c r="F299" s="12"/>
      <c r="G299" s="12"/>
      <c r="H299" s="12"/>
      <c r="I299" s="12"/>
      <c r="J299" s="12" t="s">
        <v>157</v>
      </c>
      <c r="K299" s="12"/>
      <c r="L299" s="12"/>
      <c r="M299" s="12"/>
      <c r="N299" s="621" t="s">
        <v>60</v>
      </c>
      <c r="O299" s="621"/>
      <c r="P299" s="621"/>
      <c r="Q299" s="12"/>
      <c r="R299" s="152">
        <v>1932</v>
      </c>
      <c r="T299" s="267"/>
      <c r="Y299" s="12"/>
      <c r="AA299" s="112"/>
      <c r="AC299" s="12"/>
    </row>
    <row r="300" spans="1:29" ht="18.75" customHeight="1" x14ac:dyDescent="0.2">
      <c r="C300" s="12"/>
      <c r="D300" s="320"/>
      <c r="E300" s="228"/>
      <c r="F300" s="12"/>
      <c r="G300" s="12"/>
      <c r="H300" s="12"/>
      <c r="I300" s="12"/>
      <c r="J300" s="12"/>
      <c r="K300" s="12"/>
      <c r="L300" s="12"/>
      <c r="M300" s="12"/>
      <c r="N300" s="9"/>
      <c r="O300" s="9"/>
      <c r="P300" s="9"/>
      <c r="Q300" s="12"/>
      <c r="R300" s="152"/>
      <c r="T300" s="267"/>
      <c r="Y300" s="12"/>
      <c r="AA300" s="112"/>
      <c r="AC300" s="12"/>
    </row>
    <row r="301" spans="1:29" ht="18" customHeight="1" x14ac:dyDescent="0.2">
      <c r="C301" s="1" t="s">
        <v>142</v>
      </c>
      <c r="D301" s="1"/>
      <c r="E301" s="1"/>
      <c r="F301" s="12"/>
      <c r="G301" s="12"/>
      <c r="H301" s="12"/>
      <c r="I301" s="12"/>
      <c r="J301" s="12"/>
      <c r="K301" s="12"/>
      <c r="L301" s="12"/>
      <c r="M301" s="12"/>
      <c r="N301" s="9"/>
      <c r="O301" s="9"/>
      <c r="P301" s="9"/>
      <c r="Q301" s="12"/>
      <c r="R301" s="152"/>
      <c r="T301" s="267"/>
      <c r="Y301" s="12"/>
      <c r="AA301" s="112"/>
      <c r="AC301" s="12"/>
    </row>
    <row r="302" spans="1:29" ht="18" customHeight="1" x14ac:dyDescent="0.2">
      <c r="C302" s="1"/>
      <c r="D302" s="1"/>
      <c r="E302" s="1"/>
      <c r="F302" s="12"/>
      <c r="G302" s="12"/>
      <c r="H302" s="12"/>
      <c r="I302" s="12"/>
      <c r="J302" s="12"/>
      <c r="K302" s="12"/>
      <c r="L302" s="12"/>
      <c r="M302" s="12"/>
      <c r="N302" s="9"/>
      <c r="O302" s="9"/>
      <c r="P302" s="9"/>
      <c r="Q302" s="12"/>
      <c r="R302" s="152"/>
      <c r="T302" s="267"/>
      <c r="Y302" s="12"/>
      <c r="AA302" s="112"/>
      <c r="AC302" s="12"/>
    </row>
    <row r="303" spans="1:29" ht="18" customHeight="1" x14ac:dyDescent="0.2">
      <c r="C303" s="3" t="s">
        <v>64</v>
      </c>
      <c r="D303" s="3"/>
      <c r="E303" s="3"/>
      <c r="J303" s="3" t="s">
        <v>63</v>
      </c>
      <c r="N303" s="675" t="s">
        <v>186</v>
      </c>
      <c r="O303" s="675"/>
      <c r="P303" s="675"/>
      <c r="Q303" s="12"/>
      <c r="R303" s="6" t="s">
        <v>3</v>
      </c>
      <c r="T303" s="267"/>
      <c r="Y303" s="12"/>
      <c r="AA303" s="112"/>
      <c r="AC303" s="12"/>
    </row>
    <row r="304" spans="1:29" ht="12" customHeight="1" x14ac:dyDescent="0.2">
      <c r="C304" s="3"/>
      <c r="D304" s="3"/>
      <c r="E304" s="3"/>
      <c r="J304" s="3"/>
      <c r="N304" s="55"/>
      <c r="O304" s="55"/>
      <c r="P304" s="55"/>
      <c r="Q304" s="12"/>
      <c r="R304" s="6"/>
      <c r="T304" s="267"/>
      <c r="Y304" s="12"/>
      <c r="AA304" s="112"/>
      <c r="AC304" s="12"/>
    </row>
    <row r="305" spans="1:29" ht="32.25" customHeight="1" x14ac:dyDescent="0.2">
      <c r="C305" s="621" t="s">
        <v>140</v>
      </c>
      <c r="D305" s="621"/>
      <c r="E305" s="621"/>
      <c r="F305" s="621"/>
      <c r="G305" s="621"/>
      <c r="H305" s="621"/>
      <c r="I305" s="12"/>
      <c r="J305" s="12" t="s">
        <v>65</v>
      </c>
      <c r="K305" s="12"/>
      <c r="L305" s="12"/>
      <c r="M305" s="12"/>
      <c r="N305" s="621" t="s">
        <v>47</v>
      </c>
      <c r="O305" s="621"/>
      <c r="P305" s="621"/>
      <c r="Q305" s="12"/>
      <c r="R305" s="152">
        <v>17110</v>
      </c>
      <c r="T305" s="267"/>
      <c r="Y305" s="12"/>
      <c r="AA305" s="112"/>
      <c r="AC305" s="12"/>
    </row>
    <row r="306" spans="1:29" ht="21" customHeight="1" x14ac:dyDescent="0.2">
      <c r="A306" s="3"/>
      <c r="C306" s="1" t="s">
        <v>172</v>
      </c>
      <c r="D306" s="1"/>
      <c r="E306" s="1"/>
      <c r="F306" s="153"/>
      <c r="G306" s="14"/>
      <c r="H306" s="14"/>
      <c r="I306" s="14"/>
      <c r="J306" s="14"/>
      <c r="K306" s="14"/>
      <c r="L306" s="14"/>
      <c r="M306" s="14"/>
      <c r="N306" s="14"/>
      <c r="O306" s="14"/>
      <c r="P306" s="14"/>
      <c r="Q306" s="14"/>
      <c r="R306" s="14"/>
      <c r="T306" s="267"/>
      <c r="U306" s="267"/>
      <c r="V306" s="4"/>
      <c r="W306" s="4"/>
      <c r="X306" s="4"/>
      <c r="Y306" s="4"/>
      <c r="Z306" s="4"/>
      <c r="AA306" s="14"/>
      <c r="AB306" s="14"/>
      <c r="AC306" s="14"/>
    </row>
    <row r="307" spans="1:29" ht="15.75" customHeight="1" x14ac:dyDescent="0.2">
      <c r="A307" s="3"/>
      <c r="C307" s="3"/>
      <c r="D307" s="3"/>
      <c r="E307" s="3"/>
      <c r="F307" s="4"/>
      <c r="G307" s="4"/>
      <c r="H307" s="4"/>
      <c r="I307" s="4"/>
      <c r="J307" s="4"/>
      <c r="K307" s="4"/>
      <c r="L307" s="4"/>
      <c r="M307" s="4"/>
      <c r="N307" s="4"/>
      <c r="O307" s="4"/>
      <c r="P307" s="4"/>
      <c r="Q307" s="4"/>
      <c r="R307" s="4"/>
      <c r="T307" s="267"/>
      <c r="U307" s="267"/>
      <c r="V307" s="4"/>
      <c r="W307" s="4"/>
      <c r="X307" s="4"/>
      <c r="Y307" s="4"/>
      <c r="Z307" s="4"/>
      <c r="AA307" s="14"/>
      <c r="AB307" s="14"/>
      <c r="AC307" s="14"/>
    </row>
    <row r="308" spans="1:29" ht="22.5" customHeight="1" x14ac:dyDescent="0.2">
      <c r="C308" s="12" t="s">
        <v>159</v>
      </c>
      <c r="D308" s="320"/>
      <c r="E308" s="228"/>
      <c r="F308" s="12"/>
      <c r="G308" s="12"/>
      <c r="H308" s="12"/>
      <c r="I308" s="12"/>
      <c r="J308" s="12" t="s">
        <v>65</v>
      </c>
      <c r="K308" s="12"/>
      <c r="L308" s="12"/>
      <c r="M308" s="12"/>
      <c r="N308" s="621" t="s">
        <v>158</v>
      </c>
      <c r="O308" s="620"/>
      <c r="P308" s="620"/>
      <c r="Q308" s="12"/>
      <c r="R308" s="152">
        <v>16612</v>
      </c>
      <c r="T308" s="267"/>
      <c r="Y308" s="12"/>
      <c r="AA308" s="112"/>
      <c r="AC308" s="12"/>
    </row>
    <row r="309" spans="1:29" ht="22.5" customHeight="1" x14ac:dyDescent="0.2">
      <c r="C309" s="481" t="s">
        <v>319</v>
      </c>
      <c r="D309" s="481"/>
      <c r="E309" s="481"/>
      <c r="F309" s="481"/>
      <c r="G309" s="481"/>
      <c r="H309" s="481"/>
      <c r="I309" s="481"/>
      <c r="J309" s="481" t="s">
        <v>65</v>
      </c>
      <c r="K309" s="481"/>
      <c r="L309" s="481"/>
      <c r="M309" s="481"/>
      <c r="N309" s="621" t="s">
        <v>320</v>
      </c>
      <c r="O309" s="620"/>
      <c r="P309" s="620"/>
      <c r="Q309" s="481"/>
      <c r="R309" s="152">
        <v>850</v>
      </c>
      <c r="T309" s="267"/>
      <c r="Y309" s="481"/>
      <c r="AA309" s="112"/>
      <c r="AC309" s="481"/>
    </row>
    <row r="310" spans="1:29" ht="33.75" customHeight="1" x14ac:dyDescent="0.2">
      <c r="C310" s="12" t="s">
        <v>166</v>
      </c>
      <c r="D310" s="320"/>
      <c r="E310" s="228"/>
      <c r="F310" s="12"/>
      <c r="G310" s="12"/>
      <c r="H310" s="12"/>
      <c r="I310" s="12"/>
      <c r="J310" s="12" t="s">
        <v>65</v>
      </c>
      <c r="K310" s="12"/>
      <c r="L310" s="12"/>
      <c r="M310" s="12"/>
      <c r="N310" s="621" t="s">
        <v>334</v>
      </c>
      <c r="O310" s="660"/>
      <c r="P310" s="660"/>
      <c r="Q310" s="12"/>
      <c r="R310" s="152">
        <v>2513</v>
      </c>
      <c r="T310" s="267"/>
      <c r="Y310" s="12"/>
      <c r="AA310" s="112"/>
      <c r="AC310" s="12"/>
    </row>
    <row r="311" spans="1:29" ht="18" customHeight="1" x14ac:dyDescent="0.2">
      <c r="C311" s="12" t="s">
        <v>123</v>
      </c>
      <c r="D311" s="320"/>
      <c r="E311" s="228"/>
      <c r="F311" s="12"/>
      <c r="G311" s="12"/>
      <c r="H311" s="12"/>
      <c r="I311" s="12"/>
      <c r="J311" s="12" t="s">
        <v>65</v>
      </c>
      <c r="K311" s="12"/>
      <c r="L311" s="12"/>
      <c r="M311" s="12"/>
      <c r="N311" s="621" t="s">
        <v>141</v>
      </c>
      <c r="O311" s="621"/>
      <c r="P311" s="621"/>
      <c r="Q311" s="12"/>
      <c r="R311" s="152">
        <v>651</v>
      </c>
      <c r="T311" s="267"/>
      <c r="Y311" s="12"/>
      <c r="AA311" s="112"/>
      <c r="AC311" s="12"/>
    </row>
  </sheetData>
  <mergeCells count="79">
    <mergeCell ref="C241:R241"/>
    <mergeCell ref="C287:H287"/>
    <mergeCell ref="C305:H305"/>
    <mergeCell ref="C279:R279"/>
    <mergeCell ref="D243:R243"/>
    <mergeCell ref="D244:R244"/>
    <mergeCell ref="D275:R275"/>
    <mergeCell ref="C286:H286"/>
    <mergeCell ref="E272:R272"/>
    <mergeCell ref="T280:Z280"/>
    <mergeCell ref="T56:AK56"/>
    <mergeCell ref="U279:AG279"/>
    <mergeCell ref="U203:AL203"/>
    <mergeCell ref="C58:R58"/>
    <mergeCell ref="C56:H56"/>
    <mergeCell ref="C195:R195"/>
    <mergeCell ref="C199:R199"/>
    <mergeCell ref="C109:R109"/>
    <mergeCell ref="C74:R74"/>
    <mergeCell ref="C75:R75"/>
    <mergeCell ref="E76:R76"/>
    <mergeCell ref="E77:R77"/>
    <mergeCell ref="C78:R78"/>
    <mergeCell ref="C194:P194"/>
    <mergeCell ref="D205:R205"/>
    <mergeCell ref="U289:AA289"/>
    <mergeCell ref="N311:P311"/>
    <mergeCell ref="N310:P310"/>
    <mergeCell ref="U290:AA290"/>
    <mergeCell ref="N296:P296"/>
    <mergeCell ref="C291:R291"/>
    <mergeCell ref="N303:P303"/>
    <mergeCell ref="T291:Z291"/>
    <mergeCell ref="N308:P308"/>
    <mergeCell ref="N298:P298"/>
    <mergeCell ref="N299:P299"/>
    <mergeCell ref="N305:P305"/>
    <mergeCell ref="N309:P309"/>
    <mergeCell ref="C17:R17"/>
    <mergeCell ref="C19:R19"/>
    <mergeCell ref="J22:L22"/>
    <mergeCell ref="N22:P22"/>
    <mergeCell ref="C3:R3"/>
    <mergeCell ref="C5:R5"/>
    <mergeCell ref="C9:R9"/>
    <mergeCell ref="C7:R7"/>
    <mergeCell ref="C13:R13"/>
    <mergeCell ref="C12:R12"/>
    <mergeCell ref="T31:AI31"/>
    <mergeCell ref="C31:R31"/>
    <mergeCell ref="C35:R35"/>
    <mergeCell ref="C33:R33"/>
    <mergeCell ref="T194:AF194"/>
    <mergeCell ref="C54:R54"/>
    <mergeCell ref="F48:J48"/>
    <mergeCell ref="C80:H80"/>
    <mergeCell ref="C82:R82"/>
    <mergeCell ref="C84:H84"/>
    <mergeCell ref="C93:H93"/>
    <mergeCell ref="C100:D100"/>
    <mergeCell ref="C101:R101"/>
    <mergeCell ref="C103:H103"/>
    <mergeCell ref="C104:J104"/>
    <mergeCell ref="C96:F96"/>
    <mergeCell ref="D239:R239"/>
    <mergeCell ref="U201:AJ201"/>
    <mergeCell ref="T37:AI37"/>
    <mergeCell ref="AF54:AI54"/>
    <mergeCell ref="AB54:AD54"/>
    <mergeCell ref="D42:R42"/>
    <mergeCell ref="D45:R45"/>
    <mergeCell ref="C201:R201"/>
    <mergeCell ref="D236:R236"/>
    <mergeCell ref="C97:F97"/>
    <mergeCell ref="C23:R23"/>
    <mergeCell ref="C193:P193"/>
    <mergeCell ref="D203:R203"/>
    <mergeCell ref="C29:R29"/>
    <mergeCell ref="C27:R27"/>
  </mergeCells>
  <phoneticPr fontId="0" type="noConversion"/>
  <printOptions horizontalCentered="1"/>
  <pageMargins left="0.19685039370078741" right="0.15748031496062992" top="0.31496062992125984" bottom="0.23622047244094491" header="0.19685039370078741" footer="0.15748031496062992"/>
  <pageSetup paperSize="9" scale="76" fitToHeight="6" orientation="portrait" r:id="rId1"/>
  <headerFooter alignWithMargins="0">
    <oddHeader>&amp;C( &amp;P+4 )</oddHeader>
  </headerFooter>
  <rowBreaks count="6" manualBreakCount="6">
    <brk id="55" max="17" man="1"/>
    <brk id="105" max="17" man="1"/>
    <brk id="170" max="17" man="1"/>
    <brk id="199" max="17" man="1"/>
    <brk id="240" max="17" man="1"/>
    <brk id="29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3"/>
  <sheetViews>
    <sheetView showGridLines="0" view="pageBreakPreview" zoomScaleNormal="100" zoomScaleSheetLayoutView="100" workbookViewId="0">
      <selection activeCell="C256" sqref="C256"/>
    </sheetView>
  </sheetViews>
  <sheetFormatPr defaultColWidth="9.140625" defaultRowHeight="14.45" customHeight="1" x14ac:dyDescent="0.2"/>
  <cols>
    <col min="1" max="1" width="4.140625" style="2" customWidth="1"/>
    <col min="2" max="2" width="3.85546875" style="2" customWidth="1"/>
    <col min="3" max="3" width="4.42578125" style="2" customWidth="1"/>
    <col min="4" max="4" width="5" style="2" customWidth="1"/>
    <col min="5" max="5" width="6.140625" style="2" customWidth="1"/>
    <col min="6" max="6" width="5.28515625" style="2" customWidth="1"/>
    <col min="7" max="7" width="10.42578125" style="2" customWidth="1"/>
    <col min="8" max="8" width="1.7109375" style="2" customWidth="1"/>
    <col min="9" max="9" width="2.7109375" style="2" customWidth="1"/>
    <col min="10" max="10" width="16" style="2" customWidth="1"/>
    <col min="11" max="11" width="1.42578125" style="2" customWidth="1"/>
    <col min="12" max="12" width="15.5703125" style="2" customWidth="1"/>
    <col min="13" max="13" width="1.42578125" style="2" customWidth="1"/>
    <col min="14" max="14" width="13.42578125" style="2" customWidth="1"/>
    <col min="15" max="15" width="1.28515625" style="2" customWidth="1"/>
    <col min="16" max="16" width="13.5703125" style="2" customWidth="1"/>
    <col min="17" max="17" width="0.5703125" style="2" customWidth="1"/>
    <col min="18" max="18" width="14.5703125" style="2" customWidth="1"/>
    <col min="19" max="19" width="1.28515625" style="2" customWidth="1"/>
    <col min="20" max="20" width="13.85546875" style="2" customWidth="1"/>
    <col min="21" max="21" width="1.5703125" style="2" customWidth="1"/>
    <col min="22" max="22" width="13.7109375" style="2" hidden="1" customWidth="1"/>
    <col min="23" max="23" width="15" style="2" hidden="1" customWidth="1"/>
    <col min="24" max="24" width="14" style="2" hidden="1" customWidth="1"/>
    <col min="25" max="25" width="9.140625" style="2" hidden="1" customWidth="1"/>
    <col min="26" max="29" width="9.140625" style="2" customWidth="1"/>
    <col min="30" max="16384" width="9.140625" style="2"/>
  </cols>
  <sheetData>
    <row r="1" spans="1:25" ht="14.45" customHeight="1" x14ac:dyDescent="0.2">
      <c r="A1" s="695" t="s">
        <v>125</v>
      </c>
      <c r="B1" s="674"/>
      <c r="C1" s="674"/>
      <c r="D1" s="674"/>
      <c r="E1" s="674"/>
      <c r="F1" s="674"/>
      <c r="G1" s="674"/>
      <c r="H1" s="674"/>
      <c r="I1" s="674"/>
      <c r="J1" s="674"/>
      <c r="K1" s="674"/>
      <c r="L1" s="674"/>
      <c r="M1" s="674"/>
      <c r="N1" s="674"/>
      <c r="O1" s="674"/>
      <c r="P1" s="674"/>
      <c r="Q1" s="674"/>
      <c r="R1" s="674"/>
      <c r="S1" s="674"/>
      <c r="T1" s="674"/>
    </row>
    <row r="2" spans="1:25" ht="14.45" customHeight="1" x14ac:dyDescent="0.2">
      <c r="A2" s="674"/>
      <c r="B2" s="674"/>
      <c r="C2" s="674"/>
      <c r="D2" s="674"/>
      <c r="E2" s="674"/>
      <c r="F2" s="674"/>
      <c r="G2" s="674"/>
      <c r="H2" s="674"/>
      <c r="I2" s="674"/>
      <c r="J2" s="674"/>
      <c r="K2" s="674"/>
      <c r="L2" s="674"/>
      <c r="M2" s="674"/>
      <c r="N2" s="674"/>
      <c r="O2" s="674"/>
      <c r="P2" s="674"/>
      <c r="Q2" s="674"/>
      <c r="R2" s="674"/>
      <c r="S2" s="674"/>
      <c r="T2" s="674"/>
    </row>
    <row r="3" spans="1:25" ht="17.25" customHeight="1" x14ac:dyDescent="0.2">
      <c r="C3" s="12"/>
      <c r="D3" s="258"/>
      <c r="E3" s="286"/>
      <c r="J3" s="12"/>
      <c r="P3" s="9"/>
      <c r="Q3" s="9"/>
      <c r="R3" s="9"/>
      <c r="T3" s="152"/>
    </row>
    <row r="4" spans="1:25" ht="14.45" customHeight="1" x14ac:dyDescent="0.2">
      <c r="A4" s="3">
        <v>19</v>
      </c>
      <c r="C4" s="170" t="s">
        <v>197</v>
      </c>
      <c r="D4" s="170"/>
      <c r="E4" s="170"/>
      <c r="F4" s="171"/>
      <c r="G4" s="171"/>
      <c r="H4" s="171"/>
      <c r="I4" s="411"/>
      <c r="J4" s="171"/>
      <c r="K4" s="171"/>
      <c r="L4" s="171"/>
      <c r="M4" s="171"/>
      <c r="N4" s="469"/>
      <c r="O4" s="469"/>
      <c r="P4" s="171"/>
      <c r="Q4" s="171"/>
      <c r="R4" s="171"/>
      <c r="S4" s="171"/>
      <c r="T4" s="171"/>
    </row>
    <row r="5" spans="1:25" ht="14.45" customHeight="1" x14ac:dyDescent="0.2">
      <c r="A5" s="3"/>
      <c r="C5" s="170"/>
      <c r="D5" s="170"/>
      <c r="E5" s="170"/>
      <c r="F5" s="171"/>
      <c r="G5" s="171"/>
      <c r="H5" s="171"/>
      <c r="I5" s="411"/>
      <c r="J5" s="171"/>
      <c r="K5" s="171"/>
      <c r="L5" s="171"/>
      <c r="M5" s="171"/>
      <c r="N5" s="469"/>
      <c r="O5" s="469"/>
      <c r="P5" s="171"/>
      <c r="Q5" s="171"/>
      <c r="R5" s="171"/>
      <c r="S5" s="171"/>
      <c r="T5" s="171"/>
    </row>
    <row r="6" spans="1:25" ht="14.45" customHeight="1" x14ac:dyDescent="0.2">
      <c r="A6" s="3"/>
      <c r="C6" s="3" t="s">
        <v>194</v>
      </c>
      <c r="D6" s="1" t="s">
        <v>9</v>
      </c>
      <c r="E6" s="1"/>
      <c r="F6" s="1"/>
      <c r="G6" s="419"/>
      <c r="H6" s="419"/>
      <c r="I6" s="419"/>
      <c r="J6" s="419"/>
      <c r="K6" s="419"/>
      <c r="L6" s="419"/>
      <c r="M6" s="419"/>
      <c r="N6" s="459"/>
      <c r="O6" s="459"/>
      <c r="P6" s="419"/>
      <c r="Q6" s="419"/>
      <c r="R6" s="419"/>
      <c r="S6" s="419"/>
      <c r="T6" s="419"/>
    </row>
    <row r="7" spans="1:25" ht="8.25" customHeight="1" x14ac:dyDescent="0.2">
      <c r="A7" s="3"/>
      <c r="C7" s="3"/>
      <c r="D7" s="1"/>
      <c r="E7" s="1"/>
      <c r="F7" s="1"/>
      <c r="G7" s="492"/>
      <c r="H7" s="492"/>
      <c r="I7" s="492"/>
      <c r="J7" s="492"/>
      <c r="K7" s="492"/>
      <c r="L7" s="492"/>
      <c r="M7" s="492"/>
      <c r="N7" s="492"/>
      <c r="O7" s="492"/>
      <c r="P7" s="492"/>
      <c r="Q7" s="492"/>
      <c r="R7" s="492"/>
      <c r="S7" s="492"/>
      <c r="T7" s="492"/>
    </row>
    <row r="8" spans="1:25" ht="14.45" customHeight="1" x14ac:dyDescent="0.2">
      <c r="A8" s="3"/>
      <c r="D8" s="3" t="s">
        <v>121</v>
      </c>
      <c r="E8" s="1" t="s">
        <v>316</v>
      </c>
      <c r="F8" s="1"/>
      <c r="G8" s="419"/>
      <c r="H8" s="419"/>
      <c r="I8" s="419"/>
      <c r="J8" s="419"/>
      <c r="K8" s="419"/>
      <c r="L8" s="419"/>
      <c r="M8" s="419"/>
      <c r="N8" s="459"/>
      <c r="O8" s="459"/>
      <c r="P8" s="419"/>
      <c r="Q8" s="419"/>
      <c r="R8" s="419"/>
      <c r="S8" s="419"/>
      <c r="T8" s="419"/>
    </row>
    <row r="9" spans="1:25" ht="51" customHeight="1" x14ac:dyDescent="0.2">
      <c r="A9" s="3"/>
      <c r="D9" s="636" t="s">
        <v>433</v>
      </c>
      <c r="E9" s="643"/>
      <c r="F9" s="643"/>
      <c r="G9" s="643"/>
      <c r="H9" s="643"/>
      <c r="I9" s="643"/>
      <c r="J9" s="643"/>
      <c r="K9" s="643"/>
      <c r="L9" s="643"/>
      <c r="M9" s="643"/>
      <c r="N9" s="643"/>
      <c r="O9" s="643"/>
      <c r="P9" s="643"/>
      <c r="Q9" s="643"/>
      <c r="R9" s="643"/>
      <c r="S9" s="643"/>
      <c r="T9" s="643"/>
      <c r="V9" s="521">
        <f>PL!H19</f>
        <v>154548</v>
      </c>
      <c r="W9" s="521">
        <f>PL!J19</f>
        <v>99106</v>
      </c>
      <c r="X9" s="522">
        <f>V9-W9</f>
        <v>55442</v>
      </c>
      <c r="Y9" s="2">
        <f>X9/W9</f>
        <v>0.55942122575827902</v>
      </c>
    </row>
    <row r="10" spans="1:25" ht="15" customHeight="1" x14ac:dyDescent="0.2">
      <c r="A10" s="3"/>
      <c r="C10" s="476"/>
      <c r="D10" s="476"/>
      <c r="E10" s="476"/>
      <c r="F10" s="477"/>
      <c r="G10" s="477"/>
      <c r="H10" s="477"/>
      <c r="I10" s="477"/>
      <c r="J10" s="477"/>
      <c r="K10" s="477"/>
      <c r="L10" s="477"/>
      <c r="M10" s="477"/>
      <c r="N10" s="477"/>
      <c r="O10" s="477"/>
      <c r="P10" s="477"/>
      <c r="Q10" s="477"/>
      <c r="R10" s="477"/>
      <c r="S10" s="477"/>
      <c r="T10" s="477"/>
      <c r="V10" s="189"/>
      <c r="W10" s="189"/>
      <c r="X10" s="189"/>
    </row>
    <row r="11" spans="1:25" ht="16.5" customHeight="1" x14ac:dyDescent="0.2">
      <c r="A11" s="3"/>
      <c r="G11" s="493"/>
      <c r="H11" s="493"/>
      <c r="I11" s="493"/>
      <c r="J11" s="493"/>
      <c r="K11" s="493"/>
      <c r="L11" s="496"/>
      <c r="M11" s="496"/>
      <c r="N11" s="686" t="s">
        <v>316</v>
      </c>
      <c r="O11" s="687"/>
      <c r="P11" s="688"/>
      <c r="Q11" s="134"/>
      <c r="R11" s="689"/>
      <c r="S11" s="690"/>
      <c r="T11" s="691"/>
      <c r="V11" s="189"/>
      <c r="W11" s="189"/>
      <c r="X11" s="189"/>
    </row>
    <row r="12" spans="1:25" ht="13.5" customHeight="1" x14ac:dyDescent="0.2">
      <c r="A12" s="3"/>
      <c r="D12" s="502" t="s">
        <v>189</v>
      </c>
      <c r="E12" s="502"/>
      <c r="F12" s="502"/>
      <c r="G12" s="493"/>
      <c r="H12" s="493"/>
      <c r="I12" s="493"/>
      <c r="J12" s="493"/>
      <c r="K12" s="493"/>
      <c r="L12" s="21"/>
      <c r="M12" s="431"/>
      <c r="N12" s="430">
        <v>2013</v>
      </c>
      <c r="O12" s="431"/>
      <c r="P12" s="430">
        <v>2012</v>
      </c>
      <c r="Q12" s="134"/>
      <c r="R12" s="430" t="s">
        <v>272</v>
      </c>
      <c r="S12" s="431"/>
      <c r="T12" s="430" t="s">
        <v>273</v>
      </c>
      <c r="V12" s="189"/>
      <c r="W12" s="189"/>
      <c r="X12" s="189"/>
    </row>
    <row r="13" spans="1:25" ht="13.5" customHeight="1" x14ac:dyDescent="0.2">
      <c r="A13" s="3"/>
      <c r="D13" s="503" t="s">
        <v>323</v>
      </c>
      <c r="E13" s="503"/>
      <c r="F13" s="503"/>
      <c r="G13" s="679" t="s">
        <v>188</v>
      </c>
      <c r="H13" s="679"/>
      <c r="I13" s="679"/>
      <c r="J13" s="679"/>
      <c r="K13" s="493"/>
      <c r="L13" s="21"/>
      <c r="M13" s="134"/>
      <c r="N13" s="432">
        <v>53097</v>
      </c>
      <c r="O13" s="433"/>
      <c r="P13" s="432">
        <v>36736</v>
      </c>
      <c r="Q13" s="434"/>
      <c r="R13" s="432">
        <f>N13-P13</f>
        <v>16361</v>
      </c>
      <c r="S13" s="433"/>
      <c r="T13" s="435">
        <f>R13/P13*100</f>
        <v>44.536694250871079</v>
      </c>
      <c r="V13" s="189"/>
      <c r="W13" s="189"/>
      <c r="X13" s="189"/>
    </row>
    <row r="14" spans="1:25" ht="16.5" customHeight="1" x14ac:dyDescent="0.2">
      <c r="A14" s="3"/>
      <c r="D14" s="503" t="s">
        <v>324</v>
      </c>
      <c r="E14" s="503"/>
      <c r="F14" s="503"/>
      <c r="G14" s="679" t="s">
        <v>188</v>
      </c>
      <c r="H14" s="679"/>
      <c r="I14" s="679"/>
      <c r="J14" s="679"/>
      <c r="K14" s="493"/>
      <c r="L14" s="21"/>
      <c r="M14" s="134"/>
      <c r="N14" s="432">
        <v>13271</v>
      </c>
      <c r="O14" s="433"/>
      <c r="P14" s="432">
        <v>8300</v>
      </c>
      <c r="Q14" s="134"/>
      <c r="R14" s="432">
        <f>N14-P14</f>
        <v>4971</v>
      </c>
      <c r="S14" s="433"/>
      <c r="T14" s="435">
        <f t="shared" ref="T14:T15" si="0">R14/P14*100</f>
        <v>59.891566265060234</v>
      </c>
      <c r="V14" s="189"/>
      <c r="W14" s="189"/>
      <c r="X14" s="189"/>
    </row>
    <row r="15" spans="1:25" ht="15.75" customHeight="1" x14ac:dyDescent="0.2">
      <c r="A15" s="3"/>
      <c r="D15" s="503" t="s">
        <v>325</v>
      </c>
      <c r="E15" s="503"/>
      <c r="F15" s="503"/>
      <c r="G15" s="679" t="s">
        <v>188</v>
      </c>
      <c r="H15" s="679"/>
      <c r="I15" s="679"/>
      <c r="J15" s="679"/>
      <c r="K15" s="493"/>
      <c r="L15" s="21"/>
      <c r="M15" s="134"/>
      <c r="N15" s="432">
        <v>12776</v>
      </c>
      <c r="O15" s="433"/>
      <c r="P15" s="432">
        <v>31131</v>
      </c>
      <c r="Q15" s="134"/>
      <c r="R15" s="432">
        <f>N15-P15</f>
        <v>-18355</v>
      </c>
      <c r="S15" s="433"/>
      <c r="T15" s="435">
        <f t="shared" si="0"/>
        <v>-58.960521666506061</v>
      </c>
      <c r="V15" s="189"/>
      <c r="W15" s="189"/>
      <c r="X15" s="189"/>
    </row>
    <row r="16" spans="1:25" ht="15.75" customHeight="1" x14ac:dyDescent="0.2">
      <c r="A16" s="3"/>
      <c r="C16" s="494"/>
      <c r="D16" s="494"/>
      <c r="E16" s="494"/>
      <c r="F16" s="494"/>
      <c r="G16" s="495"/>
      <c r="H16" s="495"/>
      <c r="I16" s="495"/>
      <c r="J16" s="495"/>
      <c r="K16" s="493"/>
      <c r="L16" s="493"/>
      <c r="M16" s="493"/>
      <c r="N16" s="493"/>
      <c r="O16" s="493"/>
      <c r="P16" s="438"/>
      <c r="Q16" s="134"/>
      <c r="R16" s="438"/>
      <c r="S16" s="134"/>
      <c r="T16" s="434"/>
      <c r="V16" s="189"/>
      <c r="W16" s="189"/>
      <c r="X16" s="189"/>
    </row>
    <row r="17" spans="1:25" ht="15.75" customHeight="1" x14ac:dyDescent="0.2">
      <c r="A17" s="3"/>
      <c r="C17" s="439"/>
      <c r="D17" s="439"/>
      <c r="E17" s="439"/>
      <c r="F17" s="440"/>
      <c r="G17" s="440"/>
      <c r="H17" s="440"/>
      <c r="I17" s="440"/>
      <c r="J17" s="440"/>
      <c r="K17" s="440"/>
      <c r="L17" s="440"/>
      <c r="M17" s="440"/>
      <c r="N17" s="440"/>
      <c r="O17" s="440"/>
      <c r="P17" s="440"/>
      <c r="Q17" s="441"/>
      <c r="R17" s="440"/>
      <c r="S17" s="440"/>
      <c r="T17" s="440"/>
      <c r="V17" s="189"/>
      <c r="W17" s="189"/>
      <c r="X17" s="189"/>
    </row>
    <row r="18" spans="1:25" ht="15.75" customHeight="1" x14ac:dyDescent="0.2">
      <c r="A18" s="3"/>
      <c r="C18" s="494"/>
      <c r="D18" s="494"/>
      <c r="E18" s="494"/>
      <c r="F18" s="494"/>
      <c r="G18" s="495"/>
      <c r="H18" s="495"/>
      <c r="I18" s="495"/>
      <c r="J18" s="495"/>
      <c r="K18" s="493"/>
      <c r="L18" s="21"/>
      <c r="M18" s="496"/>
      <c r="N18" s="686" t="s">
        <v>316</v>
      </c>
      <c r="O18" s="687"/>
      <c r="P18" s="688"/>
      <c r="Q18" s="134"/>
      <c r="R18" s="689"/>
      <c r="S18" s="690"/>
      <c r="T18" s="691"/>
      <c r="V18" s="189"/>
      <c r="W18" s="189"/>
      <c r="X18" s="189"/>
    </row>
    <row r="19" spans="1:25" ht="15.75" customHeight="1" x14ac:dyDescent="0.2">
      <c r="A19" s="3"/>
      <c r="D19" s="502" t="s">
        <v>231</v>
      </c>
      <c r="E19" s="502"/>
      <c r="F19" s="502"/>
      <c r="G19" s="504"/>
      <c r="H19" s="495"/>
      <c r="I19" s="495"/>
      <c r="J19" s="495"/>
      <c r="K19" s="493"/>
      <c r="L19" s="21"/>
      <c r="M19" s="431"/>
      <c r="N19" s="430">
        <v>2013</v>
      </c>
      <c r="O19" s="431"/>
      <c r="P19" s="430">
        <v>2012</v>
      </c>
      <c r="Q19" s="134"/>
      <c r="R19" s="430" t="s">
        <v>272</v>
      </c>
      <c r="S19" s="431"/>
      <c r="T19" s="430" t="s">
        <v>273</v>
      </c>
      <c r="V19" s="189"/>
      <c r="W19" s="189"/>
      <c r="X19" s="189"/>
    </row>
    <row r="20" spans="1:25" ht="15" customHeight="1" x14ac:dyDescent="0.2">
      <c r="A20" s="3"/>
      <c r="D20" s="503" t="s">
        <v>323</v>
      </c>
      <c r="E20" s="503"/>
      <c r="F20" s="503"/>
      <c r="G20" s="679" t="s">
        <v>190</v>
      </c>
      <c r="H20" s="679"/>
      <c r="I20" s="679"/>
      <c r="J20" s="679"/>
      <c r="K20" s="493"/>
      <c r="L20" s="21"/>
      <c r="M20" s="134"/>
      <c r="N20" s="442">
        <v>2323</v>
      </c>
      <c r="O20" s="433"/>
      <c r="P20" s="442">
        <v>2038</v>
      </c>
      <c r="Q20" s="21"/>
      <c r="R20" s="432">
        <f>N20-P20</f>
        <v>285</v>
      </c>
      <c r="S20" s="433"/>
      <c r="T20" s="435">
        <f>R20/P20*100</f>
        <v>13.984298331697742</v>
      </c>
      <c r="V20" s="189"/>
      <c r="W20" s="189"/>
      <c r="X20" s="189"/>
    </row>
    <row r="21" spans="1:25" ht="18" customHeight="1" x14ac:dyDescent="0.2">
      <c r="A21" s="3"/>
      <c r="D21" s="503" t="s">
        <v>324</v>
      </c>
      <c r="E21" s="503"/>
      <c r="F21" s="503"/>
      <c r="G21" s="679" t="s">
        <v>190</v>
      </c>
      <c r="H21" s="679"/>
      <c r="I21" s="679"/>
      <c r="J21" s="679"/>
      <c r="K21" s="493"/>
      <c r="L21" s="21"/>
      <c r="M21" s="134"/>
      <c r="N21" s="442">
        <v>1524</v>
      </c>
      <c r="O21" s="433"/>
      <c r="P21" s="442">
        <v>1113</v>
      </c>
      <c r="Q21" s="21"/>
      <c r="R21" s="432">
        <f>N21-P21</f>
        <v>411</v>
      </c>
      <c r="S21" s="433"/>
      <c r="T21" s="435">
        <f t="shared" ref="T21:T22" si="1">R21/P21*100</f>
        <v>36.927223719676547</v>
      </c>
      <c r="V21" s="189"/>
      <c r="W21" s="189"/>
      <c r="X21" s="189"/>
    </row>
    <row r="22" spans="1:25" ht="15.75" customHeight="1" x14ac:dyDescent="0.2">
      <c r="D22" s="503" t="s">
        <v>325</v>
      </c>
      <c r="E22" s="503"/>
      <c r="F22" s="503"/>
      <c r="G22" s="679" t="s">
        <v>190</v>
      </c>
      <c r="H22" s="679"/>
      <c r="I22" s="679"/>
      <c r="J22" s="679"/>
      <c r="L22" s="21"/>
      <c r="M22" s="21"/>
      <c r="N22" s="443">
        <v>409</v>
      </c>
      <c r="O22" s="480"/>
      <c r="P22" s="444">
        <v>310</v>
      </c>
      <c r="Q22" s="21"/>
      <c r="R22" s="432">
        <f>N22-P22</f>
        <v>99</v>
      </c>
      <c r="S22" s="433"/>
      <c r="T22" s="435">
        <f t="shared" si="1"/>
        <v>31.93548387096774</v>
      </c>
    </row>
    <row r="23" spans="1:25" ht="15" customHeight="1" x14ac:dyDescent="0.2">
      <c r="A23" s="3"/>
      <c r="C23" s="492"/>
      <c r="D23" s="492"/>
      <c r="E23" s="492"/>
      <c r="F23" s="493"/>
      <c r="G23" s="493"/>
      <c r="H23" s="493"/>
      <c r="I23" s="493"/>
      <c r="J23" s="493"/>
      <c r="K23" s="493"/>
      <c r="L23" s="493"/>
      <c r="M23" s="493"/>
      <c r="N23" s="493"/>
      <c r="O23" s="493"/>
      <c r="P23" s="493"/>
      <c r="Q23" s="493"/>
      <c r="R23" s="493"/>
      <c r="S23" s="493"/>
      <c r="T23" s="493"/>
      <c r="V23" s="189"/>
      <c r="W23" s="189"/>
      <c r="X23" s="189"/>
    </row>
    <row r="24" spans="1:25" ht="15" customHeight="1" x14ac:dyDescent="0.2">
      <c r="A24" s="3"/>
      <c r="C24" s="492"/>
      <c r="D24" s="492"/>
      <c r="E24" s="492"/>
      <c r="F24" s="493"/>
      <c r="G24" s="493"/>
      <c r="H24" s="493"/>
      <c r="I24" s="493"/>
      <c r="J24" s="493"/>
      <c r="K24" s="493"/>
      <c r="L24" s="493"/>
      <c r="M24" s="493"/>
      <c r="N24" s="493"/>
      <c r="O24" s="493"/>
      <c r="P24" s="493"/>
      <c r="Q24" s="493"/>
      <c r="R24" s="493"/>
      <c r="S24" s="493"/>
      <c r="T24" s="493"/>
      <c r="V24" s="189"/>
      <c r="W24" s="189"/>
      <c r="X24" s="189"/>
    </row>
    <row r="25" spans="1:25" ht="15" customHeight="1" x14ac:dyDescent="0.2">
      <c r="A25" s="3"/>
      <c r="D25" s="3" t="s">
        <v>122</v>
      </c>
      <c r="E25" s="1" t="s">
        <v>359</v>
      </c>
      <c r="F25" s="476"/>
      <c r="G25" s="477"/>
      <c r="H25" s="477"/>
      <c r="I25" s="477"/>
      <c r="J25" s="477"/>
      <c r="K25" s="477"/>
      <c r="L25" s="477"/>
      <c r="M25" s="477"/>
      <c r="N25" s="477"/>
      <c r="O25" s="477"/>
      <c r="P25" s="477"/>
      <c r="Q25" s="477"/>
      <c r="R25" s="477"/>
      <c r="S25" s="477"/>
      <c r="T25" s="477"/>
      <c r="V25" s="189"/>
      <c r="W25" s="189"/>
      <c r="X25" s="189"/>
    </row>
    <row r="26" spans="1:25" ht="62.25" customHeight="1" x14ac:dyDescent="0.2">
      <c r="A26" s="3"/>
      <c r="D26" s="636" t="s">
        <v>434</v>
      </c>
      <c r="E26" s="643"/>
      <c r="F26" s="643"/>
      <c r="G26" s="643"/>
      <c r="H26" s="643"/>
      <c r="I26" s="643"/>
      <c r="J26" s="643"/>
      <c r="K26" s="643"/>
      <c r="L26" s="643"/>
      <c r="M26" s="643"/>
      <c r="N26" s="643"/>
      <c r="O26" s="643"/>
      <c r="P26" s="643"/>
      <c r="Q26" s="643"/>
      <c r="R26" s="643"/>
      <c r="S26" s="643"/>
      <c r="T26" s="643"/>
      <c r="V26" s="521">
        <f>PL!L19</f>
        <v>469952</v>
      </c>
      <c r="W26" s="521">
        <f>PL!N19</f>
        <v>375846</v>
      </c>
      <c r="X26" s="522">
        <f>V26-W26</f>
        <v>94106</v>
      </c>
      <c r="Y26" s="523">
        <f>X26/W26</f>
        <v>0.25038446597808678</v>
      </c>
    </row>
    <row r="27" spans="1:25" ht="18.75" customHeight="1" x14ac:dyDescent="0.2">
      <c r="A27" s="3"/>
      <c r="C27" s="419"/>
      <c r="D27" s="419"/>
      <c r="E27" s="419"/>
      <c r="F27" s="421"/>
      <c r="G27" s="421"/>
      <c r="H27" s="421"/>
      <c r="I27" s="421"/>
      <c r="J27" s="421"/>
      <c r="K27" s="421"/>
      <c r="L27" s="421"/>
      <c r="M27" s="421"/>
      <c r="N27" s="468"/>
      <c r="O27" s="468"/>
      <c r="P27" s="421"/>
      <c r="Q27" s="134"/>
      <c r="R27" s="421"/>
      <c r="S27" s="421"/>
      <c r="T27" s="421"/>
      <c r="V27" s="189"/>
      <c r="W27" s="189"/>
      <c r="X27" s="189"/>
    </row>
    <row r="28" spans="1:25" ht="16.5" customHeight="1" x14ac:dyDescent="0.2">
      <c r="A28" s="3"/>
      <c r="G28" s="421"/>
      <c r="H28" s="421"/>
      <c r="I28" s="421"/>
      <c r="J28" s="421"/>
      <c r="K28" s="421"/>
      <c r="L28" s="473"/>
      <c r="M28" s="473"/>
      <c r="N28" s="686" t="s">
        <v>359</v>
      </c>
      <c r="O28" s="687"/>
      <c r="P28" s="688"/>
      <c r="Q28" s="134"/>
      <c r="R28" s="689"/>
      <c r="S28" s="690"/>
      <c r="T28" s="691"/>
      <c r="V28" s="189"/>
      <c r="W28" s="189"/>
      <c r="X28" s="189"/>
    </row>
    <row r="29" spans="1:25" ht="13.5" customHeight="1" x14ac:dyDescent="0.2">
      <c r="A29" s="3"/>
      <c r="D29" s="502" t="s">
        <v>189</v>
      </c>
      <c r="E29" s="502"/>
      <c r="F29" s="502"/>
      <c r="G29" s="421"/>
      <c r="H29" s="421"/>
      <c r="I29" s="421"/>
      <c r="J29" s="421"/>
      <c r="K29" s="421"/>
      <c r="L29" s="21"/>
      <c r="M29" s="431"/>
      <c r="N29" s="430">
        <v>2013</v>
      </c>
      <c r="O29" s="431"/>
      <c r="P29" s="430">
        <v>2012</v>
      </c>
      <c r="Q29" s="134"/>
      <c r="R29" s="430" t="s">
        <v>272</v>
      </c>
      <c r="S29" s="431"/>
      <c r="T29" s="430" t="s">
        <v>273</v>
      </c>
      <c r="V29" s="189"/>
      <c r="W29" s="189"/>
      <c r="X29" s="189"/>
    </row>
    <row r="30" spans="1:25" ht="13.5" customHeight="1" x14ac:dyDescent="0.2">
      <c r="A30" s="3"/>
      <c r="D30" s="503" t="s">
        <v>323</v>
      </c>
      <c r="E30" s="503"/>
      <c r="F30" s="503"/>
      <c r="G30" s="679" t="s">
        <v>188</v>
      </c>
      <c r="H30" s="679"/>
      <c r="I30" s="679"/>
      <c r="J30" s="679"/>
      <c r="K30" s="421"/>
      <c r="L30" s="21"/>
      <c r="M30" s="134"/>
      <c r="N30" s="432">
        <v>168445.89</v>
      </c>
      <c r="O30" s="433"/>
      <c r="P30" s="432">
        <v>99706</v>
      </c>
      <c r="Q30" s="434"/>
      <c r="R30" s="432">
        <f>N30-P30</f>
        <v>68739.890000000014</v>
      </c>
      <c r="S30" s="433"/>
      <c r="T30" s="435">
        <f>R30/P30*100</f>
        <v>68.942581188694774</v>
      </c>
      <c r="V30" s="189"/>
      <c r="W30" s="189"/>
      <c r="X30" s="189"/>
    </row>
    <row r="31" spans="1:25" ht="16.5" customHeight="1" x14ac:dyDescent="0.2">
      <c r="A31" s="3"/>
      <c r="D31" s="503" t="s">
        <v>324</v>
      </c>
      <c r="E31" s="503"/>
      <c r="F31" s="503"/>
      <c r="G31" s="679" t="s">
        <v>188</v>
      </c>
      <c r="H31" s="679"/>
      <c r="I31" s="679"/>
      <c r="J31" s="679"/>
      <c r="K31" s="421"/>
      <c r="L31" s="21"/>
      <c r="M31" s="134"/>
      <c r="N31" s="432">
        <v>40340.22</v>
      </c>
      <c r="O31" s="433"/>
      <c r="P31" s="432">
        <v>26060</v>
      </c>
      <c r="Q31" s="134"/>
      <c r="R31" s="432">
        <f>N31-P31</f>
        <v>14280.220000000001</v>
      </c>
      <c r="S31" s="433"/>
      <c r="T31" s="435">
        <f t="shared" ref="T31:T32" si="2">R31/P31*100</f>
        <v>54.797467382962395</v>
      </c>
      <c r="V31" s="189"/>
      <c r="W31" s="189"/>
      <c r="X31" s="189"/>
    </row>
    <row r="32" spans="1:25" ht="15.75" customHeight="1" x14ac:dyDescent="0.2">
      <c r="A32" s="3"/>
      <c r="D32" s="503" t="s">
        <v>325</v>
      </c>
      <c r="E32" s="503"/>
      <c r="F32" s="503"/>
      <c r="G32" s="679" t="s">
        <v>188</v>
      </c>
      <c r="H32" s="679"/>
      <c r="I32" s="679"/>
      <c r="J32" s="679"/>
      <c r="K32" s="421"/>
      <c r="L32" s="21"/>
      <c r="M32" s="134"/>
      <c r="N32" s="432">
        <v>83094</v>
      </c>
      <c r="O32" s="433"/>
      <c r="P32" s="432">
        <v>96015</v>
      </c>
      <c r="Q32" s="134"/>
      <c r="R32" s="432">
        <f>N32-P32</f>
        <v>-12921</v>
      </c>
      <c r="S32" s="433"/>
      <c r="T32" s="435">
        <f t="shared" si="2"/>
        <v>-13.457272301202938</v>
      </c>
      <c r="V32" s="189"/>
      <c r="W32" s="189"/>
      <c r="X32" s="189"/>
    </row>
    <row r="33" spans="1:24" ht="15.75" customHeight="1" x14ac:dyDescent="0.2">
      <c r="A33" s="3"/>
      <c r="C33" s="436"/>
      <c r="D33" s="436"/>
      <c r="E33" s="436"/>
      <c r="F33" s="436"/>
      <c r="G33" s="437"/>
      <c r="H33" s="437"/>
      <c r="I33" s="437"/>
      <c r="J33" s="437"/>
      <c r="K33" s="421"/>
      <c r="L33" s="421"/>
      <c r="M33" s="421"/>
      <c r="N33" s="468"/>
      <c r="O33" s="468"/>
      <c r="P33" s="438"/>
      <c r="Q33" s="134"/>
      <c r="R33" s="438"/>
      <c r="S33" s="134"/>
      <c r="T33" s="434"/>
      <c r="V33" s="189"/>
      <c r="W33" s="189"/>
      <c r="X33" s="189"/>
    </row>
    <row r="34" spans="1:24" ht="15.75" customHeight="1" x14ac:dyDescent="0.2">
      <c r="A34" s="3"/>
      <c r="C34" s="439"/>
      <c r="D34" s="439"/>
      <c r="E34" s="439"/>
      <c r="F34" s="440"/>
      <c r="G34" s="440"/>
      <c r="H34" s="440"/>
      <c r="I34" s="440"/>
      <c r="J34" s="440"/>
      <c r="K34" s="440"/>
      <c r="L34" s="440"/>
      <c r="M34" s="440"/>
      <c r="N34" s="440"/>
      <c r="O34" s="440"/>
      <c r="P34" s="440"/>
      <c r="Q34" s="441"/>
      <c r="R34" s="440"/>
      <c r="S34" s="440"/>
      <c r="T34" s="440"/>
      <c r="V34" s="189"/>
      <c r="W34" s="189"/>
      <c r="X34" s="189"/>
    </row>
    <row r="35" spans="1:24" ht="15.75" customHeight="1" x14ac:dyDescent="0.2">
      <c r="A35" s="3"/>
      <c r="C35" s="436"/>
      <c r="D35" s="436"/>
      <c r="E35" s="436"/>
      <c r="F35" s="436"/>
      <c r="G35" s="437"/>
      <c r="H35" s="437"/>
      <c r="I35" s="437"/>
      <c r="J35" s="437"/>
      <c r="K35" s="421"/>
      <c r="L35" s="21"/>
      <c r="M35" s="473"/>
      <c r="N35" s="686" t="s">
        <v>359</v>
      </c>
      <c r="O35" s="687"/>
      <c r="P35" s="688"/>
      <c r="Q35" s="134"/>
      <c r="R35" s="689"/>
      <c r="S35" s="690"/>
      <c r="T35" s="691"/>
      <c r="V35" s="189"/>
      <c r="W35" s="189"/>
      <c r="X35" s="189"/>
    </row>
    <row r="36" spans="1:24" ht="15.75" customHeight="1" x14ac:dyDescent="0.2">
      <c r="A36" s="3"/>
      <c r="D36" s="502" t="s">
        <v>231</v>
      </c>
      <c r="E36" s="502"/>
      <c r="F36" s="502"/>
      <c r="G36" s="504"/>
      <c r="H36" s="437"/>
      <c r="I36" s="437"/>
      <c r="J36" s="437"/>
      <c r="K36" s="421"/>
      <c r="L36" s="21"/>
      <c r="M36" s="431"/>
      <c r="N36" s="430">
        <v>2013</v>
      </c>
      <c r="O36" s="431"/>
      <c r="P36" s="430">
        <v>2012</v>
      </c>
      <c r="Q36" s="134"/>
      <c r="R36" s="430" t="s">
        <v>272</v>
      </c>
      <c r="S36" s="431"/>
      <c r="T36" s="430" t="s">
        <v>273</v>
      </c>
      <c r="V36" s="189"/>
      <c r="W36" s="189"/>
      <c r="X36" s="189"/>
    </row>
    <row r="37" spans="1:24" ht="15" customHeight="1" x14ac:dyDescent="0.2">
      <c r="A37" s="3"/>
      <c r="D37" s="503" t="s">
        <v>323</v>
      </c>
      <c r="E37" s="503"/>
      <c r="F37" s="503"/>
      <c r="G37" s="679" t="s">
        <v>190</v>
      </c>
      <c r="H37" s="679"/>
      <c r="I37" s="679"/>
      <c r="J37" s="679"/>
      <c r="K37" s="421"/>
      <c r="L37" s="21"/>
      <c r="M37" s="134"/>
      <c r="N37" s="442">
        <v>2199.5</v>
      </c>
      <c r="O37" s="433"/>
      <c r="P37" s="442">
        <v>2661.18</v>
      </c>
      <c r="Q37" s="21"/>
      <c r="R37" s="432">
        <f>N37-P37</f>
        <v>-461.67999999999984</v>
      </c>
      <c r="S37" s="433"/>
      <c r="T37" s="435">
        <f>R37/P37*100</f>
        <v>-17.348694939838712</v>
      </c>
      <c r="V37" s="189"/>
      <c r="W37" s="189"/>
      <c r="X37" s="189"/>
    </row>
    <row r="38" spans="1:24" ht="18" customHeight="1" x14ac:dyDescent="0.2">
      <c r="A38" s="3"/>
      <c r="D38" s="503" t="s">
        <v>324</v>
      </c>
      <c r="E38" s="503"/>
      <c r="F38" s="503"/>
      <c r="G38" s="679" t="s">
        <v>190</v>
      </c>
      <c r="H38" s="679"/>
      <c r="I38" s="679"/>
      <c r="J38" s="679"/>
      <c r="K38" s="421"/>
      <c r="L38" s="21"/>
      <c r="M38" s="134"/>
      <c r="N38" s="442">
        <v>1293.9100000000001</v>
      </c>
      <c r="O38" s="433"/>
      <c r="P38" s="442">
        <v>1602.09</v>
      </c>
      <c r="Q38" s="21"/>
      <c r="R38" s="432">
        <f>N38-P38</f>
        <v>-308.17999999999984</v>
      </c>
      <c r="S38" s="433"/>
      <c r="T38" s="435">
        <f t="shared" ref="T38:T39" si="3">R38/P38*100</f>
        <v>-19.236122814573452</v>
      </c>
      <c r="V38" s="189"/>
      <c r="W38" s="189"/>
      <c r="X38" s="189"/>
    </row>
    <row r="39" spans="1:24" ht="15.75" customHeight="1" x14ac:dyDescent="0.2">
      <c r="D39" s="503" t="s">
        <v>325</v>
      </c>
      <c r="E39" s="503"/>
      <c r="F39" s="503"/>
      <c r="G39" s="679" t="s">
        <v>190</v>
      </c>
      <c r="H39" s="679"/>
      <c r="I39" s="679"/>
      <c r="J39" s="679"/>
      <c r="L39" s="21"/>
      <c r="M39" s="21"/>
      <c r="N39" s="443">
        <v>361.74</v>
      </c>
      <c r="O39" s="480"/>
      <c r="P39" s="444">
        <v>472</v>
      </c>
      <c r="Q39" s="21"/>
      <c r="R39" s="432">
        <f>N39-P39</f>
        <v>-110.25999999999999</v>
      </c>
      <c r="S39" s="433"/>
      <c r="T39" s="435">
        <f t="shared" si="3"/>
        <v>-23.360169491525422</v>
      </c>
    </row>
    <row r="40" spans="1:24" ht="15.75" customHeight="1" x14ac:dyDescent="0.2">
      <c r="C40" s="436"/>
      <c r="D40" s="436"/>
      <c r="E40" s="436"/>
      <c r="F40" s="436"/>
      <c r="G40" s="437"/>
      <c r="H40" s="437"/>
      <c r="I40" s="437"/>
      <c r="J40" s="437"/>
      <c r="P40" s="21"/>
      <c r="R40" s="21"/>
    </row>
    <row r="41" spans="1:24" ht="18.75" customHeight="1" x14ac:dyDescent="0.2">
      <c r="A41" s="3"/>
      <c r="C41" s="3" t="s">
        <v>174</v>
      </c>
      <c r="D41" s="697" t="s">
        <v>103</v>
      </c>
      <c r="E41" s="634"/>
      <c r="F41" s="634"/>
      <c r="G41" s="634"/>
      <c r="H41" s="634"/>
      <c r="I41" s="634"/>
      <c r="J41" s="421"/>
      <c r="K41" s="421"/>
      <c r="L41" s="421"/>
      <c r="M41" s="421"/>
      <c r="N41" s="468"/>
      <c r="O41" s="468"/>
      <c r="P41" s="421"/>
      <c r="Q41" s="421"/>
      <c r="R41" s="421"/>
      <c r="S41" s="421"/>
      <c r="T41" s="421"/>
      <c r="V41" s="140"/>
      <c r="W41" s="140"/>
      <c r="X41" s="140"/>
    </row>
    <row r="42" spans="1:24" ht="9.75" customHeight="1" x14ac:dyDescent="0.2">
      <c r="A42" s="3"/>
      <c r="C42" s="3"/>
      <c r="D42" s="506"/>
      <c r="E42" s="491"/>
      <c r="F42" s="491"/>
      <c r="G42" s="491"/>
      <c r="H42" s="491"/>
      <c r="I42" s="491"/>
      <c r="J42" s="493"/>
      <c r="K42" s="493"/>
      <c r="L42" s="493"/>
      <c r="M42" s="493"/>
      <c r="N42" s="493"/>
      <c r="O42" s="493"/>
      <c r="P42" s="493"/>
      <c r="Q42" s="493"/>
      <c r="R42" s="493"/>
      <c r="S42" s="493"/>
      <c r="T42" s="493"/>
      <c r="V42" s="140"/>
      <c r="W42" s="140"/>
      <c r="X42" s="140"/>
    </row>
    <row r="43" spans="1:24" ht="18.75" customHeight="1" x14ac:dyDescent="0.2">
      <c r="A43" s="3"/>
      <c r="D43" s="3" t="s">
        <v>121</v>
      </c>
      <c r="E43" s="1" t="s">
        <v>316</v>
      </c>
      <c r="F43" s="530"/>
      <c r="G43" s="533"/>
      <c r="H43" s="533"/>
      <c r="I43" s="533"/>
      <c r="J43" s="533"/>
      <c r="K43" s="533"/>
      <c r="L43" s="533"/>
      <c r="M43" s="533"/>
      <c r="N43" s="533"/>
      <c r="O43" s="533"/>
      <c r="P43" s="533"/>
      <c r="Q43" s="533"/>
      <c r="R43" s="533"/>
      <c r="S43" s="533"/>
      <c r="T43" s="533"/>
      <c r="V43" s="140"/>
      <c r="W43" s="140"/>
      <c r="X43" s="140"/>
    </row>
    <row r="44" spans="1:24" ht="79.5" customHeight="1" x14ac:dyDescent="0.2">
      <c r="A44" s="3"/>
      <c r="D44" s="636" t="s">
        <v>435</v>
      </c>
      <c r="E44" s="643"/>
      <c r="F44" s="643"/>
      <c r="G44" s="643"/>
      <c r="H44" s="643"/>
      <c r="I44" s="643"/>
      <c r="J44" s="643"/>
      <c r="K44" s="643"/>
      <c r="L44" s="643"/>
      <c r="M44" s="643"/>
      <c r="N44" s="643"/>
      <c r="O44" s="643"/>
      <c r="P44" s="643"/>
      <c r="Q44" s="643"/>
      <c r="R44" s="643"/>
      <c r="S44" s="643"/>
      <c r="T44" s="643"/>
      <c r="U44" s="505"/>
      <c r="V44" s="140">
        <f>PL!H35-PL!J35</f>
        <v>-85496</v>
      </c>
      <c r="W44" s="589">
        <f>(PL!H35-PL!J35)/PL!J35</f>
        <v>-0.73515223952466535</v>
      </c>
      <c r="X44" s="140"/>
    </row>
    <row r="45" spans="1:24" ht="16.5" customHeight="1" x14ac:dyDescent="0.2">
      <c r="A45" s="3"/>
      <c r="D45" s="538"/>
      <c r="E45" s="663"/>
      <c r="F45" s="662"/>
      <c r="G45" s="662"/>
      <c r="H45" s="662"/>
      <c r="I45" s="662"/>
      <c r="J45" s="662"/>
      <c r="K45" s="662"/>
      <c r="L45" s="662"/>
      <c r="M45" s="662"/>
      <c r="N45" s="662"/>
      <c r="O45" s="662"/>
      <c r="P45" s="662"/>
      <c r="Q45" s="662"/>
      <c r="R45" s="662"/>
      <c r="S45" s="662"/>
      <c r="T45" s="662"/>
      <c r="U45" s="505"/>
      <c r="V45" s="140"/>
      <c r="W45" s="140"/>
      <c r="X45" s="518"/>
    </row>
    <row r="46" spans="1:24" ht="16.5" customHeight="1" x14ac:dyDescent="0.2">
      <c r="A46" s="3"/>
      <c r="D46" s="531" t="s">
        <v>122</v>
      </c>
      <c r="E46" s="1" t="s">
        <v>359</v>
      </c>
      <c r="F46" s="532"/>
      <c r="G46" s="532"/>
      <c r="H46" s="532"/>
      <c r="I46" s="532"/>
      <c r="J46" s="532"/>
      <c r="K46" s="532"/>
      <c r="L46" s="532"/>
      <c r="M46" s="532"/>
      <c r="N46" s="532"/>
      <c r="O46" s="532"/>
      <c r="P46" s="532"/>
      <c r="Q46" s="532"/>
      <c r="R46" s="532"/>
      <c r="S46" s="532"/>
      <c r="T46" s="532"/>
      <c r="V46" s="140"/>
      <c r="W46" s="140"/>
      <c r="X46" s="140"/>
    </row>
    <row r="47" spans="1:24" ht="48.75" customHeight="1" x14ac:dyDescent="0.2">
      <c r="A47" s="3"/>
      <c r="D47" s="663" t="s">
        <v>436</v>
      </c>
      <c r="E47" s="662"/>
      <c r="F47" s="662"/>
      <c r="G47" s="662"/>
      <c r="H47" s="662"/>
      <c r="I47" s="662"/>
      <c r="J47" s="662"/>
      <c r="K47" s="662"/>
      <c r="L47" s="662"/>
      <c r="M47" s="662"/>
      <c r="N47" s="662"/>
      <c r="O47" s="662"/>
      <c r="P47" s="662"/>
      <c r="Q47" s="662"/>
      <c r="R47" s="662"/>
      <c r="S47" s="662"/>
      <c r="T47" s="662"/>
      <c r="V47" s="140"/>
      <c r="W47" s="140">
        <f>PL!L35</f>
        <v>71043</v>
      </c>
      <c r="X47" s="140">
        <f>(W47-PL!N35)/PL!N35*100</f>
        <v>-61.774422658889868</v>
      </c>
    </row>
    <row r="48" spans="1:24" ht="9.75" customHeight="1" x14ac:dyDescent="0.2">
      <c r="A48" s="3"/>
      <c r="D48" s="605"/>
      <c r="E48" s="604"/>
      <c r="F48" s="604"/>
      <c r="G48" s="604"/>
      <c r="H48" s="604"/>
      <c r="I48" s="604"/>
      <c r="J48" s="604"/>
      <c r="K48" s="604"/>
      <c r="L48" s="604"/>
      <c r="M48" s="604"/>
      <c r="N48" s="604"/>
      <c r="O48" s="604"/>
      <c r="P48" s="604"/>
      <c r="Q48" s="604"/>
      <c r="R48" s="604"/>
      <c r="S48" s="604"/>
      <c r="T48" s="604"/>
      <c r="V48" s="140"/>
      <c r="W48" s="140"/>
      <c r="X48" s="140"/>
    </row>
    <row r="49" spans="1:26" ht="58.5" customHeight="1" x14ac:dyDescent="0.2">
      <c r="A49" s="3"/>
      <c r="D49" s="663" t="s">
        <v>437</v>
      </c>
      <c r="E49" s="634"/>
      <c r="F49" s="634"/>
      <c r="G49" s="634"/>
      <c r="H49" s="634"/>
      <c r="I49" s="634"/>
      <c r="J49" s="634"/>
      <c r="K49" s="634"/>
      <c r="L49" s="634"/>
      <c r="M49" s="634"/>
      <c r="N49" s="634"/>
      <c r="O49" s="634"/>
      <c r="P49" s="634"/>
      <c r="Q49" s="634"/>
      <c r="R49" s="634"/>
      <c r="S49" s="634"/>
      <c r="T49" s="634"/>
      <c r="V49" s="140"/>
      <c r="W49" s="140"/>
      <c r="X49" s="140"/>
    </row>
    <row r="50" spans="1:26" ht="30.75" customHeight="1" x14ac:dyDescent="0.2">
      <c r="A50" s="3"/>
      <c r="D50" s="605" t="s">
        <v>438</v>
      </c>
      <c r="E50" s="663" t="s">
        <v>439</v>
      </c>
      <c r="F50" s="662"/>
      <c r="G50" s="662"/>
      <c r="H50" s="662"/>
      <c r="I50" s="662"/>
      <c r="J50" s="662"/>
      <c r="K50" s="662"/>
      <c r="L50" s="662"/>
      <c r="M50" s="662"/>
      <c r="N50" s="662"/>
      <c r="O50" s="662"/>
      <c r="P50" s="662"/>
      <c r="Q50" s="662"/>
      <c r="R50" s="662"/>
      <c r="S50" s="662"/>
      <c r="T50" s="662"/>
      <c r="V50" s="140"/>
      <c r="W50" s="140">
        <f>65664.62+3062.24</f>
        <v>68726.86</v>
      </c>
      <c r="X50" s="140">
        <f>60302.6+2068.51</f>
        <v>62371.11</v>
      </c>
    </row>
    <row r="51" spans="1:26" ht="18.75" customHeight="1" x14ac:dyDescent="0.2">
      <c r="A51" s="3"/>
      <c r="D51" s="605" t="s">
        <v>438</v>
      </c>
      <c r="E51" s="663" t="s">
        <v>441</v>
      </c>
      <c r="F51" s="662"/>
      <c r="G51" s="662"/>
      <c r="H51" s="662"/>
      <c r="I51" s="662"/>
      <c r="J51" s="662"/>
      <c r="K51" s="662"/>
      <c r="L51" s="662"/>
      <c r="M51" s="662"/>
      <c r="N51" s="662"/>
      <c r="O51" s="662"/>
      <c r="P51" s="662"/>
      <c r="Q51" s="662"/>
      <c r="R51" s="662"/>
      <c r="S51" s="662"/>
      <c r="T51" s="662"/>
      <c r="V51" s="140"/>
      <c r="W51" s="140"/>
      <c r="X51" s="140"/>
    </row>
    <row r="52" spans="1:26" ht="37.5" customHeight="1" x14ac:dyDescent="0.2">
      <c r="A52" s="3"/>
      <c r="D52" s="603" t="s">
        <v>438</v>
      </c>
      <c r="E52" s="663" t="s">
        <v>440</v>
      </c>
      <c r="F52" s="662"/>
      <c r="G52" s="662"/>
      <c r="H52" s="662"/>
      <c r="I52" s="662"/>
      <c r="J52" s="662"/>
      <c r="K52" s="662"/>
      <c r="L52" s="662"/>
      <c r="M52" s="662"/>
      <c r="N52" s="662"/>
      <c r="O52" s="662"/>
      <c r="P52" s="662"/>
      <c r="Q52" s="662"/>
      <c r="R52" s="662"/>
      <c r="S52" s="662"/>
      <c r="T52" s="662"/>
      <c r="V52" s="140"/>
      <c r="W52" s="140"/>
      <c r="X52" s="140"/>
    </row>
    <row r="53" spans="1:26" ht="32.25" customHeight="1" x14ac:dyDescent="0.2">
      <c r="A53" s="3"/>
      <c r="D53" s="568"/>
      <c r="E53" s="663"/>
      <c r="F53" s="634"/>
      <c r="G53" s="634"/>
      <c r="H53" s="634"/>
      <c r="I53" s="634"/>
      <c r="J53" s="634"/>
      <c r="K53" s="634"/>
      <c r="L53" s="634"/>
      <c r="M53" s="634"/>
      <c r="N53" s="634"/>
      <c r="O53" s="634"/>
      <c r="P53" s="634"/>
      <c r="Q53" s="634"/>
      <c r="R53" s="634"/>
      <c r="S53" s="634"/>
      <c r="T53" s="634"/>
      <c r="V53" s="140"/>
      <c r="W53" s="140"/>
      <c r="X53" s="140"/>
    </row>
    <row r="54" spans="1:26" ht="14.45" customHeight="1" x14ac:dyDescent="0.2">
      <c r="A54" s="3">
        <v>20</v>
      </c>
      <c r="B54" s="3"/>
      <c r="C54" s="640" t="s">
        <v>19</v>
      </c>
      <c r="D54" s="640"/>
      <c r="E54" s="640"/>
      <c r="F54" s="640"/>
      <c r="G54" s="640"/>
      <c r="H54" s="640"/>
      <c r="I54" s="640"/>
      <c r="J54" s="640"/>
      <c r="K54" s="640"/>
      <c r="L54" s="640"/>
      <c r="M54" s="640"/>
      <c r="N54" s="640"/>
      <c r="O54" s="640"/>
      <c r="P54" s="640"/>
      <c r="Q54" s="640"/>
      <c r="R54" s="640"/>
      <c r="S54" s="698"/>
      <c r="T54" s="698"/>
      <c r="V54" s="640"/>
      <c r="W54" s="640"/>
      <c r="X54" s="698"/>
      <c r="Y54" s="698"/>
      <c r="Z54" s="698"/>
    </row>
    <row r="55" spans="1:26" ht="14.45" customHeight="1" x14ac:dyDescent="0.2">
      <c r="R55" s="31"/>
    </row>
    <row r="56" spans="1:26" ht="27" customHeight="1" x14ac:dyDescent="0.2">
      <c r="C56" s="636" t="s">
        <v>271</v>
      </c>
      <c r="D56" s="643"/>
      <c r="E56" s="643"/>
      <c r="F56" s="643"/>
      <c r="G56" s="643"/>
      <c r="H56" s="643"/>
      <c r="I56" s="643"/>
      <c r="J56" s="643"/>
      <c r="K56" s="643"/>
      <c r="L56" s="643"/>
      <c r="M56" s="643"/>
      <c r="N56" s="643"/>
      <c r="O56" s="643"/>
      <c r="P56" s="643"/>
      <c r="Q56" s="643"/>
      <c r="R56" s="643"/>
      <c r="S56" s="644"/>
      <c r="T56" s="644"/>
    </row>
    <row r="57" spans="1:26" ht="18" customHeight="1" x14ac:dyDescent="0.2">
      <c r="C57" s="449"/>
      <c r="D57" s="450"/>
      <c r="E57" s="450"/>
      <c r="F57" s="450"/>
      <c r="G57" s="450"/>
      <c r="H57" s="450"/>
      <c r="I57" s="450"/>
      <c r="J57" s="450"/>
      <c r="K57" s="450"/>
      <c r="M57" s="431"/>
      <c r="N57" s="430">
        <v>2013</v>
      </c>
      <c r="O57" s="456"/>
      <c r="P57" s="430">
        <v>2013</v>
      </c>
      <c r="Q57" s="450"/>
      <c r="R57" s="689"/>
      <c r="S57" s="690"/>
      <c r="T57" s="691"/>
    </row>
    <row r="58" spans="1:26" ht="15" customHeight="1" x14ac:dyDescent="0.2">
      <c r="C58" s="675" t="s">
        <v>189</v>
      </c>
      <c r="D58" s="675"/>
      <c r="E58" s="675"/>
      <c r="F58" s="675"/>
      <c r="G58" s="453"/>
      <c r="H58" s="453"/>
      <c r="I58" s="453"/>
      <c r="J58" s="453"/>
      <c r="K58" s="453"/>
      <c r="M58" s="431"/>
      <c r="N58" s="457" t="s">
        <v>358</v>
      </c>
      <c r="O58" s="456"/>
      <c r="P58" s="457" t="s">
        <v>335</v>
      </c>
      <c r="Q58" s="134"/>
      <c r="R58" s="430" t="s">
        <v>272</v>
      </c>
      <c r="S58" s="431"/>
      <c r="T58" s="430" t="s">
        <v>273</v>
      </c>
    </row>
    <row r="59" spans="1:26" ht="15" customHeight="1" x14ac:dyDescent="0.2">
      <c r="C59" s="677" t="s">
        <v>323</v>
      </c>
      <c r="D59" s="677"/>
      <c r="E59" s="677"/>
      <c r="F59" s="677"/>
      <c r="G59" s="679" t="s">
        <v>188</v>
      </c>
      <c r="H59" s="679"/>
      <c r="I59" s="679"/>
      <c r="J59" s="679"/>
      <c r="K59" s="453"/>
      <c r="M59" s="134"/>
      <c r="N59" s="432">
        <f>N13</f>
        <v>53097</v>
      </c>
      <c r="O59" s="433"/>
      <c r="P59" s="432">
        <v>48568</v>
      </c>
      <c r="Q59" s="434"/>
      <c r="R59" s="432">
        <f>N59-P59</f>
        <v>4529</v>
      </c>
      <c r="S59" s="433"/>
      <c r="T59" s="435">
        <f>R59/P59*100</f>
        <v>9.3250700049415247</v>
      </c>
    </row>
    <row r="60" spans="1:26" ht="15" customHeight="1" x14ac:dyDescent="0.2">
      <c r="C60" s="677" t="s">
        <v>326</v>
      </c>
      <c r="D60" s="677"/>
      <c r="E60" s="677"/>
      <c r="F60" s="677"/>
      <c r="G60" s="679" t="s">
        <v>188</v>
      </c>
      <c r="H60" s="679"/>
      <c r="I60" s="679"/>
      <c r="J60" s="679"/>
      <c r="K60" s="453"/>
      <c r="M60" s="134"/>
      <c r="N60" s="432">
        <f>N14</f>
        <v>13271</v>
      </c>
      <c r="O60" s="433"/>
      <c r="P60" s="432">
        <v>10632</v>
      </c>
      <c r="Q60" s="134"/>
      <c r="R60" s="432">
        <f>N60-P60</f>
        <v>2639</v>
      </c>
      <c r="S60" s="433"/>
      <c r="T60" s="435">
        <f t="shared" ref="T60:T61" si="4">R60/P60*100</f>
        <v>24.821294206170052</v>
      </c>
    </row>
    <row r="61" spans="1:26" ht="15" customHeight="1" x14ac:dyDescent="0.2">
      <c r="C61" s="677" t="s">
        <v>325</v>
      </c>
      <c r="D61" s="677"/>
      <c r="E61" s="677"/>
      <c r="F61" s="677"/>
      <c r="G61" s="679" t="s">
        <v>188</v>
      </c>
      <c r="H61" s="679"/>
      <c r="I61" s="679"/>
      <c r="J61" s="679"/>
      <c r="K61" s="453"/>
      <c r="M61" s="134"/>
      <c r="N61" s="432">
        <f>N15</f>
        <v>12776</v>
      </c>
      <c r="O61" s="433"/>
      <c r="P61" s="432">
        <v>14971</v>
      </c>
      <c r="Q61" s="134"/>
      <c r="R61" s="432">
        <f>N61-P61</f>
        <v>-2195</v>
      </c>
      <c r="S61" s="433"/>
      <c r="T61" s="435">
        <f t="shared" si="4"/>
        <v>-14.661679246543317</v>
      </c>
    </row>
    <row r="62" spans="1:26" ht="15" customHeight="1" x14ac:dyDescent="0.2">
      <c r="C62" s="454"/>
      <c r="D62" s="454"/>
      <c r="E62" s="454"/>
      <c r="F62" s="454"/>
      <c r="G62" s="455"/>
      <c r="H62" s="455"/>
      <c r="I62" s="455"/>
      <c r="J62" s="455"/>
      <c r="K62" s="453"/>
      <c r="M62" s="134"/>
      <c r="N62" s="453"/>
      <c r="O62" s="468"/>
      <c r="P62" s="569"/>
      <c r="Q62" s="134"/>
      <c r="R62" s="438"/>
      <c r="S62" s="134"/>
      <c r="T62" s="434"/>
    </row>
    <row r="63" spans="1:26" ht="15" customHeight="1" x14ac:dyDescent="0.2">
      <c r="C63" s="439"/>
      <c r="D63" s="439"/>
      <c r="E63" s="439"/>
      <c r="F63" s="440"/>
      <c r="G63" s="440"/>
      <c r="H63" s="440"/>
      <c r="I63" s="440"/>
      <c r="J63" s="440"/>
      <c r="K63" s="440"/>
      <c r="M63" s="441"/>
      <c r="N63" s="440"/>
      <c r="O63" s="440"/>
      <c r="P63" s="440"/>
      <c r="Q63" s="441"/>
      <c r="R63" s="440"/>
      <c r="S63" s="440"/>
      <c r="T63" s="440"/>
    </row>
    <row r="64" spans="1:26" ht="16.5" customHeight="1" x14ac:dyDescent="0.2">
      <c r="C64" s="439"/>
      <c r="D64" s="439"/>
      <c r="E64" s="439"/>
      <c r="F64" s="440"/>
      <c r="G64" s="440"/>
      <c r="H64" s="440"/>
      <c r="I64" s="440"/>
      <c r="J64" s="440"/>
      <c r="K64" s="440"/>
      <c r="M64" s="431"/>
      <c r="N64" s="430">
        <v>2013</v>
      </c>
      <c r="O64" s="456"/>
      <c r="P64" s="430">
        <v>2013</v>
      </c>
      <c r="Q64" s="441"/>
      <c r="R64" s="689"/>
      <c r="S64" s="690"/>
      <c r="T64" s="691"/>
    </row>
    <row r="65" spans="1:20" ht="15" customHeight="1" x14ac:dyDescent="0.2">
      <c r="C65" s="675" t="s">
        <v>231</v>
      </c>
      <c r="D65" s="675"/>
      <c r="E65" s="675"/>
      <c r="F65" s="675"/>
      <c r="G65" s="620"/>
      <c r="H65" s="455"/>
      <c r="I65" s="455"/>
      <c r="J65" s="455"/>
      <c r="K65" s="453"/>
      <c r="M65" s="431"/>
      <c r="N65" s="457" t="s">
        <v>358</v>
      </c>
      <c r="O65" s="456"/>
      <c r="P65" s="457" t="s">
        <v>335</v>
      </c>
      <c r="Q65" s="134"/>
      <c r="R65" s="430" t="s">
        <v>272</v>
      </c>
      <c r="S65" s="431"/>
      <c r="T65" s="430" t="s">
        <v>273</v>
      </c>
    </row>
    <row r="66" spans="1:20" ht="15" customHeight="1" x14ac:dyDescent="0.2">
      <c r="C66" s="677" t="s">
        <v>323</v>
      </c>
      <c r="D66" s="677"/>
      <c r="E66" s="677"/>
      <c r="F66" s="677"/>
      <c r="G66" s="679" t="s">
        <v>190</v>
      </c>
      <c r="H66" s="679"/>
      <c r="I66" s="679"/>
      <c r="J66" s="679"/>
      <c r="K66" s="453"/>
      <c r="M66" s="134"/>
      <c r="N66" s="442">
        <f>N20</f>
        <v>2323</v>
      </c>
      <c r="O66" s="433"/>
      <c r="P66" s="442">
        <v>2209</v>
      </c>
      <c r="Q66" s="21"/>
      <c r="R66" s="432">
        <f>N66-P66</f>
        <v>114</v>
      </c>
      <c r="S66" s="433"/>
      <c r="T66" s="435">
        <f>R66/P66*100</f>
        <v>5.1607062019013128</v>
      </c>
    </row>
    <row r="67" spans="1:20" ht="15" customHeight="1" x14ac:dyDescent="0.2">
      <c r="C67" s="677" t="s">
        <v>324</v>
      </c>
      <c r="D67" s="677"/>
      <c r="E67" s="677"/>
      <c r="F67" s="677"/>
      <c r="G67" s="679" t="s">
        <v>190</v>
      </c>
      <c r="H67" s="679"/>
      <c r="I67" s="679"/>
      <c r="J67" s="679"/>
      <c r="K67" s="453"/>
      <c r="M67" s="134"/>
      <c r="N67" s="442">
        <f>N21</f>
        <v>1524</v>
      </c>
      <c r="O67" s="433"/>
      <c r="P67" s="442">
        <v>1222</v>
      </c>
      <c r="Q67" s="21"/>
      <c r="R67" s="432">
        <f>N67-P67</f>
        <v>302</v>
      </c>
      <c r="S67" s="433"/>
      <c r="T67" s="435">
        <f t="shared" ref="T67:T68" si="5">R67/P67*100</f>
        <v>24.713584288052374</v>
      </c>
    </row>
    <row r="68" spans="1:20" ht="15" customHeight="1" x14ac:dyDescent="0.2">
      <c r="C68" s="677" t="s">
        <v>325</v>
      </c>
      <c r="D68" s="677"/>
      <c r="E68" s="677"/>
      <c r="F68" s="677"/>
      <c r="G68" s="679" t="s">
        <v>190</v>
      </c>
      <c r="H68" s="679"/>
      <c r="I68" s="679"/>
      <c r="J68" s="679"/>
      <c r="M68" s="21"/>
      <c r="N68" s="442">
        <f>N22</f>
        <v>409</v>
      </c>
      <c r="O68" s="480"/>
      <c r="P68" s="442">
        <v>380</v>
      </c>
      <c r="Q68" s="21"/>
      <c r="R68" s="432">
        <f>N68-P68</f>
        <v>29</v>
      </c>
      <c r="S68" s="433"/>
      <c r="T68" s="435">
        <f t="shared" si="5"/>
        <v>7.6315789473684212</v>
      </c>
    </row>
    <row r="69" spans="1:20" ht="15" customHeight="1" x14ac:dyDescent="0.2">
      <c r="C69" s="494"/>
      <c r="D69" s="494"/>
      <c r="E69" s="494"/>
      <c r="F69" s="494"/>
      <c r="G69" s="495"/>
      <c r="H69" s="495"/>
      <c r="I69" s="495"/>
      <c r="J69" s="495"/>
      <c r="M69" s="21"/>
      <c r="N69" s="190"/>
      <c r="O69" s="21"/>
      <c r="P69" s="190"/>
      <c r="Q69" s="21"/>
      <c r="R69" s="438"/>
      <c r="S69" s="134"/>
      <c r="T69" s="447"/>
    </row>
    <row r="70" spans="1:20" ht="15" customHeight="1" x14ac:dyDescent="0.2">
      <c r="C70" s="445"/>
      <c r="D70" s="445"/>
      <c r="E70" s="445"/>
      <c r="F70" s="445"/>
      <c r="G70" s="446"/>
      <c r="H70" s="446"/>
      <c r="I70" s="446"/>
      <c r="J70" s="446"/>
      <c r="L70" s="190"/>
      <c r="M70" s="21"/>
      <c r="N70" s="21"/>
      <c r="O70" s="21"/>
      <c r="P70" s="21"/>
      <c r="Q70" s="21"/>
      <c r="R70" s="438"/>
      <c r="S70" s="134"/>
      <c r="T70" s="447"/>
    </row>
    <row r="71" spans="1:20" ht="14.45" customHeight="1" x14ac:dyDescent="0.2">
      <c r="H71" s="420">
        <v>2012</v>
      </c>
      <c r="I71" s="420"/>
      <c r="M71" s="19"/>
      <c r="N71" s="457">
        <v>2013</v>
      </c>
      <c r="O71" s="507"/>
      <c r="P71" s="457">
        <v>2013</v>
      </c>
      <c r="Q71" s="508"/>
      <c r="R71" s="509"/>
      <c r="S71" s="508"/>
      <c r="T71" s="508"/>
    </row>
    <row r="72" spans="1:20" ht="14.45" customHeight="1" x14ac:dyDescent="0.2">
      <c r="H72" s="420"/>
      <c r="I72" s="420"/>
      <c r="M72" s="19"/>
      <c r="N72" s="457" t="s">
        <v>358</v>
      </c>
      <c r="O72" s="507"/>
      <c r="P72" s="457" t="s">
        <v>335</v>
      </c>
      <c r="Q72" s="508"/>
      <c r="R72" s="515" t="s">
        <v>272</v>
      </c>
      <c r="S72" s="516"/>
      <c r="T72" s="517"/>
    </row>
    <row r="73" spans="1:20" ht="14.45" customHeight="1" x14ac:dyDescent="0.2">
      <c r="H73" s="420"/>
      <c r="I73" s="420"/>
      <c r="M73" s="420"/>
      <c r="N73" s="457" t="s">
        <v>3</v>
      </c>
      <c r="O73" s="457"/>
      <c r="P73" s="457" t="s">
        <v>3</v>
      </c>
      <c r="Q73" s="457"/>
      <c r="R73" s="457" t="s">
        <v>3</v>
      </c>
      <c r="S73" s="508"/>
      <c r="T73" s="457" t="s">
        <v>273</v>
      </c>
    </row>
    <row r="74" spans="1:20" ht="14.45" customHeight="1" x14ac:dyDescent="0.2">
      <c r="C74" s="2" t="s">
        <v>9</v>
      </c>
      <c r="H74" s="86">
        <f>[1]PL!I42</f>
        <v>0</v>
      </c>
      <c r="I74" s="86"/>
      <c r="M74" s="86"/>
      <c r="N74" s="510">
        <f>PL!H19</f>
        <v>154548</v>
      </c>
      <c r="O74" s="510"/>
      <c r="P74" s="510">
        <v>130146</v>
      </c>
      <c r="Q74" s="511"/>
      <c r="R74" s="512">
        <f>N74-P74</f>
        <v>24402</v>
      </c>
      <c r="S74" s="513"/>
      <c r="T74" s="514">
        <f>R74/P74*100</f>
        <v>18.749711862062608</v>
      </c>
    </row>
    <row r="75" spans="1:20" ht="14.45" customHeight="1" x14ac:dyDescent="0.2">
      <c r="C75" s="2" t="s">
        <v>103</v>
      </c>
      <c r="H75" s="86">
        <f>[1]PL!I58</f>
        <v>0</v>
      </c>
      <c r="I75" s="86"/>
      <c r="M75" s="86"/>
      <c r="N75" s="510">
        <f>PL!H35</f>
        <v>30801</v>
      </c>
      <c r="O75" s="510"/>
      <c r="P75" s="510">
        <v>27763</v>
      </c>
      <c r="Q75" s="511"/>
      <c r="R75" s="512">
        <f>N75-P75</f>
        <v>3038</v>
      </c>
      <c r="S75" s="513"/>
      <c r="T75" s="514">
        <f>R75/P75*100</f>
        <v>10.942621474624501</v>
      </c>
    </row>
    <row r="77" spans="1:20" ht="14.45" customHeight="1" x14ac:dyDescent="0.2">
      <c r="R77" s="31"/>
    </row>
    <row r="78" spans="1:20" ht="33.75" customHeight="1" x14ac:dyDescent="0.2">
      <c r="C78" s="639" t="s">
        <v>401</v>
      </c>
      <c r="D78" s="692"/>
      <c r="E78" s="692"/>
      <c r="F78" s="692"/>
      <c r="G78" s="692"/>
      <c r="H78" s="692"/>
      <c r="I78" s="692"/>
      <c r="J78" s="692"/>
      <c r="K78" s="692"/>
      <c r="L78" s="692"/>
      <c r="M78" s="692"/>
      <c r="N78" s="692"/>
      <c r="O78" s="692"/>
      <c r="P78" s="692"/>
      <c r="Q78" s="692"/>
      <c r="R78" s="692"/>
      <c r="S78" s="692"/>
      <c r="T78" s="692"/>
    </row>
    <row r="79" spans="1:20" ht="15.75" customHeight="1" x14ac:dyDescent="0.2">
      <c r="C79" s="395"/>
      <c r="D79" s="391"/>
      <c r="E79" s="396"/>
      <c r="F79" s="396"/>
      <c r="G79" s="396"/>
      <c r="H79" s="396"/>
      <c r="I79" s="396"/>
      <c r="J79" s="396"/>
      <c r="K79" s="396"/>
      <c r="L79" s="396"/>
      <c r="M79" s="396"/>
      <c r="N79" s="396"/>
      <c r="O79" s="396"/>
      <c r="P79" s="396"/>
      <c r="Q79" s="396"/>
      <c r="R79" s="396"/>
      <c r="S79" s="396"/>
      <c r="T79" s="397"/>
    </row>
    <row r="80" spans="1:20" ht="14.45" customHeight="1" x14ac:dyDescent="0.2">
      <c r="A80" s="3">
        <v>21</v>
      </c>
      <c r="B80" s="3"/>
      <c r="C80" s="640" t="s">
        <v>114</v>
      </c>
      <c r="D80" s="640"/>
      <c r="E80" s="640"/>
      <c r="F80" s="640"/>
      <c r="G80" s="640"/>
      <c r="H80" s="640"/>
      <c r="I80" s="640"/>
      <c r="J80" s="640"/>
      <c r="K80" s="640"/>
      <c r="L80" s="640"/>
      <c r="M80" s="640"/>
      <c r="N80" s="640"/>
      <c r="O80" s="640"/>
      <c r="P80" s="640"/>
      <c r="Q80" s="640"/>
      <c r="R80" s="640"/>
      <c r="S80" s="640"/>
      <c r="T80" s="640"/>
    </row>
    <row r="81" spans="1:23" ht="14.45" customHeight="1" x14ac:dyDescent="0.2">
      <c r="A81" s="3"/>
      <c r="B81" s="3"/>
      <c r="C81" s="386"/>
      <c r="D81" s="386"/>
      <c r="E81" s="386"/>
      <c r="F81" s="386"/>
      <c r="G81" s="386"/>
      <c r="H81" s="386"/>
      <c r="I81" s="406"/>
      <c r="J81" s="386"/>
      <c r="K81" s="386"/>
      <c r="L81" s="386"/>
      <c r="M81" s="386"/>
      <c r="N81" s="461"/>
      <c r="O81" s="461"/>
      <c r="P81" s="386"/>
      <c r="Q81" s="386"/>
      <c r="R81" s="386"/>
      <c r="S81" s="386"/>
      <c r="T81" s="386"/>
    </row>
    <row r="82" spans="1:23" ht="19.5" customHeight="1" x14ac:dyDescent="0.2">
      <c r="A82" s="3"/>
      <c r="B82" s="3"/>
      <c r="C82" s="3" t="s">
        <v>164</v>
      </c>
      <c r="D82" s="3" t="s">
        <v>199</v>
      </c>
      <c r="E82" s="3"/>
      <c r="G82" s="386"/>
      <c r="H82" s="386"/>
      <c r="I82" s="406"/>
      <c r="J82" s="386"/>
      <c r="K82" s="386"/>
      <c r="L82" s="386"/>
      <c r="M82" s="386"/>
      <c r="N82" s="461"/>
      <c r="O82" s="461"/>
      <c r="P82" s="386"/>
      <c r="Q82" s="386"/>
      <c r="R82" s="386"/>
      <c r="S82" s="386"/>
    </row>
    <row r="83" spans="1:23" ht="48.75" customHeight="1" x14ac:dyDescent="0.2">
      <c r="A83" s="3"/>
      <c r="B83" s="3"/>
      <c r="C83" s="3"/>
      <c r="D83" s="663" t="s">
        <v>449</v>
      </c>
      <c r="E83" s="663"/>
      <c r="F83" s="663"/>
      <c r="G83" s="663"/>
      <c r="H83" s="663"/>
      <c r="I83" s="663"/>
      <c r="J83" s="663"/>
      <c r="K83" s="663"/>
      <c r="L83" s="663"/>
      <c r="M83" s="663"/>
      <c r="N83" s="663"/>
      <c r="O83" s="663"/>
      <c r="P83" s="663"/>
      <c r="Q83" s="663"/>
      <c r="R83" s="663"/>
      <c r="S83" s="663"/>
      <c r="T83" s="663"/>
    </row>
    <row r="84" spans="1:23" ht="6" customHeight="1" x14ac:dyDescent="0.2">
      <c r="A84" s="3"/>
      <c r="B84" s="3"/>
      <c r="C84" s="3"/>
      <c r="D84" s="610"/>
      <c r="E84" s="610"/>
      <c r="F84" s="610"/>
      <c r="G84" s="610"/>
      <c r="H84" s="610"/>
      <c r="I84" s="610"/>
      <c r="J84" s="610"/>
      <c r="K84" s="610"/>
      <c r="L84" s="610"/>
      <c r="M84" s="610"/>
      <c r="N84" s="610"/>
      <c r="O84" s="610"/>
      <c r="P84" s="610"/>
      <c r="Q84" s="610"/>
      <c r="R84" s="610"/>
      <c r="S84" s="610"/>
      <c r="T84" s="610"/>
    </row>
    <row r="85" spans="1:23" ht="27" customHeight="1" x14ac:dyDescent="0.2">
      <c r="A85" s="3"/>
      <c r="B85" s="3"/>
      <c r="C85" s="3"/>
      <c r="D85" s="639" t="s">
        <v>450</v>
      </c>
      <c r="E85" s="642"/>
      <c r="F85" s="642"/>
      <c r="G85" s="642"/>
      <c r="H85" s="642"/>
      <c r="I85" s="642"/>
      <c r="J85" s="642"/>
      <c r="K85" s="642"/>
      <c r="L85" s="642"/>
      <c r="M85" s="642"/>
      <c r="N85" s="642"/>
      <c r="O85" s="642"/>
      <c r="P85" s="642"/>
      <c r="Q85" s="642"/>
      <c r="R85" s="642"/>
      <c r="S85" s="642"/>
      <c r="T85" s="642"/>
    </row>
    <row r="86" spans="1:23" ht="14.25" customHeight="1" x14ac:dyDescent="0.2">
      <c r="A86" s="3"/>
      <c r="B86" s="3"/>
      <c r="C86" s="3"/>
      <c r="D86" s="3"/>
      <c r="E86" s="3"/>
    </row>
    <row r="87" spans="1:23" ht="14.25" customHeight="1" x14ac:dyDescent="0.2">
      <c r="A87" s="3"/>
      <c r="B87" s="3"/>
      <c r="C87" s="3" t="s">
        <v>195</v>
      </c>
      <c r="D87" s="3" t="s">
        <v>196</v>
      </c>
      <c r="E87" s="3"/>
      <c r="P87" s="208"/>
      <c r="Q87" s="208"/>
      <c r="R87" s="208"/>
      <c r="S87" s="208"/>
      <c r="T87" s="208"/>
    </row>
    <row r="88" spans="1:23" ht="43.5" customHeight="1" x14ac:dyDescent="0.2">
      <c r="A88" s="3"/>
      <c r="B88" s="3"/>
      <c r="C88" s="115"/>
      <c r="D88" s="663" t="s">
        <v>270</v>
      </c>
      <c r="E88" s="663"/>
      <c r="F88" s="663"/>
      <c r="G88" s="663"/>
      <c r="H88" s="663"/>
      <c r="I88" s="663"/>
      <c r="J88" s="663"/>
      <c r="K88" s="663"/>
      <c r="L88" s="663"/>
      <c r="M88" s="663"/>
      <c r="N88" s="663"/>
      <c r="O88" s="663"/>
      <c r="P88" s="663"/>
      <c r="Q88" s="663"/>
      <c r="R88" s="663"/>
      <c r="S88" s="663"/>
      <c r="T88" s="663"/>
    </row>
    <row r="89" spans="1:23" ht="14.25" customHeight="1" x14ac:dyDescent="0.2">
      <c r="A89" s="3"/>
      <c r="B89" s="3"/>
      <c r="C89" s="210"/>
      <c r="D89" s="570"/>
      <c r="E89" s="570"/>
      <c r="F89" s="570"/>
      <c r="G89" s="570"/>
      <c r="H89" s="570"/>
      <c r="I89" s="570"/>
      <c r="J89" s="570"/>
      <c r="K89" s="570"/>
      <c r="L89" s="570"/>
      <c r="M89" s="570"/>
      <c r="N89" s="570"/>
      <c r="O89" s="570"/>
      <c r="P89" s="570"/>
      <c r="Q89" s="570"/>
      <c r="R89" s="570"/>
      <c r="S89" s="570"/>
    </row>
    <row r="90" spans="1:23" ht="35.450000000000003" customHeight="1" x14ac:dyDescent="0.2">
      <c r="A90" s="3"/>
      <c r="B90" s="3"/>
      <c r="C90" s="217"/>
      <c r="D90" s="636" t="s">
        <v>432</v>
      </c>
      <c r="E90" s="636"/>
      <c r="F90" s="636"/>
      <c r="G90" s="636"/>
      <c r="H90" s="636"/>
      <c r="I90" s="636"/>
      <c r="J90" s="636"/>
      <c r="K90" s="636"/>
      <c r="L90" s="636"/>
      <c r="M90" s="636"/>
      <c r="N90" s="636"/>
      <c r="O90" s="636"/>
      <c r="P90" s="636"/>
      <c r="Q90" s="636"/>
      <c r="R90" s="636"/>
      <c r="S90" s="636"/>
      <c r="T90" s="636"/>
      <c r="W90" s="520">
        <f>'[2]AuditComm (3)'!$C$235</f>
        <v>3.03264012856103</v>
      </c>
    </row>
    <row r="91" spans="1:23" ht="37.15" customHeight="1" x14ac:dyDescent="0.2">
      <c r="A91" s="3"/>
      <c r="B91" s="3"/>
      <c r="D91" s="663" t="s">
        <v>455</v>
      </c>
      <c r="E91" s="663"/>
      <c r="F91" s="663"/>
      <c r="G91" s="663"/>
      <c r="H91" s="663"/>
      <c r="I91" s="663"/>
      <c r="J91" s="663"/>
      <c r="K91" s="663"/>
      <c r="L91" s="663"/>
      <c r="M91" s="663"/>
      <c r="N91" s="663"/>
      <c r="O91" s="663"/>
      <c r="P91" s="663"/>
      <c r="Q91" s="663"/>
      <c r="R91" s="663"/>
      <c r="S91" s="663"/>
      <c r="T91" s="663"/>
    </row>
    <row r="92" spans="1:23" ht="21.75" customHeight="1" x14ac:dyDescent="0.2">
      <c r="A92" s="3"/>
      <c r="B92" s="3"/>
      <c r="D92" s="483"/>
      <c r="E92" s="482"/>
      <c r="F92" s="482"/>
      <c r="G92" s="482"/>
      <c r="H92" s="482"/>
      <c r="I92" s="482"/>
      <c r="J92" s="482"/>
      <c r="K92" s="482"/>
      <c r="L92" s="482"/>
      <c r="M92" s="482"/>
      <c r="N92" s="482"/>
      <c r="O92" s="482"/>
      <c r="P92" s="482"/>
      <c r="Q92" s="482"/>
      <c r="R92" s="482"/>
      <c r="S92" s="482"/>
      <c r="T92" s="482"/>
    </row>
    <row r="93" spans="1:23" ht="15" customHeight="1" x14ac:dyDescent="0.2">
      <c r="A93" s="59">
        <v>22</v>
      </c>
      <c r="B93" s="3"/>
      <c r="C93" s="640" t="s">
        <v>98</v>
      </c>
      <c r="D93" s="640"/>
      <c r="E93" s="640"/>
      <c r="F93" s="640"/>
      <c r="G93" s="640"/>
      <c r="H93" s="640"/>
      <c r="I93" s="640"/>
      <c r="J93" s="640"/>
      <c r="K93" s="640"/>
      <c r="L93" s="640"/>
      <c r="M93" s="640"/>
      <c r="N93" s="640"/>
      <c r="O93" s="640"/>
      <c r="P93" s="640"/>
      <c r="Q93" s="640"/>
      <c r="R93" s="640"/>
      <c r="S93" s="640"/>
      <c r="T93" s="640"/>
    </row>
    <row r="94" spans="1:23" ht="12" customHeight="1" x14ac:dyDescent="0.2">
      <c r="A94" s="3"/>
      <c r="B94" s="3"/>
      <c r="C94" s="11"/>
      <c r="D94" s="256"/>
      <c r="E94" s="284"/>
      <c r="F94" s="11"/>
      <c r="G94" s="11"/>
      <c r="H94" s="11"/>
      <c r="I94" s="406"/>
      <c r="J94" s="11"/>
      <c r="K94" s="11"/>
      <c r="L94" s="11"/>
      <c r="M94" s="11"/>
      <c r="N94" s="461"/>
      <c r="O94" s="461"/>
      <c r="P94" s="11"/>
      <c r="Q94" s="11"/>
      <c r="R94" s="11"/>
      <c r="S94" s="11"/>
      <c r="T94" s="11"/>
    </row>
    <row r="95" spans="1:23" ht="14.45" customHeight="1" x14ac:dyDescent="0.2">
      <c r="A95" s="14"/>
      <c r="B95" s="14"/>
      <c r="C95" s="636" t="s">
        <v>99</v>
      </c>
      <c r="D95" s="636"/>
      <c r="E95" s="636"/>
      <c r="F95" s="636"/>
      <c r="G95" s="636"/>
      <c r="H95" s="636"/>
      <c r="I95" s="636"/>
      <c r="J95" s="636"/>
      <c r="K95" s="636"/>
      <c r="L95" s="636"/>
      <c r="M95" s="636"/>
      <c r="N95" s="636"/>
      <c r="O95" s="636"/>
      <c r="P95" s="636"/>
      <c r="Q95" s="636"/>
      <c r="R95" s="636"/>
      <c r="S95" s="636"/>
      <c r="T95" s="636"/>
    </row>
    <row r="96" spans="1:23" ht="14.45" customHeight="1" x14ac:dyDescent="0.2">
      <c r="A96" s="14"/>
      <c r="B96" s="14"/>
      <c r="C96" s="4"/>
      <c r="D96" s="254"/>
      <c r="E96" s="282"/>
      <c r="F96" s="131"/>
      <c r="G96" s="131"/>
      <c r="H96" s="131"/>
      <c r="I96" s="407"/>
      <c r="J96" s="131"/>
      <c r="K96" s="131"/>
      <c r="L96" s="131"/>
      <c r="M96" s="131"/>
      <c r="N96" s="463"/>
      <c r="O96" s="463"/>
      <c r="P96" s="131"/>
      <c r="Q96" s="131"/>
      <c r="R96" s="131"/>
      <c r="S96" s="131"/>
      <c r="T96" s="131"/>
    </row>
    <row r="97" spans="1:26" ht="14.45" customHeight="1" x14ac:dyDescent="0.2">
      <c r="A97" s="59">
        <v>23</v>
      </c>
      <c r="B97" s="3"/>
      <c r="C97" s="3" t="s">
        <v>2</v>
      </c>
      <c r="D97" s="3"/>
      <c r="E97" s="3"/>
      <c r="F97" s="3"/>
      <c r="R97" s="31"/>
    </row>
    <row r="98" spans="1:26" ht="14.45" customHeight="1" x14ac:dyDescent="0.2">
      <c r="A98" s="3"/>
      <c r="B98" s="3"/>
      <c r="C98" s="3"/>
      <c r="D98" s="3"/>
      <c r="E98" s="3"/>
      <c r="F98" s="3"/>
      <c r="L98" s="21"/>
      <c r="M98" s="21"/>
      <c r="N98" s="21"/>
      <c r="O98" s="21"/>
      <c r="P98" s="21"/>
      <c r="R98" s="31"/>
    </row>
    <row r="99" spans="1:26" ht="14.45" customHeight="1" x14ac:dyDescent="0.2">
      <c r="A99" s="3"/>
      <c r="B99" s="3"/>
      <c r="F99" s="12"/>
      <c r="G99" s="13"/>
      <c r="H99" s="13"/>
      <c r="I99" s="13"/>
      <c r="L99" s="474"/>
      <c r="M99" s="474"/>
      <c r="N99" s="696" t="s">
        <v>360</v>
      </c>
      <c r="O99" s="696"/>
      <c r="P99" s="696"/>
      <c r="R99" s="696" t="s">
        <v>359</v>
      </c>
      <c r="S99" s="696"/>
      <c r="T99" s="696"/>
      <c r="V99" s="21"/>
      <c r="W99" s="699"/>
      <c r="X99" s="699"/>
      <c r="Y99" s="699"/>
      <c r="Z99" s="700"/>
    </row>
    <row r="100" spans="1:26" ht="14.45" customHeight="1" x14ac:dyDescent="0.2">
      <c r="A100" s="3"/>
      <c r="B100" s="3"/>
      <c r="C100" s="12"/>
      <c r="D100" s="258"/>
      <c r="E100" s="286"/>
      <c r="F100" s="12"/>
      <c r="G100" s="13"/>
      <c r="H100" s="13"/>
      <c r="I100" s="13"/>
      <c r="J100" s="7"/>
      <c r="K100" s="7"/>
      <c r="L100" s="371"/>
      <c r="M100" s="21"/>
      <c r="N100" s="319" t="s">
        <v>26</v>
      </c>
      <c r="P100" s="475" t="s">
        <v>54</v>
      </c>
      <c r="Q100" s="7"/>
      <c r="R100" s="177" t="s">
        <v>26</v>
      </c>
      <c r="T100" s="6" t="s">
        <v>54</v>
      </c>
      <c r="V100" s="121"/>
      <c r="W100" s="121"/>
      <c r="X100" s="17"/>
      <c r="Y100" s="21"/>
      <c r="Z100" s="121"/>
    </row>
    <row r="101" spans="1:26" ht="14.45" customHeight="1" x14ac:dyDescent="0.2">
      <c r="A101" s="3"/>
      <c r="B101" s="3"/>
      <c r="C101" s="12"/>
      <c r="D101" s="258"/>
      <c r="E101" s="286"/>
      <c r="F101" s="12"/>
      <c r="G101" s="13"/>
      <c r="H101" s="13"/>
      <c r="I101" s="13"/>
      <c r="J101" s="7"/>
      <c r="K101" s="7"/>
      <c r="L101" s="371"/>
      <c r="M101" s="21"/>
      <c r="N101" s="319" t="s">
        <v>55</v>
      </c>
      <c r="P101" s="475" t="s">
        <v>55</v>
      </c>
      <c r="Q101" s="7"/>
      <c r="R101" s="177" t="s">
        <v>55</v>
      </c>
      <c r="T101" s="6" t="s">
        <v>55</v>
      </c>
      <c r="V101" s="121"/>
      <c r="W101" s="121"/>
      <c r="X101" s="17"/>
      <c r="Y101" s="21"/>
      <c r="Z101" s="121"/>
    </row>
    <row r="102" spans="1:26" ht="14.45" customHeight="1" x14ac:dyDescent="0.2">
      <c r="C102" s="12"/>
      <c r="D102" s="258"/>
      <c r="E102" s="286"/>
      <c r="F102" s="12"/>
      <c r="G102" s="6"/>
      <c r="H102" s="6"/>
      <c r="I102" s="408"/>
      <c r="J102" s="7"/>
      <c r="K102" s="7"/>
      <c r="L102" s="371"/>
      <c r="M102" s="357"/>
      <c r="N102" s="319" t="s">
        <v>3</v>
      </c>
      <c r="O102" s="151"/>
      <c r="P102" s="475" t="s">
        <v>3</v>
      </c>
      <c r="Q102" s="6"/>
      <c r="R102" s="177" t="s">
        <v>3</v>
      </c>
      <c r="S102" s="151"/>
      <c r="T102" s="6" t="s">
        <v>3</v>
      </c>
      <c r="V102" s="121"/>
      <c r="W102" s="121"/>
      <c r="X102" s="17"/>
      <c r="Y102" s="21"/>
      <c r="Z102" s="121"/>
    </row>
    <row r="103" spans="1:26" ht="14.45" customHeight="1" x14ac:dyDescent="0.2">
      <c r="C103" s="12"/>
      <c r="D103" s="258"/>
      <c r="E103" s="286"/>
      <c r="F103" s="12"/>
      <c r="G103" s="4"/>
      <c r="H103" s="4"/>
      <c r="I103" s="404"/>
      <c r="J103" s="4"/>
      <c r="K103" s="4"/>
      <c r="L103" s="372"/>
      <c r="M103" s="21"/>
      <c r="N103" s="478"/>
      <c r="P103" s="474"/>
      <c r="Q103" s="4"/>
      <c r="R103" s="174"/>
      <c r="T103" s="17"/>
      <c r="V103" s="32"/>
      <c r="W103" s="32"/>
      <c r="X103" s="17"/>
      <c r="Y103" s="21"/>
      <c r="Z103" s="17"/>
    </row>
    <row r="104" spans="1:26" ht="14.45" customHeight="1" x14ac:dyDescent="0.2">
      <c r="C104" s="621" t="s">
        <v>26</v>
      </c>
      <c r="D104" s="621"/>
      <c r="E104" s="621"/>
      <c r="F104" s="621"/>
      <c r="G104" s="32"/>
      <c r="H104" s="32"/>
      <c r="I104" s="32"/>
      <c r="J104" s="34"/>
      <c r="K104" s="34"/>
      <c r="L104" s="34"/>
      <c r="M104" s="35"/>
      <c r="N104" s="34">
        <f>R104-20941</f>
        <v>8158</v>
      </c>
      <c r="O104" s="35"/>
      <c r="P104" s="34">
        <v>5141</v>
      </c>
      <c r="Q104" s="34"/>
      <c r="R104" s="34">
        <v>29099</v>
      </c>
      <c r="S104" s="35"/>
      <c r="T104" s="34">
        <v>27143</v>
      </c>
      <c r="V104" s="34"/>
      <c r="W104" s="34"/>
      <c r="X104" s="121"/>
      <c r="Y104" s="35"/>
      <c r="Z104" s="35"/>
    </row>
    <row r="105" spans="1:26" ht="14.45" customHeight="1" x14ac:dyDescent="0.2">
      <c r="C105" s="621" t="s">
        <v>361</v>
      </c>
      <c r="D105" s="620"/>
      <c r="E105" s="620"/>
      <c r="F105" s="620"/>
      <c r="G105" s="620"/>
      <c r="H105" s="32"/>
      <c r="I105" s="32"/>
      <c r="J105" s="34"/>
      <c r="K105" s="34"/>
      <c r="L105" s="34"/>
      <c r="M105" s="35"/>
      <c r="N105" s="34">
        <f>R105-2518</f>
        <v>-1000</v>
      </c>
      <c r="O105" s="35"/>
      <c r="P105" s="34">
        <v>-177</v>
      </c>
      <c r="Q105" s="34"/>
      <c r="R105" s="34">
        <v>1518</v>
      </c>
      <c r="S105" s="35"/>
      <c r="T105" s="34">
        <v>-4871</v>
      </c>
      <c r="V105" s="34"/>
      <c r="W105" s="34"/>
      <c r="X105" s="121"/>
      <c r="Y105" s="35"/>
      <c r="Z105" s="35"/>
    </row>
    <row r="106" spans="1:26" ht="14.45" customHeight="1" x14ac:dyDescent="0.2">
      <c r="C106" s="621" t="s">
        <v>27</v>
      </c>
      <c r="D106" s="621"/>
      <c r="E106" s="621"/>
      <c r="F106" s="621"/>
      <c r="G106" s="32"/>
      <c r="H106" s="32"/>
      <c r="I106" s="32"/>
      <c r="J106" s="34"/>
      <c r="K106" s="34"/>
      <c r="L106" s="34"/>
      <c r="M106" s="35"/>
      <c r="N106" s="34">
        <f>R106+19063</f>
        <v>-17012</v>
      </c>
      <c r="O106" s="35"/>
      <c r="P106" s="34">
        <v>12513</v>
      </c>
      <c r="Q106" s="34"/>
      <c r="R106" s="34">
        <v>-36075</v>
      </c>
      <c r="S106" s="35"/>
      <c r="T106" s="34">
        <v>-3956</v>
      </c>
      <c r="V106" s="34"/>
      <c r="W106" s="34"/>
      <c r="X106" s="121"/>
      <c r="Y106" s="35"/>
      <c r="Z106" s="35"/>
    </row>
    <row r="107" spans="1:26" ht="14.45" customHeight="1" x14ac:dyDescent="0.2">
      <c r="C107" s="621"/>
      <c r="D107" s="621"/>
      <c r="E107" s="621"/>
      <c r="F107" s="621"/>
      <c r="G107" s="621"/>
      <c r="H107" s="32"/>
      <c r="I107" s="32"/>
      <c r="J107" s="34"/>
      <c r="K107" s="34"/>
      <c r="L107" s="34"/>
      <c r="M107" s="35"/>
      <c r="N107" s="34"/>
      <c r="O107" s="35"/>
      <c r="P107" s="34"/>
      <c r="Q107" s="34"/>
      <c r="R107" s="34"/>
      <c r="S107" s="35"/>
      <c r="T107" s="34"/>
      <c r="V107" s="34"/>
      <c r="W107" s="34"/>
      <c r="X107" s="121"/>
      <c r="Y107" s="35"/>
      <c r="Z107" s="35"/>
    </row>
    <row r="108" spans="1:26" ht="14.45" customHeight="1" thickBot="1" x14ac:dyDescent="0.25">
      <c r="C108" s="36"/>
      <c r="D108" s="36"/>
      <c r="E108" s="36"/>
      <c r="F108" s="36"/>
      <c r="G108" s="37"/>
      <c r="H108" s="37"/>
      <c r="I108" s="37"/>
      <c r="J108" s="38"/>
      <c r="K108" s="38"/>
      <c r="L108" s="373"/>
      <c r="M108" s="63"/>
      <c r="N108" s="119">
        <f>SUM(N104:N107)</f>
        <v>-9854</v>
      </c>
      <c r="O108" s="138"/>
      <c r="P108" s="119">
        <f>SUM(P104:P107)</f>
        <v>17477</v>
      </c>
      <c r="Q108" s="57"/>
      <c r="R108" s="119">
        <f>SUM(R104:R107)</f>
        <v>-5458</v>
      </c>
      <c r="S108" s="138"/>
      <c r="T108" s="119">
        <f>SUM(T104:T107)</f>
        <v>18316</v>
      </c>
      <c r="V108" s="38"/>
      <c r="W108" s="38"/>
      <c r="X108" s="40"/>
      <c r="Y108" s="37"/>
      <c r="Z108" s="39"/>
    </row>
    <row r="109" spans="1:26" ht="14.45" customHeight="1" x14ac:dyDescent="0.2">
      <c r="C109" s="36"/>
      <c r="D109" s="36"/>
      <c r="E109" s="36"/>
      <c r="F109" s="36"/>
      <c r="G109" s="37"/>
      <c r="H109" s="37"/>
      <c r="I109" s="37"/>
      <c r="J109" s="38"/>
      <c r="K109" s="38"/>
      <c r="L109" s="141"/>
      <c r="M109" s="143"/>
      <c r="N109" s="613">
        <f>PL!H36+N108</f>
        <v>0</v>
      </c>
      <c r="O109" s="614"/>
      <c r="P109" s="613">
        <f>PL!J36+P108</f>
        <v>0</v>
      </c>
      <c r="Q109" s="529"/>
      <c r="R109" s="613">
        <f>PL!L36+R108</f>
        <v>0</v>
      </c>
      <c r="S109" s="614"/>
      <c r="T109" s="613">
        <f>PL!N36+T108</f>
        <v>0</v>
      </c>
      <c r="V109" s="38"/>
      <c r="W109" s="38"/>
      <c r="X109" s="40"/>
      <c r="Y109" s="37"/>
      <c r="Z109" s="39"/>
    </row>
    <row r="110" spans="1:26" ht="28.5" customHeight="1" x14ac:dyDescent="0.2">
      <c r="C110" s="639" t="s">
        <v>192</v>
      </c>
      <c r="D110" s="639"/>
      <c r="E110" s="639"/>
      <c r="F110" s="639"/>
      <c r="G110" s="639"/>
      <c r="H110" s="639"/>
      <c r="I110" s="639"/>
      <c r="J110" s="639"/>
      <c r="K110" s="639"/>
      <c r="L110" s="639"/>
      <c r="M110" s="639"/>
      <c r="N110" s="639"/>
      <c r="O110" s="639"/>
      <c r="P110" s="639"/>
      <c r="Q110" s="639"/>
      <c r="R110" s="639"/>
      <c r="S110" s="639"/>
      <c r="T110" s="639"/>
      <c r="V110" s="38"/>
      <c r="W110" s="38"/>
      <c r="X110" s="40"/>
      <c r="Y110" s="37"/>
      <c r="Z110" s="39"/>
    </row>
    <row r="111" spans="1:26" ht="6.75" customHeight="1" x14ac:dyDescent="0.2">
      <c r="C111" s="36"/>
      <c r="D111" s="36"/>
      <c r="E111" s="36"/>
      <c r="F111" s="36"/>
      <c r="G111" s="37"/>
      <c r="H111" s="37"/>
      <c r="I111" s="37"/>
      <c r="J111" s="38"/>
      <c r="K111" s="38"/>
      <c r="L111" s="141"/>
      <c r="M111" s="227"/>
      <c r="N111" s="227"/>
      <c r="O111" s="227"/>
      <c r="P111" s="141"/>
      <c r="Q111" s="142"/>
      <c r="R111" s="141"/>
      <c r="S111" s="143"/>
      <c r="T111" s="141"/>
      <c r="V111" s="38"/>
      <c r="W111" s="38"/>
      <c r="X111" s="40"/>
      <c r="Y111" s="37"/>
      <c r="Z111" s="39"/>
    </row>
    <row r="112" spans="1:26" ht="33" customHeight="1" x14ac:dyDescent="0.2">
      <c r="C112" s="636" t="s">
        <v>362</v>
      </c>
      <c r="D112" s="636"/>
      <c r="E112" s="636"/>
      <c r="F112" s="636"/>
      <c r="G112" s="636"/>
      <c r="H112" s="636"/>
      <c r="I112" s="636"/>
      <c r="J112" s="636"/>
      <c r="K112" s="636"/>
      <c r="L112" s="636"/>
      <c r="M112" s="636"/>
      <c r="N112" s="636"/>
      <c r="O112" s="636"/>
      <c r="P112" s="636"/>
      <c r="Q112" s="636"/>
      <c r="R112" s="636"/>
      <c r="S112" s="636"/>
      <c r="T112" s="636"/>
      <c r="V112" s="38"/>
      <c r="W112" s="38"/>
      <c r="X112" s="40"/>
      <c r="Y112" s="37"/>
      <c r="Z112" s="39"/>
    </row>
    <row r="113" spans="1:26" ht="17.25" customHeight="1" x14ac:dyDescent="0.2">
      <c r="C113" s="168"/>
      <c r="D113" s="168"/>
      <c r="E113" s="168"/>
      <c r="F113" s="168"/>
      <c r="G113" s="168"/>
      <c r="H113" s="168"/>
      <c r="I113" s="168"/>
      <c r="J113" s="168"/>
      <c r="K113" s="168"/>
      <c r="L113" s="168"/>
      <c r="M113" s="168"/>
      <c r="N113" s="168"/>
      <c r="O113" s="168"/>
      <c r="P113" s="168"/>
      <c r="Q113" s="168"/>
      <c r="R113" s="168"/>
      <c r="S113" s="168"/>
      <c r="T113" s="168"/>
      <c r="V113" s="38"/>
      <c r="W113" s="38"/>
      <c r="X113" s="40"/>
      <c r="Y113" s="37"/>
      <c r="Z113" s="39"/>
    </row>
    <row r="114" spans="1:26" ht="14.45" customHeight="1" x14ac:dyDescent="0.2">
      <c r="A114" s="59">
        <v>24</v>
      </c>
      <c r="B114" s="3"/>
      <c r="C114" s="3" t="s">
        <v>163</v>
      </c>
      <c r="D114" s="3"/>
      <c r="E114" s="3"/>
      <c r="F114" s="3"/>
      <c r="G114" s="37"/>
      <c r="H114" s="37"/>
      <c r="I114" s="37"/>
      <c r="J114" s="38"/>
      <c r="K114" s="38"/>
      <c r="L114" s="38"/>
      <c r="M114" s="37"/>
      <c r="N114" s="37"/>
      <c r="O114" s="37"/>
      <c r="P114" s="39"/>
      <c r="Q114" s="38"/>
      <c r="R114" s="38"/>
      <c r="S114" s="36"/>
      <c r="T114" s="39"/>
      <c r="V114" s="38"/>
      <c r="W114" s="38"/>
      <c r="X114" s="40"/>
      <c r="Y114" s="37"/>
      <c r="Z114" s="39"/>
    </row>
    <row r="115" spans="1:26" ht="14.45" customHeight="1" x14ac:dyDescent="0.2">
      <c r="A115" s="59"/>
      <c r="B115" s="3"/>
      <c r="C115" s="3"/>
      <c r="D115" s="3"/>
      <c r="E115" s="3"/>
      <c r="F115" s="3"/>
      <c r="G115" s="37"/>
      <c r="H115" s="37"/>
      <c r="I115" s="37"/>
      <c r="J115" s="38"/>
      <c r="K115" s="38"/>
      <c r="L115" s="38"/>
      <c r="M115" s="37"/>
      <c r="N115" s="37"/>
      <c r="O115" s="37"/>
      <c r="P115" s="39"/>
      <c r="Q115" s="38"/>
      <c r="R115" s="6" t="s">
        <v>82</v>
      </c>
      <c r="T115" s="356" t="s">
        <v>82</v>
      </c>
      <c r="V115" s="38"/>
      <c r="W115" s="38"/>
      <c r="X115" s="40"/>
      <c r="Y115" s="37"/>
      <c r="Z115" s="39"/>
    </row>
    <row r="116" spans="1:26" ht="14.45" customHeight="1" x14ac:dyDescent="0.2">
      <c r="A116" s="59"/>
      <c r="B116" s="3"/>
      <c r="C116" s="3"/>
      <c r="D116" s="3"/>
      <c r="E116" s="3"/>
      <c r="F116" s="3"/>
      <c r="G116" s="37"/>
      <c r="H116" s="37"/>
      <c r="I116" s="37"/>
      <c r="J116" s="38"/>
      <c r="K116" s="38"/>
      <c r="L116" s="38"/>
      <c r="M116" s="37"/>
      <c r="N116" s="37"/>
      <c r="O116" s="37"/>
      <c r="P116" s="39"/>
      <c r="Q116" s="38"/>
      <c r="R116" s="499" t="s">
        <v>355</v>
      </c>
      <c r="T116" s="356" t="s">
        <v>238</v>
      </c>
      <c r="V116" s="38"/>
      <c r="W116" s="38"/>
      <c r="X116" s="40"/>
      <c r="Y116" s="37"/>
      <c r="Z116" s="39"/>
    </row>
    <row r="117" spans="1:26" ht="14.45" customHeight="1" x14ac:dyDescent="0.2">
      <c r="C117" s="36"/>
      <c r="D117" s="36"/>
      <c r="E117" s="36"/>
      <c r="F117" s="36"/>
      <c r="G117" s="37"/>
      <c r="H117" s="37"/>
      <c r="I117" s="37"/>
      <c r="J117" s="38"/>
      <c r="K117" s="38"/>
      <c r="L117" s="38"/>
      <c r="M117" s="37"/>
      <c r="N117" s="37"/>
      <c r="O117" s="37"/>
      <c r="P117" s="39"/>
      <c r="Q117" s="38"/>
      <c r="R117" s="499" t="s">
        <v>3</v>
      </c>
      <c r="T117" s="356" t="s">
        <v>3</v>
      </c>
      <c r="V117" s="38"/>
      <c r="W117" s="38"/>
      <c r="X117" s="40"/>
      <c r="Y117" s="37"/>
      <c r="Z117" s="39"/>
    </row>
    <row r="118" spans="1:26" ht="14.45" customHeight="1" x14ac:dyDescent="0.2">
      <c r="C118" s="36"/>
      <c r="D118" s="36"/>
      <c r="E118" s="36"/>
      <c r="F118" s="36"/>
      <c r="G118" s="37"/>
      <c r="H118" s="37"/>
      <c r="I118" s="37"/>
      <c r="J118" s="38"/>
      <c r="K118" s="38"/>
      <c r="L118" s="38"/>
      <c r="M118" s="37"/>
      <c r="N118" s="37"/>
      <c r="O118" s="37"/>
      <c r="P118" s="39"/>
      <c r="Q118" s="38"/>
      <c r="R118" s="499"/>
      <c r="T118" s="356"/>
      <c r="V118" s="38"/>
      <c r="W118" s="38"/>
      <c r="X118" s="40"/>
      <c r="Y118" s="37"/>
      <c r="Z118" s="39"/>
    </row>
    <row r="119" spans="1:26" ht="14.45" customHeight="1" x14ac:dyDescent="0.2">
      <c r="C119" s="36" t="s">
        <v>147</v>
      </c>
      <c r="D119" s="36"/>
      <c r="E119" s="36"/>
      <c r="F119" s="36"/>
      <c r="G119" s="37"/>
      <c r="H119" s="37"/>
      <c r="I119" s="37"/>
      <c r="J119" s="38"/>
      <c r="K119" s="38"/>
      <c r="L119" s="38"/>
      <c r="M119" s="37"/>
      <c r="N119" s="37"/>
      <c r="O119" s="37"/>
      <c r="P119" s="39"/>
      <c r="Q119" s="38"/>
      <c r="R119" s="23">
        <v>580452</v>
      </c>
      <c r="T119" s="23">
        <v>482400</v>
      </c>
      <c r="V119" s="38"/>
      <c r="W119" s="38"/>
      <c r="X119" s="40"/>
      <c r="Y119" s="37"/>
      <c r="Z119" s="39"/>
    </row>
    <row r="120" spans="1:26" ht="14.45" customHeight="1" x14ac:dyDescent="0.2">
      <c r="C120" s="36" t="s">
        <v>148</v>
      </c>
      <c r="D120" s="36"/>
      <c r="E120" s="36"/>
      <c r="F120" s="36"/>
      <c r="G120" s="37"/>
      <c r="H120" s="37"/>
      <c r="I120" s="37"/>
      <c r="J120" s="38"/>
      <c r="K120" s="38"/>
      <c r="L120" s="38"/>
      <c r="M120" s="37"/>
      <c r="N120" s="37"/>
      <c r="O120" s="37"/>
      <c r="P120" s="39"/>
      <c r="Q120" s="38"/>
      <c r="R120" s="187">
        <v>7957</v>
      </c>
      <c r="T120" s="187">
        <v>28230</v>
      </c>
      <c r="V120" s="38"/>
      <c r="W120" s="38"/>
      <c r="X120" s="40"/>
      <c r="Y120" s="37"/>
      <c r="Z120" s="39"/>
    </row>
    <row r="121" spans="1:26" ht="14.45" customHeight="1" x14ac:dyDescent="0.2">
      <c r="C121" s="36"/>
      <c r="D121" s="36"/>
      <c r="E121" s="36"/>
      <c r="F121" s="36"/>
      <c r="G121" s="37"/>
      <c r="H121" s="37"/>
      <c r="I121" s="37"/>
      <c r="J121" s="38"/>
      <c r="K121" s="38"/>
      <c r="L121" s="38"/>
      <c r="M121" s="37"/>
      <c r="N121" s="37"/>
      <c r="O121" s="37"/>
      <c r="P121" s="39"/>
      <c r="Q121" s="38"/>
      <c r="R121" s="79"/>
      <c r="S121" s="36"/>
      <c r="T121" s="79"/>
      <c r="V121" s="38"/>
      <c r="W121" s="38"/>
      <c r="X121" s="40"/>
      <c r="Y121" s="37"/>
      <c r="Z121" s="39"/>
    </row>
    <row r="122" spans="1:26" ht="14.45" customHeight="1" x14ac:dyDescent="0.2">
      <c r="C122" s="36"/>
      <c r="D122" s="36"/>
      <c r="E122" s="36"/>
      <c r="F122" s="36"/>
      <c r="G122" s="37"/>
      <c r="H122" s="37"/>
      <c r="I122" s="37"/>
      <c r="J122" s="38"/>
      <c r="K122" s="38"/>
      <c r="L122" s="38"/>
      <c r="M122" s="37"/>
      <c r="N122" s="37"/>
      <c r="O122" s="37"/>
      <c r="P122" s="39"/>
      <c r="Q122" s="38"/>
      <c r="R122" s="57">
        <f>SUM(R119:R121)</f>
        <v>588409</v>
      </c>
      <c r="S122" s="36"/>
      <c r="T122" s="57">
        <f>SUM(T119:T121)</f>
        <v>510630</v>
      </c>
      <c r="V122" s="38"/>
      <c r="W122" s="38"/>
      <c r="X122" s="40"/>
      <c r="Y122" s="37"/>
      <c r="Z122" s="39"/>
    </row>
    <row r="123" spans="1:26" ht="14.45" customHeight="1" x14ac:dyDescent="0.2">
      <c r="C123" s="36" t="s">
        <v>213</v>
      </c>
      <c r="D123" s="36"/>
      <c r="E123" s="36"/>
      <c r="F123" s="36"/>
      <c r="G123" s="37"/>
      <c r="H123" s="37"/>
      <c r="I123" s="37"/>
      <c r="J123" s="38"/>
      <c r="K123" s="38"/>
      <c r="L123" s="38"/>
      <c r="M123" s="37"/>
      <c r="N123" s="37"/>
      <c r="O123" s="37"/>
      <c r="P123" s="39"/>
      <c r="Q123" s="38"/>
      <c r="R123" s="64">
        <v>-177235</v>
      </c>
      <c r="S123" s="36"/>
      <c r="T123" s="64">
        <v>-161688</v>
      </c>
      <c r="V123" s="38"/>
      <c r="W123" s="38"/>
      <c r="X123" s="40"/>
      <c r="Y123" s="37"/>
      <c r="Z123" s="39"/>
    </row>
    <row r="124" spans="1:26" ht="14.45" customHeight="1" x14ac:dyDescent="0.2">
      <c r="C124" s="36"/>
      <c r="D124" s="36"/>
      <c r="E124" s="36"/>
      <c r="F124" s="36"/>
      <c r="G124" s="37"/>
      <c r="H124" s="37"/>
      <c r="I124" s="37"/>
      <c r="J124" s="38"/>
      <c r="K124" s="38"/>
      <c r="L124" s="38"/>
      <c r="M124" s="37"/>
      <c r="N124" s="37"/>
      <c r="O124" s="37"/>
      <c r="P124" s="39"/>
      <c r="Q124" s="38"/>
      <c r="R124" s="57"/>
      <c r="S124" s="36"/>
      <c r="T124" s="57"/>
      <c r="V124" s="38"/>
      <c r="W124" s="38"/>
      <c r="X124" s="40"/>
      <c r="Y124" s="37"/>
      <c r="Z124" s="39"/>
    </row>
    <row r="125" spans="1:26" ht="14.45" customHeight="1" x14ac:dyDescent="0.2">
      <c r="C125" s="276" t="s">
        <v>212</v>
      </c>
      <c r="D125" s="36"/>
      <c r="E125" s="36"/>
      <c r="F125" s="36"/>
      <c r="G125" s="37"/>
      <c r="H125" s="37"/>
      <c r="I125" s="37"/>
      <c r="J125" s="38"/>
      <c r="K125" s="38"/>
      <c r="L125" s="38"/>
      <c r="M125" s="37"/>
      <c r="N125" s="37"/>
      <c r="O125" s="37"/>
      <c r="P125" s="39"/>
      <c r="Q125" s="38"/>
      <c r="R125" s="57"/>
      <c r="S125" s="36"/>
      <c r="T125" s="57"/>
      <c r="V125" s="38"/>
      <c r="W125" s="38"/>
      <c r="X125" s="40"/>
      <c r="Y125" s="37"/>
      <c r="Z125" s="39"/>
    </row>
    <row r="126" spans="1:26" ht="14.45" customHeight="1" thickBot="1" x14ac:dyDescent="0.25">
      <c r="C126" s="276" t="s">
        <v>211</v>
      </c>
      <c r="D126" s="259"/>
      <c r="E126" s="287"/>
      <c r="F126" s="160"/>
      <c r="G126" s="161"/>
      <c r="H126" s="161"/>
      <c r="I126" s="161"/>
      <c r="J126" s="38"/>
      <c r="K126" s="38"/>
      <c r="L126" s="38"/>
      <c r="M126" s="37"/>
      <c r="N126" s="37"/>
      <c r="O126" s="37"/>
      <c r="P126" s="39"/>
      <c r="Q126" s="38"/>
      <c r="R126" s="119">
        <f>SUM(R122:R124)</f>
        <v>411174</v>
      </c>
      <c r="S126" s="36"/>
      <c r="T126" s="119">
        <f>SUM(T122:T124)</f>
        <v>348942</v>
      </c>
      <c r="V126" s="38">
        <f>R126-BS!D28</f>
        <v>0</v>
      </c>
      <c r="W126" s="38"/>
      <c r="X126" s="40"/>
      <c r="Y126" s="37"/>
      <c r="Z126" s="39"/>
    </row>
    <row r="127" spans="1:26" ht="14.45" customHeight="1" x14ac:dyDescent="0.2">
      <c r="C127" s="160"/>
      <c r="D127" s="259"/>
      <c r="E127" s="287"/>
      <c r="F127" s="160"/>
      <c r="G127" s="161"/>
      <c r="H127" s="161"/>
      <c r="I127" s="161"/>
      <c r="J127" s="38"/>
      <c r="K127" s="38"/>
      <c r="L127" s="38"/>
      <c r="M127" s="37"/>
      <c r="N127" s="37"/>
      <c r="O127" s="37"/>
      <c r="P127" s="39"/>
      <c r="Q127" s="38"/>
      <c r="R127" s="529">
        <f>R126-BS!D28</f>
        <v>0</v>
      </c>
      <c r="S127" s="179"/>
      <c r="T127" s="176"/>
      <c r="V127" s="38"/>
      <c r="W127" s="38"/>
      <c r="X127" s="40"/>
      <c r="Y127" s="37"/>
      <c r="Z127" s="39"/>
    </row>
    <row r="128" spans="1:26" ht="14.45" customHeight="1" x14ac:dyDescent="0.2">
      <c r="C128" s="701" t="s">
        <v>149</v>
      </c>
      <c r="D128" s="701"/>
      <c r="E128" s="701"/>
      <c r="F128" s="701"/>
      <c r="G128" s="701"/>
      <c r="H128" s="701"/>
      <c r="I128" s="701"/>
      <c r="J128" s="701"/>
      <c r="K128" s="701"/>
      <c r="L128" s="701"/>
      <c r="M128" s="701"/>
      <c r="N128" s="701"/>
      <c r="O128" s="701"/>
      <c r="P128" s="701"/>
      <c r="Q128" s="701"/>
      <c r="R128" s="701"/>
      <c r="S128" s="701"/>
      <c r="T128" s="701"/>
      <c r="V128" s="38"/>
      <c r="W128" s="38"/>
      <c r="X128" s="40"/>
      <c r="Y128" s="37"/>
      <c r="Z128" s="39"/>
    </row>
    <row r="129" spans="1:29" ht="50.25" customHeight="1" x14ac:dyDescent="0.2">
      <c r="C129" s="701" t="s">
        <v>232</v>
      </c>
      <c r="D129" s="701"/>
      <c r="E129" s="701"/>
      <c r="F129" s="701"/>
      <c r="G129" s="701"/>
      <c r="H129" s="701"/>
      <c r="I129" s="701"/>
      <c r="J129" s="701"/>
      <c r="K129" s="701"/>
      <c r="L129" s="701"/>
      <c r="M129" s="701"/>
      <c r="N129" s="701"/>
      <c r="O129" s="701"/>
      <c r="P129" s="701"/>
      <c r="Q129" s="701"/>
      <c r="R129" s="701"/>
      <c r="S129" s="701"/>
      <c r="T129" s="701"/>
      <c r="V129" s="38"/>
      <c r="W129" s="38"/>
      <c r="X129" s="40"/>
      <c r="Y129" s="37"/>
      <c r="Z129" s="39"/>
    </row>
    <row r="130" spans="1:29" ht="16.5" customHeight="1" x14ac:dyDescent="0.2">
      <c r="C130" s="162"/>
      <c r="D130" s="264"/>
      <c r="E130" s="294"/>
      <c r="F130" s="163"/>
      <c r="G130" s="163"/>
      <c r="H130" s="163"/>
      <c r="I130" s="163"/>
      <c r="J130" s="163"/>
      <c r="K130" s="163"/>
      <c r="L130" s="163"/>
      <c r="M130" s="163"/>
      <c r="N130" s="163"/>
      <c r="O130" s="163"/>
      <c r="P130" s="163"/>
      <c r="Q130" s="163"/>
      <c r="R130" s="163"/>
      <c r="S130" s="163"/>
      <c r="T130" s="163"/>
      <c r="V130" s="38"/>
      <c r="W130" s="38"/>
      <c r="X130" s="40"/>
      <c r="Y130" s="37"/>
      <c r="Z130" s="39"/>
    </row>
    <row r="131" spans="1:29" ht="14.45" customHeight="1" x14ac:dyDescent="0.2">
      <c r="A131" s="3">
        <v>25</v>
      </c>
      <c r="B131" s="3"/>
      <c r="C131" s="15" t="s">
        <v>67</v>
      </c>
      <c r="D131" s="263"/>
      <c r="E131" s="292"/>
      <c r="V131" s="698"/>
      <c r="W131" s="698"/>
      <c r="X131" s="698"/>
      <c r="Y131" s="698"/>
      <c r="Z131" s="698"/>
      <c r="AA131" s="698"/>
      <c r="AB131" s="698"/>
      <c r="AC131" s="698"/>
    </row>
    <row r="132" spans="1:29" ht="14.45" customHeight="1" x14ac:dyDescent="0.2">
      <c r="A132" s="59"/>
      <c r="B132" s="3"/>
      <c r="C132" s="15"/>
      <c r="D132" s="263"/>
      <c r="E132" s="292"/>
      <c r="V132" s="80"/>
      <c r="W132" s="80"/>
      <c r="X132" s="80"/>
      <c r="Y132" s="80"/>
      <c r="Z132" s="80"/>
      <c r="AA132" s="80"/>
      <c r="AB132" s="80"/>
      <c r="AC132" s="80"/>
    </row>
    <row r="133" spans="1:29" ht="26.25" customHeight="1" x14ac:dyDescent="0.2">
      <c r="C133" s="652" t="s">
        <v>418</v>
      </c>
      <c r="D133" s="652"/>
      <c r="E133" s="652"/>
      <c r="F133" s="652"/>
      <c r="G133" s="652"/>
      <c r="H133" s="652"/>
      <c r="I133" s="652"/>
      <c r="J133" s="652"/>
      <c r="K133" s="652"/>
      <c r="L133" s="652"/>
      <c r="M133" s="652"/>
      <c r="N133" s="652"/>
      <c r="O133" s="652"/>
      <c r="P133" s="652"/>
      <c r="Q133" s="652"/>
      <c r="R133" s="652"/>
      <c r="S133" s="652"/>
      <c r="T133" s="652"/>
      <c r="V133" s="652"/>
      <c r="W133" s="652"/>
      <c r="X133" s="652"/>
      <c r="Y133" s="652"/>
      <c r="Z133" s="652"/>
      <c r="AA133" s="652"/>
    </row>
    <row r="134" spans="1:29" ht="14.45" customHeight="1" x14ac:dyDescent="0.2">
      <c r="C134" s="70"/>
      <c r="D134" s="260"/>
      <c r="E134" s="288"/>
      <c r="F134" s="70"/>
      <c r="G134" s="70"/>
      <c r="H134" s="70"/>
      <c r="I134" s="409"/>
      <c r="J134" s="70"/>
      <c r="K134" s="70"/>
      <c r="L134" s="70"/>
      <c r="M134" s="70"/>
      <c r="N134" s="467"/>
      <c r="O134" s="467"/>
      <c r="P134" s="70"/>
      <c r="Q134" s="70"/>
      <c r="R134" s="70"/>
      <c r="S134" s="70"/>
      <c r="T134" s="70"/>
      <c r="V134" s="70"/>
      <c r="W134" s="70"/>
      <c r="X134" s="70"/>
      <c r="Y134" s="70"/>
      <c r="Z134" s="70"/>
      <c r="AA134" s="70"/>
    </row>
    <row r="135" spans="1:29" ht="14.45" customHeight="1" x14ac:dyDescent="0.2">
      <c r="A135" s="3">
        <v>26</v>
      </c>
      <c r="C135" s="640" t="s">
        <v>66</v>
      </c>
      <c r="D135" s="640"/>
      <c r="E135" s="640"/>
      <c r="F135" s="640"/>
      <c r="G135" s="640"/>
      <c r="H135" s="640"/>
      <c r="I135" s="640"/>
      <c r="J135" s="640"/>
      <c r="K135" s="640"/>
      <c r="L135" s="640"/>
      <c r="M135" s="640"/>
      <c r="N135" s="640"/>
      <c r="O135" s="640"/>
      <c r="P135" s="640"/>
      <c r="Q135" s="640"/>
      <c r="R135" s="640"/>
      <c r="S135" s="640"/>
      <c r="T135" s="640"/>
      <c r="V135" s="698"/>
      <c r="W135" s="698"/>
      <c r="X135" s="698"/>
      <c r="Y135" s="698"/>
      <c r="Z135" s="698"/>
      <c r="AA135" s="698"/>
      <c r="AB135" s="698"/>
      <c r="AC135" s="698"/>
    </row>
    <row r="136" spans="1:29" ht="14.45" customHeight="1" x14ac:dyDescent="0.2">
      <c r="A136" s="3"/>
      <c r="B136" s="3"/>
      <c r="F136" s="665"/>
      <c r="G136" s="665"/>
      <c r="H136" s="665"/>
      <c r="I136" s="665"/>
      <c r="J136" s="665"/>
      <c r="K136" s="665"/>
      <c r="L136" s="665"/>
      <c r="M136" s="665"/>
      <c r="N136" s="665"/>
      <c r="O136" s="665"/>
      <c r="P136" s="665"/>
      <c r="Q136" s="665"/>
      <c r="R136" s="665"/>
      <c r="S136" s="665"/>
      <c r="T136" s="665"/>
      <c r="V136" s="12"/>
      <c r="W136" s="12"/>
      <c r="X136" s="12"/>
      <c r="Y136" s="12"/>
      <c r="Z136" s="12"/>
      <c r="AA136" s="12"/>
      <c r="AB136" s="12"/>
      <c r="AC136" s="12"/>
    </row>
    <row r="137" spans="1:29" ht="14.45" customHeight="1" x14ac:dyDescent="0.2">
      <c r="A137" s="3"/>
      <c r="B137" s="3"/>
      <c r="C137" s="698" t="s">
        <v>214</v>
      </c>
      <c r="D137" s="698"/>
      <c r="E137" s="698"/>
      <c r="F137" s="698"/>
      <c r="G137" s="698"/>
      <c r="H137" s="698"/>
      <c r="I137" s="698"/>
      <c r="J137" s="698"/>
      <c r="K137" s="698"/>
      <c r="L137" s="698"/>
      <c r="M137" s="698"/>
      <c r="N137" s="698"/>
      <c r="O137" s="698"/>
      <c r="P137" s="698"/>
      <c r="Q137" s="698"/>
      <c r="R137" s="698"/>
      <c r="S137" s="698"/>
      <c r="T137" s="698"/>
      <c r="V137" s="12"/>
      <c r="W137" s="12"/>
      <c r="X137" s="12"/>
      <c r="Y137" s="12"/>
      <c r="Z137" s="12"/>
      <c r="AA137" s="12"/>
      <c r="AB137" s="12"/>
      <c r="AC137" s="12"/>
    </row>
    <row r="138" spans="1:29" ht="14.45" customHeight="1" x14ac:dyDescent="0.2">
      <c r="J138" s="41"/>
      <c r="L138" s="30"/>
      <c r="P138" s="24"/>
      <c r="Q138" s="3"/>
      <c r="R138" s="24"/>
      <c r="S138" s="3"/>
      <c r="T138" s="24"/>
      <c r="V138" s="80"/>
      <c r="W138" s="80"/>
      <c r="X138" s="80"/>
      <c r="Y138" s="80"/>
      <c r="Z138" s="80"/>
      <c r="AA138" s="80"/>
      <c r="AB138" s="80"/>
      <c r="AC138" s="80"/>
    </row>
    <row r="139" spans="1:29" s="3" customFormat="1" ht="14.45" customHeight="1" x14ac:dyDescent="0.2">
      <c r="A139" s="3">
        <v>27</v>
      </c>
      <c r="C139" s="3" t="s">
        <v>31</v>
      </c>
      <c r="G139" s="43"/>
      <c r="H139" s="43"/>
      <c r="I139" s="403"/>
      <c r="J139" s="43"/>
      <c r="K139" s="43"/>
      <c r="L139" s="43"/>
      <c r="M139" s="43"/>
      <c r="N139" s="458"/>
      <c r="O139" s="458"/>
      <c r="P139" s="43"/>
      <c r="Q139" s="43"/>
      <c r="R139" s="43"/>
      <c r="V139" s="664"/>
      <c r="W139" s="664"/>
      <c r="X139" s="664"/>
      <c r="Y139" s="664"/>
      <c r="Z139" s="664"/>
      <c r="AA139" s="664"/>
      <c r="AB139" s="664"/>
      <c r="AC139" s="664"/>
    </row>
    <row r="140" spans="1:29" s="3" customFormat="1" ht="10.5" customHeight="1" x14ac:dyDescent="0.2">
      <c r="G140" s="43"/>
      <c r="H140" s="43"/>
      <c r="I140" s="403"/>
      <c r="J140" s="43"/>
      <c r="K140" s="43"/>
      <c r="L140" s="43"/>
      <c r="M140" s="43"/>
      <c r="N140" s="458"/>
      <c r="O140" s="458"/>
      <c r="P140" s="43"/>
      <c r="Q140" s="43"/>
      <c r="R140" s="43"/>
      <c r="V140" s="14"/>
      <c r="W140" s="14"/>
      <c r="X140" s="14"/>
      <c r="Y140" s="14"/>
      <c r="Z140" s="14"/>
      <c r="AA140" s="14"/>
      <c r="AB140" s="14"/>
      <c r="AC140" s="14"/>
    </row>
    <row r="141" spans="1:29" s="3" customFormat="1" ht="18.75" customHeight="1" x14ac:dyDescent="0.2">
      <c r="C141" s="652" t="s">
        <v>419</v>
      </c>
      <c r="D141" s="652"/>
      <c r="E141" s="652"/>
      <c r="F141" s="652"/>
      <c r="G141" s="652"/>
      <c r="H141" s="652"/>
      <c r="I141" s="652"/>
      <c r="J141" s="652"/>
      <c r="K141" s="652"/>
      <c r="L141" s="652"/>
      <c r="M141" s="652"/>
      <c r="N141" s="652"/>
      <c r="O141" s="652"/>
      <c r="P141" s="652"/>
      <c r="Q141" s="652"/>
      <c r="R141" s="652"/>
      <c r="S141" s="652"/>
      <c r="T141" s="652"/>
      <c r="U141" s="240"/>
      <c r="V141" s="14"/>
      <c r="W141" s="14"/>
      <c r="X141" s="14"/>
      <c r="Y141" s="14"/>
      <c r="Z141" s="14"/>
      <c r="AA141" s="14"/>
      <c r="AB141" s="14"/>
      <c r="AC141" s="14"/>
    </row>
    <row r="142" spans="1:29" s="3" customFormat="1" ht="14.45" customHeight="1" x14ac:dyDescent="0.2">
      <c r="C142" s="10"/>
      <c r="D142" s="10"/>
      <c r="E142" s="10"/>
      <c r="F142" s="32"/>
      <c r="G142" s="32"/>
      <c r="H142" s="32"/>
      <c r="I142" s="32"/>
      <c r="J142" s="32"/>
      <c r="K142" s="32"/>
      <c r="L142" s="32"/>
      <c r="M142" s="32"/>
      <c r="N142" s="32"/>
      <c r="O142" s="32"/>
      <c r="P142" s="32"/>
      <c r="Q142" s="32"/>
      <c r="R142" s="32"/>
      <c r="S142" s="32"/>
      <c r="T142" s="32"/>
      <c r="V142" s="4"/>
      <c r="W142" s="4"/>
      <c r="X142" s="4"/>
      <c r="Y142" s="4"/>
      <c r="Z142" s="4"/>
      <c r="AA142" s="14"/>
      <c r="AB142" s="14"/>
      <c r="AC142" s="14"/>
    </row>
    <row r="143" spans="1:29" s="3" customFormat="1" ht="14.45" customHeight="1" x14ac:dyDescent="0.2">
      <c r="C143" s="10"/>
      <c r="D143" s="10"/>
      <c r="E143" s="10"/>
      <c r="F143" s="32"/>
      <c r="G143" s="32"/>
      <c r="H143" s="32"/>
      <c r="I143" s="32"/>
      <c r="J143" s="32"/>
      <c r="K143" s="32"/>
      <c r="L143" s="32"/>
      <c r="M143" s="32"/>
      <c r="N143" s="32"/>
      <c r="O143" s="32"/>
      <c r="P143" s="32"/>
      <c r="Q143" s="32"/>
      <c r="R143" s="32"/>
      <c r="S143" s="32"/>
      <c r="T143" s="32"/>
      <c r="V143" s="238"/>
      <c r="W143" s="238"/>
      <c r="X143" s="238"/>
      <c r="Y143" s="238"/>
      <c r="Z143" s="238"/>
      <c r="AA143" s="239"/>
      <c r="AB143" s="239"/>
      <c r="AC143" s="239"/>
    </row>
    <row r="144" spans="1:29" ht="14.45" customHeight="1" x14ac:dyDescent="0.2">
      <c r="A144" s="3">
        <v>28</v>
      </c>
      <c r="B144" s="3"/>
      <c r="C144" s="3" t="s">
        <v>18</v>
      </c>
      <c r="D144" s="3"/>
      <c r="E144" s="3"/>
      <c r="F144" s="3"/>
      <c r="V144" s="698"/>
      <c r="W144" s="698"/>
      <c r="X144" s="698"/>
      <c r="Y144" s="698"/>
      <c r="Z144" s="698"/>
      <c r="AA144" s="698"/>
      <c r="AB144" s="698"/>
      <c r="AC144" s="698"/>
    </row>
    <row r="145" spans="1:29" ht="14.45" customHeight="1" x14ac:dyDescent="0.2">
      <c r="A145" s="3"/>
      <c r="B145" s="3"/>
      <c r="C145" s="3"/>
      <c r="D145" s="3"/>
      <c r="E145" s="3"/>
      <c r="F145" s="3"/>
      <c r="V145" s="80"/>
      <c r="W145" s="80"/>
      <c r="X145" s="80"/>
      <c r="Y145" s="80"/>
      <c r="Z145" s="80"/>
      <c r="AA145" s="80"/>
      <c r="AB145" s="80"/>
      <c r="AC145" s="80"/>
    </row>
    <row r="146" spans="1:29" ht="30.75" customHeight="1" x14ac:dyDescent="0.2">
      <c r="A146" s="3"/>
      <c r="B146" s="3"/>
      <c r="C146" s="636" t="s">
        <v>364</v>
      </c>
      <c r="D146" s="636"/>
      <c r="E146" s="636"/>
      <c r="F146" s="636"/>
      <c r="G146" s="636"/>
      <c r="H146" s="636"/>
      <c r="I146" s="636"/>
      <c r="J146" s="636"/>
      <c r="K146" s="636"/>
      <c r="L146" s="636"/>
      <c r="M146" s="636"/>
      <c r="N146" s="636"/>
      <c r="O146" s="636"/>
      <c r="P146" s="636"/>
      <c r="Q146" s="636"/>
      <c r="R146" s="636"/>
      <c r="S146" s="636"/>
      <c r="T146" s="636"/>
      <c r="V146" s="80"/>
      <c r="W146" s="80"/>
      <c r="X146" s="80"/>
      <c r="Y146" s="80"/>
      <c r="Z146" s="80"/>
      <c r="AA146" s="80"/>
      <c r="AB146" s="80"/>
      <c r="AC146" s="80"/>
    </row>
    <row r="147" spans="1:29" ht="14.45" customHeight="1" x14ac:dyDescent="0.2">
      <c r="A147" s="3"/>
      <c r="B147" s="3"/>
      <c r="C147" s="3"/>
      <c r="D147" s="3"/>
      <c r="E147" s="3"/>
      <c r="F147" s="3"/>
      <c r="R147" s="6" t="s">
        <v>82</v>
      </c>
      <c r="T147" s="6" t="s">
        <v>82</v>
      </c>
      <c r="V147" s="80"/>
      <c r="W147" s="80"/>
      <c r="X147" s="80"/>
      <c r="Y147" s="80"/>
      <c r="Z147" s="80"/>
      <c r="AA147" s="80"/>
      <c r="AB147" s="80"/>
      <c r="AC147" s="80"/>
    </row>
    <row r="148" spans="1:29" ht="14.45" customHeight="1" x14ac:dyDescent="0.2">
      <c r="A148" s="3"/>
      <c r="B148" s="3"/>
      <c r="C148" s="3"/>
      <c r="D148" s="3"/>
      <c r="E148" s="3"/>
      <c r="F148" s="3"/>
      <c r="R148" s="356" t="s">
        <v>355</v>
      </c>
      <c r="T148" s="6" t="s">
        <v>238</v>
      </c>
      <c r="V148" s="80"/>
      <c r="W148" s="80"/>
      <c r="X148" s="80"/>
      <c r="Y148" s="80"/>
      <c r="Z148" s="80"/>
      <c r="AA148" s="80"/>
      <c r="AB148" s="80"/>
      <c r="AC148" s="80"/>
    </row>
    <row r="149" spans="1:29" ht="14.45" customHeight="1" x14ac:dyDescent="0.2">
      <c r="A149" s="3"/>
      <c r="B149" s="3"/>
      <c r="C149" s="3"/>
      <c r="D149" s="3"/>
      <c r="E149" s="3"/>
      <c r="F149" s="3"/>
      <c r="R149" s="6" t="s">
        <v>3</v>
      </c>
      <c r="T149" s="6" t="s">
        <v>3</v>
      </c>
      <c r="V149" s="80"/>
      <c r="W149" s="80"/>
      <c r="X149" s="80"/>
      <c r="Y149" s="80"/>
      <c r="Z149" s="80"/>
      <c r="AA149" s="80"/>
      <c r="AB149" s="80"/>
      <c r="AC149" s="80"/>
    </row>
    <row r="150" spans="1:29" ht="14.45" customHeight="1" x14ac:dyDescent="0.2">
      <c r="A150" s="3"/>
      <c r="B150" s="3"/>
      <c r="C150" s="3" t="s">
        <v>87</v>
      </c>
      <c r="D150" s="3"/>
      <c r="E150" s="3"/>
      <c r="F150" s="3"/>
      <c r="R150" s="4"/>
      <c r="T150" s="17"/>
      <c r="V150" s="80"/>
      <c r="W150" s="80"/>
      <c r="X150" s="80"/>
      <c r="Y150" s="80"/>
      <c r="Z150" s="80"/>
      <c r="AA150" s="80"/>
      <c r="AB150" s="80"/>
      <c r="AC150" s="80"/>
    </row>
    <row r="151" spans="1:29" ht="14.45" customHeight="1" x14ac:dyDescent="0.2">
      <c r="A151" s="3"/>
      <c r="B151" s="3"/>
      <c r="C151" s="3"/>
      <c r="D151" s="3"/>
      <c r="E151" s="3"/>
      <c r="F151" s="3"/>
      <c r="R151" s="212"/>
      <c r="T151" s="214"/>
      <c r="V151" s="213"/>
      <c r="W151" s="213"/>
      <c r="X151" s="213"/>
      <c r="Y151" s="213"/>
      <c r="Z151" s="213"/>
      <c r="AA151" s="213"/>
      <c r="AB151" s="213"/>
      <c r="AC151" s="213"/>
    </row>
    <row r="152" spans="1:29" ht="14.45" customHeight="1" x14ac:dyDescent="0.2">
      <c r="A152" s="3"/>
      <c r="B152" s="3"/>
      <c r="C152" s="3" t="s">
        <v>96</v>
      </c>
      <c r="D152" s="3"/>
      <c r="E152" s="3"/>
      <c r="F152" s="3"/>
      <c r="R152" s="254"/>
      <c r="T152" s="17"/>
      <c r="V152" s="80"/>
      <c r="W152" s="80"/>
      <c r="X152" s="80"/>
      <c r="Y152" s="80"/>
      <c r="Z152" s="80"/>
      <c r="AA152" s="80"/>
      <c r="AB152" s="80"/>
      <c r="AC152" s="80"/>
    </row>
    <row r="153" spans="1:29" ht="14.45" customHeight="1" x14ac:dyDescent="0.2">
      <c r="A153" s="3"/>
      <c r="B153" s="3"/>
      <c r="C153" s="3"/>
      <c r="D153" s="3"/>
      <c r="E153" s="3"/>
      <c r="F153" s="3"/>
      <c r="R153" s="333"/>
      <c r="T153" s="335"/>
      <c r="V153" s="334"/>
      <c r="W153" s="334"/>
      <c r="X153" s="334"/>
      <c r="Y153" s="334"/>
      <c r="Z153" s="334"/>
      <c r="AA153" s="334"/>
      <c r="AB153" s="334"/>
      <c r="AC153" s="334"/>
    </row>
    <row r="154" spans="1:29" ht="14.45" customHeight="1" x14ac:dyDescent="0.2">
      <c r="A154" s="3"/>
      <c r="B154" s="3"/>
      <c r="C154" s="2" t="s">
        <v>240</v>
      </c>
      <c r="V154" s="334"/>
      <c r="W154" s="334"/>
      <c r="X154" s="334"/>
      <c r="Y154" s="334"/>
      <c r="Z154" s="334"/>
      <c r="AA154" s="334"/>
      <c r="AB154" s="334"/>
      <c r="AC154" s="334"/>
    </row>
    <row r="155" spans="1:29" ht="14.45" customHeight="1" x14ac:dyDescent="0.2">
      <c r="A155" s="3"/>
      <c r="B155" s="3"/>
      <c r="D155" s="2" t="s">
        <v>250</v>
      </c>
      <c r="R155" s="23">
        <v>55789</v>
      </c>
      <c r="S155" s="35"/>
      <c r="T155" s="23">
        <v>28722</v>
      </c>
      <c r="V155" s="334"/>
      <c r="W155" s="334"/>
      <c r="X155" s="334"/>
      <c r="Y155" s="334"/>
      <c r="Z155" s="334"/>
      <c r="AA155" s="334"/>
      <c r="AB155" s="334"/>
      <c r="AC155" s="334"/>
    </row>
    <row r="156" spans="1:29" ht="14.45" customHeight="1" x14ac:dyDescent="0.2">
      <c r="A156" s="3"/>
      <c r="B156" s="3"/>
      <c r="D156" s="2" t="s">
        <v>241</v>
      </c>
      <c r="E156" s="3"/>
      <c r="F156" s="3"/>
      <c r="R156" s="23">
        <f>19721+12003</f>
        <v>31724</v>
      </c>
      <c r="S156" s="35"/>
      <c r="T156" s="23">
        <f>26794+15046</f>
        <v>41840</v>
      </c>
      <c r="V156" s="80"/>
      <c r="W156" s="80"/>
      <c r="X156" s="80"/>
      <c r="Y156" s="80"/>
      <c r="Z156" s="80"/>
      <c r="AA156" s="80"/>
      <c r="AB156" s="80"/>
      <c r="AC156" s="80"/>
    </row>
    <row r="157" spans="1:29" ht="14.45" customHeight="1" x14ac:dyDescent="0.2">
      <c r="A157" s="3"/>
      <c r="B157" s="3"/>
      <c r="R157" s="23"/>
      <c r="S157" s="35"/>
      <c r="T157" s="23"/>
      <c r="V157" s="383"/>
      <c r="W157" s="383"/>
      <c r="X157" s="383"/>
      <c r="Y157" s="383"/>
      <c r="Z157" s="383"/>
      <c r="AA157" s="383"/>
      <c r="AB157" s="383"/>
      <c r="AC157" s="383"/>
    </row>
    <row r="158" spans="1:29" ht="14.45" customHeight="1" x14ac:dyDescent="0.2">
      <c r="A158" s="3"/>
      <c r="B158" s="3"/>
      <c r="C158" s="2" t="s">
        <v>111</v>
      </c>
      <c r="R158" s="23"/>
      <c r="S158" s="35"/>
      <c r="T158" s="23"/>
      <c r="V158" s="80"/>
      <c r="W158" s="80"/>
      <c r="X158" s="80"/>
      <c r="Y158" s="80"/>
      <c r="Z158" s="80"/>
      <c r="AA158" s="80"/>
      <c r="AB158" s="80"/>
      <c r="AC158" s="80"/>
    </row>
    <row r="159" spans="1:29" ht="14.45" customHeight="1" x14ac:dyDescent="0.2">
      <c r="A159" s="3"/>
      <c r="B159" s="3"/>
      <c r="D159" s="2" t="s">
        <v>112</v>
      </c>
      <c r="R159" s="23">
        <v>200000</v>
      </c>
      <c r="S159" s="35"/>
      <c r="T159" s="23">
        <v>200000</v>
      </c>
      <c r="V159" s="80"/>
      <c r="W159" s="80"/>
      <c r="X159" s="80"/>
      <c r="Y159" s="80"/>
      <c r="Z159" s="80"/>
      <c r="AA159" s="80"/>
      <c r="AB159" s="80"/>
      <c r="AC159" s="80"/>
    </row>
    <row r="160" spans="1:29" ht="14.45" customHeight="1" x14ac:dyDescent="0.2">
      <c r="D160" s="2" t="s">
        <v>245</v>
      </c>
      <c r="F160" s="44"/>
      <c r="P160" s="21"/>
      <c r="R160" s="448">
        <f>630000+80000</f>
        <v>710000</v>
      </c>
      <c r="S160" s="35"/>
      <c r="T160" s="448">
        <v>200000</v>
      </c>
    </row>
    <row r="161" spans="1:29" ht="14.45" customHeight="1" x14ac:dyDescent="0.2">
      <c r="F161" s="44"/>
      <c r="P161" s="21"/>
      <c r="R161" s="34">
        <f>SUM(R155:R160)</f>
        <v>997513</v>
      </c>
      <c r="S161" s="35"/>
      <c r="T161" s="34">
        <f>SUM(T155:T160)</f>
        <v>470562</v>
      </c>
    </row>
    <row r="162" spans="1:29" ht="14.45" customHeight="1" x14ac:dyDescent="0.2">
      <c r="A162" s="3"/>
      <c r="B162" s="3"/>
      <c r="C162" s="3" t="s">
        <v>26</v>
      </c>
      <c r="D162" s="3"/>
      <c r="E162" s="3"/>
      <c r="F162" s="3"/>
      <c r="R162" s="526"/>
      <c r="T162" s="358"/>
      <c r="V162" s="213"/>
      <c r="W162" s="213"/>
      <c r="X162" s="213"/>
      <c r="Y162" s="213"/>
      <c r="Z162" s="213"/>
      <c r="AA162" s="213"/>
      <c r="AB162" s="213"/>
      <c r="AC162" s="213"/>
    </row>
    <row r="163" spans="1:29" ht="14.45" customHeight="1" x14ac:dyDescent="0.2">
      <c r="A163" s="3"/>
      <c r="B163" s="3"/>
      <c r="C163" s="3"/>
      <c r="D163" s="3"/>
      <c r="E163" s="3"/>
      <c r="F163" s="3"/>
      <c r="R163" s="526"/>
      <c r="T163" s="358"/>
      <c r="V163" s="218"/>
      <c r="W163" s="218"/>
      <c r="X163" s="218"/>
      <c r="Y163" s="218"/>
      <c r="Z163" s="218"/>
      <c r="AA163" s="218"/>
      <c r="AB163" s="218"/>
      <c r="AC163" s="218"/>
    </row>
    <row r="164" spans="1:29" ht="14.45" customHeight="1" x14ac:dyDescent="0.2">
      <c r="A164" s="3"/>
      <c r="B164" s="3"/>
      <c r="C164" s="2" t="s">
        <v>240</v>
      </c>
      <c r="R164" s="23"/>
      <c r="T164" s="23"/>
      <c r="V164" s="213"/>
      <c r="W164" s="213"/>
      <c r="X164" s="213"/>
      <c r="Y164" s="213"/>
      <c r="Z164" s="213"/>
      <c r="AA164" s="213"/>
      <c r="AB164" s="213"/>
      <c r="AC164" s="213"/>
    </row>
    <row r="165" spans="1:29" ht="14.45" customHeight="1" x14ac:dyDescent="0.2">
      <c r="A165" s="3"/>
      <c r="B165" s="3"/>
      <c r="D165" s="2" t="s">
        <v>241</v>
      </c>
      <c r="R165" s="23">
        <v>10000</v>
      </c>
      <c r="T165" s="23">
        <f>7000+3000</f>
        <v>10000</v>
      </c>
      <c r="V165" s="213"/>
      <c r="W165" s="213"/>
      <c r="X165" s="213"/>
      <c r="Y165" s="213"/>
      <c r="Z165" s="213"/>
      <c r="AA165" s="213"/>
      <c r="AB165" s="213"/>
      <c r="AC165" s="213"/>
    </row>
    <row r="166" spans="1:29" ht="14.45" customHeight="1" x14ac:dyDescent="0.2">
      <c r="A166" s="3"/>
      <c r="B166" s="3"/>
      <c r="C166" s="3"/>
      <c r="D166" s="2" t="s">
        <v>242</v>
      </c>
      <c r="E166" s="3"/>
      <c r="F166" s="3"/>
      <c r="R166" s="23">
        <v>0</v>
      </c>
      <c r="T166" s="23">
        <v>10000</v>
      </c>
      <c r="V166" s="218"/>
      <c r="W166" s="218"/>
      <c r="X166" s="218"/>
      <c r="Y166" s="218"/>
      <c r="Z166" s="218"/>
      <c r="AA166" s="218"/>
      <c r="AB166" s="218"/>
      <c r="AC166" s="218"/>
    </row>
    <row r="167" spans="1:29" ht="14.45" customHeight="1" x14ac:dyDescent="0.2">
      <c r="A167" s="3"/>
      <c r="B167" s="3"/>
      <c r="C167" s="3"/>
      <c r="E167" s="3"/>
      <c r="F167" s="3"/>
      <c r="R167" s="23"/>
      <c r="T167" s="225"/>
      <c r="V167" s="334"/>
      <c r="W167" s="334"/>
      <c r="X167" s="334"/>
      <c r="Y167" s="334"/>
      <c r="Z167" s="334"/>
      <c r="AA167" s="334"/>
      <c r="AB167" s="334"/>
      <c r="AC167" s="334"/>
    </row>
    <row r="168" spans="1:29" ht="14.45" customHeight="1" thickBot="1" x14ac:dyDescent="0.25">
      <c r="F168" s="44"/>
      <c r="P168" s="21"/>
      <c r="R168" s="119">
        <f>SUM(R161:R167)</f>
        <v>1007513</v>
      </c>
      <c r="S168" s="138"/>
      <c r="T168" s="119">
        <f>SUM(T161:T167)</f>
        <v>490562</v>
      </c>
      <c r="V168" s="25">
        <f>R168-BS!D35-BS!D41</f>
        <v>0</v>
      </c>
    </row>
    <row r="169" spans="1:29" ht="14.45" customHeight="1" x14ac:dyDescent="0.2">
      <c r="F169" s="44"/>
      <c r="P169" s="21"/>
      <c r="R169" s="57"/>
      <c r="S169" s="138"/>
      <c r="T169" s="57"/>
    </row>
    <row r="170" spans="1:29" ht="14.45" customHeight="1" x14ac:dyDescent="0.2">
      <c r="A170" s="418"/>
      <c r="B170" s="3"/>
      <c r="C170" s="418" t="s">
        <v>288</v>
      </c>
      <c r="G170" s="44"/>
      <c r="P170" s="21"/>
      <c r="R170" s="57"/>
      <c r="S170" s="138"/>
      <c r="T170" s="57"/>
    </row>
    <row r="171" spans="1:29" ht="14.45" customHeight="1" x14ac:dyDescent="0.2">
      <c r="A171" s="418"/>
      <c r="B171" s="3"/>
      <c r="C171" s="415"/>
      <c r="G171" s="44"/>
      <c r="P171" s="21"/>
      <c r="R171" s="57"/>
      <c r="S171" s="138"/>
      <c r="T171" s="57"/>
    </row>
    <row r="172" spans="1:29" ht="33.75" customHeight="1" x14ac:dyDescent="0.2">
      <c r="A172" s="418"/>
      <c r="B172" s="3"/>
      <c r="C172" s="3" t="s">
        <v>310</v>
      </c>
      <c r="G172" s="452" t="s">
        <v>311</v>
      </c>
      <c r="J172" s="537" t="s">
        <v>342</v>
      </c>
      <c r="L172" s="417" t="s">
        <v>304</v>
      </c>
      <c r="P172" s="21"/>
      <c r="R172" s="57"/>
      <c r="S172" s="138"/>
      <c r="T172" s="57"/>
    </row>
    <row r="173" spans="1:29" ht="14.45" customHeight="1" thickBot="1" x14ac:dyDescent="0.25">
      <c r="A173" s="418"/>
      <c r="B173" s="3"/>
      <c r="C173" s="422"/>
      <c r="D173" s="273"/>
      <c r="E173" s="273"/>
      <c r="F173" s="273"/>
      <c r="G173" s="273"/>
      <c r="H173" s="273"/>
      <c r="I173" s="273"/>
      <c r="J173" s="423" t="s">
        <v>273</v>
      </c>
      <c r="K173" s="273"/>
      <c r="L173" s="422" t="s">
        <v>3</v>
      </c>
      <c r="P173" s="21"/>
      <c r="R173" s="57"/>
      <c r="S173" s="138"/>
      <c r="T173" s="57"/>
    </row>
    <row r="174" spans="1:29" ht="14.45" customHeight="1" x14ac:dyDescent="0.2">
      <c r="A174" s="418"/>
      <c r="B174" s="3"/>
      <c r="C174" s="702" t="s">
        <v>289</v>
      </c>
      <c r="D174" s="703"/>
      <c r="E174" s="703"/>
      <c r="F174" s="47"/>
      <c r="G174" s="451">
        <v>2014</v>
      </c>
      <c r="J174" s="416" t="s">
        <v>305</v>
      </c>
      <c r="L174" s="424">
        <v>11650</v>
      </c>
      <c r="P174" s="21"/>
      <c r="R174" s="57"/>
      <c r="S174" s="138"/>
      <c r="T174" s="57"/>
    </row>
    <row r="175" spans="1:29" ht="14.45" customHeight="1" x14ac:dyDescent="0.2">
      <c r="A175" s="418"/>
      <c r="B175" s="3"/>
      <c r="C175" s="693" t="s">
        <v>293</v>
      </c>
      <c r="D175" s="694"/>
      <c r="E175" s="694"/>
      <c r="F175" s="47"/>
      <c r="G175" s="451">
        <v>2015</v>
      </c>
      <c r="J175" s="416" t="s">
        <v>305</v>
      </c>
      <c r="L175" s="424">
        <v>17050</v>
      </c>
      <c r="P175" s="21"/>
      <c r="R175" s="57"/>
      <c r="S175" s="138"/>
      <c r="T175" s="57"/>
    </row>
    <row r="176" spans="1:29" ht="14.45" customHeight="1" x14ac:dyDescent="0.2">
      <c r="A176" s="418"/>
      <c r="B176" s="3"/>
      <c r="C176" s="693" t="s">
        <v>294</v>
      </c>
      <c r="D176" s="694"/>
      <c r="E176" s="694"/>
      <c r="F176" s="47"/>
      <c r="G176" s="451">
        <v>2016</v>
      </c>
      <c r="J176" s="416" t="s">
        <v>305</v>
      </c>
      <c r="L176" s="87">
        <v>101000</v>
      </c>
      <c r="P176" s="21"/>
      <c r="R176" s="57"/>
      <c r="S176" s="138"/>
      <c r="T176" s="57"/>
    </row>
    <row r="177" spans="1:23" ht="14.45" customHeight="1" x14ac:dyDescent="0.2">
      <c r="A177" s="418"/>
      <c r="B177" s="3"/>
      <c r="C177" s="693" t="s">
        <v>295</v>
      </c>
      <c r="D177" s="694"/>
      <c r="E177" s="694"/>
      <c r="F177" s="47"/>
      <c r="G177" s="451">
        <v>2017</v>
      </c>
      <c r="J177" s="416" t="s">
        <v>305</v>
      </c>
      <c r="L177" s="424">
        <f>90785-1</f>
        <v>90784</v>
      </c>
      <c r="P177" s="21"/>
      <c r="R177" s="57"/>
      <c r="S177" s="138"/>
      <c r="T177" s="57"/>
    </row>
    <row r="178" spans="1:23" ht="14.45" customHeight="1" x14ac:dyDescent="0.2">
      <c r="A178" s="418"/>
      <c r="B178" s="3"/>
      <c r="C178" s="693" t="s">
        <v>296</v>
      </c>
      <c r="D178" s="694"/>
      <c r="E178" s="694"/>
      <c r="F178" s="47"/>
      <c r="G178" s="451">
        <v>2018</v>
      </c>
      <c r="J178" s="416" t="s">
        <v>309</v>
      </c>
      <c r="L178" s="87">
        <v>67000</v>
      </c>
      <c r="P178" s="21"/>
      <c r="R178" s="57"/>
      <c r="S178" s="138"/>
      <c r="T178" s="57"/>
    </row>
    <row r="179" spans="1:23" ht="14.45" customHeight="1" x14ac:dyDescent="0.2">
      <c r="A179" s="418"/>
      <c r="B179" s="3"/>
      <c r="C179" s="693" t="s">
        <v>297</v>
      </c>
      <c r="D179" s="694"/>
      <c r="E179" s="694"/>
      <c r="F179" s="47"/>
      <c r="G179" s="451">
        <v>2019</v>
      </c>
      <c r="J179" s="416" t="s">
        <v>306</v>
      </c>
      <c r="L179" s="87">
        <f>79500+529</f>
        <v>80029</v>
      </c>
      <c r="P179" s="21"/>
      <c r="R179" s="57"/>
      <c r="S179" s="138"/>
      <c r="T179" s="57"/>
    </row>
    <row r="180" spans="1:23" ht="14.45" customHeight="1" x14ac:dyDescent="0.2">
      <c r="A180" s="418"/>
      <c r="B180" s="3"/>
      <c r="C180" s="693" t="s">
        <v>298</v>
      </c>
      <c r="D180" s="694"/>
      <c r="E180" s="694"/>
      <c r="F180" s="47"/>
      <c r="G180" s="451">
        <v>2020</v>
      </c>
      <c r="J180" s="303">
        <v>5.51</v>
      </c>
      <c r="L180" s="87">
        <v>75000</v>
      </c>
      <c r="P180" s="21"/>
      <c r="R180" s="57"/>
      <c r="S180" s="138"/>
      <c r="T180" s="57"/>
    </row>
    <row r="181" spans="1:23" ht="14.45" customHeight="1" x14ac:dyDescent="0.2">
      <c r="A181" s="418"/>
      <c r="B181" s="3"/>
      <c r="C181" s="693" t="s">
        <v>299</v>
      </c>
      <c r="D181" s="694"/>
      <c r="E181" s="694"/>
      <c r="F181" s="47"/>
      <c r="G181" s="451">
        <v>2021</v>
      </c>
      <c r="J181" s="425">
        <v>5.62</v>
      </c>
      <c r="L181" s="87">
        <v>75000</v>
      </c>
      <c r="P181" s="21"/>
      <c r="R181" s="57"/>
      <c r="S181" s="138"/>
      <c r="T181" s="57"/>
    </row>
    <row r="182" spans="1:23" ht="14.45" customHeight="1" x14ac:dyDescent="0.2">
      <c r="A182" s="418"/>
      <c r="B182" s="3"/>
      <c r="C182" s="693" t="s">
        <v>307</v>
      </c>
      <c r="D182" s="694"/>
      <c r="E182" s="694"/>
      <c r="F182" s="694"/>
      <c r="G182" s="451">
        <v>2022</v>
      </c>
      <c r="J182" s="425">
        <v>5.75</v>
      </c>
      <c r="L182" s="87">
        <v>75000</v>
      </c>
      <c r="P182" s="21"/>
      <c r="R182" s="57"/>
      <c r="S182" s="138"/>
      <c r="T182" s="57"/>
    </row>
    <row r="183" spans="1:23" ht="14.45" customHeight="1" x14ac:dyDescent="0.2">
      <c r="A183" s="418"/>
      <c r="B183" s="3"/>
      <c r="C183" s="693" t="s">
        <v>308</v>
      </c>
      <c r="D183" s="694"/>
      <c r="E183" s="694"/>
      <c r="F183" s="694"/>
      <c r="G183" s="451">
        <v>2023</v>
      </c>
      <c r="J183" s="425">
        <v>5.88</v>
      </c>
      <c r="L183" s="87">
        <v>75000</v>
      </c>
      <c r="P183" s="21"/>
      <c r="R183" s="57"/>
      <c r="S183" s="138"/>
      <c r="T183" s="57"/>
    </row>
    <row r="184" spans="1:23" ht="14.45" customHeight="1" x14ac:dyDescent="0.2">
      <c r="A184" s="418"/>
      <c r="B184" s="3"/>
      <c r="C184" s="704" t="s">
        <v>300</v>
      </c>
      <c r="D184" s="694"/>
      <c r="E184" s="694"/>
      <c r="F184" s="694"/>
      <c r="G184" s="451">
        <v>2024</v>
      </c>
      <c r="J184" s="425" t="s">
        <v>410</v>
      </c>
      <c r="L184" s="87">
        <v>90000</v>
      </c>
      <c r="P184" s="21"/>
      <c r="R184" s="57"/>
      <c r="S184" s="138"/>
      <c r="T184" s="57"/>
    </row>
    <row r="185" spans="1:23" ht="14.45" customHeight="1" x14ac:dyDescent="0.2">
      <c r="A185" s="418"/>
      <c r="B185" s="3"/>
      <c r="C185" s="704" t="s">
        <v>301</v>
      </c>
      <c r="D185" s="694"/>
      <c r="E185" s="694"/>
      <c r="F185" s="694"/>
      <c r="G185" s="451">
        <v>2025</v>
      </c>
      <c r="J185" s="425">
        <v>5.98</v>
      </c>
      <c r="L185" s="87">
        <v>20000</v>
      </c>
      <c r="P185" s="21"/>
      <c r="R185" s="57"/>
      <c r="S185" s="138"/>
      <c r="T185" s="57"/>
    </row>
    <row r="186" spans="1:23" ht="14.45" customHeight="1" x14ac:dyDescent="0.2">
      <c r="A186" s="418"/>
      <c r="B186" s="3"/>
      <c r="C186" s="704" t="s">
        <v>302</v>
      </c>
      <c r="D186" s="694"/>
      <c r="E186" s="694"/>
      <c r="F186" s="694"/>
      <c r="G186" s="451">
        <v>2026</v>
      </c>
      <c r="J186" s="425">
        <v>6.09</v>
      </c>
      <c r="L186" s="87">
        <v>30000</v>
      </c>
      <c r="P186" s="21"/>
      <c r="R186" s="57"/>
      <c r="S186" s="138"/>
      <c r="T186" s="57"/>
    </row>
    <row r="187" spans="1:23" ht="14.45" customHeight="1" x14ac:dyDescent="0.2">
      <c r="A187" s="418"/>
      <c r="B187" s="3"/>
      <c r="C187" s="704" t="s">
        <v>303</v>
      </c>
      <c r="D187" s="694"/>
      <c r="E187" s="694"/>
      <c r="F187" s="694"/>
      <c r="G187" s="451">
        <v>2027</v>
      </c>
      <c r="J187" s="416">
        <v>6.6</v>
      </c>
      <c r="L187" s="87">
        <v>200000</v>
      </c>
      <c r="P187" s="21"/>
      <c r="R187" s="57"/>
      <c r="S187" s="138"/>
      <c r="T187" s="57"/>
    </row>
    <row r="188" spans="1:23" ht="14.45" customHeight="1" thickBot="1" x14ac:dyDescent="0.25">
      <c r="A188" s="418"/>
      <c r="B188" s="3"/>
      <c r="C188" s="426"/>
      <c r="D188" s="427"/>
      <c r="E188" s="427"/>
      <c r="F188" s="427"/>
      <c r="J188" s="428"/>
      <c r="L188" s="429">
        <f>SUM(L174:L187)</f>
        <v>1007513</v>
      </c>
      <c r="P188" s="21"/>
      <c r="R188" s="57"/>
      <c r="S188" s="138"/>
      <c r="T188" s="57"/>
      <c r="W188" s="25">
        <f>L188-R168</f>
        <v>0</v>
      </c>
    </row>
    <row r="189" spans="1:23" ht="14.45" customHeight="1" thickTop="1" x14ac:dyDescent="0.2">
      <c r="A189" s="418"/>
      <c r="B189" s="3"/>
      <c r="C189" s="3"/>
      <c r="D189" s="3"/>
      <c r="F189" s="44"/>
      <c r="P189" s="21"/>
      <c r="R189" s="57"/>
      <c r="S189" s="138"/>
      <c r="T189" s="57"/>
    </row>
    <row r="190" spans="1:23" ht="14.45" customHeight="1" x14ac:dyDescent="0.2">
      <c r="F190" s="44"/>
      <c r="P190" s="21"/>
      <c r="R190" s="38"/>
      <c r="S190" s="36"/>
      <c r="T190" s="38"/>
    </row>
    <row r="191" spans="1:23" ht="14.45" customHeight="1" x14ac:dyDescent="0.2">
      <c r="A191" s="3">
        <v>29</v>
      </c>
      <c r="B191" s="3"/>
      <c r="C191" s="3" t="s">
        <v>5</v>
      </c>
      <c r="D191" s="3"/>
      <c r="E191" s="3"/>
      <c r="F191" s="3"/>
    </row>
    <row r="192" spans="1:23" ht="14.45" customHeight="1" x14ac:dyDescent="0.2">
      <c r="R192" s="31"/>
    </row>
    <row r="193" spans="1:26" ht="30" customHeight="1" x14ac:dyDescent="0.2">
      <c r="C193" s="636" t="s">
        <v>0</v>
      </c>
      <c r="D193" s="636"/>
      <c r="E193" s="636"/>
      <c r="F193" s="636"/>
      <c r="G193" s="636"/>
      <c r="H193" s="636"/>
      <c r="I193" s="636"/>
      <c r="J193" s="636"/>
      <c r="K193" s="636"/>
      <c r="L193" s="636"/>
      <c r="M193" s="636"/>
      <c r="N193" s="636"/>
      <c r="O193" s="636"/>
      <c r="P193" s="636"/>
      <c r="Q193" s="636"/>
      <c r="R193" s="636"/>
      <c r="S193" s="636"/>
      <c r="T193" s="636"/>
      <c r="V193" s="621"/>
      <c r="W193" s="621"/>
      <c r="X193" s="621"/>
    </row>
    <row r="194" spans="1:26" ht="14.45" customHeight="1" x14ac:dyDescent="0.2">
      <c r="C194" s="4"/>
      <c r="D194" s="254"/>
      <c r="E194" s="282"/>
      <c r="F194" s="4"/>
      <c r="G194" s="4"/>
      <c r="H194" s="4"/>
      <c r="I194" s="404"/>
      <c r="J194" s="4"/>
      <c r="K194" s="4"/>
      <c r="L194" s="4"/>
      <c r="M194" s="4"/>
      <c r="N194" s="459"/>
      <c r="O194" s="459"/>
      <c r="P194" s="4"/>
      <c r="Q194" s="4"/>
      <c r="R194" s="4"/>
      <c r="S194" s="58"/>
      <c r="T194" s="58"/>
      <c r="V194" s="9"/>
      <c r="W194" s="9"/>
      <c r="X194" s="9"/>
    </row>
    <row r="195" spans="1:26" ht="14.45" customHeight="1" x14ac:dyDescent="0.2">
      <c r="A195" s="3">
        <v>30</v>
      </c>
      <c r="B195" s="3"/>
      <c r="C195" s="3" t="s">
        <v>48</v>
      </c>
      <c r="D195" s="3"/>
      <c r="E195" s="3"/>
      <c r="F195" s="3"/>
      <c r="W195" s="31"/>
    </row>
    <row r="197" spans="1:26" ht="28.5" customHeight="1" x14ac:dyDescent="0.2">
      <c r="C197" s="346" t="s">
        <v>194</v>
      </c>
      <c r="D197" s="706" t="s">
        <v>340</v>
      </c>
      <c r="E197" s="706"/>
      <c r="F197" s="706"/>
      <c r="G197" s="706"/>
      <c r="H197" s="706"/>
      <c r="I197" s="706"/>
      <c r="J197" s="706"/>
      <c r="K197" s="706"/>
      <c r="L197" s="706"/>
      <c r="M197" s="706"/>
      <c r="N197" s="706"/>
      <c r="O197" s="706"/>
      <c r="P197" s="706"/>
      <c r="Q197" s="706"/>
      <c r="R197" s="706"/>
      <c r="S197" s="706"/>
      <c r="T197" s="706"/>
      <c r="U197" s="706"/>
      <c r="V197" s="639"/>
      <c r="W197" s="639"/>
      <c r="X197" s="639"/>
      <c r="Y197" s="639"/>
      <c r="Z197" s="639"/>
    </row>
    <row r="198" spans="1:26" ht="42" customHeight="1" x14ac:dyDescent="0.2">
      <c r="C198" s="345"/>
      <c r="D198" s="682" t="s">
        <v>341</v>
      </c>
      <c r="E198" s="681"/>
      <c r="F198" s="681"/>
      <c r="G198" s="681"/>
      <c r="H198" s="681"/>
      <c r="I198" s="681"/>
      <c r="J198" s="681"/>
      <c r="K198" s="681"/>
      <c r="L198" s="681"/>
      <c r="M198" s="681"/>
      <c r="N198" s="681"/>
      <c r="O198" s="681"/>
      <c r="P198" s="681"/>
      <c r="Q198" s="681"/>
      <c r="R198" s="681"/>
      <c r="S198" s="681"/>
      <c r="T198" s="681"/>
      <c r="V198" s="342"/>
      <c r="W198" s="342"/>
      <c r="X198" s="342"/>
      <c r="Y198" s="342"/>
      <c r="Z198" s="342"/>
    </row>
    <row r="199" spans="1:26" ht="53.25" customHeight="1" x14ac:dyDescent="0.2">
      <c r="C199" s="282"/>
      <c r="D199" s="636" t="s">
        <v>374</v>
      </c>
      <c r="E199" s="636"/>
      <c r="F199" s="636"/>
      <c r="G199" s="636"/>
      <c r="H199" s="636"/>
      <c r="I199" s="636"/>
      <c r="J199" s="636"/>
      <c r="K199" s="636"/>
      <c r="L199" s="636"/>
      <c r="M199" s="636"/>
      <c r="N199" s="636"/>
      <c r="O199" s="636"/>
      <c r="P199" s="636"/>
      <c r="Q199" s="636"/>
      <c r="R199" s="636"/>
      <c r="S199" s="636"/>
      <c r="T199" s="636"/>
      <c r="V199" s="283"/>
      <c r="W199" s="283"/>
      <c r="X199" s="283"/>
      <c r="Y199" s="283"/>
      <c r="Z199" s="283"/>
    </row>
    <row r="200" spans="1:26" ht="31.5" customHeight="1" x14ac:dyDescent="0.2">
      <c r="C200" s="346" t="s">
        <v>174</v>
      </c>
      <c r="D200" s="682" t="s">
        <v>375</v>
      </c>
      <c r="E200" s="682"/>
      <c r="F200" s="682"/>
      <c r="G200" s="682"/>
      <c r="H200" s="682"/>
      <c r="I200" s="682"/>
      <c r="J200" s="682"/>
      <c r="K200" s="682"/>
      <c r="L200" s="682"/>
      <c r="M200" s="682"/>
      <c r="N200" s="682"/>
      <c r="O200" s="682"/>
      <c r="P200" s="682"/>
      <c r="Q200" s="682"/>
      <c r="R200" s="682"/>
      <c r="S200" s="682"/>
      <c r="T200" s="682"/>
      <c r="V200" s="283"/>
      <c r="W200" s="283"/>
      <c r="X200" s="283"/>
      <c r="Y200" s="283"/>
      <c r="Z200" s="283"/>
    </row>
    <row r="201" spans="1:26" ht="6" customHeight="1" x14ac:dyDescent="0.2">
      <c r="C201" s="346"/>
      <c r="D201" s="536"/>
      <c r="E201" s="536"/>
      <c r="F201" s="536"/>
      <c r="G201" s="536"/>
      <c r="H201" s="536"/>
      <c r="I201" s="536"/>
      <c r="J201" s="536"/>
      <c r="K201" s="536"/>
      <c r="L201" s="536"/>
      <c r="M201" s="536"/>
      <c r="N201" s="536"/>
      <c r="O201" s="536"/>
      <c r="P201" s="536"/>
      <c r="Q201" s="536"/>
      <c r="R201" s="536"/>
      <c r="S201" s="536"/>
      <c r="T201" s="536"/>
      <c r="V201" s="534"/>
      <c r="W201" s="534"/>
      <c r="X201" s="534"/>
      <c r="Y201" s="534"/>
      <c r="Z201" s="534"/>
    </row>
    <row r="202" spans="1:26" ht="49.5" customHeight="1" x14ac:dyDescent="0.2">
      <c r="C202" s="282"/>
      <c r="D202" s="636" t="s">
        <v>376</v>
      </c>
      <c r="E202" s="636"/>
      <c r="F202" s="636"/>
      <c r="G202" s="636"/>
      <c r="H202" s="636"/>
      <c r="I202" s="636"/>
      <c r="J202" s="636"/>
      <c r="K202" s="636"/>
      <c r="L202" s="636"/>
      <c r="M202" s="636"/>
      <c r="N202" s="636"/>
      <c r="O202" s="636"/>
      <c r="P202" s="636"/>
      <c r="Q202" s="636"/>
      <c r="R202" s="636"/>
      <c r="S202" s="636"/>
      <c r="T202" s="636"/>
      <c r="V202" s="283"/>
      <c r="W202" s="283"/>
      <c r="X202" s="283"/>
      <c r="Y202" s="283"/>
      <c r="Z202" s="283"/>
    </row>
    <row r="203" spans="1:26" ht="14.25" customHeight="1" x14ac:dyDescent="0.2">
      <c r="A203" s="3"/>
      <c r="B203" s="3"/>
      <c r="C203" s="3"/>
      <c r="D203" s="3"/>
      <c r="E203" s="3"/>
      <c r="F203" s="3"/>
      <c r="G203" s="339"/>
      <c r="H203" s="339"/>
      <c r="I203" s="412"/>
      <c r="J203" s="339"/>
      <c r="K203" s="339"/>
      <c r="L203" s="339"/>
      <c r="M203" s="339"/>
      <c r="N203" s="470"/>
      <c r="O203" s="470"/>
      <c r="P203" s="339"/>
      <c r="Q203" s="339"/>
      <c r="R203" s="339"/>
      <c r="S203" s="339"/>
      <c r="T203" s="339"/>
      <c r="V203" s="338"/>
      <c r="W203" s="338"/>
      <c r="X203" s="338"/>
      <c r="Y203" s="338"/>
      <c r="Z203" s="338"/>
    </row>
    <row r="204" spans="1:26" ht="39" customHeight="1" x14ac:dyDescent="0.2">
      <c r="A204" s="3"/>
      <c r="B204" s="3"/>
      <c r="C204" s="346" t="s">
        <v>225</v>
      </c>
      <c r="D204" s="682" t="s">
        <v>377</v>
      </c>
      <c r="E204" s="682"/>
      <c r="F204" s="682"/>
      <c r="G204" s="682"/>
      <c r="H204" s="682"/>
      <c r="I204" s="682"/>
      <c r="J204" s="682"/>
      <c r="K204" s="682"/>
      <c r="L204" s="682"/>
      <c r="M204" s="682"/>
      <c r="N204" s="682"/>
      <c r="O204" s="682"/>
      <c r="P204" s="682"/>
      <c r="Q204" s="682"/>
      <c r="R204" s="682"/>
      <c r="S204" s="682"/>
      <c r="T204" s="682"/>
      <c r="V204" s="342"/>
      <c r="W204" s="342"/>
      <c r="X204" s="342"/>
      <c r="Y204" s="342"/>
      <c r="Z204" s="342"/>
    </row>
    <row r="205" spans="1:26" ht="11.25" customHeight="1" x14ac:dyDescent="0.2">
      <c r="A205" s="3"/>
      <c r="B205" s="3"/>
      <c r="C205" s="346"/>
      <c r="D205" s="536"/>
      <c r="E205" s="536"/>
      <c r="F205" s="536"/>
      <c r="G205" s="536"/>
      <c r="H205" s="536"/>
      <c r="I205" s="536"/>
      <c r="J205" s="536"/>
      <c r="K205" s="536"/>
      <c r="L205" s="536"/>
      <c r="M205" s="536"/>
      <c r="N205" s="536"/>
      <c r="O205" s="536"/>
      <c r="P205" s="536"/>
      <c r="Q205" s="536"/>
      <c r="R205" s="536"/>
      <c r="S205" s="536"/>
      <c r="T205" s="536"/>
      <c r="V205" s="534"/>
      <c r="W205" s="534"/>
      <c r="X205" s="534"/>
      <c r="Y205" s="534"/>
      <c r="Z205" s="534"/>
    </row>
    <row r="206" spans="1:26" ht="63.75" customHeight="1" x14ac:dyDescent="0.2">
      <c r="A206" s="3"/>
      <c r="B206" s="3"/>
      <c r="C206" s="3"/>
      <c r="D206" s="705" t="s">
        <v>378</v>
      </c>
      <c r="E206" s="705"/>
      <c r="F206" s="705"/>
      <c r="G206" s="705"/>
      <c r="H206" s="705"/>
      <c r="I206" s="705"/>
      <c r="J206" s="705"/>
      <c r="K206" s="705"/>
      <c r="L206" s="705"/>
      <c r="M206" s="705"/>
      <c r="N206" s="705"/>
      <c r="O206" s="705"/>
      <c r="P206" s="705"/>
      <c r="Q206" s="705"/>
      <c r="R206" s="705"/>
      <c r="S206" s="705"/>
      <c r="T206" s="705"/>
      <c r="V206" s="342"/>
      <c r="W206" s="342"/>
      <c r="X206" s="342"/>
      <c r="Y206" s="342"/>
      <c r="Z206" s="342"/>
    </row>
    <row r="207" spans="1:26" ht="23.25" customHeight="1" x14ac:dyDescent="0.2">
      <c r="A207" s="3"/>
      <c r="B207" s="3"/>
      <c r="C207" s="3"/>
      <c r="D207" s="680" t="s">
        <v>379</v>
      </c>
      <c r="E207" s="681"/>
      <c r="F207" s="681"/>
      <c r="G207" s="681"/>
      <c r="H207" s="681"/>
      <c r="I207" s="681"/>
      <c r="J207" s="681"/>
      <c r="K207" s="681"/>
      <c r="L207" s="681"/>
      <c r="M207" s="681"/>
      <c r="N207" s="681"/>
      <c r="O207" s="681"/>
      <c r="P207" s="681"/>
      <c r="Q207" s="681"/>
      <c r="R207" s="681"/>
      <c r="S207" s="681"/>
      <c r="T207" s="681"/>
      <c r="V207" s="342"/>
      <c r="W207" s="342"/>
      <c r="X207" s="342"/>
      <c r="Y207" s="342"/>
      <c r="Z207" s="342"/>
    </row>
    <row r="208" spans="1:26" ht="10.5" customHeight="1" x14ac:dyDescent="0.2">
      <c r="A208" s="3"/>
      <c r="B208" s="3"/>
      <c r="C208" s="3"/>
      <c r="D208" s="580"/>
      <c r="E208" s="579"/>
      <c r="F208" s="579"/>
      <c r="G208" s="579"/>
      <c r="H208" s="579"/>
      <c r="I208" s="579"/>
      <c r="J208" s="579"/>
      <c r="K208" s="579"/>
      <c r="L208" s="579"/>
      <c r="M208" s="579"/>
      <c r="N208" s="579"/>
      <c r="O208" s="579"/>
      <c r="P208" s="579"/>
      <c r="Q208" s="579"/>
      <c r="R208" s="579"/>
      <c r="S208" s="579"/>
      <c r="T208" s="579"/>
      <c r="V208" s="576"/>
      <c r="W208" s="576"/>
      <c r="X208" s="576"/>
      <c r="Y208" s="576"/>
      <c r="Z208" s="576"/>
    </row>
    <row r="209" spans="1:26" ht="59.25" customHeight="1" x14ac:dyDescent="0.2">
      <c r="A209" s="3"/>
      <c r="B209" s="3"/>
      <c r="C209" s="3"/>
      <c r="D209" s="535" t="s">
        <v>380</v>
      </c>
      <c r="E209" s="665" t="s">
        <v>442</v>
      </c>
      <c r="F209" s="674"/>
      <c r="G209" s="674"/>
      <c r="H209" s="674"/>
      <c r="I209" s="674"/>
      <c r="J209" s="674"/>
      <c r="K209" s="674"/>
      <c r="L209" s="674"/>
      <c r="M209" s="674"/>
      <c r="N209" s="674"/>
      <c r="O209" s="674"/>
      <c r="P209" s="674"/>
      <c r="Q209" s="674"/>
      <c r="R209" s="674"/>
      <c r="S209" s="674"/>
      <c r="T209" s="674"/>
      <c r="V209" s="534"/>
      <c r="W209" s="534"/>
      <c r="X209" s="534"/>
      <c r="Y209" s="534"/>
      <c r="Z209" s="534"/>
    </row>
    <row r="210" spans="1:26" s="582" customFormat="1" ht="33" customHeight="1" x14ac:dyDescent="0.2">
      <c r="A210" s="581"/>
      <c r="B210" s="581"/>
      <c r="C210" s="581"/>
      <c r="E210" s="578" t="s">
        <v>381</v>
      </c>
      <c r="F210" s="683" t="s">
        <v>451</v>
      </c>
      <c r="G210" s="681"/>
      <c r="H210" s="681"/>
      <c r="I210" s="681"/>
      <c r="J210" s="681"/>
      <c r="K210" s="681"/>
      <c r="L210" s="681"/>
      <c r="M210" s="681"/>
      <c r="N210" s="681"/>
      <c r="O210" s="681"/>
      <c r="P210" s="681"/>
      <c r="Q210" s="681"/>
      <c r="R210" s="681"/>
      <c r="S210" s="681"/>
      <c r="T210" s="681"/>
      <c r="V210" s="583"/>
      <c r="W210" s="583"/>
      <c r="X210" s="583"/>
      <c r="Y210" s="583"/>
      <c r="Z210" s="583"/>
    </row>
    <row r="211" spans="1:26" ht="29.25" customHeight="1" x14ac:dyDescent="0.2">
      <c r="A211" s="3"/>
      <c r="B211" s="3"/>
      <c r="C211" s="3"/>
      <c r="D211" s="577"/>
      <c r="E211" s="36" t="s">
        <v>382</v>
      </c>
      <c r="F211" s="680" t="s">
        <v>383</v>
      </c>
      <c r="G211" s="681"/>
      <c r="H211" s="681"/>
      <c r="I211" s="681"/>
      <c r="J211" s="681"/>
      <c r="K211" s="681"/>
      <c r="L211" s="681"/>
      <c r="M211" s="681"/>
      <c r="N211" s="681"/>
      <c r="O211" s="681"/>
      <c r="P211" s="681"/>
      <c r="Q211" s="681"/>
      <c r="R211" s="681"/>
      <c r="S211" s="681"/>
      <c r="T211" s="681"/>
      <c r="V211" s="534"/>
      <c r="W211" s="534"/>
      <c r="X211" s="534"/>
      <c r="Y211" s="534"/>
      <c r="Z211" s="534"/>
    </row>
    <row r="212" spans="1:26" ht="13.5" customHeight="1" x14ac:dyDescent="0.2">
      <c r="A212" s="3"/>
      <c r="B212" s="3"/>
      <c r="C212" s="3"/>
      <c r="D212" s="577"/>
      <c r="E212" s="577" t="s">
        <v>384</v>
      </c>
      <c r="F212" s="680" t="s">
        <v>386</v>
      </c>
      <c r="G212" s="681"/>
      <c r="H212" s="681"/>
      <c r="I212" s="681"/>
      <c r="J212" s="681"/>
      <c r="K212" s="681"/>
      <c r="L212" s="681"/>
      <c r="M212" s="681"/>
      <c r="N212" s="681"/>
      <c r="O212" s="681"/>
      <c r="P212" s="681"/>
      <c r="Q212" s="681"/>
      <c r="R212" s="681"/>
      <c r="S212" s="681"/>
      <c r="T212" s="681"/>
      <c r="V212" s="534"/>
      <c r="W212" s="534"/>
      <c r="X212" s="534"/>
      <c r="Y212" s="534"/>
      <c r="Z212" s="534"/>
    </row>
    <row r="213" spans="1:26" ht="23.25" customHeight="1" x14ac:dyDescent="0.2">
      <c r="A213" s="3"/>
      <c r="B213" s="3"/>
      <c r="C213" s="3"/>
      <c r="D213" s="577"/>
      <c r="E213" s="577" t="s">
        <v>385</v>
      </c>
      <c r="F213" s="680" t="s">
        <v>387</v>
      </c>
      <c r="G213" s="681"/>
      <c r="H213" s="681"/>
      <c r="I213" s="681"/>
      <c r="J213" s="681"/>
      <c r="K213" s="681"/>
      <c r="L213" s="681"/>
      <c r="M213" s="681"/>
      <c r="N213" s="681"/>
      <c r="O213" s="681"/>
      <c r="P213" s="681"/>
      <c r="Q213" s="681"/>
      <c r="R213" s="681"/>
      <c r="S213" s="681"/>
      <c r="T213" s="681"/>
      <c r="V213" s="534"/>
      <c r="W213" s="534"/>
      <c r="X213" s="534"/>
      <c r="Y213" s="534"/>
      <c r="Z213" s="534"/>
    </row>
    <row r="214" spans="1:26" ht="17.25" customHeight="1" x14ac:dyDescent="0.2">
      <c r="A214" s="3"/>
      <c r="B214" s="3"/>
      <c r="C214" s="3"/>
      <c r="D214" s="577"/>
      <c r="E214" s="577" t="s">
        <v>388</v>
      </c>
      <c r="F214" s="680" t="s">
        <v>390</v>
      </c>
      <c r="G214" s="681"/>
      <c r="H214" s="681"/>
      <c r="I214" s="681"/>
      <c r="J214" s="681"/>
      <c r="K214" s="681"/>
      <c r="L214" s="681"/>
      <c r="M214" s="681"/>
      <c r="N214" s="681"/>
      <c r="O214" s="681"/>
      <c r="P214" s="681"/>
      <c r="Q214" s="681"/>
      <c r="R214" s="681"/>
      <c r="S214" s="681"/>
      <c r="T214" s="681"/>
      <c r="V214" s="576"/>
      <c r="W214" s="576"/>
      <c r="X214" s="576"/>
      <c r="Y214" s="576"/>
      <c r="Z214" s="576"/>
    </row>
    <row r="215" spans="1:26" ht="23.25" customHeight="1" x14ac:dyDescent="0.2">
      <c r="A215" s="3"/>
      <c r="B215" s="3"/>
      <c r="C215" s="3"/>
      <c r="D215" s="577"/>
      <c r="E215" s="577" t="s">
        <v>389</v>
      </c>
      <c r="F215" s="680" t="s">
        <v>391</v>
      </c>
      <c r="G215" s="681"/>
      <c r="H215" s="681"/>
      <c r="I215" s="681"/>
      <c r="J215" s="681"/>
      <c r="K215" s="681"/>
      <c r="L215" s="681"/>
      <c r="M215" s="681"/>
      <c r="N215" s="681"/>
      <c r="O215" s="681"/>
      <c r="P215" s="681"/>
      <c r="Q215" s="681"/>
      <c r="R215" s="681"/>
      <c r="S215" s="681"/>
      <c r="T215" s="681"/>
      <c r="V215" s="576"/>
      <c r="W215" s="576"/>
      <c r="X215" s="576"/>
      <c r="Y215" s="576"/>
      <c r="Z215" s="576"/>
    </row>
    <row r="216" spans="1:26" ht="27.75" customHeight="1" x14ac:dyDescent="0.2">
      <c r="A216" s="3"/>
      <c r="B216" s="3"/>
      <c r="C216" s="3"/>
      <c r="D216" s="577"/>
      <c r="E216" s="680" t="s">
        <v>395</v>
      </c>
      <c r="F216" s="681"/>
      <c r="G216" s="681"/>
      <c r="H216" s="681"/>
      <c r="I216" s="681"/>
      <c r="J216" s="681"/>
      <c r="K216" s="681"/>
      <c r="L216" s="681"/>
      <c r="M216" s="681"/>
      <c r="N216" s="681"/>
      <c r="O216" s="681"/>
      <c r="P216" s="681"/>
      <c r="Q216" s="681"/>
      <c r="R216" s="681"/>
      <c r="S216" s="681"/>
      <c r="T216" s="681"/>
      <c r="V216" s="576"/>
      <c r="W216" s="576"/>
      <c r="X216" s="576"/>
      <c r="Y216" s="576"/>
      <c r="Z216" s="576"/>
    </row>
    <row r="217" spans="1:26" ht="30" customHeight="1" x14ac:dyDescent="0.2">
      <c r="A217" s="3"/>
      <c r="B217" s="3"/>
      <c r="C217" s="3"/>
      <c r="D217" s="584" t="s">
        <v>174</v>
      </c>
      <c r="E217" s="680" t="s">
        <v>392</v>
      </c>
      <c r="F217" s="681"/>
      <c r="G217" s="681"/>
      <c r="H217" s="681"/>
      <c r="I217" s="681"/>
      <c r="J217" s="681"/>
      <c r="K217" s="681"/>
      <c r="L217" s="681"/>
      <c r="M217" s="681"/>
      <c r="N217" s="681"/>
      <c r="O217" s="681"/>
      <c r="P217" s="681"/>
      <c r="Q217" s="681"/>
      <c r="R217" s="681"/>
      <c r="S217" s="681"/>
      <c r="T217" s="681"/>
      <c r="V217" s="534"/>
      <c r="W217" s="534"/>
      <c r="X217" s="534"/>
      <c r="Y217" s="534"/>
      <c r="Z217" s="534"/>
    </row>
    <row r="218" spans="1:26" ht="48.75" customHeight="1" x14ac:dyDescent="0.2">
      <c r="A218" s="3"/>
      <c r="B218" s="3"/>
      <c r="C218" s="3"/>
      <c r="D218" s="680" t="s">
        <v>393</v>
      </c>
      <c r="E218" s="681"/>
      <c r="F218" s="681"/>
      <c r="G218" s="681"/>
      <c r="H218" s="681"/>
      <c r="I218" s="681"/>
      <c r="J218" s="681"/>
      <c r="K218" s="681"/>
      <c r="L218" s="681"/>
      <c r="M218" s="681"/>
      <c r="N218" s="681"/>
      <c r="O218" s="681"/>
      <c r="P218" s="681"/>
      <c r="Q218" s="681"/>
      <c r="R218" s="681"/>
      <c r="S218" s="681"/>
      <c r="T218" s="681"/>
      <c r="V218" s="534"/>
      <c r="W218" s="534"/>
      <c r="X218" s="534"/>
      <c r="Y218" s="534"/>
      <c r="Z218" s="534"/>
    </row>
    <row r="219" spans="1:26" ht="48.75" customHeight="1" x14ac:dyDescent="0.2">
      <c r="A219" s="3"/>
      <c r="B219" s="3"/>
      <c r="C219" s="3"/>
      <c r="D219" s="680" t="s">
        <v>394</v>
      </c>
      <c r="E219" s="681"/>
      <c r="F219" s="681"/>
      <c r="G219" s="681"/>
      <c r="H219" s="681"/>
      <c r="I219" s="681"/>
      <c r="J219" s="681"/>
      <c r="K219" s="681"/>
      <c r="L219" s="681"/>
      <c r="M219" s="681"/>
      <c r="N219" s="681"/>
      <c r="O219" s="681"/>
      <c r="P219" s="681"/>
      <c r="Q219" s="681"/>
      <c r="R219" s="681"/>
      <c r="S219" s="681"/>
      <c r="T219" s="681"/>
      <c r="V219" s="576"/>
      <c r="W219" s="576"/>
      <c r="X219" s="576"/>
      <c r="Y219" s="576"/>
      <c r="Z219" s="576"/>
    </row>
    <row r="220" spans="1:26" ht="85.5" customHeight="1" x14ac:dyDescent="0.2">
      <c r="A220" s="3"/>
      <c r="B220" s="3"/>
      <c r="C220" s="3"/>
      <c r="D220" s="684" t="s">
        <v>396</v>
      </c>
      <c r="E220" s="681"/>
      <c r="F220" s="681"/>
      <c r="G220" s="681"/>
      <c r="H220" s="681"/>
      <c r="I220" s="681"/>
      <c r="J220" s="681"/>
      <c r="K220" s="681"/>
      <c r="L220" s="681"/>
      <c r="M220" s="681"/>
      <c r="N220" s="681"/>
      <c r="O220" s="681"/>
      <c r="P220" s="681"/>
      <c r="Q220" s="681"/>
      <c r="R220" s="681"/>
      <c r="S220" s="681"/>
      <c r="T220" s="681"/>
      <c r="V220" s="534"/>
      <c r="W220" s="534"/>
      <c r="X220" s="534"/>
      <c r="Y220" s="534"/>
      <c r="Z220" s="534"/>
    </row>
    <row r="221" spans="1:26" ht="40.5" customHeight="1" x14ac:dyDescent="0.2">
      <c r="C221" s="341"/>
      <c r="D221" s="636" t="s">
        <v>397</v>
      </c>
      <c r="E221" s="636"/>
      <c r="F221" s="636"/>
      <c r="G221" s="636"/>
      <c r="H221" s="636"/>
      <c r="I221" s="636"/>
      <c r="J221" s="636"/>
      <c r="K221" s="636"/>
      <c r="L221" s="636"/>
      <c r="M221" s="636"/>
      <c r="N221" s="636"/>
      <c r="O221" s="636"/>
      <c r="P221" s="636"/>
      <c r="Q221" s="636"/>
      <c r="R221" s="636"/>
      <c r="S221" s="636"/>
      <c r="T221" s="636"/>
      <c r="V221" s="283"/>
      <c r="W221" s="283"/>
      <c r="X221" s="283"/>
      <c r="Y221" s="283"/>
      <c r="Z221" s="283"/>
    </row>
    <row r="222" spans="1:26" ht="39" customHeight="1" x14ac:dyDescent="0.2">
      <c r="C222" s="282"/>
      <c r="D222" s="636" t="s">
        <v>398</v>
      </c>
      <c r="E222" s="636"/>
      <c r="F222" s="636"/>
      <c r="G222" s="636"/>
      <c r="H222" s="636"/>
      <c r="I222" s="636"/>
      <c r="J222" s="636"/>
      <c r="K222" s="636"/>
      <c r="L222" s="636"/>
      <c r="M222" s="636"/>
      <c r="N222" s="636"/>
      <c r="O222" s="636"/>
      <c r="P222" s="636"/>
      <c r="Q222" s="636"/>
      <c r="R222" s="636"/>
      <c r="S222" s="636"/>
      <c r="T222" s="636"/>
      <c r="V222" s="283"/>
      <c r="W222" s="283"/>
      <c r="X222" s="283"/>
      <c r="Y222" s="283"/>
      <c r="Z222" s="283"/>
    </row>
    <row r="223" spans="1:26" ht="33.75" customHeight="1" x14ac:dyDescent="0.2">
      <c r="C223" s="282"/>
      <c r="D223" s="636" t="s">
        <v>399</v>
      </c>
      <c r="E223" s="636"/>
      <c r="F223" s="636"/>
      <c r="G223" s="636"/>
      <c r="H223" s="636"/>
      <c r="I223" s="636"/>
      <c r="J223" s="636"/>
      <c r="K223" s="636"/>
      <c r="L223" s="636"/>
      <c r="M223" s="636"/>
      <c r="N223" s="636"/>
      <c r="O223" s="636"/>
      <c r="P223" s="636"/>
      <c r="Q223" s="636"/>
      <c r="R223" s="636"/>
      <c r="S223" s="636"/>
      <c r="T223" s="636"/>
      <c r="V223" s="283"/>
      <c r="W223" s="283"/>
      <c r="X223" s="283"/>
      <c r="Y223" s="283"/>
      <c r="Z223" s="283"/>
    </row>
    <row r="224" spans="1:26" ht="38.25" customHeight="1" x14ac:dyDescent="0.2">
      <c r="C224" s="282"/>
      <c r="D224" s="680" t="s">
        <v>400</v>
      </c>
      <c r="E224" s="685"/>
      <c r="F224" s="685"/>
      <c r="G224" s="685"/>
      <c r="H224" s="685"/>
      <c r="I224" s="685"/>
      <c r="J224" s="685"/>
      <c r="K224" s="685"/>
      <c r="L224" s="685"/>
      <c r="M224" s="685"/>
      <c r="N224" s="685"/>
      <c r="O224" s="685"/>
      <c r="P224" s="685"/>
      <c r="Q224" s="685"/>
      <c r="R224" s="685"/>
      <c r="S224" s="685"/>
      <c r="T224" s="685"/>
      <c r="V224" s="283"/>
      <c r="W224" s="283"/>
      <c r="X224" s="283"/>
      <c r="Y224" s="283"/>
      <c r="Z224" s="283"/>
    </row>
    <row r="225" spans="1:26" ht="12.75" customHeight="1" x14ac:dyDescent="0.2">
      <c r="C225" s="4"/>
      <c r="D225" s="254"/>
      <c r="E225" s="282"/>
      <c r="F225" s="4"/>
      <c r="G225" s="4"/>
      <c r="H225" s="4"/>
      <c r="I225" s="404"/>
      <c r="J225" s="4"/>
      <c r="K225" s="4"/>
      <c r="L225" s="4"/>
      <c r="M225" s="4"/>
      <c r="N225" s="459"/>
      <c r="O225" s="459"/>
      <c r="P225" s="4"/>
      <c r="Q225" s="4"/>
      <c r="R225" s="4"/>
      <c r="S225" s="4"/>
      <c r="T225" s="4"/>
      <c r="V225" s="72"/>
      <c r="W225" s="72"/>
      <c r="X225" s="72"/>
      <c r="Y225" s="72"/>
      <c r="Z225" s="72"/>
    </row>
    <row r="226" spans="1:26" ht="14.45" customHeight="1" x14ac:dyDescent="0.2">
      <c r="C226" s="72"/>
      <c r="D226" s="255"/>
      <c r="E226" s="283"/>
      <c r="F226" s="72"/>
      <c r="G226" s="72"/>
      <c r="H226" s="72"/>
      <c r="I226" s="405"/>
      <c r="J226" s="72"/>
      <c r="K226" s="72"/>
      <c r="L226" s="72"/>
      <c r="M226" s="72"/>
      <c r="N226" s="460"/>
      <c r="O226" s="460"/>
      <c r="P226" s="72"/>
      <c r="Q226" s="72"/>
      <c r="R226" s="72"/>
      <c r="S226" s="72"/>
      <c r="T226" s="72"/>
      <c r="V226" s="72"/>
      <c r="W226" s="72"/>
      <c r="X226" s="72"/>
      <c r="Y226" s="72"/>
      <c r="Z226" s="72"/>
    </row>
    <row r="227" spans="1:26" ht="14.45" customHeight="1" x14ac:dyDescent="0.2">
      <c r="A227" s="3">
        <v>31</v>
      </c>
      <c r="C227" s="3" t="s">
        <v>21</v>
      </c>
      <c r="D227" s="3"/>
      <c r="E227" s="3"/>
    </row>
    <row r="228" spans="1:26" ht="14.45" customHeight="1" x14ac:dyDescent="0.2">
      <c r="A228" s="3"/>
      <c r="C228" s="3"/>
      <c r="D228" s="3"/>
      <c r="E228" s="3"/>
      <c r="L228" s="360"/>
      <c r="M228" s="360"/>
      <c r="N228" s="539" t="s">
        <v>108</v>
      </c>
      <c r="O228" s="543"/>
      <c r="P228" s="543"/>
      <c r="Q228" s="543"/>
      <c r="R228" s="543"/>
      <c r="S228" s="543"/>
      <c r="T228" s="543"/>
    </row>
    <row r="229" spans="1:26" ht="14.45" customHeight="1" x14ac:dyDescent="0.2">
      <c r="C229" s="14"/>
      <c r="D229" s="262"/>
      <c r="E229" s="291"/>
      <c r="F229" s="3"/>
      <c r="G229" s="14"/>
      <c r="H229" s="14"/>
      <c r="I229" s="410"/>
      <c r="J229" s="14"/>
      <c r="K229" s="14"/>
      <c r="L229" s="466"/>
      <c r="M229" s="466"/>
      <c r="N229" s="635" t="s">
        <v>360</v>
      </c>
      <c r="O229" s="635"/>
      <c r="P229" s="635"/>
      <c r="R229" s="635" t="s">
        <v>363</v>
      </c>
      <c r="S229" s="635"/>
      <c r="T229" s="635"/>
    </row>
    <row r="230" spans="1:26" ht="14.45" customHeight="1" x14ac:dyDescent="0.2">
      <c r="C230" s="14"/>
      <c r="D230" s="262"/>
      <c r="E230" s="291"/>
      <c r="F230" s="3"/>
      <c r="G230" s="14"/>
      <c r="H230" s="14"/>
      <c r="I230" s="410"/>
      <c r="J230" s="14"/>
      <c r="K230" s="14"/>
      <c r="L230" s="360"/>
      <c r="M230" s="21"/>
      <c r="N230" s="464" t="s">
        <v>26</v>
      </c>
      <c r="P230" s="464" t="s">
        <v>54</v>
      </c>
      <c r="Q230" s="7"/>
      <c r="R230" s="6" t="s">
        <v>26</v>
      </c>
      <c r="T230" s="6" t="s">
        <v>54</v>
      </c>
    </row>
    <row r="231" spans="1:26" ht="14.45" customHeight="1" x14ac:dyDescent="0.2">
      <c r="C231" s="14"/>
      <c r="D231" s="262"/>
      <c r="E231" s="291"/>
      <c r="F231" s="14"/>
      <c r="G231" s="14"/>
      <c r="H231" s="14"/>
      <c r="I231" s="410"/>
      <c r="J231" s="14"/>
      <c r="K231" s="14"/>
      <c r="L231" s="360"/>
      <c r="M231" s="21"/>
      <c r="N231" s="464" t="s">
        <v>55</v>
      </c>
      <c r="P231" s="464" t="s">
        <v>55</v>
      </c>
      <c r="Q231" s="7"/>
      <c r="R231" s="6" t="s">
        <v>55</v>
      </c>
      <c r="T231" s="6" t="s">
        <v>55</v>
      </c>
    </row>
    <row r="232" spans="1:26" ht="14.45" customHeight="1" x14ac:dyDescent="0.2">
      <c r="C232" s="14"/>
      <c r="D232" s="262"/>
      <c r="E232" s="291"/>
      <c r="F232" s="14"/>
      <c r="G232" s="14"/>
      <c r="H232" s="14"/>
      <c r="I232" s="410"/>
      <c r="J232" s="14"/>
      <c r="K232" s="14"/>
      <c r="L232" s="360"/>
      <c r="M232" s="21"/>
      <c r="N232" s="21"/>
      <c r="O232" s="21"/>
      <c r="P232" s="374"/>
      <c r="Q232" s="7"/>
      <c r="R232" s="6"/>
      <c r="T232" s="154"/>
    </row>
    <row r="233" spans="1:26" ht="14.45" customHeight="1" x14ac:dyDescent="0.2">
      <c r="C233" s="43" t="s">
        <v>121</v>
      </c>
      <c r="D233" s="257"/>
      <c r="E233" s="285"/>
      <c r="F233" s="114" t="s">
        <v>23</v>
      </c>
      <c r="G233" s="14"/>
      <c r="H233" s="14"/>
      <c r="I233" s="410"/>
      <c r="J233" s="14"/>
      <c r="K233" s="14"/>
      <c r="L233" s="134"/>
      <c r="M233" s="21"/>
      <c r="N233" s="21"/>
      <c r="O233" s="21"/>
      <c r="P233" s="21"/>
      <c r="Q233" s="14"/>
      <c r="R233" s="14"/>
    </row>
    <row r="234" spans="1:26" ht="14.45" customHeight="1" x14ac:dyDescent="0.2">
      <c r="C234" s="14"/>
      <c r="D234" s="262"/>
      <c r="E234" s="291"/>
      <c r="F234" s="3"/>
      <c r="G234" s="14"/>
      <c r="H234" s="14"/>
      <c r="I234" s="410"/>
      <c r="J234" s="14"/>
      <c r="K234" s="14"/>
      <c r="L234" s="375"/>
      <c r="M234" s="21"/>
      <c r="N234" s="21"/>
      <c r="O234" s="21"/>
      <c r="P234" s="21"/>
      <c r="Q234" s="14"/>
      <c r="R234" s="164"/>
    </row>
    <row r="235" spans="1:26" s="36" customFormat="1" ht="27.75" customHeight="1" thickBot="1" x14ac:dyDescent="0.25">
      <c r="C235" s="45"/>
      <c r="D235" s="45"/>
      <c r="E235" s="45"/>
      <c r="F235" s="621" t="s">
        <v>330</v>
      </c>
      <c r="G235" s="674"/>
      <c r="H235" s="674"/>
      <c r="I235" s="674"/>
      <c r="J235" s="674"/>
      <c r="K235" s="133"/>
      <c r="L235" s="6" t="s">
        <v>3</v>
      </c>
      <c r="M235" s="87"/>
      <c r="N235" s="116">
        <f>PL!H42</f>
        <v>37376</v>
      </c>
      <c r="O235" s="87"/>
      <c r="P235" s="116">
        <f>PL!J42</f>
        <v>104393</v>
      </c>
      <c r="Q235" s="147"/>
      <c r="R235" s="116">
        <f>PL!L42</f>
        <v>63107</v>
      </c>
      <c r="S235" s="87"/>
      <c r="T235" s="116">
        <f>PL!N42</f>
        <v>156554</v>
      </c>
    </row>
    <row r="236" spans="1:26" ht="14.45" customHeight="1" x14ac:dyDescent="0.2">
      <c r="C236" s="14"/>
      <c r="D236" s="262"/>
      <c r="E236" s="291"/>
      <c r="G236" s="14"/>
      <c r="H236" s="14"/>
      <c r="I236" s="410"/>
      <c r="K236" s="134"/>
      <c r="L236" s="43"/>
      <c r="M236" s="29"/>
      <c r="N236" s="148"/>
      <c r="O236" s="29"/>
      <c r="P236" s="148"/>
      <c r="Q236" s="149"/>
      <c r="R236" s="148"/>
      <c r="S236" s="29"/>
      <c r="T236" s="148"/>
    </row>
    <row r="237" spans="1:26" ht="30.75" customHeight="1" thickBot="1" x14ac:dyDescent="0.25">
      <c r="C237" s="14"/>
      <c r="D237" s="262"/>
      <c r="E237" s="291"/>
      <c r="F237" s="621" t="s">
        <v>53</v>
      </c>
      <c r="G237" s="620"/>
      <c r="H237" s="674"/>
      <c r="I237" s="674"/>
      <c r="J237" s="674"/>
      <c r="K237" s="133"/>
      <c r="L237" s="117" t="s">
        <v>22</v>
      </c>
      <c r="M237" s="30"/>
      <c r="N237" s="156">
        <f>Equity!B34*2</f>
        <v>880512</v>
      </c>
      <c r="O237" s="30"/>
      <c r="P237" s="156">
        <f>T237</f>
        <v>728356</v>
      </c>
      <c r="Q237" s="150"/>
      <c r="R237" s="156">
        <f>BS!D56</f>
        <v>880512</v>
      </c>
      <c r="S237" s="30"/>
      <c r="T237" s="156">
        <v>728356</v>
      </c>
    </row>
    <row r="238" spans="1:26" ht="8.25" customHeight="1" x14ac:dyDescent="0.2">
      <c r="C238" s="14"/>
      <c r="D238" s="262"/>
      <c r="E238" s="291"/>
      <c r="F238" s="9"/>
      <c r="G238" s="9"/>
      <c r="H238" s="14"/>
      <c r="I238" s="410"/>
      <c r="K238" s="133"/>
      <c r="L238" s="117"/>
      <c r="M238" s="30"/>
      <c r="N238" s="24"/>
      <c r="O238" s="30"/>
      <c r="P238" s="24"/>
      <c r="Q238" s="115"/>
      <c r="R238" s="24"/>
      <c r="S238" s="30"/>
      <c r="T238" s="24"/>
    </row>
    <row r="239" spans="1:26" s="36" customFormat="1" ht="19.5" customHeight="1" thickBot="1" x14ac:dyDescent="0.25">
      <c r="C239" s="45"/>
      <c r="D239" s="45"/>
      <c r="E239" s="45"/>
      <c r="F239" s="36" t="s">
        <v>23</v>
      </c>
      <c r="G239" s="45"/>
      <c r="H239" s="45"/>
      <c r="I239" s="45"/>
      <c r="K239" s="136"/>
      <c r="L239" s="118" t="s">
        <v>24</v>
      </c>
      <c r="M239" s="145"/>
      <c r="N239" s="144">
        <f>+N235/N237*100</f>
        <v>4.2448030236953045</v>
      </c>
      <c r="O239" s="145"/>
      <c r="P239" s="144">
        <f>+P235/P237*100</f>
        <v>14.332688959794387</v>
      </c>
      <c r="Q239" s="146"/>
      <c r="R239" s="144">
        <f>+R235/R237*100</f>
        <v>7.1670800625090862</v>
      </c>
      <c r="S239" s="145"/>
      <c r="T239" s="144">
        <f>+T235/T237*100</f>
        <v>21.494159449499968</v>
      </c>
    </row>
    <row r="240" spans="1:26" ht="11.25" customHeight="1" x14ac:dyDescent="0.2">
      <c r="C240" s="14"/>
      <c r="D240" s="262"/>
      <c r="E240" s="291"/>
      <c r="F240" s="9"/>
      <c r="G240" s="9"/>
      <c r="H240" s="14"/>
      <c r="I240" s="410"/>
      <c r="K240" s="133"/>
      <c r="L240" s="135"/>
      <c r="M240" s="30"/>
      <c r="N240" s="24"/>
      <c r="O240" s="30"/>
      <c r="P240" s="24"/>
      <c r="Q240" s="115"/>
      <c r="R240" s="24"/>
      <c r="S240" s="30"/>
      <c r="T240" s="24"/>
    </row>
    <row r="241" spans="1:26" ht="14.45" customHeight="1" x14ac:dyDescent="0.2">
      <c r="C241" s="43" t="s">
        <v>122</v>
      </c>
      <c r="D241" s="257"/>
      <c r="E241" s="285"/>
      <c r="F241" s="114" t="s">
        <v>59</v>
      </c>
      <c r="G241" s="14"/>
      <c r="H241" s="14"/>
      <c r="I241" s="410"/>
      <c r="K241" s="14"/>
      <c r="L241" s="14"/>
      <c r="M241" s="21"/>
      <c r="N241" s="468"/>
      <c r="O241" s="21"/>
      <c r="P241" s="468"/>
      <c r="Q241" s="14"/>
      <c r="R241" s="14"/>
    </row>
    <row r="242" spans="1:26" ht="14.45" customHeight="1" x14ac:dyDescent="0.2">
      <c r="C242" s="14"/>
      <c r="D242" s="262"/>
      <c r="E242" s="291"/>
      <c r="F242" s="3"/>
      <c r="G242" s="14"/>
      <c r="H242" s="14"/>
      <c r="I242" s="410"/>
      <c r="K242" s="14"/>
      <c r="L242" s="14"/>
      <c r="M242" s="21"/>
      <c r="N242" s="468"/>
      <c r="O242" s="21"/>
      <c r="P242" s="468"/>
      <c r="Q242" s="14"/>
      <c r="R242" s="14"/>
    </row>
    <row r="243" spans="1:26" s="36" customFormat="1" ht="27.75" customHeight="1" thickBot="1" x14ac:dyDescent="0.25">
      <c r="C243" s="45"/>
      <c r="D243" s="45"/>
      <c r="E243" s="45"/>
      <c r="F243" s="621" t="s">
        <v>330</v>
      </c>
      <c r="G243" s="674"/>
      <c r="H243" s="674"/>
      <c r="I243" s="674"/>
      <c r="J243" s="674"/>
      <c r="K243" s="133"/>
      <c r="L243" s="6" t="s">
        <v>3</v>
      </c>
      <c r="M243" s="87"/>
      <c r="N243" s="116">
        <f>N235</f>
        <v>37376</v>
      </c>
      <c r="O243" s="87"/>
      <c r="P243" s="116">
        <f>P235</f>
        <v>104393</v>
      </c>
      <c r="Q243" s="147"/>
      <c r="R243" s="116">
        <f>R235</f>
        <v>63107</v>
      </c>
      <c r="S243" s="87"/>
      <c r="T243" s="116">
        <f>T235</f>
        <v>156554</v>
      </c>
    </row>
    <row r="244" spans="1:26" ht="14.45" customHeight="1" x14ac:dyDescent="0.2">
      <c r="C244" s="14"/>
      <c r="D244" s="262"/>
      <c r="E244" s="291"/>
      <c r="G244" s="14"/>
      <c r="H244" s="14"/>
      <c r="I244" s="410"/>
      <c r="K244" s="134"/>
      <c r="L244" s="43"/>
      <c r="M244" s="29"/>
      <c r="N244" s="148"/>
      <c r="O244" s="29"/>
      <c r="P244" s="148"/>
      <c r="Q244" s="149"/>
      <c r="R244" s="148"/>
      <c r="S244" s="29"/>
      <c r="T244" s="148"/>
    </row>
    <row r="245" spans="1:26" ht="30.75" customHeight="1" x14ac:dyDescent="0.2">
      <c r="C245" s="14"/>
      <c r="D245" s="262"/>
      <c r="E245" s="291"/>
      <c r="F245" s="621" t="s">
        <v>53</v>
      </c>
      <c r="G245" s="620"/>
      <c r="H245" s="674"/>
      <c r="I245" s="674"/>
      <c r="J245" s="674"/>
      <c r="K245" s="133"/>
      <c r="L245" s="117" t="s">
        <v>22</v>
      </c>
      <c r="M245" s="30"/>
      <c r="N245" s="181">
        <f>N237</f>
        <v>880512</v>
      </c>
      <c r="O245" s="30"/>
      <c r="P245" s="181">
        <f>P237</f>
        <v>728356</v>
      </c>
      <c r="Q245" s="150"/>
      <c r="R245" s="24">
        <f>R237</f>
        <v>880512</v>
      </c>
      <c r="S245" s="30"/>
      <c r="T245" s="24">
        <f>T237</f>
        <v>728356</v>
      </c>
    </row>
    <row r="246" spans="1:26" ht="29.25" customHeight="1" x14ac:dyDescent="0.2">
      <c r="C246" s="14"/>
      <c r="D246" s="262"/>
      <c r="E246" s="291"/>
      <c r="F246" s="621" t="s">
        <v>167</v>
      </c>
      <c r="G246" s="620"/>
      <c r="H246" s="674"/>
      <c r="I246" s="674"/>
      <c r="J246" s="674"/>
      <c r="K246" s="133"/>
      <c r="L246" s="117" t="s">
        <v>22</v>
      </c>
      <c r="M246" s="30"/>
      <c r="N246" s="24">
        <f>R246</f>
        <v>31827</v>
      </c>
      <c r="O246" s="30"/>
      <c r="P246" s="24">
        <f>T246</f>
        <v>14621</v>
      </c>
      <c r="Q246" s="150"/>
      <c r="R246" s="24">
        <v>31827</v>
      </c>
      <c r="S246" s="30"/>
      <c r="T246" s="24">
        <v>14621</v>
      </c>
      <c r="W246" s="2">
        <v>20296</v>
      </c>
      <c r="X246" s="2" t="s">
        <v>331</v>
      </c>
    </row>
    <row r="247" spans="1:26" ht="30.75" customHeight="1" thickBot="1" x14ac:dyDescent="0.25">
      <c r="C247" s="14"/>
      <c r="D247" s="262"/>
      <c r="E247" s="291"/>
      <c r="F247" s="621" t="s">
        <v>144</v>
      </c>
      <c r="G247" s="620"/>
      <c r="H247" s="674"/>
      <c r="I247" s="674"/>
      <c r="J247" s="674"/>
      <c r="K247" s="133"/>
      <c r="L247" s="117" t="s">
        <v>22</v>
      </c>
      <c r="M247" s="30"/>
      <c r="N247" s="158">
        <f>SUM(N245:N246)</f>
        <v>912339</v>
      </c>
      <c r="O247" s="30"/>
      <c r="P247" s="158">
        <f>SUM(P245:P246)</f>
        <v>742977</v>
      </c>
      <c r="Q247" s="150"/>
      <c r="R247" s="158">
        <f>SUM(R245:R246)</f>
        <v>912339</v>
      </c>
      <c r="S247" s="30"/>
      <c r="T247" s="158">
        <f>SUM(T245:T246)</f>
        <v>742977</v>
      </c>
      <c r="W247" s="2">
        <f>-2787-1659</f>
        <v>-4446</v>
      </c>
      <c r="X247" s="2" t="s">
        <v>336</v>
      </c>
    </row>
    <row r="248" spans="1:26" ht="15" customHeight="1" thickTop="1" x14ac:dyDescent="0.2">
      <c r="C248" s="14"/>
      <c r="D248" s="262"/>
      <c r="E248" s="291"/>
      <c r="F248" s="9"/>
      <c r="G248" s="9"/>
      <c r="H248" s="14"/>
      <c r="I248" s="410"/>
      <c r="K248" s="133"/>
      <c r="L248" s="117"/>
      <c r="M248" s="30"/>
      <c r="N248" s="24"/>
      <c r="O248" s="30"/>
      <c r="P248" s="24"/>
      <c r="Q248" s="115"/>
      <c r="R248" s="24"/>
      <c r="S248" s="30"/>
      <c r="T248" s="24"/>
      <c r="W248" s="2">
        <v>-489</v>
      </c>
      <c r="X248" s="2" t="s">
        <v>333</v>
      </c>
    </row>
    <row r="249" spans="1:26" s="36" customFormat="1" ht="19.5" customHeight="1" thickBot="1" x14ac:dyDescent="0.25">
      <c r="C249" s="45"/>
      <c r="D249" s="45"/>
      <c r="E249" s="45"/>
      <c r="F249" s="36" t="s">
        <v>59</v>
      </c>
      <c r="G249" s="45"/>
      <c r="H249" s="45"/>
      <c r="I249" s="45"/>
      <c r="K249" s="136"/>
      <c r="L249" s="118" t="s">
        <v>24</v>
      </c>
      <c r="M249" s="145"/>
      <c r="N249" s="180">
        <f>+N243/N247*100</f>
        <v>4.0967228190398526</v>
      </c>
      <c r="O249" s="145"/>
      <c r="P249" s="180">
        <f>+P243/P247*100</f>
        <v>14.050636829942245</v>
      </c>
      <c r="Q249" s="146"/>
      <c r="R249" s="180">
        <f>+R243/R247*100</f>
        <v>6.9170560504373926</v>
      </c>
      <c r="S249" s="145"/>
      <c r="T249" s="159">
        <f>+T243/T247*100</f>
        <v>21.071177169683583</v>
      </c>
      <c r="W249" s="2">
        <v>3404</v>
      </c>
      <c r="X249" s="2" t="s">
        <v>332</v>
      </c>
      <c r="Y249" s="2"/>
      <c r="Z249" s="2"/>
    </row>
    <row r="250" spans="1:26" s="36" customFormat="1" ht="19.5" customHeight="1" thickBot="1" x14ac:dyDescent="0.25">
      <c r="C250" s="45"/>
      <c r="D250" s="45"/>
      <c r="E250" s="45"/>
      <c r="G250" s="45"/>
      <c r="H250" s="45"/>
      <c r="I250" s="45"/>
      <c r="K250" s="136"/>
      <c r="L250" s="155"/>
      <c r="M250" s="145"/>
      <c r="N250" s="145"/>
      <c r="O250" s="145"/>
      <c r="P250" s="118"/>
      <c r="Q250" s="146"/>
      <c r="R250" s="165"/>
      <c r="S250" s="145"/>
      <c r="T250" s="155"/>
      <c r="W250" s="524">
        <f>SUM(W246:W249)</f>
        <v>18765</v>
      </c>
    </row>
    <row r="251" spans="1:26" s="36" customFormat="1" ht="19.5" customHeight="1" thickTop="1" x14ac:dyDescent="0.2">
      <c r="C251" s="45"/>
      <c r="D251" s="45"/>
      <c r="E251" s="45"/>
      <c r="G251" s="45"/>
      <c r="H251" s="45"/>
      <c r="I251" s="45"/>
      <c r="K251" s="136"/>
      <c r="L251" s="155"/>
      <c r="M251" s="145"/>
      <c r="N251" s="145"/>
      <c r="O251" s="145"/>
      <c r="P251" s="118"/>
      <c r="Q251" s="146"/>
      <c r="R251" s="155"/>
      <c r="S251" s="145"/>
      <c r="T251" s="155"/>
    </row>
    <row r="252" spans="1:26" ht="14.45" customHeight="1" x14ac:dyDescent="0.2">
      <c r="F252" s="4"/>
      <c r="G252" s="4"/>
      <c r="H252" s="4"/>
      <c r="I252" s="404"/>
      <c r="J252" s="4"/>
      <c r="K252" s="4"/>
      <c r="L252" s="4"/>
      <c r="M252" s="4"/>
      <c r="N252" s="459"/>
      <c r="O252" s="459"/>
      <c r="P252" s="4"/>
      <c r="Q252" s="4"/>
      <c r="R252" s="4"/>
      <c r="S252" s="4"/>
      <c r="T252" s="4"/>
      <c r="W252" s="36"/>
      <c r="X252" s="36"/>
      <c r="Y252" s="36"/>
      <c r="Z252" s="36"/>
    </row>
    <row r="253" spans="1:26" ht="14.45" customHeight="1" x14ac:dyDescent="0.2">
      <c r="A253" s="3">
        <v>31</v>
      </c>
      <c r="C253" s="3" t="s">
        <v>49</v>
      </c>
      <c r="D253" s="3"/>
      <c r="E253" s="3"/>
      <c r="F253" s="4"/>
      <c r="G253" s="4"/>
      <c r="H253" s="4"/>
      <c r="I253" s="404"/>
      <c r="J253" s="4"/>
      <c r="K253" s="4"/>
      <c r="L253" s="4"/>
      <c r="M253" s="4"/>
      <c r="N253" s="459"/>
      <c r="O253" s="459"/>
      <c r="P253" s="4"/>
      <c r="Q253" s="4"/>
      <c r="R253" s="4"/>
      <c r="S253" s="4"/>
      <c r="T253" s="4"/>
    </row>
    <row r="254" spans="1:26" ht="14.45" customHeight="1" x14ac:dyDescent="0.2">
      <c r="F254" s="4"/>
      <c r="G254" s="4"/>
      <c r="H254" s="4"/>
      <c r="I254" s="404"/>
      <c r="J254" s="4"/>
      <c r="K254" s="4"/>
      <c r="L254" s="4"/>
      <c r="M254" s="4"/>
      <c r="N254" s="459"/>
      <c r="O254" s="459"/>
      <c r="P254" s="4"/>
      <c r="Q254" s="4"/>
      <c r="R254" s="4"/>
      <c r="S254" s="4"/>
      <c r="T254" s="4"/>
    </row>
    <row r="255" spans="1:26" ht="30" customHeight="1" x14ac:dyDescent="0.2">
      <c r="C255" s="636" t="s">
        <v>458</v>
      </c>
      <c r="D255" s="636"/>
      <c r="E255" s="636"/>
      <c r="F255" s="636"/>
      <c r="G255" s="636"/>
      <c r="H255" s="636"/>
      <c r="I255" s="636"/>
      <c r="J255" s="636"/>
      <c r="K255" s="636"/>
      <c r="L255" s="636"/>
      <c r="M255" s="636"/>
      <c r="N255" s="636"/>
      <c r="O255" s="636"/>
      <c r="P255" s="636"/>
      <c r="Q255" s="636"/>
      <c r="R255" s="636"/>
      <c r="S255" s="636"/>
      <c r="T255" s="636"/>
    </row>
    <row r="256" spans="1:26" ht="14.45" customHeight="1" x14ac:dyDescent="0.2">
      <c r="J256" s="46"/>
      <c r="K256" s="21"/>
      <c r="L256" s="22"/>
      <c r="M256" s="21"/>
      <c r="N256" s="21"/>
      <c r="O256" s="21"/>
      <c r="P256" s="29"/>
      <c r="Q256" s="21"/>
      <c r="R256" s="22"/>
      <c r="S256" s="29"/>
      <c r="T256" s="29"/>
      <c r="U256" s="21"/>
    </row>
    <row r="258" spans="1:18" ht="14.45" customHeight="1" x14ac:dyDescent="0.2">
      <c r="R258" s="47" t="s">
        <v>6</v>
      </c>
    </row>
    <row r="259" spans="1:18" ht="14.45" customHeight="1" x14ac:dyDescent="0.2">
      <c r="R259" s="47" t="s">
        <v>41</v>
      </c>
    </row>
    <row r="260" spans="1:18" ht="14.45" customHeight="1" x14ac:dyDescent="0.2">
      <c r="A260" s="3"/>
      <c r="B260" s="3"/>
      <c r="R260" s="3" t="s">
        <v>42</v>
      </c>
    </row>
    <row r="261" spans="1:18" ht="14.45" customHeight="1" x14ac:dyDescent="0.2">
      <c r="C261" s="3"/>
      <c r="D261" s="3"/>
      <c r="E261" s="3"/>
      <c r="R261" s="3" t="s">
        <v>15</v>
      </c>
    </row>
    <row r="262" spans="1:18" ht="14.45" customHeight="1" x14ac:dyDescent="0.2">
      <c r="A262" s="3" t="s">
        <v>16</v>
      </c>
      <c r="C262" s="3"/>
      <c r="D262" s="3"/>
      <c r="E262" s="3"/>
      <c r="R262" s="3"/>
    </row>
    <row r="263" spans="1:18" ht="14.45" customHeight="1" x14ac:dyDescent="0.2">
      <c r="A263" s="20" t="s">
        <v>457</v>
      </c>
    </row>
  </sheetData>
  <mergeCells count="132">
    <mergeCell ref="C255:T255"/>
    <mergeCell ref="R229:T229"/>
    <mergeCell ref="C146:T146"/>
    <mergeCell ref="C193:T193"/>
    <mergeCell ref="D223:T223"/>
    <mergeCell ref="D221:T221"/>
    <mergeCell ref="D222:T222"/>
    <mergeCell ref="D206:T206"/>
    <mergeCell ref="D204:T204"/>
    <mergeCell ref="D197:U197"/>
    <mergeCell ref="D199:T199"/>
    <mergeCell ref="F245:J245"/>
    <mergeCell ref="F246:J246"/>
    <mergeCell ref="F247:J247"/>
    <mergeCell ref="F243:J243"/>
    <mergeCell ref="F237:J237"/>
    <mergeCell ref="D200:T200"/>
    <mergeCell ref="F235:J235"/>
    <mergeCell ref="C179:E179"/>
    <mergeCell ref="C180:E180"/>
    <mergeCell ref="C181:E181"/>
    <mergeCell ref="V197:Z197"/>
    <mergeCell ref="V144:AC144"/>
    <mergeCell ref="V193:X193"/>
    <mergeCell ref="C137:T137"/>
    <mergeCell ref="V139:AC139"/>
    <mergeCell ref="V131:AC131"/>
    <mergeCell ref="V135:AC135"/>
    <mergeCell ref="F136:T136"/>
    <mergeCell ref="C174:E174"/>
    <mergeCell ref="C175:E175"/>
    <mergeCell ref="C176:E176"/>
    <mergeCell ref="C177:E177"/>
    <mergeCell ref="C178:E178"/>
    <mergeCell ref="C183:F183"/>
    <mergeCell ref="C184:F184"/>
    <mergeCell ref="C185:F185"/>
    <mergeCell ref="C186:F186"/>
    <mergeCell ref="C187:F187"/>
    <mergeCell ref="W99:Z99"/>
    <mergeCell ref="V133:AA133"/>
    <mergeCell ref="C133:T133"/>
    <mergeCell ref="C129:T129"/>
    <mergeCell ref="C128:T128"/>
    <mergeCell ref="C141:T141"/>
    <mergeCell ref="C135:T135"/>
    <mergeCell ref="C112:T112"/>
    <mergeCell ref="R99:T99"/>
    <mergeCell ref="C105:G105"/>
    <mergeCell ref="V54:Z54"/>
    <mergeCell ref="C54:T54"/>
    <mergeCell ref="G30:J30"/>
    <mergeCell ref="G38:J38"/>
    <mergeCell ref="R28:T28"/>
    <mergeCell ref="G31:J31"/>
    <mergeCell ref="G39:J39"/>
    <mergeCell ref="G32:J32"/>
    <mergeCell ref="N28:P28"/>
    <mergeCell ref="N35:P35"/>
    <mergeCell ref="E51:T51"/>
    <mergeCell ref="E52:T52"/>
    <mergeCell ref="E45:T45"/>
    <mergeCell ref="E53:T53"/>
    <mergeCell ref="D49:T49"/>
    <mergeCell ref="A1:T2"/>
    <mergeCell ref="C110:T110"/>
    <mergeCell ref="G37:J37"/>
    <mergeCell ref="C95:T95"/>
    <mergeCell ref="C93:T93"/>
    <mergeCell ref="C106:F106"/>
    <mergeCell ref="C107:G107"/>
    <mergeCell ref="C104:F104"/>
    <mergeCell ref="C80:T80"/>
    <mergeCell ref="R35:T35"/>
    <mergeCell ref="N99:P99"/>
    <mergeCell ref="R64:T64"/>
    <mergeCell ref="C67:F67"/>
    <mergeCell ref="G67:J67"/>
    <mergeCell ref="C65:G65"/>
    <mergeCell ref="D9:T9"/>
    <mergeCell ref="D26:T26"/>
    <mergeCell ref="D41:I41"/>
    <mergeCell ref="D44:T44"/>
    <mergeCell ref="D47:T47"/>
    <mergeCell ref="E50:T50"/>
    <mergeCell ref="N11:P11"/>
    <mergeCell ref="R11:T11"/>
    <mergeCell ref="C56:T56"/>
    <mergeCell ref="G13:J13"/>
    <mergeCell ref="G14:J14"/>
    <mergeCell ref="G15:J15"/>
    <mergeCell ref="N18:P18"/>
    <mergeCell ref="R18:T18"/>
    <mergeCell ref="G20:J20"/>
    <mergeCell ref="G21:J21"/>
    <mergeCell ref="G22:J22"/>
    <mergeCell ref="D202:T202"/>
    <mergeCell ref="C78:T78"/>
    <mergeCell ref="C68:F68"/>
    <mergeCell ref="G68:J68"/>
    <mergeCell ref="C58:F58"/>
    <mergeCell ref="C59:F59"/>
    <mergeCell ref="G59:J59"/>
    <mergeCell ref="C60:F60"/>
    <mergeCell ref="C182:F182"/>
    <mergeCell ref="D91:T91"/>
    <mergeCell ref="C66:F66"/>
    <mergeCell ref="G60:J60"/>
    <mergeCell ref="C61:F61"/>
    <mergeCell ref="G61:J61"/>
    <mergeCell ref="D88:T88"/>
    <mergeCell ref="R57:T57"/>
    <mergeCell ref="G66:J66"/>
    <mergeCell ref="D90:T90"/>
    <mergeCell ref="D83:T83"/>
    <mergeCell ref="N229:P229"/>
    <mergeCell ref="E209:T209"/>
    <mergeCell ref="D218:T218"/>
    <mergeCell ref="D198:T198"/>
    <mergeCell ref="D207:T207"/>
    <mergeCell ref="F210:T210"/>
    <mergeCell ref="F211:T211"/>
    <mergeCell ref="F212:T212"/>
    <mergeCell ref="F213:T213"/>
    <mergeCell ref="F214:T214"/>
    <mergeCell ref="F215:T215"/>
    <mergeCell ref="E216:T216"/>
    <mergeCell ref="E217:T217"/>
    <mergeCell ref="D219:T219"/>
    <mergeCell ref="D220:T220"/>
    <mergeCell ref="D224:T224"/>
    <mergeCell ref="D85:T85"/>
  </mergeCells>
  <phoneticPr fontId="0" type="noConversion"/>
  <printOptions horizontalCentered="1"/>
  <pageMargins left="0.19685039370078741" right="0.15748031496062992" top="0.31496062992125984" bottom="0.23622047244094491" header="0.19685039370078741" footer="0.15748031496062992"/>
  <pageSetup paperSize="9" scale="74" fitToHeight="4" orientation="portrait" r:id="rId1"/>
  <headerFooter alignWithMargins="0">
    <oddHeader>&amp;C( &amp;P+11)</oddHeader>
  </headerFooter>
  <rowBreaks count="5" manualBreakCount="5">
    <brk id="53" max="19" man="1"/>
    <brk id="91" max="19" man="1"/>
    <brk id="142" max="19" man="1"/>
    <brk id="193" max="17" man="1"/>
    <brk id="22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PL</vt:lpstr>
      <vt:lpstr>BS</vt:lpstr>
      <vt:lpstr>Equity</vt:lpstr>
      <vt:lpstr>Cashflow</vt:lpstr>
      <vt:lpstr>Notes(Pursuant to FRS 134</vt:lpstr>
      <vt:lpstr>Notes (Pursuant to Bursa Malay)</vt:lpstr>
      <vt:lpstr>Sheet1</vt:lpstr>
      <vt:lpstr>BS!Print_Area</vt:lpstr>
      <vt:lpstr>Cashflow!Print_Area</vt:lpstr>
      <vt:lpstr>Equity!Print_Area</vt:lpstr>
      <vt:lpstr>'Notes (Pursuant to Bursa Malay)'!Print_Area</vt:lpstr>
      <vt:lpstr>'Notes(Pursuant to FRS 134'!Print_Area</vt:lpstr>
      <vt:lpstr>PL!Print_Area</vt:lpstr>
      <vt:lpstr>BS!Print_Titles</vt:lpstr>
    </vt:vector>
  </TitlesOfParts>
  <Company>IOI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IOI Corporation Sdn Bhd</dc:creator>
  <cp:lastModifiedBy> </cp:lastModifiedBy>
  <cp:lastPrinted>2014-02-26T01:08:35Z</cp:lastPrinted>
  <dcterms:created xsi:type="dcterms:W3CDTF">1999-02-13T02:20:00Z</dcterms:created>
  <dcterms:modified xsi:type="dcterms:W3CDTF">2014-02-26T03:26:44Z</dcterms:modified>
</cp:coreProperties>
</file>