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5" activeTab="3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equity'!$A$1:$K$73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<sst xmlns="http://schemas.openxmlformats.org/spreadsheetml/2006/main" count="191" uniqueCount="156">
  <si>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</si>
  <si>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</si>
  <si>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</si>
  <si>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</si>
  <si>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</si>
  <si>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</si>
  <si>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</si>
  <si>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</si>
  <si>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</si>
  <si>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</si>
  <si>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</si>
  <si>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</si>
  <si>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</si>
  <si>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</si>
  <si>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</si>
  <si>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</si>
  <si>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</si>
  <si>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</si>
  <si>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</si>
  <si>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</si>
  <si>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</si>
  <si>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</si>
  <si>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</si>
  <si>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</si>
  <si>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</si>
  <si>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</si>
  <si>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</si>
  <si>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</si>
  <si>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</si>
  <si>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Minority Interest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</si>
  <si>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</si>
  <si>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</si>
  <si>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</si>
  <si>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</si>
  <si>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</si>
  <si>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</si>
  <si>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</si>
  <si>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 xml:space="preserve">CONDENSED CONSOLIDATED CASH FLOW STATEMENT 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</si>
  <si>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</si>
  <si>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</si>
  <si>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</si>
  <si>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</si>
  <si>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</si>
  <si>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</si>
  <si>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</si>
  <si>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</si>
  <si>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</si>
  <si>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</si>
  <si>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</si>
  <si>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</si>
  <si>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</si>
  <si>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</si>
  <si>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</si>
  <si>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</si>
  <si>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</si>
  <si>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</si>
  <si>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</si>
  <si>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</si>
  <si>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</si>
  <si>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</si>
  <si>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</si>
  <si>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</si>
  <si>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</si>
  <si>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</si>
  <si>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</si>
  <si>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</si>
  <si>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</si>
  <si>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</si>
  <si>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</si>
  <si>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</si>
  <si>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</si>
  <si>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</si>
  <si>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</si>
  <si>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</si>
  <si>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</si>
  <si>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</si>
  <si>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</si>
  <si>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</si>
  <si>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</si>
  <si>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</si>
  <si>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</si>
  <si>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</si>
  <si>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</si>
  <si>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</si>
  <si>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</si>
  <si>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</si>
  <si>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Net profit/(loss) during the period</t>
  </si>
  <si>
    <t>Dividend paid</t>
  </si>
  <si>
    <t>Treasury</t>
  </si>
  <si>
    <t>Translation differences in foreign subsidiary</t>
  </si>
  <si>
    <t>Attributable to :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</si>
  <si>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</si>
  <si>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</si>
  <si>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</si>
  <si>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</si>
  <si>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</si>
  <si>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Prepaid Lease Payments</t>
  </si>
  <si>
    <t>Net assets per share (RM)</t>
  </si>
  <si>
    <t>Profit From Operations</t>
  </si>
  <si>
    <t>Profit/(Loss) Before Tax</t>
  </si>
  <si>
    <t>Profit/(Loss) After Tax</t>
  </si>
  <si>
    <t>Proceeds from disposal of available for sales investments</t>
  </si>
  <si>
    <t>Balance at beginning of year 2006</t>
  </si>
  <si>
    <t>As previously stated</t>
  </si>
  <si>
    <t>As restated</t>
  </si>
  <si>
    <t>Fair Value</t>
  </si>
  <si>
    <t>Reserve</t>
  </si>
  <si>
    <t>Transfer from fair value reserve to profit &amp; loss</t>
  </si>
  <si>
    <t>Balance at end of period 2006</t>
  </si>
  <si>
    <t>Unrealised gain on valuation of available for sales investment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</si>
  <si>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</si>
  <si>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</si>
  <si>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</si>
  <si>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</si>
  <si>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</si>
  <si>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</si>
  <si>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</si>
  <si>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Minority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</si>
  <si>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</si>
  <si>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</si>
  <si>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</si>
  <si>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</si>
  <si>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</si>
  <si>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</si>
  <si>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</si>
  <si>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</si>
  <si>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Effect on adopting FRS 3</t>
  </si>
  <si>
    <t>Effect on adopting FRS 139</t>
  </si>
  <si>
    <t>TOTAL LIABILITIES</t>
  </si>
  <si>
    <t>31.12.2006</t>
  </si>
  <si>
    <t>Investment Poperties</t>
  </si>
  <si>
    <t>Deferred Tax Liabilities</t>
  </si>
  <si>
    <t>the year ended 31 December 2006)</t>
  </si>
  <si>
    <t>for the year ended 31 December 2006)</t>
  </si>
  <si>
    <t>Balance at end of period 2007</t>
  </si>
  <si>
    <t>Balance at beginning of year 2007</t>
  </si>
  <si>
    <t>Unrealised gain/(loss) on valuation of available for sales investment</t>
  </si>
  <si>
    <t>with the Annual Financial Report for the year ended 31 December 2006)</t>
  </si>
  <si>
    <t>Intangible Assets</t>
  </si>
  <si>
    <t>Receivables</t>
  </si>
  <si>
    <t>Marketable Securities Held for Trading</t>
  </si>
  <si>
    <t>Payables</t>
  </si>
  <si>
    <t>Purchase of available for sales investments</t>
  </si>
  <si>
    <t>Acquisition of additional shares in a subsidiary</t>
  </si>
  <si>
    <t>Distribution of treasury shares</t>
  </si>
  <si>
    <t>Quarterly report on consolidated results for the financial quarter ended 31 December 2007</t>
  </si>
  <si>
    <t>CONDENSED CONSOLIDATED INCOME STATEMENT FOR THE QUARTER ENDED 31 DECEMBER 2007</t>
  </si>
  <si>
    <t>CONDENSED CONSOLIDATED BALANCE SHEETS AS AT 31 DECEMBER 2007</t>
  </si>
  <si>
    <t>FOR THE PERIOD ENDED 31 DECEMBER 2007</t>
  </si>
  <si>
    <t>FOR THE PERIOD ENDED 31 DECEMBER  2007</t>
  </si>
  <si>
    <t>12 months</t>
  </si>
  <si>
    <t>Placement of fixed deposits</t>
  </si>
  <si>
    <t>31.12.2007</t>
  </si>
  <si>
    <t>12 months ended 31 December 2006</t>
  </si>
  <si>
    <t>12 months ended 31 December 2007</t>
  </si>
  <si>
    <t>Purchase of shares in a subsidiary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</si>
</sst>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&quot;RM&quot;* #,##0.00_ ;_ &quot;RM&quot;* \-#,##0.00_ ;_ &quot;RM&quot;* &quot;-&quot;??_ ;_ @_ "/>
    <numFmt numFmtId="178" formatCode="_(* #,##0.0_);_(* \(#,##0.0\);_(* &quot;-&quot;??_);_(@_)"/>
    <numFmt numFmtId="179" formatCode="_(* #,##0_);_(* \(#,##0\);_(* &quot;-&quot;??_);_(@_)"/>
    <numFmt numFmtId="180" formatCode="_ * #,##0.0_ ;_ * \-#,##0.0_ ;_ * &quot;-&quot;?_ ;_ @_ 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_);_(* \(#,##0.00000\);_(* &quot;-&quot;?????_);_(@_)"/>
    <numFmt numFmtId="185" formatCode="#,##0.0"/>
    <numFmt numFmtId="186" formatCode="#,##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179" fontId="1" fillId="0" borderId="0" xfId="15" applyNumberFormat="1" applyFont="1" applyBorder="1" applyAlignment="1">
      <alignment horizontal="centerContinuous"/>
    </xf>
    <xf numFmtId="179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9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9" fontId="0" fillId="0" borderId="7" xfId="15" applyNumberFormat="1" applyBorder="1" applyAlignment="1">
      <alignment/>
    </xf>
    <xf numFmtId="179" fontId="0" fillId="0" borderId="8" xfId="15" applyNumberFormat="1" applyBorder="1" applyAlignment="1">
      <alignment/>
    </xf>
    <xf numFmtId="179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9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9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9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9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9" fontId="0" fillId="0" borderId="7" xfId="0" applyNumberFormat="1" applyFill="1" applyBorder="1" applyAlignment="1">
      <alignment/>
    </xf>
    <xf numFmtId="179" fontId="0" fillId="0" borderId="11" xfId="15" applyNumberFormat="1" applyFill="1" applyBorder="1" applyAlignment="1">
      <alignment/>
    </xf>
    <xf numFmtId="179" fontId="0" fillId="0" borderId="12" xfId="15" applyNumberFormat="1" applyFill="1" applyBorder="1" applyAlignment="1">
      <alignment/>
    </xf>
    <xf numFmtId="171" fontId="0" fillId="0" borderId="7" xfId="15" applyNumberFormat="1" applyFill="1" applyBorder="1" applyAlignment="1">
      <alignment/>
    </xf>
    <xf numFmtId="179" fontId="0" fillId="0" borderId="2" xfId="15" applyNumberFormat="1" applyFont="1" applyFill="1" applyBorder="1" applyAlignment="1">
      <alignment/>
    </xf>
    <xf numFmtId="171" fontId="0" fillId="0" borderId="2" xfId="15" applyNumberFormat="1" applyFont="1" applyFill="1" applyBorder="1" applyAlignment="1">
      <alignment/>
    </xf>
    <xf numFmtId="179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179" fontId="0" fillId="0" borderId="13" xfId="15" applyNumberFormat="1" applyFill="1" applyBorder="1" applyAlignment="1">
      <alignment/>
    </xf>
    <xf numFmtId="179" fontId="0" fillId="0" borderId="13" xfId="15" applyNumberFormat="1" applyFont="1" applyFill="1" applyBorder="1" applyAlignment="1">
      <alignment/>
    </xf>
    <xf numFmtId="179" fontId="1" fillId="0" borderId="0" xfId="15" applyNumberFormat="1" applyFont="1" applyFill="1" applyBorder="1" applyAlignment="1">
      <alignment/>
    </xf>
    <xf numFmtId="179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9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9" fontId="0" fillId="0" borderId="10" xfId="15" applyNumberFormat="1" applyFill="1" applyBorder="1" applyAlignment="1">
      <alignment/>
    </xf>
    <xf numFmtId="179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14" xfId="15" applyNumberFormat="1" applyFont="1" applyFill="1" applyBorder="1" applyAlignment="1">
      <alignment/>
    </xf>
    <xf numFmtId="179" fontId="0" fillId="0" borderId="15" xfId="15" applyNumberFormat="1" applyFont="1" applyFill="1" applyBorder="1" applyAlignment="1">
      <alignment/>
    </xf>
    <xf numFmtId="179" fontId="0" fillId="0" borderId="0" xfId="15" applyNumberFormat="1" applyFont="1" applyFill="1" applyBorder="1" applyAlignment="1">
      <alignment/>
    </xf>
    <xf numFmtId="179" fontId="0" fillId="0" borderId="10" xfId="15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179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9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9" fontId="0" fillId="0" borderId="16" xfId="0" applyNumberFormat="1" applyFill="1" applyBorder="1" applyAlignment="1">
      <alignment/>
    </xf>
    <xf numFmtId="179" fontId="0" fillId="0" borderId="17" xfId="15" applyNumberFormat="1" applyFill="1" applyBorder="1" applyAlignment="1">
      <alignment/>
    </xf>
    <xf numFmtId="179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9" fontId="0" fillId="0" borderId="1" xfId="15" applyNumberFormat="1" applyBorder="1" applyAlignment="1">
      <alignment/>
    </xf>
    <xf numFmtId="171" fontId="0" fillId="0" borderId="1" xfId="15" applyNumberFormat="1" applyFill="1" applyBorder="1" applyAlignment="1">
      <alignment/>
    </xf>
    <xf numFmtId="171" fontId="0" fillId="0" borderId="1" xfId="15" applyNumberFormat="1" applyBorder="1" applyAlignment="1">
      <alignment/>
    </xf>
    <xf numFmtId="179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9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9" fontId="0" fillId="0" borderId="2" xfId="0" applyNumberFormat="1" applyFill="1" applyBorder="1" applyAlignment="1">
      <alignment/>
    </xf>
    <xf numFmtId="179" fontId="0" fillId="0" borderId="29" xfId="15" applyNumberFormat="1" applyFill="1" applyBorder="1" applyAlignment="1">
      <alignment/>
    </xf>
    <xf numFmtId="179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9" fontId="0" fillId="0" borderId="32" xfId="15" applyNumberFormat="1" applyBorder="1" applyAlignment="1">
      <alignment/>
    </xf>
    <xf numFmtId="171" fontId="0" fillId="0" borderId="32" xfId="15" applyNumberFormat="1" applyFill="1" applyBorder="1" applyAlignment="1">
      <alignment/>
    </xf>
    <xf numFmtId="171" fontId="0" fillId="0" borderId="32" xfId="15" applyNumberFormat="1" applyBorder="1" applyAlignment="1">
      <alignment/>
    </xf>
    <xf numFmtId="179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9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9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9" fontId="0" fillId="0" borderId="32" xfId="0" applyNumberFormat="1" applyFill="1" applyBorder="1" applyAlignment="1">
      <alignment/>
    </xf>
    <xf numFmtId="179" fontId="0" fillId="0" borderId="35" xfId="15" applyNumberFormat="1" applyFill="1" applyBorder="1" applyAlignment="1">
      <alignment/>
    </xf>
    <xf numFmtId="179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9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179" fontId="0" fillId="0" borderId="14" xfId="15" applyNumberFormat="1" applyFill="1" applyBorder="1" applyAlignment="1">
      <alignment/>
    </xf>
    <xf numFmtId="171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9" fontId="1" fillId="0" borderId="0" xfId="15" applyNumberFormat="1" applyFont="1" applyFill="1" applyAlignment="1">
      <alignment/>
    </xf>
    <xf numFmtId="179" fontId="1" fillId="0" borderId="14" xfId="15" applyNumberFormat="1" applyFont="1" applyFill="1" applyBorder="1" applyAlignment="1">
      <alignment/>
    </xf>
    <xf numFmtId="179" fontId="1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79" fontId="1" fillId="0" borderId="10" xfId="15" applyNumberFormat="1" applyFont="1" applyFill="1" applyBorder="1" applyAlignment="1">
      <alignment/>
    </xf>
    <xf numFmtId="179" fontId="0" fillId="0" borderId="38" xfId="15" applyNumberFormat="1" applyFill="1" applyBorder="1" applyAlignment="1">
      <alignment/>
    </xf>
    <xf numFmtId="179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9" fontId="1" fillId="0" borderId="39" xfId="15" applyNumberFormat="1" applyFont="1" applyFill="1" applyBorder="1" applyAlignment="1">
      <alignment/>
    </xf>
    <xf numFmtId="179" fontId="1" fillId="0" borderId="15" xfId="15" applyNumberFormat="1" applyFont="1" applyFill="1" applyBorder="1" applyAlignment="1">
      <alignment/>
    </xf>
    <xf numFmtId="179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6" fontId="0" fillId="0" borderId="0" xfId="15" applyNumberFormat="1" applyAlignment="1">
      <alignment/>
    </xf>
    <xf numFmtId="179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9" fontId="0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="75" zoomScaleNormal="75" zoomScaleSheetLayoutView="75" workbookViewId="0" topLeftCell="A15">
      <selection activeCell="H43" sqref="H43"/>
    </sheetView>
  </sheetViews>
  <sheetFormatPr defaultColWidth="9.140625" defaultRowHeight="12.75"/>
  <cols>
    <col min="1" max="1" width="3.8515625" style="0" customWidth="1"/>
    <col min="2" max="2" width="11.57421875" style="0" customWidth="1"/>
    <col min="5" max="5" width="7.5742187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145</v>
      </c>
    </row>
    <row r="9" ht="12.75">
      <c r="A9" t="s">
        <v>20</v>
      </c>
    </row>
    <row r="11" ht="15.75">
      <c r="A11" s="1" t="s">
        <v>146</v>
      </c>
    </row>
    <row r="12" ht="13.5" thickBot="1"/>
    <row r="13" spans="6:9" ht="15">
      <c r="F13" s="17" t="s">
        <v>3</v>
      </c>
      <c r="G13" s="18"/>
      <c r="H13" s="19" t="s">
        <v>4</v>
      </c>
      <c r="I13" s="20"/>
    </row>
    <row r="14" spans="6:9" ht="12.75">
      <c r="F14" s="81" t="s">
        <v>5</v>
      </c>
      <c r="G14" s="73" t="s">
        <v>6</v>
      </c>
      <c r="H14" s="89" t="s">
        <v>5</v>
      </c>
      <c r="I14" s="85" t="s">
        <v>6</v>
      </c>
    </row>
    <row r="15" spans="6:9" ht="12.75">
      <c r="F15" s="82" t="s">
        <v>7</v>
      </c>
      <c r="G15" s="74" t="s">
        <v>23</v>
      </c>
      <c r="H15" s="90" t="s">
        <v>7</v>
      </c>
      <c r="I15" s="86" t="s">
        <v>23</v>
      </c>
    </row>
    <row r="16" spans="6:9" ht="12.75">
      <c r="F16" s="82" t="s">
        <v>8</v>
      </c>
      <c r="G16" s="74" t="s">
        <v>8</v>
      </c>
      <c r="H16" s="90" t="s">
        <v>9</v>
      </c>
      <c r="I16" s="86" t="s">
        <v>10</v>
      </c>
    </row>
    <row r="17" spans="6:9" ht="12.75">
      <c r="F17" s="111">
        <v>39447</v>
      </c>
      <c r="G17" s="75">
        <v>39082</v>
      </c>
      <c r="H17" s="83">
        <f>F17</f>
        <v>39447</v>
      </c>
      <c r="I17" s="87">
        <f>G17</f>
        <v>39082</v>
      </c>
    </row>
    <row r="18" spans="6:9" ht="13.5" thickBot="1">
      <c r="F18" s="84" t="s">
        <v>11</v>
      </c>
      <c r="G18" s="76" t="s">
        <v>11</v>
      </c>
      <c r="H18" s="91" t="s">
        <v>11</v>
      </c>
      <c r="I18" s="88" t="s">
        <v>11</v>
      </c>
    </row>
    <row r="19" spans="6:9" ht="13.5" thickTop="1">
      <c r="F19" s="21"/>
      <c r="G19" s="6"/>
      <c r="H19" s="103"/>
      <c r="I19" s="98"/>
    </row>
    <row r="20" spans="2:9" ht="12.75">
      <c r="B20" s="25" t="s">
        <v>21</v>
      </c>
      <c r="F20" s="37">
        <f>H20-125808</f>
        <v>43828</v>
      </c>
      <c r="G20" s="66">
        <f>I20-50440</f>
        <v>24090</v>
      </c>
      <c r="H20" s="45">
        <v>169636</v>
      </c>
      <c r="I20" s="104">
        <v>74530</v>
      </c>
    </row>
    <row r="21" spans="2:9" ht="12.75">
      <c r="B21" s="25"/>
      <c r="F21" s="38"/>
      <c r="G21" s="67"/>
      <c r="H21" s="92"/>
      <c r="I21" s="105"/>
    </row>
    <row r="22" spans="2:9" ht="12.75">
      <c r="B22" s="25" t="s">
        <v>25</v>
      </c>
      <c r="F22" s="39">
        <f>H22-(-106271)</f>
        <v>-50356</v>
      </c>
      <c r="G22" s="68">
        <f>I22+45792</f>
        <v>-19826</v>
      </c>
      <c r="H22" s="93">
        <f>-118971-38310-1632-H28</f>
        <v>-156627</v>
      </c>
      <c r="I22" s="106">
        <f>-46449-20345-990-I28</f>
        <v>-65618</v>
      </c>
    </row>
    <row r="23" spans="2:9" ht="12.75">
      <c r="B23" s="25"/>
      <c r="F23" s="41"/>
      <c r="G23" s="70"/>
      <c r="H23" s="92"/>
      <c r="I23" s="105"/>
    </row>
    <row r="24" spans="2:9" ht="12.75">
      <c r="B24" s="25" t="s">
        <v>24</v>
      </c>
      <c r="F24" s="39">
        <f>H24-5497</f>
        <v>2082</v>
      </c>
      <c r="G24" s="68">
        <f>I24-2263</f>
        <v>1970</v>
      </c>
      <c r="H24" s="93">
        <f>3694+3885</f>
        <v>7579</v>
      </c>
      <c r="I24" s="106">
        <v>4233</v>
      </c>
    </row>
    <row r="25" spans="2:9" ht="12.75">
      <c r="B25" s="25"/>
      <c r="F25" s="40"/>
      <c r="G25" s="69"/>
      <c r="H25" s="94"/>
      <c r="I25" s="107"/>
    </row>
    <row r="26" spans="2:9" ht="12.75">
      <c r="B26" s="25" t="s">
        <v>98</v>
      </c>
      <c r="F26" s="41">
        <f>SUM(F20:F24)</f>
        <v>-4446</v>
      </c>
      <c r="G26" s="70">
        <f>SUM(G20:G24)</f>
        <v>6234</v>
      </c>
      <c r="H26" s="95">
        <f>SUM(H20:H24)</f>
        <v>20588</v>
      </c>
      <c r="I26" s="108">
        <f>SUM(I20:I24)</f>
        <v>13145</v>
      </c>
    </row>
    <row r="27" spans="2:9" ht="12.75">
      <c r="B27" s="25"/>
      <c r="F27" s="38"/>
      <c r="G27" s="67"/>
      <c r="H27" s="92"/>
      <c r="I27" s="105"/>
    </row>
    <row r="28" spans="2:9" ht="12.75">
      <c r="B28" s="25" t="s">
        <v>27</v>
      </c>
      <c r="F28" s="39">
        <f>H28--1480</f>
        <v>-806</v>
      </c>
      <c r="G28" s="68">
        <f>I28+1378</f>
        <v>-788</v>
      </c>
      <c r="H28" s="93">
        <v>-2286</v>
      </c>
      <c r="I28" s="106">
        <v>-2166</v>
      </c>
    </row>
    <row r="29" spans="2:9" ht="12.75">
      <c r="B29" s="25"/>
      <c r="F29" s="39"/>
      <c r="G29" s="68"/>
      <c r="H29" s="93"/>
      <c r="I29" s="106"/>
    </row>
    <row r="30" spans="2:9" ht="12.75">
      <c r="B30" s="25" t="s">
        <v>26</v>
      </c>
      <c r="F30" s="39">
        <f>H30--2894</f>
        <v>19399</v>
      </c>
      <c r="G30" s="68">
        <f>I30-5034</f>
        <v>0</v>
      </c>
      <c r="H30" s="93">
        <v>16505</v>
      </c>
      <c r="I30" s="106">
        <v>5034</v>
      </c>
    </row>
    <row r="31" spans="2:9" ht="12.75">
      <c r="B31" s="25"/>
      <c r="F31" s="42"/>
      <c r="G31" s="71"/>
      <c r="H31" s="96"/>
      <c r="I31" s="109"/>
    </row>
    <row r="32" spans="2:9" ht="12.75">
      <c r="B32" s="25" t="s">
        <v>99</v>
      </c>
      <c r="F32" s="39">
        <f>SUM(F26:F30)</f>
        <v>14147</v>
      </c>
      <c r="G32" s="68">
        <f>SUM(G26:G30)</f>
        <v>5446</v>
      </c>
      <c r="H32" s="93">
        <f>SUM(H26:H30)</f>
        <v>34807</v>
      </c>
      <c r="I32" s="106">
        <f>SUM(I26:I30)</f>
        <v>16013</v>
      </c>
    </row>
    <row r="33" spans="2:9" ht="12.75">
      <c r="B33" s="25"/>
      <c r="F33" s="39"/>
      <c r="G33" s="68"/>
      <c r="H33" s="93"/>
      <c r="I33" s="106"/>
    </row>
    <row r="34" spans="2:9" ht="12.75">
      <c r="B34" s="25" t="s">
        <v>28</v>
      </c>
      <c r="F34" s="39">
        <f>H34--5312</f>
        <v>2118</v>
      </c>
      <c r="G34" s="68">
        <f>I34+1174</f>
        <v>-1886</v>
      </c>
      <c r="H34" s="93">
        <v>-3194</v>
      </c>
      <c r="I34" s="106">
        <v>-3060</v>
      </c>
    </row>
    <row r="35" spans="2:9" ht="12.75">
      <c r="B35" s="25"/>
      <c r="F35" s="42"/>
      <c r="G35" s="71"/>
      <c r="H35" s="96"/>
      <c r="I35" s="109"/>
    </row>
    <row r="36" spans="2:9" ht="13.5" thickBot="1">
      <c r="B36" s="25" t="s">
        <v>100</v>
      </c>
      <c r="F36" s="43">
        <f>SUM(F32:F34)</f>
        <v>16265</v>
      </c>
      <c r="G36" s="72">
        <f>SUM(G32:G34)</f>
        <v>3560</v>
      </c>
      <c r="H36" s="97">
        <f>SUM(H32:H34)</f>
        <v>31613</v>
      </c>
      <c r="I36" s="110">
        <f>SUM(I32:I34)</f>
        <v>12953</v>
      </c>
    </row>
    <row r="37" spans="2:9" ht="13.5" thickTop="1">
      <c r="B37" s="25"/>
      <c r="F37" s="39"/>
      <c r="G37" s="68"/>
      <c r="H37" s="93"/>
      <c r="I37" s="106"/>
    </row>
    <row r="38" spans="2:9" ht="12.75">
      <c r="B38" s="25" t="s">
        <v>90</v>
      </c>
      <c r="F38" s="39"/>
      <c r="G38" s="68"/>
      <c r="H38" s="93"/>
      <c r="I38" s="106"/>
    </row>
    <row r="39" spans="2:9" ht="12.75">
      <c r="B39" s="25"/>
      <c r="F39" s="39"/>
      <c r="G39" s="68"/>
      <c r="H39" s="93"/>
      <c r="I39" s="106"/>
    </row>
    <row r="40" spans="2:9" ht="12.75">
      <c r="B40" s="25" t="s">
        <v>91</v>
      </c>
      <c r="F40" s="39">
        <f>H40-11578</f>
        <v>25142</v>
      </c>
      <c r="G40" s="68">
        <f>I40-7118</f>
        <v>2885</v>
      </c>
      <c r="H40" s="93">
        <v>36720</v>
      </c>
      <c r="I40" s="106">
        <v>10003</v>
      </c>
    </row>
    <row r="41" spans="2:9" ht="12.75">
      <c r="B41" s="25"/>
      <c r="F41" s="39"/>
      <c r="G41" s="68"/>
      <c r="H41" s="93"/>
      <c r="I41" s="106"/>
    </row>
    <row r="42" spans="2:9" ht="12.75">
      <c r="B42" s="25" t="s">
        <v>29</v>
      </c>
      <c r="F42" s="39">
        <f>F44-F40</f>
        <v>-8877</v>
      </c>
      <c r="G42" s="68">
        <f>G44-G40</f>
        <v>675</v>
      </c>
      <c r="H42" s="93">
        <f>H44-H40</f>
        <v>-5107</v>
      </c>
      <c r="I42" s="106">
        <f>I44-I40</f>
        <v>2950</v>
      </c>
    </row>
    <row r="43" spans="2:9" ht="12.75">
      <c r="B43" s="25"/>
      <c r="F43" s="39"/>
      <c r="G43" s="68"/>
      <c r="H43" s="93"/>
      <c r="I43" s="106"/>
    </row>
    <row r="44" spans="2:9" ht="13.5" thickBot="1">
      <c r="B44" s="25"/>
      <c r="F44" s="43">
        <f>F36</f>
        <v>16265</v>
      </c>
      <c r="G44" s="72">
        <f>G36</f>
        <v>3560</v>
      </c>
      <c r="H44" s="97">
        <f>H36</f>
        <v>31613</v>
      </c>
      <c r="I44" s="110">
        <f>I36</f>
        <v>12953</v>
      </c>
    </row>
    <row r="45" spans="2:9" ht="13.5" thickTop="1">
      <c r="B45" s="25"/>
      <c r="F45" s="39"/>
      <c r="G45" s="77"/>
      <c r="H45" s="45"/>
      <c r="I45" s="99"/>
    </row>
    <row r="46" spans="2:9" ht="12.75" customHeight="1">
      <c r="B46" s="25"/>
      <c r="F46" s="39"/>
      <c r="G46" s="77"/>
      <c r="H46" s="45"/>
      <c r="I46" s="99"/>
    </row>
    <row r="47" spans="2:9" ht="12.75" customHeight="1">
      <c r="B47" s="25" t="s">
        <v>62</v>
      </c>
      <c r="C47" s="25" t="s">
        <v>30</v>
      </c>
      <c r="F47" s="44">
        <f>F40/213546*100</f>
        <v>11.773575716707407</v>
      </c>
      <c r="G47" s="78">
        <f>G40/209635*100</f>
        <v>1.3762014930712905</v>
      </c>
      <c r="H47" s="46">
        <f>H40/213546*100</f>
        <v>17.195358377117813</v>
      </c>
      <c r="I47" s="100">
        <f>I40/209635*100</f>
        <v>4.77162687528323</v>
      </c>
    </row>
    <row r="48" spans="3:9" ht="12.75">
      <c r="C48" s="25" t="s">
        <v>31</v>
      </c>
      <c r="F48" s="44">
        <v>0</v>
      </c>
      <c r="G48" s="79">
        <v>0</v>
      </c>
      <c r="H48" s="46">
        <v>0</v>
      </c>
      <c r="I48" s="101">
        <v>0</v>
      </c>
    </row>
    <row r="49" spans="6:9" ht="12.75">
      <c r="F49" s="22"/>
      <c r="G49" s="77"/>
      <c r="H49" s="16"/>
      <c r="I49" s="99"/>
    </row>
    <row r="50" spans="6:9" ht="13.5" thickBot="1">
      <c r="F50" s="23"/>
      <c r="G50" s="80"/>
      <c r="H50" s="24"/>
      <c r="I50" s="102"/>
    </row>
    <row r="54" ht="12.75">
      <c r="B54" s="34" t="s">
        <v>32</v>
      </c>
    </row>
    <row r="55" ht="12.75">
      <c r="B55" s="35" t="s">
        <v>132</v>
      </c>
    </row>
  </sheetData>
  <printOptions/>
  <pageMargins left="0.75" right="0.75" top="1" bottom="1" header="0" footer="0"/>
  <pageSetup fitToHeight="1" fitToWidth="1" horizontalDpi="600" verticalDpi="600" orientation="portrait" paperSize="9" scale="70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75" zoomScaleNormal="75" workbookViewId="0" topLeftCell="A1">
      <selection activeCell="M22" sqref="M22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.75">
      <c r="A1" s="8" t="s">
        <v>12</v>
      </c>
      <c r="H1" s="116" t="s">
        <v>92</v>
      </c>
    </row>
    <row r="2" ht="15.75">
      <c r="A2" s="1" t="s">
        <v>147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13" t="s">
        <v>152</v>
      </c>
      <c r="I5" s="4"/>
      <c r="J5" s="4"/>
      <c r="K5" s="13" t="s">
        <v>129</v>
      </c>
      <c r="L5" s="4"/>
    </row>
    <row r="6" spans="7:12" ht="12.75">
      <c r="G6" s="4"/>
      <c r="H6" s="13"/>
      <c r="I6" s="4"/>
      <c r="J6" s="4"/>
      <c r="K6" s="113"/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118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119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33</v>
      </c>
      <c r="G12" s="4"/>
      <c r="H12" s="128">
        <v>19614</v>
      </c>
      <c r="I12" s="4"/>
      <c r="J12" s="4"/>
      <c r="K12" s="134">
        <v>22655</v>
      </c>
      <c r="L12" s="4"/>
    </row>
    <row r="13" spans="1:12" ht="12.75">
      <c r="A13" s="2"/>
      <c r="C13" s="29" t="s">
        <v>130</v>
      </c>
      <c r="G13" s="4"/>
      <c r="H13" s="129">
        <v>22824</v>
      </c>
      <c r="I13" s="4"/>
      <c r="J13" s="4"/>
      <c r="K13" s="137">
        <v>22827</v>
      </c>
      <c r="L13" s="4"/>
    </row>
    <row r="14" spans="1:12" ht="12.75">
      <c r="A14" s="2"/>
      <c r="C14" s="29" t="s">
        <v>96</v>
      </c>
      <c r="G14" s="4"/>
      <c r="H14" s="130">
        <v>129</v>
      </c>
      <c r="I14" s="4"/>
      <c r="J14" s="4"/>
      <c r="K14" s="50">
        <v>131</v>
      </c>
      <c r="L14" s="4"/>
    </row>
    <row r="15" spans="1:12" ht="12.75">
      <c r="A15" s="2"/>
      <c r="C15" s="29" t="s">
        <v>138</v>
      </c>
      <c r="G15" s="4"/>
      <c r="H15" s="130">
        <v>0</v>
      </c>
      <c r="I15" s="4"/>
      <c r="J15" s="4"/>
      <c r="K15" s="50">
        <v>133</v>
      </c>
      <c r="L15" s="4"/>
    </row>
    <row r="16" spans="1:12" ht="12.75">
      <c r="A16" s="2"/>
      <c r="C16" s="29" t="s">
        <v>93</v>
      </c>
      <c r="G16" s="4"/>
      <c r="H16" s="130">
        <v>38139</v>
      </c>
      <c r="I16" s="4"/>
      <c r="J16" s="4"/>
      <c r="K16" s="50">
        <v>43481</v>
      </c>
      <c r="L16" s="4"/>
    </row>
    <row r="17" spans="3:12" ht="12.75">
      <c r="C17" s="29" t="s">
        <v>81</v>
      </c>
      <c r="G17" s="4"/>
      <c r="H17" s="138">
        <v>171</v>
      </c>
      <c r="I17" s="4"/>
      <c r="J17" s="4"/>
      <c r="K17" s="124">
        <v>844</v>
      </c>
      <c r="L17" s="4"/>
    </row>
    <row r="18" spans="2:12" ht="12.75">
      <c r="B18" s="25"/>
      <c r="G18" s="4"/>
      <c r="H18" s="135">
        <f>SUM(H12:H17)</f>
        <v>80877</v>
      </c>
      <c r="I18" s="4"/>
      <c r="J18" s="4"/>
      <c r="K18" s="135">
        <f>SUM(K12:K17)</f>
        <v>90071</v>
      </c>
      <c r="L18" s="4"/>
    </row>
    <row r="19" spans="2:12" ht="12.75">
      <c r="B19" s="25"/>
      <c r="G19" s="4"/>
      <c r="H19" s="48"/>
      <c r="I19" s="4"/>
      <c r="J19" s="4"/>
      <c r="K19" s="48"/>
      <c r="L19" s="4"/>
    </row>
    <row r="20" spans="1:11" ht="12.75">
      <c r="A20" s="2"/>
      <c r="B20" s="25" t="s">
        <v>14</v>
      </c>
      <c r="H20"/>
      <c r="K20"/>
    </row>
    <row r="21" spans="3:12" ht="12.75">
      <c r="C21" s="29" t="s">
        <v>140</v>
      </c>
      <c r="G21" s="4"/>
      <c r="H21" s="123">
        <v>7180</v>
      </c>
      <c r="I21" s="4"/>
      <c r="J21" s="4"/>
      <c r="K21" s="123">
        <f>5759+950</f>
        <v>6709</v>
      </c>
      <c r="L21" s="4"/>
    </row>
    <row r="22" spans="3:12" ht="12.75">
      <c r="C22" s="29" t="s">
        <v>139</v>
      </c>
      <c r="G22" s="4"/>
      <c r="H22" s="50">
        <f>106051+13707+128172+98241+1861</f>
        <v>348032</v>
      </c>
      <c r="I22" s="4"/>
      <c r="J22" s="4"/>
      <c r="K22" s="50">
        <f>101928+10322+120405+3469+542</f>
        <v>236666</v>
      </c>
      <c r="L22" s="4"/>
    </row>
    <row r="23" spans="3:12" ht="12.75">
      <c r="C23" s="29" t="s">
        <v>94</v>
      </c>
      <c r="G23" s="4"/>
      <c r="H23" s="50">
        <v>291</v>
      </c>
      <c r="I23" s="4"/>
      <c r="J23" s="4"/>
      <c r="K23" s="50">
        <v>7445</v>
      </c>
      <c r="L23" s="4"/>
    </row>
    <row r="24" spans="3:12" ht="12.75">
      <c r="C24" s="29" t="s">
        <v>124</v>
      </c>
      <c r="G24" s="4"/>
      <c r="H24" s="50">
        <v>51136</v>
      </c>
      <c r="I24" s="4"/>
      <c r="J24" s="4"/>
      <c r="K24" s="50">
        <v>27296</v>
      </c>
      <c r="L24" s="4"/>
    </row>
    <row r="25" spans="7:12" ht="12.75">
      <c r="G25" s="4"/>
      <c r="H25" s="49"/>
      <c r="I25" s="4"/>
      <c r="J25" s="4"/>
      <c r="K25" s="49"/>
      <c r="L25" s="4"/>
    </row>
    <row r="26" spans="7:12" ht="12.75">
      <c r="G26" s="4"/>
      <c r="H26" s="127">
        <f>SUM(H21:H24)</f>
        <v>406639</v>
      </c>
      <c r="I26" s="4"/>
      <c r="J26" s="4"/>
      <c r="K26" s="127">
        <f>SUM(K21:K24)</f>
        <v>278116</v>
      </c>
      <c r="L26" s="4"/>
    </row>
    <row r="27" spans="7:13" ht="12.75">
      <c r="G27" s="4"/>
      <c r="H27" s="4"/>
      <c r="I27" s="4"/>
      <c r="J27" s="4"/>
      <c r="K27" s="4"/>
      <c r="L27" s="4"/>
      <c r="M27" s="4"/>
    </row>
    <row r="28" spans="2:13" ht="13.5" thickBot="1">
      <c r="B28" s="25" t="s">
        <v>120</v>
      </c>
      <c r="G28" s="4"/>
      <c r="H28" s="125">
        <f>H26+H18</f>
        <v>487516</v>
      </c>
      <c r="I28" s="4"/>
      <c r="J28" s="4"/>
      <c r="K28" s="126">
        <f>K26+K18</f>
        <v>368187</v>
      </c>
      <c r="L28" s="4"/>
      <c r="M28" s="4"/>
    </row>
    <row r="29" spans="7:12" ht="13.5" thickTop="1">
      <c r="G29" s="4"/>
      <c r="H29" s="48"/>
      <c r="I29" s="4"/>
      <c r="J29" s="4"/>
      <c r="K29" s="48"/>
      <c r="L29" s="4"/>
    </row>
    <row r="30" spans="7:12" ht="12.75">
      <c r="G30" s="4"/>
      <c r="H30" s="48"/>
      <c r="I30" s="4"/>
      <c r="J30" s="4"/>
      <c r="K30" s="48"/>
      <c r="L30" s="4"/>
    </row>
    <row r="31" spans="2:12" ht="12.75">
      <c r="B31" s="25" t="s">
        <v>121</v>
      </c>
      <c r="G31" s="4"/>
      <c r="H31" s="52"/>
      <c r="I31" s="4"/>
      <c r="J31" s="4"/>
      <c r="K31" s="52"/>
      <c r="L31" s="4"/>
    </row>
    <row r="32" spans="2:12" ht="12.75">
      <c r="B32" s="25" t="s">
        <v>113</v>
      </c>
      <c r="G32" s="4"/>
      <c r="H32" s="48"/>
      <c r="I32" s="4"/>
      <c r="J32" s="4"/>
      <c r="K32" s="48"/>
      <c r="L32" s="4"/>
    </row>
    <row r="33" spans="3:12" ht="12.75">
      <c r="C33" s="29" t="s">
        <v>16</v>
      </c>
      <c r="G33" s="4"/>
      <c r="H33" s="128">
        <v>213563.324</v>
      </c>
      <c r="I33" s="4"/>
      <c r="J33" s="4"/>
      <c r="K33" s="128">
        <v>213563.324</v>
      </c>
      <c r="L33" s="4"/>
    </row>
    <row r="34" spans="3:12" ht="12.75">
      <c r="C34" s="29" t="s">
        <v>17</v>
      </c>
      <c r="G34" s="4"/>
      <c r="H34" s="129">
        <f>63018-H35</f>
        <v>63027</v>
      </c>
      <c r="I34" s="4"/>
      <c r="J34" s="4"/>
      <c r="K34" s="129">
        <f>46279+1844</f>
        <v>48123</v>
      </c>
      <c r="L34" s="4"/>
    </row>
    <row r="35" spans="3:12" ht="12.75">
      <c r="C35" s="29" t="s">
        <v>110</v>
      </c>
      <c r="G35" s="4"/>
      <c r="H35" s="130">
        <v>-9</v>
      </c>
      <c r="I35" s="4"/>
      <c r="J35" s="4"/>
      <c r="K35" s="130">
        <v>-1843</v>
      </c>
      <c r="L35" s="4"/>
    </row>
    <row r="36" spans="7:12" ht="12.75">
      <c r="G36" s="4"/>
      <c r="H36" s="131">
        <f>SUM(H33:H35)</f>
        <v>276581.324</v>
      </c>
      <c r="I36" s="4"/>
      <c r="J36" s="4"/>
      <c r="K36" s="131">
        <f>SUM(K33:K35)</f>
        <v>259843.324</v>
      </c>
      <c r="L36" s="4"/>
    </row>
    <row r="37" spans="1:12" ht="12.75">
      <c r="A37" s="2"/>
      <c r="B37" s="25" t="s">
        <v>19</v>
      </c>
      <c r="G37" s="4"/>
      <c r="H37" s="124">
        <v>893</v>
      </c>
      <c r="I37" s="4"/>
      <c r="J37" s="4"/>
      <c r="K37" s="124">
        <v>37903</v>
      </c>
      <c r="L37" s="4"/>
    </row>
    <row r="38" spans="1:12" ht="12.75">
      <c r="A38" s="2"/>
      <c r="B38" s="25" t="s">
        <v>122</v>
      </c>
      <c r="G38" s="4"/>
      <c r="H38" s="132">
        <f>H37+H36</f>
        <v>277474.324</v>
      </c>
      <c r="I38" s="4"/>
      <c r="J38" s="4"/>
      <c r="K38" s="132">
        <f>K37+K36</f>
        <v>297746.324</v>
      </c>
      <c r="L38" s="4"/>
    </row>
    <row r="39" spans="1:12" ht="12.75">
      <c r="A39" s="2"/>
      <c r="G39" s="4"/>
      <c r="H39" s="47"/>
      <c r="I39" s="4"/>
      <c r="J39" s="4"/>
      <c r="K39" s="47"/>
      <c r="L39" s="4"/>
    </row>
    <row r="40" spans="1:12" ht="12.75">
      <c r="A40" s="2"/>
      <c r="B40" s="25" t="s">
        <v>125</v>
      </c>
      <c r="G40" s="4"/>
      <c r="H40" s="47"/>
      <c r="I40" s="4"/>
      <c r="J40" s="4"/>
      <c r="K40" s="47"/>
      <c r="L40" s="4"/>
    </row>
    <row r="41" spans="1:12" ht="12.75">
      <c r="A41" s="2"/>
      <c r="C41" s="29" t="s">
        <v>22</v>
      </c>
      <c r="G41" s="4"/>
      <c r="H41" s="123">
        <v>7288</v>
      </c>
      <c r="I41" s="4"/>
      <c r="J41" s="4"/>
      <c r="K41" s="123">
        <v>9044</v>
      </c>
      <c r="L41" s="4"/>
    </row>
    <row r="42" spans="1:12" ht="12.75">
      <c r="A42" s="2"/>
      <c r="C42" s="29" t="s">
        <v>131</v>
      </c>
      <c r="G42" s="4"/>
      <c r="H42" s="124">
        <v>421</v>
      </c>
      <c r="I42" s="4"/>
      <c r="J42" s="4"/>
      <c r="K42" s="124">
        <v>383</v>
      </c>
      <c r="L42" s="4"/>
    </row>
    <row r="43" spans="1:12" ht="12.75">
      <c r="A43" s="2"/>
      <c r="B43" s="25"/>
      <c r="G43" s="4"/>
      <c r="H43" s="124">
        <f>SUM(H41:H42)</f>
        <v>7709</v>
      </c>
      <c r="I43" s="4"/>
      <c r="J43" s="4"/>
      <c r="K43" s="124">
        <f>SUM(K41:K42)</f>
        <v>9427</v>
      </c>
      <c r="L43" s="4"/>
    </row>
    <row r="44" spans="1:12" ht="12.75">
      <c r="A44" s="2"/>
      <c r="B44" s="25"/>
      <c r="G44" s="4"/>
      <c r="H44" s="47"/>
      <c r="I44" s="4"/>
      <c r="J44" s="4"/>
      <c r="K44" s="47"/>
      <c r="L44" s="4"/>
    </row>
    <row r="45" spans="1:13" ht="12.75">
      <c r="A45" s="2"/>
      <c r="B45" s="25" t="s">
        <v>15</v>
      </c>
      <c r="G45" s="4"/>
      <c r="H45" s="4"/>
      <c r="I45" s="4"/>
      <c r="J45" s="4"/>
      <c r="K45" s="4"/>
      <c r="L45" s="4"/>
      <c r="M45" s="4"/>
    </row>
    <row r="46" spans="3:12" ht="12.75">
      <c r="C46" s="29" t="s">
        <v>141</v>
      </c>
      <c r="G46" s="4"/>
      <c r="H46" s="123">
        <f>120830+56704+12334</f>
        <v>189868</v>
      </c>
      <c r="I46" s="4"/>
      <c r="J46" s="4"/>
      <c r="K46" s="123">
        <f>32065+5592+10547</f>
        <v>48204</v>
      </c>
      <c r="L46" s="4"/>
    </row>
    <row r="47" spans="3:12" ht="12.75">
      <c r="C47" s="29" t="s">
        <v>95</v>
      </c>
      <c r="G47" s="4"/>
      <c r="H47" s="51">
        <v>12452</v>
      </c>
      <c r="I47" s="4"/>
      <c r="J47" s="4"/>
      <c r="K47" s="51">
        <v>12782</v>
      </c>
      <c r="L47" s="4"/>
    </row>
    <row r="48" spans="3:12" ht="12.75">
      <c r="C48" s="29" t="s">
        <v>35</v>
      </c>
      <c r="G48" s="4"/>
      <c r="H48" s="51">
        <v>13</v>
      </c>
      <c r="I48" s="4"/>
      <c r="J48" s="4"/>
      <c r="K48" s="51">
        <v>28</v>
      </c>
      <c r="L48" s="4"/>
    </row>
    <row r="49" spans="3:12" ht="12.75">
      <c r="C49" s="3"/>
      <c r="G49" s="4"/>
      <c r="H49" s="127">
        <f>SUM(H46:H48)</f>
        <v>202333</v>
      </c>
      <c r="I49" s="4"/>
      <c r="J49" s="4"/>
      <c r="K49" s="127">
        <f>SUM(K46:K48)</f>
        <v>61014</v>
      </c>
      <c r="L49" s="4"/>
    </row>
    <row r="50" spans="2:12" ht="12.75">
      <c r="B50" s="25" t="s">
        <v>128</v>
      </c>
      <c r="C50" s="3"/>
      <c r="G50" s="4"/>
      <c r="H50" s="133">
        <f>H49+H43</f>
        <v>210042</v>
      </c>
      <c r="I50" s="4"/>
      <c r="J50" s="4"/>
      <c r="K50" s="133">
        <f>K49+K43</f>
        <v>70441</v>
      </c>
      <c r="L50" s="4"/>
    </row>
    <row r="51" spans="1:12" ht="12.75">
      <c r="A51" s="2"/>
      <c r="G51" s="4"/>
      <c r="H51" s="48"/>
      <c r="I51" s="4"/>
      <c r="J51" s="4"/>
      <c r="K51" s="48"/>
      <c r="L51" s="4"/>
    </row>
    <row r="52" spans="2:12" ht="13.5" thickBot="1">
      <c r="B52" s="25" t="s">
        <v>123</v>
      </c>
      <c r="G52" s="4"/>
      <c r="H52" s="53">
        <f>H49+H43+H38</f>
        <v>487516.324</v>
      </c>
      <c r="I52" s="4"/>
      <c r="J52" s="4"/>
      <c r="K52" s="53">
        <f>K49+K43+K38</f>
        <v>368187.324</v>
      </c>
      <c r="L52" s="4"/>
    </row>
    <row r="53" spans="7:12" ht="13.5" thickTop="1">
      <c r="G53" s="4"/>
      <c r="H53" s="48"/>
      <c r="I53" s="4"/>
      <c r="J53" s="4"/>
      <c r="K53" s="48"/>
      <c r="L53" s="4"/>
    </row>
    <row r="54" spans="1:12" ht="15.75" thickBot="1">
      <c r="A54" s="2"/>
      <c r="B54" s="25" t="s">
        <v>97</v>
      </c>
      <c r="C54" s="25"/>
      <c r="D54" s="25"/>
      <c r="G54" s="4"/>
      <c r="H54" s="115">
        <f>H36/(213563-17)</f>
        <v>1.2951838198795578</v>
      </c>
      <c r="I54" s="15"/>
      <c r="J54" s="15"/>
      <c r="K54" s="115">
        <f>K36/(213563-3999)</f>
        <v>1.2399234792235307</v>
      </c>
      <c r="L54" s="4"/>
    </row>
    <row r="55" ht="12.75">
      <c r="H55" s="54"/>
    </row>
    <row r="57" spans="2:11" ht="12.75" hidden="1">
      <c r="B57" t="s">
        <v>18</v>
      </c>
      <c r="H57" s="12" t="e">
        <f>#REF!-H52</f>
        <v>#REF!</v>
      </c>
      <c r="K57" s="12" t="e">
        <f>#REF!-K52</f>
        <v>#REF!</v>
      </c>
    </row>
    <row r="58" ht="12.75">
      <c r="H58" s="136"/>
    </row>
    <row r="59" spans="2:8" ht="12.75">
      <c r="B59" s="34" t="s">
        <v>36</v>
      </c>
      <c r="H59" s="9"/>
    </row>
    <row r="60" ht="12.75">
      <c r="B60" s="35" t="s">
        <v>133</v>
      </c>
    </row>
  </sheetData>
  <printOptions/>
  <pageMargins left="0.75" right="0.75" top="0.75" bottom="0.75" header="0" footer="0"/>
  <pageSetup fitToHeight="1" fitToWidth="1" horizontalDpi="600" verticalDpi="600" orientation="portrait" paperSize="9" scale="84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="75" zoomScaleNormal="75" workbookViewId="0" topLeftCell="A1">
      <selection activeCell="B9" sqref="B9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4.140625" style="0" customWidth="1"/>
    <col min="10" max="10" width="9.7109375" style="0" customWidth="1"/>
    <col min="11" max="11" width="10.421875" style="0" customWidth="1"/>
  </cols>
  <sheetData>
    <row r="1" ht="15.75">
      <c r="A1" s="8" t="s">
        <v>12</v>
      </c>
    </row>
    <row r="2" ht="15.75">
      <c r="A2" s="1" t="s">
        <v>52</v>
      </c>
    </row>
    <row r="3" ht="15.75">
      <c r="A3" s="1" t="s">
        <v>148</v>
      </c>
    </row>
    <row r="4" ht="15.75">
      <c r="A4" s="1"/>
    </row>
    <row r="5" spans="7:9" ht="12.75">
      <c r="G5" s="31"/>
      <c r="I5" s="31" t="s">
        <v>114</v>
      </c>
    </row>
    <row r="6" spans="3:11" ht="12.75">
      <c r="C6" s="31" t="s">
        <v>53</v>
      </c>
      <c r="D6" s="31" t="s">
        <v>53</v>
      </c>
      <c r="E6" s="31" t="s">
        <v>105</v>
      </c>
      <c r="F6" s="31" t="s">
        <v>56</v>
      </c>
      <c r="G6" s="31" t="s">
        <v>85</v>
      </c>
      <c r="H6" s="31" t="s">
        <v>88</v>
      </c>
      <c r="I6" s="31" t="s">
        <v>115</v>
      </c>
      <c r="J6" s="31" t="s">
        <v>117</v>
      </c>
      <c r="K6" s="31" t="s">
        <v>57</v>
      </c>
    </row>
    <row r="7" spans="3:11" ht="12.75">
      <c r="C7" s="31" t="s">
        <v>54</v>
      </c>
      <c r="D7" s="31" t="s">
        <v>55</v>
      </c>
      <c r="E7" s="31" t="s">
        <v>106</v>
      </c>
      <c r="F7" s="31" t="s">
        <v>17</v>
      </c>
      <c r="G7" s="31" t="s">
        <v>84</v>
      </c>
      <c r="H7" s="31" t="s">
        <v>82</v>
      </c>
      <c r="I7" s="31" t="s">
        <v>116</v>
      </c>
      <c r="J7" s="31" t="s">
        <v>112</v>
      </c>
      <c r="K7" s="31" t="s">
        <v>111</v>
      </c>
    </row>
    <row r="8" spans="3:11" ht="12.75">
      <c r="C8" s="31" t="s">
        <v>58</v>
      </c>
      <c r="D8" s="31" t="s">
        <v>58</v>
      </c>
      <c r="E8" s="31" t="s">
        <v>58</v>
      </c>
      <c r="F8" s="31" t="s">
        <v>58</v>
      </c>
      <c r="G8" s="31" t="s">
        <v>58</v>
      </c>
      <c r="H8" s="31" t="s">
        <v>58</v>
      </c>
      <c r="I8" s="31" t="s">
        <v>58</v>
      </c>
      <c r="J8" s="31" t="s">
        <v>58</v>
      </c>
      <c r="K8" s="31" t="s">
        <v>58</v>
      </c>
    </row>
    <row r="10" spans="2:11" ht="12.75" hidden="1">
      <c r="B10" t="s">
        <v>76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59</v>
      </c>
    </row>
    <row r="13" spans="2:11" ht="12.75" hidden="1">
      <c r="B13" s="30" t="s">
        <v>60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77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154</v>
      </c>
    </row>
    <row r="18" ht="12.75">
      <c r="I18" s="112"/>
    </row>
    <row r="19" spans="2:11" ht="12.75">
      <c r="B19" t="s">
        <v>135</v>
      </c>
      <c r="C19" s="55">
        <v>213563</v>
      </c>
      <c r="D19" s="55">
        <v>10392</v>
      </c>
      <c r="E19" s="55">
        <f>24547-899</f>
        <v>23648</v>
      </c>
      <c r="F19" s="55">
        <f>-1618+899</f>
        <v>-719</v>
      </c>
      <c r="G19" s="55">
        <v>14802</v>
      </c>
      <c r="H19" s="55">
        <v>-1843</v>
      </c>
      <c r="I19" s="118">
        <f>SUM(C19:H19)</f>
        <v>259843</v>
      </c>
      <c r="J19" s="55">
        <v>37903</v>
      </c>
      <c r="K19" s="118">
        <f>SUM(I19:J19)</f>
        <v>297746</v>
      </c>
    </row>
    <row r="20" spans="3:11" ht="12.75">
      <c r="C20" s="55"/>
      <c r="D20" s="55"/>
      <c r="E20" s="55"/>
      <c r="F20" s="55"/>
      <c r="G20" s="55"/>
      <c r="H20" s="55"/>
      <c r="I20" s="118"/>
      <c r="J20" s="55"/>
      <c r="K20" s="118"/>
    </row>
    <row r="21" spans="2:11" ht="12.75">
      <c r="B21" t="s">
        <v>86</v>
      </c>
      <c r="C21" s="55">
        <v>0</v>
      </c>
      <c r="D21" s="55">
        <v>0</v>
      </c>
      <c r="E21" s="55"/>
      <c r="F21" s="55">
        <v>0</v>
      </c>
      <c r="G21" s="55">
        <f>'Consol Y Stmt'!H40</f>
        <v>36720</v>
      </c>
      <c r="H21" s="55">
        <v>0</v>
      </c>
      <c r="I21" s="118">
        <f aca="true" t="shared" si="0" ref="I21:I35">SUM(C21:H21)</f>
        <v>36720</v>
      </c>
      <c r="J21" s="55">
        <f>'Consol Y Stmt'!H42</f>
        <v>-5107</v>
      </c>
      <c r="K21" s="118">
        <f aca="true" t="shared" si="1" ref="K21:K35">SUM(I21:J21)</f>
        <v>31613</v>
      </c>
    </row>
    <row r="22" spans="3:11" ht="12.75">
      <c r="C22" s="55"/>
      <c r="D22" s="55"/>
      <c r="E22" s="55"/>
      <c r="F22" s="55"/>
      <c r="G22" s="55"/>
      <c r="H22" s="55"/>
      <c r="I22" s="118"/>
      <c r="J22" s="55"/>
      <c r="K22" s="118"/>
    </row>
    <row r="23" spans="2:11" ht="25.5">
      <c r="B23" s="117" t="s">
        <v>136</v>
      </c>
      <c r="C23" s="55">
        <v>0</v>
      </c>
      <c r="D23" s="55">
        <v>0</v>
      </c>
      <c r="E23" s="55">
        <v>-4272</v>
      </c>
      <c r="F23" s="55">
        <v>0</v>
      </c>
      <c r="G23" s="55">
        <v>0</v>
      </c>
      <c r="H23" s="55">
        <v>0</v>
      </c>
      <c r="I23" s="118">
        <f t="shared" si="0"/>
        <v>-4272</v>
      </c>
      <c r="J23" s="55">
        <v>0</v>
      </c>
      <c r="K23" s="118">
        <f t="shared" si="1"/>
        <v>-4272</v>
      </c>
    </row>
    <row r="24" spans="3:11" ht="12.75">
      <c r="C24" s="55"/>
      <c r="D24" s="55"/>
      <c r="E24" s="55"/>
      <c r="F24" s="55"/>
      <c r="G24" s="55"/>
      <c r="H24" s="55"/>
      <c r="I24" s="118"/>
      <c r="J24" s="55"/>
      <c r="K24" s="118"/>
    </row>
    <row r="25" spans="2:11" ht="25.5">
      <c r="B25" s="117" t="s">
        <v>107</v>
      </c>
      <c r="C25" s="55">
        <v>0</v>
      </c>
      <c r="D25" s="55">
        <v>0</v>
      </c>
      <c r="E25" s="55">
        <f>-14308-J25</f>
        <v>-13558</v>
      </c>
      <c r="F25" s="55">
        <v>0</v>
      </c>
      <c r="G25" s="55">
        <v>0</v>
      </c>
      <c r="H25" s="55">
        <v>0</v>
      </c>
      <c r="I25" s="118">
        <f t="shared" si="0"/>
        <v>-13558</v>
      </c>
      <c r="J25" s="55">
        <v>-750</v>
      </c>
      <c r="K25" s="118">
        <f t="shared" si="1"/>
        <v>-14308</v>
      </c>
    </row>
    <row r="26" spans="3:11" ht="12.75">
      <c r="C26" s="55"/>
      <c r="D26" s="55"/>
      <c r="E26" s="55"/>
      <c r="F26" s="55"/>
      <c r="G26" s="55"/>
      <c r="H26" s="55"/>
      <c r="I26" s="118"/>
      <c r="J26" s="55"/>
      <c r="K26" s="118">
        <f t="shared" si="1"/>
        <v>0</v>
      </c>
    </row>
    <row r="27" spans="2:11" ht="25.5">
      <c r="B27" s="117" t="s">
        <v>89</v>
      </c>
      <c r="C27" s="55">
        <v>0</v>
      </c>
      <c r="D27" s="55">
        <v>0</v>
      </c>
      <c r="E27" s="55">
        <v>0</v>
      </c>
      <c r="F27" s="55">
        <v>123</v>
      </c>
      <c r="G27" s="55">
        <v>0</v>
      </c>
      <c r="H27" s="55">
        <v>0</v>
      </c>
      <c r="I27" s="118">
        <f t="shared" si="0"/>
        <v>123</v>
      </c>
      <c r="J27" s="55">
        <v>31</v>
      </c>
      <c r="K27" s="118">
        <f t="shared" si="1"/>
        <v>154</v>
      </c>
    </row>
    <row r="28" spans="3:11" ht="12.75">
      <c r="C28" s="55"/>
      <c r="D28" s="55"/>
      <c r="E28" s="55"/>
      <c r="F28" s="55"/>
      <c r="G28" s="55"/>
      <c r="H28" s="55"/>
      <c r="I28" s="118"/>
      <c r="J28" s="55"/>
      <c r="K28" s="118"/>
    </row>
    <row r="29" spans="2:11" ht="12.75">
      <c r="B29" t="s">
        <v>83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f>-177-4</f>
        <v>-181</v>
      </c>
      <c r="I29" s="118">
        <f t="shared" si="0"/>
        <v>-181</v>
      </c>
      <c r="J29" s="55">
        <v>0</v>
      </c>
      <c r="K29" s="118">
        <f t="shared" si="1"/>
        <v>-181</v>
      </c>
    </row>
    <row r="30" spans="2:11" ht="12.75">
      <c r="B30" s="30"/>
      <c r="C30" s="55"/>
      <c r="D30" s="55"/>
      <c r="E30" s="55"/>
      <c r="F30" s="55"/>
      <c r="G30" s="55"/>
      <c r="H30" s="55"/>
      <c r="I30" s="118"/>
      <c r="J30" s="55"/>
      <c r="K30" s="118"/>
    </row>
    <row r="31" spans="2:11" ht="12.75">
      <c r="B31" t="s">
        <v>144</v>
      </c>
      <c r="C31" s="55"/>
      <c r="D31" s="55">
        <v>-2015</v>
      </c>
      <c r="E31" s="55"/>
      <c r="F31" s="55"/>
      <c r="G31" s="55"/>
      <c r="H31" s="55">
        <v>2015</v>
      </c>
      <c r="I31" s="118"/>
      <c r="J31" s="55"/>
      <c r="K31" s="118">
        <f t="shared" si="1"/>
        <v>0</v>
      </c>
    </row>
    <row r="32" spans="2:11" ht="12.75">
      <c r="B32" s="30"/>
      <c r="C32" s="55"/>
      <c r="D32" s="55"/>
      <c r="E32" s="55"/>
      <c r="F32" s="55"/>
      <c r="G32" s="55"/>
      <c r="H32" s="55"/>
      <c r="I32" s="118"/>
      <c r="J32" s="55"/>
      <c r="K32" s="118"/>
    </row>
    <row r="33" spans="2:11" ht="12.75">
      <c r="B33" t="s">
        <v>87</v>
      </c>
      <c r="C33" s="55">
        <v>0</v>
      </c>
      <c r="D33" s="55">
        <v>0</v>
      </c>
      <c r="E33" s="55">
        <v>0</v>
      </c>
      <c r="F33" s="55">
        <v>0</v>
      </c>
      <c r="G33" s="55">
        <v>-2094</v>
      </c>
      <c r="H33" s="55">
        <v>0</v>
      </c>
      <c r="I33" s="118">
        <f t="shared" si="0"/>
        <v>-2094</v>
      </c>
      <c r="J33" s="55">
        <v>0</v>
      </c>
      <c r="K33" s="118">
        <f t="shared" si="1"/>
        <v>-2094</v>
      </c>
    </row>
    <row r="34" spans="3:11" ht="12.75">
      <c r="C34" s="55"/>
      <c r="D34" s="55"/>
      <c r="E34" s="55"/>
      <c r="F34" s="55"/>
      <c r="G34" s="55"/>
      <c r="H34" s="55"/>
      <c r="I34" s="118"/>
      <c r="J34" s="55"/>
      <c r="K34" s="118"/>
    </row>
    <row r="35" spans="2:12" ht="25.5">
      <c r="B35" s="139" t="s">
        <v>143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118">
        <f t="shared" si="0"/>
        <v>0</v>
      </c>
      <c r="J35" s="55">
        <v>-31184</v>
      </c>
      <c r="K35" s="118">
        <f t="shared" si="1"/>
        <v>-31184</v>
      </c>
      <c r="L35" s="112"/>
    </row>
    <row r="36" spans="3:11" ht="12.75">
      <c r="C36" s="56"/>
      <c r="D36" s="56"/>
      <c r="E36" s="56"/>
      <c r="F36" s="56"/>
      <c r="G36" s="56"/>
      <c r="H36" s="56"/>
      <c r="I36" s="118"/>
      <c r="J36" s="56"/>
      <c r="K36" s="121"/>
    </row>
    <row r="37" spans="2:11" ht="13.5" thickBot="1">
      <c r="B37" t="s">
        <v>134</v>
      </c>
      <c r="C37" s="57">
        <f aca="true" t="shared" si="2" ref="C37:K37">SUM(C19:C36)</f>
        <v>213563</v>
      </c>
      <c r="D37" s="57">
        <f t="shared" si="2"/>
        <v>8377</v>
      </c>
      <c r="E37" s="57">
        <f t="shared" si="2"/>
        <v>5818</v>
      </c>
      <c r="F37" s="57">
        <f t="shared" si="2"/>
        <v>-596</v>
      </c>
      <c r="G37" s="57">
        <f t="shared" si="2"/>
        <v>49428</v>
      </c>
      <c r="H37" s="57">
        <f t="shared" si="2"/>
        <v>-9</v>
      </c>
      <c r="I37" s="122">
        <f t="shared" si="2"/>
        <v>276581</v>
      </c>
      <c r="J37" s="57">
        <f t="shared" si="2"/>
        <v>893</v>
      </c>
      <c r="K37" s="122">
        <f t="shared" si="2"/>
        <v>277474</v>
      </c>
    </row>
    <row r="38" spans="3:11" ht="13.5" thickTop="1">
      <c r="C38" s="56"/>
      <c r="D38" s="65"/>
      <c r="E38" s="65"/>
      <c r="F38" s="56"/>
      <c r="G38" s="56"/>
      <c r="H38" s="56"/>
      <c r="I38" s="56"/>
      <c r="J38" s="65"/>
      <c r="K38" s="56"/>
    </row>
    <row r="39" spans="3:11" ht="12.75">
      <c r="C39" s="56"/>
      <c r="D39" s="56"/>
      <c r="E39" s="65"/>
      <c r="F39" s="56"/>
      <c r="G39" s="56"/>
      <c r="H39" s="56"/>
      <c r="I39" s="56"/>
      <c r="J39" s="56"/>
      <c r="K39" s="56"/>
    </row>
    <row r="40" ht="12.75">
      <c r="B40" s="25" t="s">
        <v>153</v>
      </c>
    </row>
    <row r="41" ht="12.75">
      <c r="B41" t="s">
        <v>102</v>
      </c>
    </row>
    <row r="42" spans="2:11" ht="12.75">
      <c r="B42" t="s">
        <v>103</v>
      </c>
      <c r="C42" s="55">
        <v>213563</v>
      </c>
      <c r="D42" s="55">
        <v>10392</v>
      </c>
      <c r="E42" s="55">
        <v>0</v>
      </c>
      <c r="F42" s="55">
        <f>-1624+899</f>
        <v>-725</v>
      </c>
      <c r="G42" s="55">
        <v>6127</v>
      </c>
      <c r="H42" s="55">
        <v>-1070</v>
      </c>
      <c r="I42" s="118">
        <f>SUM(C42:H42)</f>
        <v>228287</v>
      </c>
      <c r="J42" s="55">
        <v>34066</v>
      </c>
      <c r="K42" s="118">
        <f>SUM(I42:J42)</f>
        <v>262353</v>
      </c>
    </row>
    <row r="43" spans="3:11" ht="12.75">
      <c r="C43" s="55"/>
      <c r="D43" s="55"/>
      <c r="E43" s="55"/>
      <c r="F43" s="55"/>
      <c r="G43" s="55"/>
      <c r="H43" s="55"/>
      <c r="I43" s="118"/>
      <c r="J43" s="55"/>
      <c r="K43" s="118"/>
    </row>
    <row r="44" spans="2:11" ht="12.75">
      <c r="B44" t="s">
        <v>126</v>
      </c>
      <c r="C44" s="55">
        <v>0</v>
      </c>
      <c r="D44" s="55">
        <v>0</v>
      </c>
      <c r="E44" s="55">
        <v>0</v>
      </c>
      <c r="F44" s="55">
        <v>0</v>
      </c>
      <c r="G44" s="55">
        <v>464</v>
      </c>
      <c r="H44" s="55">
        <v>0</v>
      </c>
      <c r="I44" s="118">
        <f>SUM(C44:H44)</f>
        <v>464</v>
      </c>
      <c r="J44" s="55">
        <v>0</v>
      </c>
      <c r="K44" s="118">
        <f>SUM(I44:J44)</f>
        <v>464</v>
      </c>
    </row>
    <row r="45" spans="3:11" ht="12.75">
      <c r="C45" s="55"/>
      <c r="D45" s="55"/>
      <c r="E45" s="55"/>
      <c r="F45" s="55"/>
      <c r="G45" s="55"/>
      <c r="H45" s="55"/>
      <c r="I45" s="118"/>
      <c r="J45" s="55"/>
      <c r="K45" s="118"/>
    </row>
    <row r="46" spans="2:11" ht="12.75">
      <c r="B46" t="s">
        <v>127</v>
      </c>
      <c r="C46" s="47">
        <v>0</v>
      </c>
      <c r="D46" s="47">
        <v>0</v>
      </c>
      <c r="E46" s="47">
        <v>5258</v>
      </c>
      <c r="F46" s="47">
        <v>0</v>
      </c>
      <c r="G46" s="47">
        <v>309</v>
      </c>
      <c r="H46" s="47">
        <v>0</v>
      </c>
      <c r="I46" s="120">
        <f>SUM(C46:H46)</f>
        <v>5567</v>
      </c>
      <c r="J46" s="47">
        <v>397</v>
      </c>
      <c r="K46" s="118">
        <f>SUM(I46:J46)</f>
        <v>5964</v>
      </c>
    </row>
    <row r="47" spans="3:11" ht="12.75">
      <c r="C47" s="114"/>
      <c r="D47" s="114"/>
      <c r="E47" s="114"/>
      <c r="F47" s="114"/>
      <c r="G47" s="114"/>
      <c r="H47" s="114"/>
      <c r="I47" s="119"/>
      <c r="J47" s="114"/>
      <c r="K47" s="119"/>
    </row>
    <row r="48" spans="2:11" ht="12.75">
      <c r="B48" t="s">
        <v>104</v>
      </c>
      <c r="C48" s="47">
        <f aca="true" t="shared" si="3" ref="C48:K48">SUM(C42:C46)</f>
        <v>213563</v>
      </c>
      <c r="D48" s="47">
        <f t="shared" si="3"/>
        <v>10392</v>
      </c>
      <c r="E48" s="47">
        <f t="shared" si="3"/>
        <v>5258</v>
      </c>
      <c r="F48" s="47">
        <f t="shared" si="3"/>
        <v>-725</v>
      </c>
      <c r="G48" s="47">
        <f t="shared" si="3"/>
        <v>6900</v>
      </c>
      <c r="H48" s="47">
        <f t="shared" si="3"/>
        <v>-1070</v>
      </c>
      <c r="I48" s="120">
        <f t="shared" si="3"/>
        <v>234318</v>
      </c>
      <c r="J48" s="47">
        <f t="shared" si="3"/>
        <v>34463</v>
      </c>
      <c r="K48" s="120">
        <f t="shared" si="3"/>
        <v>268781</v>
      </c>
    </row>
    <row r="49" spans="3:11" ht="12.75">
      <c r="C49" s="56"/>
      <c r="D49" s="56"/>
      <c r="E49" s="56"/>
      <c r="F49" s="56"/>
      <c r="G49" s="56"/>
      <c r="H49" s="56"/>
      <c r="I49" s="121"/>
      <c r="J49" s="56"/>
      <c r="K49" s="118"/>
    </row>
    <row r="50" spans="2:11" ht="12.75">
      <c r="B50" t="s">
        <v>86</v>
      </c>
      <c r="C50" s="55">
        <v>0</v>
      </c>
      <c r="D50" s="55">
        <v>0</v>
      </c>
      <c r="E50" s="55"/>
      <c r="F50" s="55">
        <v>0</v>
      </c>
      <c r="G50" s="55">
        <f>'Consol Y Stmt'!I40</f>
        <v>10003</v>
      </c>
      <c r="H50" s="140">
        <v>0</v>
      </c>
      <c r="I50" s="118">
        <f>SUM(C50:H50)</f>
        <v>10003</v>
      </c>
      <c r="J50" s="55">
        <f>'Consol Y Stmt'!I42</f>
        <v>2950</v>
      </c>
      <c r="K50" s="118">
        <f>SUM(I50:J50)</f>
        <v>12953</v>
      </c>
    </row>
    <row r="51" spans="3:11" ht="12.75">
      <c r="C51" s="55"/>
      <c r="D51" s="55"/>
      <c r="E51" s="55"/>
      <c r="F51" s="55"/>
      <c r="G51" s="55"/>
      <c r="H51" s="55"/>
      <c r="I51" s="118"/>
      <c r="J51" s="55"/>
      <c r="K51" s="118"/>
    </row>
    <row r="52" spans="2:11" ht="25.5">
      <c r="B52" s="117" t="s">
        <v>109</v>
      </c>
      <c r="C52" s="55">
        <v>0</v>
      </c>
      <c r="D52" s="55">
        <v>0</v>
      </c>
      <c r="E52" s="55">
        <v>19085</v>
      </c>
      <c r="F52" s="55">
        <v>0</v>
      </c>
      <c r="G52" s="55">
        <v>0</v>
      </c>
      <c r="H52" s="55">
        <v>0</v>
      </c>
      <c r="I52" s="118">
        <f>SUM(C52:H52)</f>
        <v>19085</v>
      </c>
      <c r="J52" s="55">
        <v>652</v>
      </c>
      <c r="K52" s="118">
        <f>SUM(I52:J52)</f>
        <v>19737</v>
      </c>
    </row>
    <row r="53" spans="3:11" ht="12.75">
      <c r="C53" s="55"/>
      <c r="D53" s="55"/>
      <c r="E53" s="55"/>
      <c r="F53" s="55"/>
      <c r="G53" s="55"/>
      <c r="H53" s="55"/>
      <c r="I53" s="118"/>
      <c r="J53" s="55"/>
      <c r="K53" s="118"/>
    </row>
    <row r="54" spans="2:11" ht="25.5">
      <c r="B54" s="117" t="s">
        <v>107</v>
      </c>
      <c r="C54" s="55">
        <v>0</v>
      </c>
      <c r="D54" s="55">
        <v>0</v>
      </c>
      <c r="E54" s="55">
        <v>-695</v>
      </c>
      <c r="F54" s="55">
        <v>0</v>
      </c>
      <c r="G54" s="55">
        <v>0</v>
      </c>
      <c r="H54" s="55">
        <v>0</v>
      </c>
      <c r="I54" s="118">
        <f>SUM(C54:H54)</f>
        <v>-695</v>
      </c>
      <c r="J54" s="55">
        <v>-297</v>
      </c>
      <c r="K54" s="118">
        <f>SUM(I54:J54)</f>
        <v>-992</v>
      </c>
    </row>
    <row r="55" spans="3:11" ht="12.75">
      <c r="C55" s="55"/>
      <c r="D55" s="55"/>
      <c r="E55" s="55"/>
      <c r="F55" s="55"/>
      <c r="G55" s="55"/>
      <c r="H55" s="55"/>
      <c r="I55" s="118"/>
      <c r="J55" s="55"/>
      <c r="K55" s="118">
        <f>SUM(I55:J55)</f>
        <v>0</v>
      </c>
    </row>
    <row r="56" spans="2:11" ht="25.5">
      <c r="B56" s="117" t="s">
        <v>89</v>
      </c>
      <c r="C56" s="55">
        <v>0</v>
      </c>
      <c r="D56" s="55">
        <v>0</v>
      </c>
      <c r="E56" s="55">
        <v>0</v>
      </c>
      <c r="F56" s="55">
        <v>6</v>
      </c>
      <c r="G56" s="55">
        <v>0</v>
      </c>
      <c r="H56" s="55">
        <v>0</v>
      </c>
      <c r="I56" s="118">
        <f>SUM(C56:H56)</f>
        <v>6</v>
      </c>
      <c r="J56" s="55">
        <v>2</v>
      </c>
      <c r="K56" s="118">
        <f>SUM(I56:J56)</f>
        <v>8</v>
      </c>
    </row>
    <row r="57" spans="3:11" ht="12.75">
      <c r="C57" s="55"/>
      <c r="D57" s="55"/>
      <c r="E57" s="55"/>
      <c r="F57" s="55"/>
      <c r="G57" s="55"/>
      <c r="H57" s="55"/>
      <c r="I57" s="118"/>
      <c r="J57" s="55"/>
      <c r="K57" s="118"/>
    </row>
    <row r="58" spans="2:11" ht="12.75">
      <c r="B58" t="s">
        <v>83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-773</v>
      </c>
      <c r="I58" s="118">
        <f>SUM(C58:H58)</f>
        <v>-773</v>
      </c>
      <c r="J58" s="55">
        <v>0</v>
      </c>
      <c r="K58" s="118">
        <f>SUM(I58:J58)</f>
        <v>-773</v>
      </c>
    </row>
    <row r="59" spans="2:11" ht="12.75">
      <c r="B59" s="30"/>
      <c r="C59" s="55"/>
      <c r="D59" s="55"/>
      <c r="E59" s="55"/>
      <c r="F59" s="55"/>
      <c r="G59" s="55"/>
      <c r="H59" s="55"/>
      <c r="I59" s="118"/>
      <c r="J59" s="55"/>
      <c r="K59" s="118"/>
    </row>
    <row r="60" spans="2:11" ht="12.75">
      <c r="B60" t="s">
        <v>87</v>
      </c>
      <c r="C60" s="55">
        <v>0</v>
      </c>
      <c r="D60" s="55">
        <v>0</v>
      </c>
      <c r="E60" s="55">
        <v>0</v>
      </c>
      <c r="F60" s="55">
        <v>0</v>
      </c>
      <c r="G60" s="55">
        <v>-2101</v>
      </c>
      <c r="H60" s="55">
        <v>0</v>
      </c>
      <c r="I60" s="118">
        <f>SUM(C60:H60)</f>
        <v>-2101</v>
      </c>
      <c r="J60" s="55">
        <v>0</v>
      </c>
      <c r="K60" s="118">
        <f>SUM(I60:J60)</f>
        <v>-2101</v>
      </c>
    </row>
    <row r="61" spans="3:11" ht="12.75">
      <c r="C61" s="55"/>
      <c r="D61" s="55"/>
      <c r="E61" s="55"/>
      <c r="F61" s="55"/>
      <c r="G61" s="55"/>
      <c r="H61" s="55"/>
      <c r="I61" s="118"/>
      <c r="J61" s="55"/>
      <c r="K61" s="118"/>
    </row>
    <row r="62" spans="2:12" ht="25.5">
      <c r="B62" s="139" t="s">
        <v>143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118">
        <f>SUM(C62:H62)</f>
        <v>0</v>
      </c>
      <c r="J62" s="55">
        <v>133</v>
      </c>
      <c r="K62" s="118">
        <f>SUM(I62:J62)</f>
        <v>133</v>
      </c>
      <c r="L62" s="112"/>
    </row>
    <row r="63" spans="3:11" ht="12.75">
      <c r="C63" s="56"/>
      <c r="D63" s="56"/>
      <c r="E63" s="56"/>
      <c r="F63" s="56"/>
      <c r="G63" s="56"/>
      <c r="H63" s="56"/>
      <c r="I63" s="121"/>
      <c r="J63" s="56"/>
      <c r="K63" s="121"/>
    </row>
    <row r="64" spans="2:11" ht="13.5" thickBot="1">
      <c r="B64" t="s">
        <v>108</v>
      </c>
      <c r="C64" s="57">
        <f aca="true" t="shared" si="4" ref="C64:K64">SUM(C48:C63)</f>
        <v>213563</v>
      </c>
      <c r="D64" s="57">
        <f t="shared" si="4"/>
        <v>10392</v>
      </c>
      <c r="E64" s="57">
        <f t="shared" si="4"/>
        <v>23648</v>
      </c>
      <c r="F64" s="57">
        <f t="shared" si="4"/>
        <v>-719</v>
      </c>
      <c r="G64" s="57">
        <f t="shared" si="4"/>
        <v>14802</v>
      </c>
      <c r="H64" s="57">
        <f t="shared" si="4"/>
        <v>-1843</v>
      </c>
      <c r="I64" s="122">
        <f t="shared" si="4"/>
        <v>259843</v>
      </c>
      <c r="J64" s="57">
        <f t="shared" si="4"/>
        <v>37903</v>
      </c>
      <c r="K64" s="122">
        <f t="shared" si="4"/>
        <v>297746</v>
      </c>
    </row>
    <row r="65" ht="13.5" thickTop="1"/>
    <row r="70" ht="12.75">
      <c r="B70" s="34" t="s">
        <v>61</v>
      </c>
    </row>
    <row r="71" ht="12.75">
      <c r="B71" s="35" t="s">
        <v>133</v>
      </c>
    </row>
  </sheetData>
  <printOptions/>
  <pageMargins left="0.75" right="0.5" top="0.5" bottom="0.5" header="0" footer="0"/>
  <pageSetup fitToHeight="1" fitToWidth="1" horizontalDpi="600" verticalDpi="600" orientation="portrait" paperSize="9" scale="69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="75" zoomScaleNormal="75" workbookViewId="0" topLeftCell="A1">
      <selection activeCell="I24" sqref="I24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0" customWidth="1"/>
  </cols>
  <sheetData>
    <row r="1" ht="15.75">
      <c r="A1" s="8" t="s">
        <v>12</v>
      </c>
    </row>
    <row r="2" ht="15.75">
      <c r="A2" s="1" t="s">
        <v>37</v>
      </c>
    </row>
    <row r="3" ht="15.75">
      <c r="A3" s="1" t="s">
        <v>149</v>
      </c>
    </row>
    <row r="5" spans="2:6" ht="12.75">
      <c r="B5" s="36"/>
      <c r="D5" s="31" t="s">
        <v>150</v>
      </c>
      <c r="F5" s="31" t="s">
        <v>150</v>
      </c>
    </row>
    <row r="6" spans="4:6" ht="12.75">
      <c r="D6" s="31" t="s">
        <v>38</v>
      </c>
      <c r="F6" s="31" t="s">
        <v>38</v>
      </c>
    </row>
    <row r="7" spans="4:6" ht="12.75">
      <c r="D7" s="32">
        <v>39447</v>
      </c>
      <c r="F7" s="32">
        <v>39082</v>
      </c>
    </row>
    <row r="8" spans="4:6" ht="12.75">
      <c r="D8" s="26" t="s">
        <v>11</v>
      </c>
      <c r="F8" s="26" t="s">
        <v>11</v>
      </c>
    </row>
    <row r="10" spans="2:6" ht="12.75">
      <c r="B10" s="25" t="s">
        <v>74</v>
      </c>
      <c r="D10" s="58">
        <f>'Consol Y Stmt'!H32</f>
        <v>34807</v>
      </c>
      <c r="E10" s="56"/>
      <c r="F10" s="58">
        <v>16013</v>
      </c>
    </row>
    <row r="11" spans="4:6" ht="12.75">
      <c r="D11" s="59"/>
      <c r="E11" s="56"/>
      <c r="F11" s="59"/>
    </row>
    <row r="12" spans="2:6" ht="12.75">
      <c r="B12" s="25" t="s">
        <v>39</v>
      </c>
      <c r="D12" s="59"/>
      <c r="E12" s="56"/>
      <c r="F12" s="59"/>
    </row>
    <row r="13" spans="4:6" ht="9.75" customHeight="1">
      <c r="D13" s="59"/>
      <c r="E13" s="56"/>
      <c r="F13" s="59"/>
    </row>
    <row r="14" spans="2:6" ht="12.75">
      <c r="B14" t="s">
        <v>40</v>
      </c>
      <c r="D14" s="58">
        <f>3859-17+2894-3885+14785+153-105</f>
        <v>17684</v>
      </c>
      <c r="E14" s="56"/>
      <c r="F14" s="58">
        <f>3904+3+28-59+1+331-1437+4-1299+1</f>
        <v>1477</v>
      </c>
    </row>
    <row r="15" spans="2:6" ht="12.75">
      <c r="B15" t="s">
        <v>41</v>
      </c>
      <c r="D15" s="58">
        <f>-D23-D24-D22-19399</f>
        <v>-30089</v>
      </c>
      <c r="E15" s="56"/>
      <c r="F15" s="58">
        <f>-F23-F24-F22-5034</f>
        <v>-12164</v>
      </c>
    </row>
    <row r="16" spans="4:6" ht="12.75">
      <c r="D16" s="60"/>
      <c r="E16" s="56"/>
      <c r="F16" s="60"/>
    </row>
    <row r="17" spans="2:6" ht="12.75">
      <c r="B17" s="25" t="s">
        <v>67</v>
      </c>
      <c r="D17" s="58">
        <f>SUM(D10:D15)</f>
        <v>22402</v>
      </c>
      <c r="E17" s="56"/>
      <c r="F17" s="58">
        <f>SUM(F10:F15)</f>
        <v>5326</v>
      </c>
    </row>
    <row r="18" spans="4:6" ht="12.75">
      <c r="D18" s="58"/>
      <c r="E18" s="56"/>
      <c r="F18" s="58"/>
    </row>
    <row r="19" spans="2:6" ht="12.75">
      <c r="B19" s="25" t="s">
        <v>42</v>
      </c>
      <c r="D19" s="58"/>
      <c r="E19" s="56"/>
      <c r="F19" s="58"/>
    </row>
    <row r="20" spans="2:6" ht="12.75">
      <c r="B20" t="s">
        <v>43</v>
      </c>
      <c r="D20" s="58">
        <f>-124726+950+2465</f>
        <v>-121311</v>
      </c>
      <c r="E20" s="56"/>
      <c r="F20" s="58">
        <f>28266-2258</f>
        <v>26008</v>
      </c>
    </row>
    <row r="21" spans="2:6" ht="12.75">
      <c r="B21" t="s">
        <v>44</v>
      </c>
      <c r="D21" s="58">
        <v>141663</v>
      </c>
      <c r="E21" s="56"/>
      <c r="F21" s="58">
        <v>-27868</v>
      </c>
    </row>
    <row r="22" spans="2:6" ht="12.75">
      <c r="B22" t="s">
        <v>78</v>
      </c>
      <c r="D22" s="58">
        <f>3501+246</f>
        <v>3747</v>
      </c>
      <c r="E22" s="56"/>
      <c r="F22" s="58">
        <v>2051</v>
      </c>
    </row>
    <row r="23" spans="2:7" ht="12.75">
      <c r="B23" t="s">
        <v>79</v>
      </c>
      <c r="D23" s="58">
        <v>9229</v>
      </c>
      <c r="E23" s="56"/>
      <c r="F23" s="58">
        <v>7245</v>
      </c>
      <c r="G23" s="112"/>
    </row>
    <row r="24" spans="2:7" ht="12.75">
      <c r="B24" t="s">
        <v>80</v>
      </c>
      <c r="D24" s="58">
        <v>-2286</v>
      </c>
      <c r="E24" s="56"/>
      <c r="F24" s="58">
        <v>-2166</v>
      </c>
      <c r="G24" s="112"/>
    </row>
    <row r="25" spans="2:6" ht="12.75">
      <c r="B25" t="s">
        <v>69</v>
      </c>
      <c r="D25" s="58">
        <v>-3816</v>
      </c>
      <c r="E25" s="56"/>
      <c r="F25" s="58">
        <f>-1357-139</f>
        <v>-1496</v>
      </c>
    </row>
    <row r="26" spans="2:6" ht="12.75">
      <c r="B26" t="s">
        <v>75</v>
      </c>
      <c r="D26" s="58">
        <v>0</v>
      </c>
      <c r="E26" s="56"/>
      <c r="F26" s="58">
        <v>90</v>
      </c>
    </row>
    <row r="27" spans="4:6" ht="12.75">
      <c r="D27" s="58"/>
      <c r="E27" s="56"/>
      <c r="F27" s="58"/>
    </row>
    <row r="28" spans="2:6" ht="12.75">
      <c r="B28" s="25" t="s">
        <v>45</v>
      </c>
      <c r="D28" s="61">
        <f>SUM(D17:D26)</f>
        <v>49628</v>
      </c>
      <c r="E28" s="56"/>
      <c r="F28" s="61">
        <f>SUM(F17:F26)</f>
        <v>9190</v>
      </c>
    </row>
    <row r="29" spans="4:6" ht="12.75">
      <c r="D29" s="58"/>
      <c r="E29" s="56"/>
      <c r="F29" s="58"/>
    </row>
    <row r="30" spans="2:6" ht="12.75">
      <c r="B30" s="25" t="s">
        <v>46</v>
      </c>
      <c r="D30" s="58"/>
      <c r="E30" s="56"/>
      <c r="F30" s="58"/>
    </row>
    <row r="31" spans="2:6" ht="6.75" customHeight="1">
      <c r="B31" s="25"/>
      <c r="D31" s="58"/>
      <c r="E31" s="56"/>
      <c r="F31" s="58"/>
    </row>
    <row r="32" spans="2:6" ht="12.75">
      <c r="B32" t="s">
        <v>65</v>
      </c>
      <c r="D32" s="58">
        <v>-816</v>
      </c>
      <c r="E32" s="56"/>
      <c r="F32" s="58">
        <v>-524</v>
      </c>
    </row>
    <row r="33" spans="2:6" ht="12.75">
      <c r="B33" t="s">
        <v>66</v>
      </c>
      <c r="D33" s="58">
        <v>19</v>
      </c>
      <c r="E33" s="56"/>
      <c r="F33" s="58">
        <v>61</v>
      </c>
    </row>
    <row r="34" spans="2:6" ht="12.75">
      <c r="B34" t="s">
        <v>101</v>
      </c>
      <c r="D34" s="58">
        <v>30842</v>
      </c>
      <c r="E34" s="56"/>
      <c r="F34" s="58">
        <v>9549</v>
      </c>
    </row>
    <row r="35" spans="2:6" ht="12.75">
      <c r="B35" t="s">
        <v>155</v>
      </c>
      <c r="D35" s="58">
        <v>-31050</v>
      </c>
      <c r="E35" s="56"/>
      <c r="F35" s="58">
        <v>0</v>
      </c>
    </row>
    <row r="36" spans="2:6" ht="12.75">
      <c r="B36" t="s">
        <v>142</v>
      </c>
      <c r="D36" s="58">
        <v>-27577</v>
      </c>
      <c r="E36" s="56"/>
      <c r="F36" s="58">
        <v>0</v>
      </c>
    </row>
    <row r="37" spans="2:6" ht="12.75">
      <c r="B37" t="s">
        <v>151</v>
      </c>
      <c r="D37" s="58">
        <v>-5</v>
      </c>
      <c r="E37" s="56"/>
      <c r="F37" s="58">
        <v>-5</v>
      </c>
    </row>
    <row r="38" spans="2:6" ht="12.75">
      <c r="B38" s="25" t="s">
        <v>50</v>
      </c>
      <c r="D38" s="61">
        <f>SUM(D32:D37)</f>
        <v>-28587</v>
      </c>
      <c r="E38" s="56"/>
      <c r="F38" s="61">
        <f>SUM(F32:F37)</f>
        <v>9081</v>
      </c>
    </row>
    <row r="39" spans="4:6" ht="12.75">
      <c r="D39" s="58"/>
      <c r="E39" s="56"/>
      <c r="F39" s="58"/>
    </row>
    <row r="40" spans="2:6" ht="12.75">
      <c r="B40" s="25" t="s">
        <v>47</v>
      </c>
      <c r="D40" s="58"/>
      <c r="E40" s="56"/>
      <c r="F40" s="58"/>
    </row>
    <row r="41" spans="2:6" ht="6.75" customHeight="1">
      <c r="B41" s="25"/>
      <c r="D41" s="58"/>
      <c r="E41" s="56"/>
      <c r="F41" s="58"/>
    </row>
    <row r="42" spans="2:6" ht="12.75">
      <c r="B42" t="s">
        <v>34</v>
      </c>
      <c r="D42" s="58">
        <v>-1756</v>
      </c>
      <c r="E42" s="56"/>
      <c r="F42" s="58">
        <f>-1605</f>
        <v>-1605</v>
      </c>
    </row>
    <row r="43" spans="2:6" ht="12.75">
      <c r="B43" t="s">
        <v>48</v>
      </c>
      <c r="D43" s="58">
        <v>-2093</v>
      </c>
      <c r="E43" s="56"/>
      <c r="F43" s="58">
        <v>-2101</v>
      </c>
    </row>
    <row r="44" spans="2:6" ht="12.75">
      <c r="B44" t="s">
        <v>49</v>
      </c>
      <c r="D44" s="58">
        <v>0</v>
      </c>
      <c r="E44" s="56"/>
      <c r="F44" s="58">
        <v>0</v>
      </c>
    </row>
    <row r="45" spans="2:6" ht="12.75">
      <c r="B45" t="s">
        <v>83</v>
      </c>
      <c r="D45" s="58">
        <v>-181</v>
      </c>
      <c r="E45" s="56"/>
      <c r="F45" s="58">
        <v>-774</v>
      </c>
    </row>
    <row r="46" spans="2:6" ht="12.75">
      <c r="B46" s="25" t="s">
        <v>68</v>
      </c>
      <c r="D46" s="61">
        <f>SUM(D42:D45)</f>
        <v>-4030</v>
      </c>
      <c r="E46" s="56"/>
      <c r="F46" s="61">
        <f>SUM(F42:F45)</f>
        <v>-4480</v>
      </c>
    </row>
    <row r="47" spans="4:6" ht="12.75">
      <c r="D47" s="62"/>
      <c r="E47" s="56"/>
      <c r="F47" s="62"/>
    </row>
    <row r="48" spans="2:6" ht="12.75">
      <c r="B48" s="25" t="s">
        <v>51</v>
      </c>
      <c r="D48" s="58">
        <f>D28+D38+D46</f>
        <v>17011</v>
      </c>
      <c r="E48" s="56"/>
      <c r="F48" s="58">
        <f>F28+F38+F46</f>
        <v>13791</v>
      </c>
    </row>
    <row r="49" spans="2:6" ht="12.75">
      <c r="B49" s="25"/>
      <c r="D49" s="58"/>
      <c r="E49" s="56"/>
      <c r="F49" s="58"/>
    </row>
    <row r="50" spans="2:6" ht="12.75">
      <c r="B50" s="25" t="s">
        <v>70</v>
      </c>
      <c r="D50" s="58">
        <v>34249</v>
      </c>
      <c r="E50" s="56"/>
      <c r="F50" s="58">
        <v>20458</v>
      </c>
    </row>
    <row r="51" spans="2:6" ht="12.75">
      <c r="B51" s="25"/>
      <c r="D51" s="58"/>
      <c r="E51" s="56"/>
      <c r="F51" s="58"/>
    </row>
    <row r="52" spans="2:6" ht="13.5" thickBot="1">
      <c r="B52" s="25" t="s">
        <v>63</v>
      </c>
      <c r="D52" s="63">
        <f>SUM(D48:D50)</f>
        <v>51260</v>
      </c>
      <c r="E52" s="56"/>
      <c r="F52" s="63">
        <f>SUM(F48:F50)</f>
        <v>34249</v>
      </c>
    </row>
    <row r="53" spans="4:6" ht="13.5" thickTop="1">
      <c r="D53" s="64"/>
      <c r="E53" s="56"/>
      <c r="F53" s="64"/>
    </row>
    <row r="54" spans="2:6" ht="12.75">
      <c r="B54" s="25" t="s">
        <v>71</v>
      </c>
      <c r="D54" s="64"/>
      <c r="E54" s="56"/>
      <c r="F54" s="64"/>
    </row>
    <row r="55" spans="2:6" ht="12.75">
      <c r="B55" t="s">
        <v>72</v>
      </c>
      <c r="D55" s="64">
        <f>291+51136-141</f>
        <v>51286</v>
      </c>
      <c r="E55" s="56"/>
      <c r="F55" s="64">
        <f>7309+27296</f>
        <v>34605</v>
      </c>
    </row>
    <row r="56" spans="2:6" ht="12.75">
      <c r="B56" t="s">
        <v>73</v>
      </c>
      <c r="D56" s="64">
        <v>-26</v>
      </c>
      <c r="E56" s="56"/>
      <c r="F56" s="64">
        <v>-356</v>
      </c>
    </row>
    <row r="57" spans="4:6" ht="13.5" thickBot="1">
      <c r="D57" s="63">
        <f>SUM(D55:D56)</f>
        <v>51260</v>
      </c>
      <c r="E57" s="56"/>
      <c r="F57" s="63">
        <f>SUM(F55:F56)</f>
        <v>34249</v>
      </c>
    </row>
    <row r="58" spans="4:6" ht="13.5" thickTop="1">
      <c r="D58" s="65">
        <f>D52-D57</f>
        <v>0</v>
      </c>
      <c r="E58" s="56"/>
      <c r="F58" s="65">
        <f>F57-F52</f>
        <v>0</v>
      </c>
    </row>
    <row r="59" spans="4:6" ht="12.75">
      <c r="D59" s="56"/>
      <c r="E59" s="56"/>
      <c r="F59" s="56"/>
    </row>
    <row r="60" spans="2:6" ht="12.75">
      <c r="B60" s="34" t="s">
        <v>64</v>
      </c>
      <c r="D60" s="56"/>
      <c r="E60" s="56"/>
      <c r="F60" s="56"/>
    </row>
    <row r="61" spans="2:6" ht="12.75">
      <c r="B61" s="35" t="s">
        <v>137</v>
      </c>
      <c r="D61" s="56"/>
      <c r="E61" s="56"/>
      <c r="F61" s="56"/>
    </row>
    <row r="62" spans="4:6" ht="12.75">
      <c r="D62" s="56"/>
      <c r="E62" s="56"/>
      <c r="F62" s="56"/>
    </row>
    <row r="63" spans="4:6" ht="12.75">
      <c r="D63" s="56"/>
      <c r="E63" s="56"/>
      <c r="F63" s="56"/>
    </row>
    <row r="64" spans="4:6" ht="12.75">
      <c r="D64" s="56"/>
      <c r="E64" s="56"/>
      <c r="F64" s="56"/>
    </row>
    <row r="65" spans="4:6" ht="12.75">
      <c r="D65" s="56"/>
      <c r="E65" s="56"/>
      <c r="F65" s="56"/>
    </row>
  </sheetData>
  <printOptions/>
  <pageMargins left="0.75" right="0.75" top="1" bottom="1" header="0" footer="0"/>
  <pageSetup fitToHeight="1" fitToWidth="1" horizontalDpi="600" verticalDpi="600" orientation="portrait" paperSize="9" scale="92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2008-01-24T01:57:41Z</cp:lastPrinted>
  <dcterms:created xsi:type="dcterms:W3CDTF">2000-05-08T06:50:43Z</dcterms:created>
  <dcterms:modified xsi:type="dcterms:W3CDTF">2008-02-20T07:27:01Z</dcterms:modified>
  <cp:category/>
  <cp:version/>
  <cp:contentType/>
  <cp:contentStatus/>
</cp:coreProperties>
</file>