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firstSheet="1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<sst xmlns="http://schemas.openxmlformats.org/spreadsheetml/2006/main" count="188" uniqueCount="154">
  <si>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</si>
  <si>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</si>
  <si>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</si>
  <si>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</si>
  <si>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</si>
  <si>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</si>
  <si>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</si>
  <si>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</si>
  <si>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</si>
  <si>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</si>
  <si>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</si>
  <si>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</si>
  <si>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</si>
  <si>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</si>
  <si>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</si>
  <si>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</si>
  <si>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</si>
  <si>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</si>
  <si>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</si>
  <si>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</si>
  <si>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</si>
  <si>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</si>
  <si>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</si>
  <si>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</si>
  <si>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</si>
  <si>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</si>
  <si>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</si>
  <si>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</si>
  <si>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</si>
  <si>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</si>
  <si>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</si>
  <si>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</si>
  <si>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</si>
  <si>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</si>
  <si>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</si>
  <si>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</si>
  <si>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</si>
  <si>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</si>
  <si>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</si>
  <si>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</si>
  <si>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</si>
  <si>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</si>
  <si>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</si>
  <si>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</si>
  <si>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</si>
  <si>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</si>
  <si>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</si>
  <si>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</si>
  <si>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</si>
  <si>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</si>
  <si>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</si>
  <si>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</si>
  <si>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</si>
  <si>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</si>
  <si>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</si>
  <si>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</si>
  <si>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</si>
  <si>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</si>
  <si>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</si>
  <si>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</si>
  <si>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</si>
  <si>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</si>
  <si>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</si>
  <si>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</si>
  <si>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</si>
  <si>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</si>
  <si>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</si>
  <si>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</si>
  <si>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</si>
  <si>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</si>
  <si>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</si>
  <si>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</si>
  <si>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</si>
  <si>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</si>
  <si>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</si>
  <si>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</si>
  <si>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</si>
  <si>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</si>
  <si>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</si>
  <si>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</si>
  <si>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</si>
  <si>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</si>
  <si>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</si>
  <si>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</si>
  <si>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</si>
  <si>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</si>
  <si>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</si>
  <si>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</si>
  <si>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</si>
  <si>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</si>
  <si>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</si>
  <si>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</si>
  <si>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</si>
  <si>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</si>
  <si>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</si>
  <si>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</si>
  <si>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</si>
  <si>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</si>
  <si>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</si>
  <si>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</si>
  <si>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</si>
  <si>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</si>
  <si>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Balance at beginning of year 2006</t>
  </si>
  <si>
    <t>As previously stated</t>
  </si>
  <si>
    <t>As restated</t>
  </si>
  <si>
    <t>Fair Value</t>
  </si>
  <si>
    <t>Reserve</t>
  </si>
  <si>
    <t>Transfer from fair value reserve to profit &amp; loss</t>
  </si>
  <si>
    <t>Balance at end of period 2006</t>
  </si>
  <si>
    <t>Unrealised gain on valuation of available for sales investment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</si>
  <si>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</si>
  <si>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</si>
  <si>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</si>
  <si>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</si>
  <si>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</si>
  <si>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</si>
  <si>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</si>
  <si>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</si>
  <si>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</si>
  <si>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</si>
  <si>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</si>
  <si>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</si>
  <si>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</si>
  <si>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</si>
  <si>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</si>
  <si>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</si>
  <si>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Effect on adopting FRS 3</t>
  </si>
  <si>
    <t>Effect on adopting FRS 139</t>
  </si>
  <si>
    <t>TOTAL LIABILITIES</t>
  </si>
  <si>
    <t>31.12.2006</t>
  </si>
  <si>
    <t>Investment Poperties</t>
  </si>
  <si>
    <t>Deferred Tax Liabilities</t>
  </si>
  <si>
    <t>the year ended 31 December 2006)</t>
  </si>
  <si>
    <t>for the year ended 31 December 2006)</t>
  </si>
  <si>
    <t>Balance at end of period 2007</t>
  </si>
  <si>
    <t>Balance at beginning of year 2007</t>
  </si>
  <si>
    <t>Unrealised gain/(loss) on valuation of available for sales investment</t>
  </si>
  <si>
    <t>with the Annual Financial Report for the year ended 31 December 2006)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</si>
  <si>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</si>
  <si>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</si>
  <si>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</si>
  <si>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</si>
  <si>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</si>
  <si>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</si>
  <si>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Quarterly report on consolidated results for the financial quarter ended 30 September 2007</t>
  </si>
  <si>
    <t>CONDENSED CONSOLIDATED INCOME STATEMENT FOR THE QUARTER ENDED 30 SEPTEMBER 2007</t>
  </si>
  <si>
    <t>CONDENSED CONSOLIDATED BALANCE SHEETS AS AT 30 SEPTEMBER 2007</t>
  </si>
  <si>
    <t>30.09.2007</t>
  </si>
  <si>
    <t>9 months ended 30 September 2006</t>
  </si>
  <si>
    <t>9 months ended 30 September 2007</t>
  </si>
  <si>
    <t>FOR THE PERIOD ENDED 30 SEPTEMBER  2007</t>
  </si>
  <si>
    <t>9 months</t>
  </si>
  <si>
    <t>FOR THE PERIOD ENDED 30 SEPTEMBER 2007</t>
  </si>
  <si>
    <t>Distribution of treasury shares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</si>
</sst>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_(* #,##0.0_);_(* \(#,##0.0\);_(* &quot;-&quot;??_);_(@_)"/>
    <numFmt numFmtId="179" formatCode="_(* #,##0_);_(* \(#,##0\);_(* &quot;-&quot;??_);_(@_)"/>
    <numFmt numFmtId="180" formatCode="_ * #,##0.0_ ;_ * \-#,##0.0_ ;_ * &quot;-&quot;?_ ;_ @_ 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_);_(* \(#,##0.00000\);_(* &quot;-&quot;?????_);_(@_)"/>
    <numFmt numFmtId="185" formatCode="#,##0.0"/>
    <numFmt numFmtId="186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Border="1" applyAlignment="1">
      <alignment horizontal="centerContinuous"/>
    </xf>
    <xf numFmtId="179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9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15" applyNumberFormat="1" applyBorder="1" applyAlignment="1">
      <alignment/>
    </xf>
    <xf numFmtId="179" fontId="0" fillId="0" borderId="8" xfId="15" applyNumberFormat="1" applyBorder="1" applyAlignment="1">
      <alignment/>
    </xf>
    <xf numFmtId="179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9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9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1" xfId="15" applyNumberFormat="1" applyFill="1" applyBorder="1" applyAlignment="1">
      <alignment/>
    </xf>
    <xf numFmtId="179" fontId="0" fillId="0" borderId="1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9" fontId="0" fillId="0" borderId="13" xfId="15" applyNumberFormat="1" applyFill="1" applyBorder="1" applyAlignment="1">
      <alignment/>
    </xf>
    <xf numFmtId="179" fontId="0" fillId="0" borderId="13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0" fillId="0" borderId="10" xfId="15" applyNumberFormat="1" applyFill="1" applyBorder="1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4" xfId="15" applyNumberFormat="1" applyFont="1" applyFill="1" applyBorder="1" applyAlignment="1">
      <alignment/>
    </xf>
    <xf numFmtId="179" fontId="0" fillId="0" borderId="15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10" xfId="15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7" xfId="15" applyNumberFormat="1" applyFill="1" applyBorder="1" applyAlignment="1">
      <alignment/>
    </xf>
    <xf numFmtId="179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9" fontId="0" fillId="0" borderId="1" xfId="15" applyNumberFormat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79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9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29" xfId="15" applyNumberFormat="1" applyFill="1" applyBorder="1" applyAlignment="1">
      <alignment/>
    </xf>
    <xf numFmtId="179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9" fontId="0" fillId="0" borderId="32" xfId="15" applyNumberFormat="1" applyBorder="1" applyAlignment="1">
      <alignment/>
    </xf>
    <xf numFmtId="171" fontId="0" fillId="0" borderId="32" xfId="15" applyNumberFormat="1" applyFill="1" applyBorder="1" applyAlignment="1">
      <alignment/>
    </xf>
    <xf numFmtId="171" fontId="0" fillId="0" borderId="32" xfId="15" applyNumberFormat="1" applyBorder="1" applyAlignment="1">
      <alignment/>
    </xf>
    <xf numFmtId="179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9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9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5" xfId="15" applyNumberFormat="1" applyFill="1" applyBorder="1" applyAlignment="1">
      <alignment/>
    </xf>
    <xf numFmtId="179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9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9" fontId="0" fillId="0" borderId="14" xfId="15" applyNumberFormat="1" applyFill="1" applyBorder="1" applyAlignment="1">
      <alignment/>
    </xf>
    <xf numFmtId="171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9" fontId="1" fillId="0" borderId="0" xfId="15" applyNumberFormat="1" applyFont="1" applyFill="1" applyAlignment="1">
      <alignment/>
    </xf>
    <xf numFmtId="179" fontId="1" fillId="0" borderId="14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10" xfId="15" applyNumberFormat="1" applyFont="1" applyFill="1" applyBorder="1" applyAlignment="1">
      <alignment/>
    </xf>
    <xf numFmtId="179" fontId="0" fillId="0" borderId="38" xfId="15" applyNumberFormat="1" applyFill="1" applyBorder="1" applyAlignment="1">
      <alignment/>
    </xf>
    <xf numFmtId="179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9" fontId="1" fillId="0" borderId="39" xfId="15" applyNumberFormat="1" applyFont="1" applyFill="1" applyBorder="1" applyAlignment="1">
      <alignment/>
    </xf>
    <xf numFmtId="179" fontId="1" fillId="0" borderId="15" xfId="15" applyNumberFormat="1" applyFont="1" applyFill="1" applyBorder="1" applyAlignment="1">
      <alignment/>
    </xf>
    <xf numFmtId="179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6" fontId="0" fillId="0" borderId="0" xfId="15" applyNumberFormat="1" applyAlignment="1">
      <alignment/>
    </xf>
    <xf numFmtId="179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17">
      <selection activeCell="E52" sqref="E52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144</v>
      </c>
    </row>
    <row r="9" ht="12.75">
      <c r="A9" t="s">
        <v>20</v>
      </c>
    </row>
    <row r="11" ht="15.75">
      <c r="A11" s="1" t="s">
        <v>145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39355</v>
      </c>
      <c r="G17" s="75">
        <v>38990</v>
      </c>
      <c r="H17" s="83">
        <f>F17</f>
        <v>39355</v>
      </c>
      <c r="I17" s="87">
        <f>G17</f>
        <v>38990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H20-77065</f>
        <v>48743</v>
      </c>
      <c r="G20" s="66">
        <f>I20-35692</f>
        <v>14748</v>
      </c>
      <c r="H20" s="45">
        <v>125808</v>
      </c>
      <c r="I20" s="104">
        <v>50440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H22-(-62941)</f>
        <v>-43330</v>
      </c>
      <c r="G22" s="68">
        <f>I22+32335</f>
        <v>-13457</v>
      </c>
      <c r="H22" s="93">
        <f>-89189-17082</f>
        <v>-106271</v>
      </c>
      <c r="I22" s="106">
        <v>-45792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H24-2558</f>
        <v>2939</v>
      </c>
      <c r="G24" s="68">
        <f>I24-1372</f>
        <v>891</v>
      </c>
      <c r="H24" s="93">
        <f>3354+806+1337</f>
        <v>5497</v>
      </c>
      <c r="I24" s="106">
        <v>2263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8352</v>
      </c>
      <c r="G26" s="70">
        <f>SUM(G20:G24)</f>
        <v>2182</v>
      </c>
      <c r="H26" s="95">
        <f>SUM(H20:H24)</f>
        <v>25034</v>
      </c>
      <c r="I26" s="108">
        <f>SUM(I20:I24)</f>
        <v>6911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H28--924</f>
        <v>-556</v>
      </c>
      <c r="G28" s="68">
        <f>I28+1071</f>
        <v>-307</v>
      </c>
      <c r="H28" s="93">
        <v>-1480</v>
      </c>
      <c r="I28" s="106">
        <v>-1378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-2894</v>
      </c>
      <c r="G30" s="68">
        <f>I30-5034</f>
        <v>0</v>
      </c>
      <c r="H30" s="93">
        <v>-2894</v>
      </c>
      <c r="I30" s="106">
        <v>5034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4902</v>
      </c>
      <c r="G32" s="68">
        <f>SUM(G26:G30)</f>
        <v>1875</v>
      </c>
      <c r="H32" s="93">
        <f>SUM(H26:H30)</f>
        <v>20660</v>
      </c>
      <c r="I32" s="106">
        <f>SUM(I26:I30)</f>
        <v>10567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H34--3722</f>
        <v>-1590</v>
      </c>
      <c r="G34" s="68">
        <f>I34+677</f>
        <v>-497</v>
      </c>
      <c r="H34" s="93">
        <v>-5312</v>
      </c>
      <c r="I34" s="106">
        <v>-1174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3312</v>
      </c>
      <c r="G36" s="72">
        <f>SUM(G32:G34)</f>
        <v>1378</v>
      </c>
      <c r="H36" s="97">
        <f>SUM(H32:H34)</f>
        <v>15348</v>
      </c>
      <c r="I36" s="110">
        <f>SUM(I32:I34)</f>
        <v>9393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H40-9240</f>
        <v>2338</v>
      </c>
      <c r="G40" s="68">
        <f>I40-5945</f>
        <v>1173</v>
      </c>
      <c r="H40" s="93">
        <v>11578</v>
      </c>
      <c r="I40" s="106">
        <v>7118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974</v>
      </c>
      <c r="G42" s="68">
        <f>G44-G40</f>
        <v>205</v>
      </c>
      <c r="H42" s="93">
        <f>H44-H40</f>
        <v>3770</v>
      </c>
      <c r="I42" s="106">
        <f>I44-I40</f>
        <v>2275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3312</v>
      </c>
      <c r="G44" s="72">
        <f>G36</f>
        <v>1378</v>
      </c>
      <c r="H44" s="97">
        <f>H36</f>
        <v>15348</v>
      </c>
      <c r="I44" s="110">
        <f>I36</f>
        <v>9393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F40/213546*100</f>
        <v>1.0948460753186668</v>
      </c>
      <c r="G47" s="78">
        <f>G40/209635*100</f>
        <v>0.559543969279939</v>
      </c>
      <c r="H47" s="46">
        <f>H40/213546*100</f>
        <v>5.421782660410403</v>
      </c>
      <c r="I47" s="100">
        <f>I40/209635*100</f>
        <v>3.39542538221194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132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4">
      <selection activeCell="H37" sqref="H37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6" t="s">
        <v>92</v>
      </c>
    </row>
    <row r="2" ht="15.75">
      <c r="A2" s="1" t="s">
        <v>146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147</v>
      </c>
      <c r="I5" s="4"/>
      <c r="J5" s="4"/>
      <c r="K5" s="13" t="s">
        <v>129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118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119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8">
        <v>20351</v>
      </c>
      <c r="I12" s="4"/>
      <c r="J12" s="4"/>
      <c r="K12" s="134">
        <v>22655</v>
      </c>
      <c r="L12" s="4"/>
    </row>
    <row r="13" spans="1:12" ht="12.75">
      <c r="A13" s="2"/>
      <c r="C13" s="29" t="s">
        <v>130</v>
      </c>
      <c r="G13" s="4"/>
      <c r="H13" s="129">
        <v>22825</v>
      </c>
      <c r="I13" s="4"/>
      <c r="J13" s="4"/>
      <c r="K13" s="137">
        <v>22827</v>
      </c>
      <c r="L13" s="4"/>
    </row>
    <row r="14" spans="1:12" ht="12.75">
      <c r="A14" s="2"/>
      <c r="C14" s="29" t="s">
        <v>96</v>
      </c>
      <c r="G14" s="4"/>
      <c r="H14" s="130">
        <v>130</v>
      </c>
      <c r="I14" s="4"/>
      <c r="J14" s="4"/>
      <c r="K14" s="50">
        <v>131</v>
      </c>
      <c r="L14" s="4"/>
    </row>
    <row r="15" spans="1:12" ht="12.75">
      <c r="A15" s="2"/>
      <c r="C15" s="29" t="s">
        <v>138</v>
      </c>
      <c r="G15" s="4"/>
      <c r="H15" s="130">
        <v>202</v>
      </c>
      <c r="I15" s="4"/>
      <c r="J15" s="4"/>
      <c r="K15" s="50">
        <v>133</v>
      </c>
      <c r="L15" s="4"/>
    </row>
    <row r="16" spans="1:12" ht="12.75">
      <c r="A16" s="2"/>
      <c r="C16" s="29" t="s">
        <v>93</v>
      </c>
      <c r="G16" s="4"/>
      <c r="H16" s="130">
        <v>38551</v>
      </c>
      <c r="I16" s="4"/>
      <c r="J16" s="4"/>
      <c r="K16" s="50">
        <v>43481</v>
      </c>
      <c r="L16" s="4"/>
    </row>
    <row r="17" spans="3:12" ht="12.75">
      <c r="C17" s="29" t="s">
        <v>81</v>
      </c>
      <c r="G17" s="4"/>
      <c r="H17" s="138">
        <v>844</v>
      </c>
      <c r="I17" s="4"/>
      <c r="J17" s="4"/>
      <c r="K17" s="124">
        <v>844</v>
      </c>
      <c r="L17" s="4"/>
    </row>
    <row r="18" spans="2:12" ht="12.75">
      <c r="B18" s="25"/>
      <c r="G18" s="4"/>
      <c r="H18" s="135">
        <f>SUM(H12:H17)</f>
        <v>82903</v>
      </c>
      <c r="I18" s="4"/>
      <c r="J18" s="4"/>
      <c r="K18" s="135">
        <f>SUM(K12:K17)</f>
        <v>90071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140</v>
      </c>
      <c r="G21" s="4"/>
      <c r="H21" s="123">
        <f>8434+950</f>
        <v>9384</v>
      </c>
      <c r="I21" s="4"/>
      <c r="J21" s="4"/>
      <c r="K21" s="123">
        <f>5759+950</f>
        <v>6709</v>
      </c>
      <c r="L21" s="4"/>
    </row>
    <row r="22" spans="3:12" ht="12.75">
      <c r="C22" s="29" t="s">
        <v>139</v>
      </c>
      <c r="G22" s="4"/>
      <c r="H22" s="50">
        <f>104878+15529+137290+80939+100</f>
        <v>338736</v>
      </c>
      <c r="I22" s="4"/>
      <c r="J22" s="4"/>
      <c r="K22" s="50">
        <f>101928+10322+120405+3469+542</f>
        <v>236666</v>
      </c>
      <c r="L22" s="4"/>
    </row>
    <row r="23" spans="3:12" ht="12.75">
      <c r="C23" s="29" t="s">
        <v>94</v>
      </c>
      <c r="G23" s="4"/>
      <c r="H23" s="50">
        <v>5541</v>
      </c>
      <c r="I23" s="4"/>
      <c r="J23" s="4"/>
      <c r="K23" s="50">
        <v>7445</v>
      </c>
      <c r="L23" s="4"/>
    </row>
    <row r="24" spans="3:12" ht="12.75">
      <c r="C24" s="29" t="s">
        <v>124</v>
      </c>
      <c r="G24" s="4"/>
      <c r="H24" s="50">
        <v>63763</v>
      </c>
      <c r="I24" s="4"/>
      <c r="J24" s="4"/>
      <c r="K24" s="50">
        <v>27296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7">
        <f>SUM(H21:H24)</f>
        <v>417424</v>
      </c>
      <c r="I26" s="4"/>
      <c r="J26" s="4"/>
      <c r="K26" s="127">
        <f>SUM(K21:K24)</f>
        <v>278116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120</v>
      </c>
      <c r="G28" s="4"/>
      <c r="H28" s="125">
        <f>H26+H18</f>
        <v>500327</v>
      </c>
      <c r="I28" s="4"/>
      <c r="J28" s="4"/>
      <c r="K28" s="126">
        <f>K26+K18</f>
        <v>368187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121</v>
      </c>
      <c r="G31" s="4"/>
      <c r="H31" s="52"/>
      <c r="I31" s="4"/>
      <c r="J31" s="4"/>
      <c r="K31" s="52"/>
      <c r="L31" s="4"/>
    </row>
    <row r="32" spans="2:12" ht="12.75">
      <c r="B32" s="25" t="s">
        <v>113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8">
        <v>213563.324</v>
      </c>
      <c r="I33" s="4"/>
      <c r="J33" s="4"/>
      <c r="K33" s="128">
        <v>213563.324</v>
      </c>
      <c r="L33" s="4"/>
    </row>
    <row r="34" spans="3:12" ht="12.75">
      <c r="C34" s="29" t="s">
        <v>17</v>
      </c>
      <c r="G34" s="4"/>
      <c r="H34" s="129">
        <f>54611-H35</f>
        <v>54620</v>
      </c>
      <c r="I34" s="4"/>
      <c r="J34" s="4"/>
      <c r="K34" s="129">
        <f>46279+1844</f>
        <v>48123</v>
      </c>
      <c r="L34" s="4"/>
    </row>
    <row r="35" spans="3:12" ht="12.75">
      <c r="C35" s="29" t="s">
        <v>110</v>
      </c>
      <c r="G35" s="4"/>
      <c r="H35" s="130">
        <v>-9</v>
      </c>
      <c r="I35" s="4"/>
      <c r="J35" s="4"/>
      <c r="K35" s="130">
        <v>-1843</v>
      </c>
      <c r="L35" s="4"/>
    </row>
    <row r="36" spans="7:12" ht="12.75">
      <c r="G36" s="4"/>
      <c r="H36" s="131">
        <f>SUM(H33:H35)</f>
        <v>268174.324</v>
      </c>
      <c r="I36" s="4"/>
      <c r="J36" s="4"/>
      <c r="K36" s="131">
        <f>SUM(K33:K35)</f>
        <v>259843.324</v>
      </c>
      <c r="L36" s="4"/>
    </row>
    <row r="37" spans="1:12" ht="12.75">
      <c r="A37" s="2"/>
      <c r="B37" s="25" t="s">
        <v>19</v>
      </c>
      <c r="G37" s="4"/>
      <c r="H37" s="124">
        <v>40991</v>
      </c>
      <c r="I37" s="4"/>
      <c r="J37" s="4"/>
      <c r="K37" s="124">
        <v>37903</v>
      </c>
      <c r="L37" s="4"/>
    </row>
    <row r="38" spans="1:12" ht="12.75">
      <c r="A38" s="2"/>
      <c r="B38" s="25" t="s">
        <v>122</v>
      </c>
      <c r="G38" s="4"/>
      <c r="H38" s="132">
        <f>H37+H36</f>
        <v>309165.324</v>
      </c>
      <c r="I38" s="4"/>
      <c r="J38" s="4"/>
      <c r="K38" s="132">
        <f>K37+K36</f>
        <v>297746.324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125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3">
        <v>7739</v>
      </c>
      <c r="I41" s="4"/>
      <c r="J41" s="4"/>
      <c r="K41" s="123">
        <v>9044</v>
      </c>
      <c r="L41" s="4"/>
    </row>
    <row r="42" spans="1:12" ht="12.75">
      <c r="A42" s="2"/>
      <c r="C42" s="29" t="s">
        <v>131</v>
      </c>
      <c r="G42" s="4"/>
      <c r="H42" s="124">
        <v>383</v>
      </c>
      <c r="I42" s="4"/>
      <c r="J42" s="4"/>
      <c r="K42" s="124">
        <v>383</v>
      </c>
      <c r="L42" s="4"/>
    </row>
    <row r="43" spans="1:12" ht="12.75">
      <c r="A43" s="2"/>
      <c r="B43" s="25"/>
      <c r="G43" s="4"/>
      <c r="H43" s="124">
        <f>SUM(H41:H42)</f>
        <v>8122</v>
      </c>
      <c r="I43" s="4"/>
      <c r="J43" s="4"/>
      <c r="K43" s="124">
        <f>SUM(K41:K42)</f>
        <v>9427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141</v>
      </c>
      <c r="G46" s="4"/>
      <c r="H46" s="123">
        <f>97117+52172+18372+1</f>
        <v>167662</v>
      </c>
      <c r="I46" s="4"/>
      <c r="J46" s="4"/>
      <c r="K46" s="123">
        <f>32065+5592+10547</f>
        <v>48204</v>
      </c>
      <c r="L46" s="4"/>
    </row>
    <row r="47" spans="3:12" ht="12.75">
      <c r="C47" s="29" t="s">
        <v>95</v>
      </c>
      <c r="G47" s="4"/>
      <c r="H47" s="51">
        <v>12431</v>
      </c>
      <c r="I47" s="4"/>
      <c r="J47" s="4"/>
      <c r="K47" s="51">
        <v>12782</v>
      </c>
      <c r="L47" s="4"/>
    </row>
    <row r="48" spans="3:12" ht="12.75">
      <c r="C48" s="29" t="s">
        <v>35</v>
      </c>
      <c r="G48" s="4"/>
      <c r="H48" s="51">
        <v>2947</v>
      </c>
      <c r="I48" s="4"/>
      <c r="J48" s="4"/>
      <c r="K48" s="51">
        <v>28</v>
      </c>
      <c r="L48" s="4"/>
    </row>
    <row r="49" spans="3:12" ht="12.75">
      <c r="C49" s="3"/>
      <c r="G49" s="4"/>
      <c r="H49" s="127">
        <f>SUM(H46:H48)</f>
        <v>183040</v>
      </c>
      <c r="I49" s="4"/>
      <c r="J49" s="4"/>
      <c r="K49" s="127">
        <f>SUM(K46:K48)</f>
        <v>61014</v>
      </c>
      <c r="L49" s="4"/>
    </row>
    <row r="50" spans="2:12" ht="12.75">
      <c r="B50" s="25" t="s">
        <v>128</v>
      </c>
      <c r="C50" s="3"/>
      <c r="G50" s="4"/>
      <c r="H50" s="133">
        <f>H49+H43</f>
        <v>191162</v>
      </c>
      <c r="I50" s="4"/>
      <c r="J50" s="4"/>
      <c r="K50" s="133">
        <f>K49+K43</f>
        <v>70441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123</v>
      </c>
      <c r="G52" s="4"/>
      <c r="H52" s="53">
        <f>H49+H43+H38</f>
        <v>500327.324</v>
      </c>
      <c r="I52" s="4"/>
      <c r="J52" s="4"/>
      <c r="K52" s="53">
        <f>K49+K43+K38</f>
        <v>368187.324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97</v>
      </c>
      <c r="C54" s="25"/>
      <c r="D54" s="25"/>
      <c r="G54" s="4"/>
      <c r="H54" s="115">
        <f>H36/(213563-17)</f>
        <v>1.2558152529197457</v>
      </c>
      <c r="I54" s="15"/>
      <c r="J54" s="15"/>
      <c r="K54" s="115">
        <f>K36/(213563-3999)</f>
        <v>1.2399234792235307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6"/>
    </row>
    <row r="59" spans="2:8" ht="12.75">
      <c r="B59" s="34" t="s">
        <v>36</v>
      </c>
      <c r="H59" s="9"/>
    </row>
    <row r="60" ht="12.75">
      <c r="B60" s="35" t="s">
        <v>133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5">
      <selection activeCell="G31" sqref="G3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152</v>
      </c>
    </row>
    <row r="4" ht="15.75">
      <c r="A4" s="1"/>
    </row>
    <row r="5" spans="7:9" ht="12.75">
      <c r="G5" s="31"/>
      <c r="I5" s="31" t="s">
        <v>114</v>
      </c>
    </row>
    <row r="6" spans="3:11" ht="12.75">
      <c r="C6" s="31" t="s">
        <v>53</v>
      </c>
      <c r="D6" s="31" t="s">
        <v>53</v>
      </c>
      <c r="E6" s="31" t="s">
        <v>105</v>
      </c>
      <c r="F6" s="31" t="s">
        <v>56</v>
      </c>
      <c r="G6" s="31" t="s">
        <v>85</v>
      </c>
      <c r="H6" s="31" t="s">
        <v>88</v>
      </c>
      <c r="I6" s="31" t="s">
        <v>115</v>
      </c>
      <c r="J6" s="31" t="s">
        <v>117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106</v>
      </c>
      <c r="F7" s="31" t="s">
        <v>17</v>
      </c>
      <c r="G7" s="31" t="s">
        <v>84</v>
      </c>
      <c r="H7" s="31" t="s">
        <v>82</v>
      </c>
      <c r="I7" s="31" t="s">
        <v>116</v>
      </c>
      <c r="J7" s="31" t="s">
        <v>112</v>
      </c>
      <c r="K7" s="31" t="s">
        <v>111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149</v>
      </c>
    </row>
    <row r="18" ht="12.75">
      <c r="I18" s="112"/>
    </row>
    <row r="19" spans="2:11" ht="12.75">
      <c r="B19" t="s">
        <v>135</v>
      </c>
      <c r="C19" s="55">
        <v>213563</v>
      </c>
      <c r="D19" s="55">
        <v>10392</v>
      </c>
      <c r="E19" s="55">
        <f>24547-899</f>
        <v>23648</v>
      </c>
      <c r="F19" s="55">
        <f>-1618+899</f>
        <v>-719</v>
      </c>
      <c r="G19" s="55">
        <v>14802</v>
      </c>
      <c r="H19" s="55">
        <v>-1843</v>
      </c>
      <c r="I19" s="118">
        <f>SUM(C19:H19)</f>
        <v>259843</v>
      </c>
      <c r="J19" s="55">
        <v>37903</v>
      </c>
      <c r="K19" s="118">
        <f>SUM(I19:J19)</f>
        <v>297746</v>
      </c>
    </row>
    <row r="20" spans="3:11" ht="12.75">
      <c r="C20" s="55"/>
      <c r="D20" s="55"/>
      <c r="E20" s="55"/>
      <c r="F20" s="55"/>
      <c r="G20" s="55"/>
      <c r="H20" s="55"/>
      <c r="I20" s="118"/>
      <c r="J20" s="55"/>
      <c r="K20" s="118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11578</v>
      </c>
      <c r="H21" s="55">
        <v>0</v>
      </c>
      <c r="I21" s="118">
        <f aca="true" t="shared" si="0" ref="I21:I35">SUM(C21:H21)</f>
        <v>11578</v>
      </c>
      <c r="J21" s="55">
        <f>'Consol Y Stmt'!H42</f>
        <v>3770</v>
      </c>
      <c r="K21" s="118">
        <f aca="true" t="shared" si="1" ref="K21:K35">SUM(I21:J21)</f>
        <v>15348</v>
      </c>
    </row>
    <row r="22" spans="3:11" ht="12.75">
      <c r="C22" s="55"/>
      <c r="D22" s="55"/>
      <c r="E22" s="55"/>
      <c r="F22" s="55"/>
      <c r="G22" s="55"/>
      <c r="H22" s="55"/>
      <c r="I22" s="118"/>
      <c r="J22" s="55"/>
      <c r="K22" s="118"/>
    </row>
    <row r="23" spans="2:11" ht="25.5">
      <c r="B23" s="117" t="s">
        <v>136</v>
      </c>
      <c r="C23" s="55">
        <v>0</v>
      </c>
      <c r="D23" s="55">
        <v>0</v>
      </c>
      <c r="E23" s="55">
        <f>-2116-1750</f>
        <v>-3866</v>
      </c>
      <c r="F23" s="55">
        <v>0</v>
      </c>
      <c r="G23" s="55">
        <v>0</v>
      </c>
      <c r="H23" s="55">
        <v>0</v>
      </c>
      <c r="I23" s="118">
        <f t="shared" si="0"/>
        <v>-3866</v>
      </c>
      <c r="J23" s="55">
        <v>-750</v>
      </c>
      <c r="K23" s="118">
        <f t="shared" si="1"/>
        <v>-4616</v>
      </c>
    </row>
    <row r="24" spans="3:11" ht="12.75">
      <c r="C24" s="55"/>
      <c r="D24" s="55"/>
      <c r="E24" s="55"/>
      <c r="F24" s="55"/>
      <c r="G24" s="55"/>
      <c r="H24" s="55"/>
      <c r="I24" s="118"/>
      <c r="J24" s="55"/>
      <c r="K24" s="118"/>
    </row>
    <row r="25" spans="2:11" ht="25.5">
      <c r="B25" s="117" t="s">
        <v>107</v>
      </c>
      <c r="C25" s="55">
        <v>0</v>
      </c>
      <c r="D25" s="55">
        <v>0</v>
      </c>
      <c r="E25" s="55">
        <f>2894</f>
        <v>2894</v>
      </c>
      <c r="F25" s="55">
        <v>0</v>
      </c>
      <c r="G25" s="55">
        <v>0</v>
      </c>
      <c r="H25" s="55">
        <v>0</v>
      </c>
      <c r="I25" s="118">
        <f t="shared" si="0"/>
        <v>2894</v>
      </c>
      <c r="J25" s="55">
        <v>0</v>
      </c>
      <c r="K25" s="118">
        <f t="shared" si="1"/>
        <v>2894</v>
      </c>
    </row>
    <row r="26" spans="3:11" ht="12.75">
      <c r="C26" s="55"/>
      <c r="D26" s="55"/>
      <c r="E26" s="55"/>
      <c r="F26" s="55"/>
      <c r="G26" s="55"/>
      <c r="H26" s="55"/>
      <c r="I26" s="118"/>
      <c r="J26" s="55"/>
      <c r="K26" s="118">
        <f t="shared" si="1"/>
        <v>0</v>
      </c>
    </row>
    <row r="27" spans="2:11" ht="25.5">
      <c r="B27" s="117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8">
        <f t="shared" si="0"/>
        <v>0</v>
      </c>
      <c r="J27" s="55">
        <v>0</v>
      </c>
      <c r="K27" s="118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8"/>
      <c r="J28" s="55"/>
      <c r="K28" s="118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f>-177-4</f>
        <v>-181</v>
      </c>
      <c r="I29" s="118">
        <f t="shared" si="0"/>
        <v>-181</v>
      </c>
      <c r="J29" s="55">
        <v>0</v>
      </c>
      <c r="K29" s="118">
        <f t="shared" si="1"/>
        <v>-181</v>
      </c>
    </row>
    <row r="30" spans="2:11" ht="12.75">
      <c r="B30" s="30"/>
      <c r="C30" s="55"/>
      <c r="D30" s="55"/>
      <c r="E30" s="55"/>
      <c r="F30" s="55"/>
      <c r="G30" s="55"/>
      <c r="H30" s="55"/>
      <c r="I30" s="118"/>
      <c r="J30" s="55"/>
      <c r="K30" s="118"/>
    </row>
    <row r="31" spans="2:11" ht="12.75">
      <c r="B31" t="s">
        <v>153</v>
      </c>
      <c r="C31" s="55"/>
      <c r="D31" s="55">
        <v>-2015</v>
      </c>
      <c r="E31" s="55"/>
      <c r="F31" s="55"/>
      <c r="G31" s="55"/>
      <c r="H31" s="55">
        <v>2015</v>
      </c>
      <c r="I31" s="118"/>
      <c r="J31" s="55"/>
      <c r="K31" s="118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8"/>
      <c r="J32" s="55"/>
      <c r="K32" s="118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-2094</v>
      </c>
      <c r="H33" s="55">
        <v>0</v>
      </c>
      <c r="I33" s="118">
        <f t="shared" si="0"/>
        <v>-2094</v>
      </c>
      <c r="J33" s="55">
        <v>0</v>
      </c>
      <c r="K33" s="118">
        <f t="shared" si="1"/>
        <v>-2094</v>
      </c>
    </row>
    <row r="34" spans="3:11" ht="12.75">
      <c r="C34" s="55"/>
      <c r="D34" s="55"/>
      <c r="E34" s="55"/>
      <c r="F34" s="55"/>
      <c r="G34" s="55"/>
      <c r="H34" s="55"/>
      <c r="I34" s="118"/>
      <c r="J34" s="55"/>
      <c r="K34" s="118"/>
    </row>
    <row r="35" spans="2:11" ht="25.5">
      <c r="B35" s="139" t="s">
        <v>143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8">
        <f t="shared" si="0"/>
        <v>0</v>
      </c>
      <c r="J35" s="55">
        <v>68</v>
      </c>
      <c r="K35" s="118">
        <f t="shared" si="1"/>
        <v>68</v>
      </c>
    </row>
    <row r="36" spans="3:11" ht="12.75">
      <c r="C36" s="56"/>
      <c r="D36" s="56"/>
      <c r="E36" s="56"/>
      <c r="F36" s="56"/>
      <c r="G36" s="56"/>
      <c r="H36" s="56"/>
      <c r="I36" s="118"/>
      <c r="J36" s="56"/>
      <c r="K36" s="121"/>
    </row>
    <row r="37" spans="2:11" ht="13.5" thickBot="1">
      <c r="B37" t="s">
        <v>134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22676</v>
      </c>
      <c r="F37" s="57">
        <f t="shared" si="2"/>
        <v>-719</v>
      </c>
      <c r="G37" s="57">
        <f t="shared" si="2"/>
        <v>24286</v>
      </c>
      <c r="H37" s="57">
        <f t="shared" si="2"/>
        <v>-9</v>
      </c>
      <c r="I37" s="122">
        <f t="shared" si="2"/>
        <v>268174</v>
      </c>
      <c r="J37" s="57">
        <f t="shared" si="2"/>
        <v>40991</v>
      </c>
      <c r="K37" s="122">
        <f t="shared" si="2"/>
        <v>309165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56"/>
      <c r="K38" s="56"/>
    </row>
    <row r="39" spans="3:11" ht="12.75">
      <c r="C39" s="56"/>
      <c r="D39" s="56"/>
      <c r="E39" s="65"/>
      <c r="F39" s="56"/>
      <c r="G39" s="56"/>
      <c r="H39" s="56"/>
      <c r="I39" s="56"/>
      <c r="J39" s="56"/>
      <c r="K39" s="56"/>
    </row>
    <row r="40" ht="12.75">
      <c r="B40" s="25" t="s">
        <v>148</v>
      </c>
    </row>
    <row r="41" ht="12.75">
      <c r="B41" t="s">
        <v>102</v>
      </c>
    </row>
    <row r="42" spans="2:11" ht="12.75">
      <c r="B42" t="s">
        <v>103</v>
      </c>
      <c r="C42" s="55">
        <v>213563</v>
      </c>
      <c r="D42" s="55">
        <v>10392</v>
      </c>
      <c r="E42" s="55">
        <v>0</v>
      </c>
      <c r="F42" s="55">
        <f>-1624+899</f>
        <v>-725</v>
      </c>
      <c r="G42" s="55">
        <v>6127</v>
      </c>
      <c r="H42" s="55">
        <v>-1070</v>
      </c>
      <c r="I42" s="118">
        <f>SUM(C42:H42)</f>
        <v>228287</v>
      </c>
      <c r="J42" s="55">
        <v>34066</v>
      </c>
      <c r="K42" s="118">
        <f>SUM(I42:J42)</f>
        <v>262353</v>
      </c>
    </row>
    <row r="43" spans="3:11" ht="12.75">
      <c r="C43" s="55"/>
      <c r="D43" s="55"/>
      <c r="E43" s="55"/>
      <c r="F43" s="55"/>
      <c r="G43" s="55"/>
      <c r="H43" s="55"/>
      <c r="I43" s="118"/>
      <c r="J43" s="55"/>
      <c r="K43" s="118"/>
    </row>
    <row r="44" spans="2:11" ht="12.75">
      <c r="B44" t="s">
        <v>126</v>
      </c>
      <c r="C44" s="55">
        <v>0</v>
      </c>
      <c r="D44" s="55">
        <v>0</v>
      </c>
      <c r="E44" s="55">
        <v>0</v>
      </c>
      <c r="F44" s="55">
        <v>0</v>
      </c>
      <c r="G44" s="55">
        <v>464</v>
      </c>
      <c r="H44" s="55">
        <v>0</v>
      </c>
      <c r="I44" s="118">
        <f>SUM(C44:H44)</f>
        <v>464</v>
      </c>
      <c r="J44" s="55">
        <v>0</v>
      </c>
      <c r="K44" s="118">
        <f>SUM(I44:J44)</f>
        <v>464</v>
      </c>
    </row>
    <row r="45" spans="3:11" ht="12.75">
      <c r="C45" s="55"/>
      <c r="D45" s="55"/>
      <c r="E45" s="55"/>
      <c r="F45" s="55"/>
      <c r="G45" s="55"/>
      <c r="H45" s="55"/>
      <c r="I45" s="118"/>
      <c r="J45" s="55"/>
      <c r="K45" s="118"/>
    </row>
    <row r="46" spans="2:11" ht="12.75">
      <c r="B46" t="s">
        <v>127</v>
      </c>
      <c r="C46" s="47">
        <v>0</v>
      </c>
      <c r="D46" s="47">
        <v>0</v>
      </c>
      <c r="E46" s="47">
        <f>1320+4334</f>
        <v>5654</v>
      </c>
      <c r="F46" s="47">
        <v>0</v>
      </c>
      <c r="G46" s="47">
        <v>0</v>
      </c>
      <c r="H46" s="47">
        <v>0</v>
      </c>
      <c r="I46" s="120">
        <f>SUM(C46:H46)</f>
        <v>5654</v>
      </c>
      <c r="J46" s="47">
        <v>0</v>
      </c>
      <c r="K46" s="118">
        <f>SUM(I46:J46)</f>
        <v>5654</v>
      </c>
    </row>
    <row r="47" spans="3:11" ht="12.75">
      <c r="C47" s="114"/>
      <c r="D47" s="114"/>
      <c r="E47" s="114"/>
      <c r="F47" s="114"/>
      <c r="G47" s="114"/>
      <c r="H47" s="114"/>
      <c r="I47" s="119"/>
      <c r="J47" s="114"/>
      <c r="K47" s="119"/>
    </row>
    <row r="48" spans="2:11" ht="12.75">
      <c r="B48" t="s">
        <v>104</v>
      </c>
      <c r="C48" s="47">
        <f aca="true" t="shared" si="3" ref="C48:K48">SUM(C42:C46)</f>
        <v>213563</v>
      </c>
      <c r="D48" s="47">
        <f t="shared" si="3"/>
        <v>10392</v>
      </c>
      <c r="E48" s="47">
        <f t="shared" si="3"/>
        <v>5654</v>
      </c>
      <c r="F48" s="47">
        <f t="shared" si="3"/>
        <v>-725</v>
      </c>
      <c r="G48" s="47">
        <f t="shared" si="3"/>
        <v>6591</v>
      </c>
      <c r="H48" s="47">
        <f t="shared" si="3"/>
        <v>-1070</v>
      </c>
      <c r="I48" s="120">
        <f t="shared" si="3"/>
        <v>234405</v>
      </c>
      <c r="J48" s="47">
        <f t="shared" si="3"/>
        <v>34066</v>
      </c>
      <c r="K48" s="120">
        <f t="shared" si="3"/>
        <v>268471</v>
      </c>
    </row>
    <row r="49" spans="3:11" ht="12.75">
      <c r="C49" s="56"/>
      <c r="D49" s="56"/>
      <c r="E49" s="56"/>
      <c r="F49" s="56"/>
      <c r="G49" s="56"/>
      <c r="H49" s="56"/>
      <c r="I49" s="121"/>
      <c r="J49" s="56"/>
      <c r="K49" s="118"/>
    </row>
    <row r="50" spans="2:11" ht="12.75">
      <c r="B50" t="s">
        <v>86</v>
      </c>
      <c r="C50" s="55">
        <v>0</v>
      </c>
      <c r="D50" s="55">
        <v>0</v>
      </c>
      <c r="E50" s="55"/>
      <c r="F50" s="55">
        <v>0</v>
      </c>
      <c r="G50" s="55">
        <f>'Consol Y Stmt'!H65</f>
        <v>0</v>
      </c>
      <c r="H50" s="55">
        <f>'Consol Y Stmt'!I40</f>
        <v>7118</v>
      </c>
      <c r="I50" s="118">
        <f>SUM(C50:H50)</f>
        <v>7118</v>
      </c>
      <c r="J50" s="55">
        <f>'Consol Y Stmt'!I42</f>
        <v>2275</v>
      </c>
      <c r="K50" s="118">
        <f>SUM(I50:J50)</f>
        <v>9393</v>
      </c>
    </row>
    <row r="51" spans="3:11" ht="12.75">
      <c r="C51" s="55"/>
      <c r="D51" s="55"/>
      <c r="E51" s="55"/>
      <c r="F51" s="55"/>
      <c r="G51" s="55"/>
      <c r="H51" s="55"/>
      <c r="I51" s="118"/>
      <c r="J51" s="55"/>
      <c r="K51" s="118"/>
    </row>
    <row r="52" spans="2:11" ht="25.5">
      <c r="B52" s="117" t="s">
        <v>109</v>
      </c>
      <c r="C52" s="55">
        <v>0</v>
      </c>
      <c r="D52" s="55">
        <v>0</v>
      </c>
      <c r="E52" s="55">
        <v>18044</v>
      </c>
      <c r="F52" s="55">
        <v>0</v>
      </c>
      <c r="G52" s="55">
        <v>0</v>
      </c>
      <c r="H52" s="55">
        <v>0</v>
      </c>
      <c r="I52" s="118">
        <f>SUM(C52:H52)</f>
        <v>18044</v>
      </c>
      <c r="J52" s="55">
        <v>1383</v>
      </c>
      <c r="K52" s="118">
        <f>SUM(I52:J52)</f>
        <v>19427</v>
      </c>
    </row>
    <row r="53" spans="3:11" ht="12.75">
      <c r="C53" s="55"/>
      <c r="D53" s="55"/>
      <c r="E53" s="55"/>
      <c r="F53" s="55"/>
      <c r="G53" s="55"/>
      <c r="H53" s="55"/>
      <c r="I53" s="118"/>
      <c r="J53" s="55"/>
      <c r="K53" s="118"/>
    </row>
    <row r="54" spans="2:11" ht="25.5">
      <c r="B54" s="117" t="s">
        <v>107</v>
      </c>
      <c r="C54" s="55">
        <v>0</v>
      </c>
      <c r="D54" s="55">
        <v>0</v>
      </c>
      <c r="E54" s="55">
        <v>-3215</v>
      </c>
      <c r="F54" s="55">
        <v>0</v>
      </c>
      <c r="G54" s="55">
        <v>0</v>
      </c>
      <c r="H54" s="55">
        <v>0</v>
      </c>
      <c r="I54" s="118">
        <f>SUM(C54:H54)</f>
        <v>-3215</v>
      </c>
      <c r="J54" s="55">
        <v>-1378</v>
      </c>
      <c r="K54" s="118">
        <f>SUM(I54:J54)</f>
        <v>-4593</v>
      </c>
    </row>
    <row r="55" spans="3:11" ht="12.75">
      <c r="C55" s="55"/>
      <c r="D55" s="55"/>
      <c r="E55" s="55"/>
      <c r="F55" s="55"/>
      <c r="G55" s="55"/>
      <c r="H55" s="55"/>
      <c r="I55" s="118"/>
      <c r="J55" s="55"/>
      <c r="K55" s="118">
        <f>SUM(I55:J55)</f>
        <v>0</v>
      </c>
    </row>
    <row r="56" spans="2:11" ht="25.5">
      <c r="B56" s="117" t="s">
        <v>89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8">
        <f>SUM(C56:H56)</f>
        <v>0</v>
      </c>
      <c r="J56" s="55">
        <v>0</v>
      </c>
      <c r="K56" s="118">
        <f>SUM(I56:J56)</f>
        <v>0</v>
      </c>
    </row>
    <row r="57" spans="3:11" ht="12.75">
      <c r="C57" s="55"/>
      <c r="D57" s="55"/>
      <c r="E57" s="55"/>
      <c r="F57" s="55"/>
      <c r="G57" s="55"/>
      <c r="H57" s="55"/>
      <c r="I57" s="118"/>
      <c r="J57" s="55"/>
      <c r="K57" s="118"/>
    </row>
    <row r="58" spans="2:11" ht="12.75">
      <c r="B58" t="s">
        <v>83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-735</v>
      </c>
      <c r="I58" s="118">
        <f>SUM(C58:H58)</f>
        <v>-735</v>
      </c>
      <c r="J58" s="55">
        <v>0</v>
      </c>
      <c r="K58" s="118">
        <f>SUM(I58:J58)</f>
        <v>-735</v>
      </c>
    </row>
    <row r="59" spans="2:11" ht="12.75">
      <c r="B59" s="30"/>
      <c r="C59" s="55"/>
      <c r="D59" s="55"/>
      <c r="E59" s="55"/>
      <c r="F59" s="55"/>
      <c r="G59" s="55"/>
      <c r="H59" s="55"/>
      <c r="I59" s="118"/>
      <c r="J59" s="55"/>
      <c r="K59" s="118"/>
    </row>
    <row r="60" spans="2:11" ht="12.75">
      <c r="B60" t="s">
        <v>87</v>
      </c>
      <c r="C60" s="55">
        <v>0</v>
      </c>
      <c r="D60" s="55">
        <v>0</v>
      </c>
      <c r="E60" s="55">
        <v>0</v>
      </c>
      <c r="F60" s="55">
        <v>0</v>
      </c>
      <c r="G60" s="55">
        <v>-2101</v>
      </c>
      <c r="H60" s="55">
        <v>0</v>
      </c>
      <c r="I60" s="118">
        <f>SUM(C60:H60)</f>
        <v>-2101</v>
      </c>
      <c r="J60" s="55">
        <v>0</v>
      </c>
      <c r="K60" s="118">
        <f>SUM(I60:J60)</f>
        <v>-2101</v>
      </c>
    </row>
    <row r="61" spans="3:11" ht="12.75">
      <c r="C61" s="56"/>
      <c r="D61" s="56"/>
      <c r="E61" s="56"/>
      <c r="F61" s="56"/>
      <c r="G61" s="56"/>
      <c r="H61" s="56"/>
      <c r="I61" s="121"/>
      <c r="J61" s="56"/>
      <c r="K61" s="121"/>
    </row>
    <row r="62" spans="2:11" ht="13.5" thickBot="1">
      <c r="B62" t="s">
        <v>108</v>
      </c>
      <c r="C62" s="57">
        <f aca="true" t="shared" si="4" ref="C62:K62">SUM(C48:C61)</f>
        <v>213563</v>
      </c>
      <c r="D62" s="57">
        <f t="shared" si="4"/>
        <v>10392</v>
      </c>
      <c r="E62" s="57">
        <f t="shared" si="4"/>
        <v>20483</v>
      </c>
      <c r="F62" s="57">
        <f t="shared" si="4"/>
        <v>-725</v>
      </c>
      <c r="G62" s="57">
        <f t="shared" si="4"/>
        <v>4490</v>
      </c>
      <c r="H62" s="57">
        <f t="shared" si="4"/>
        <v>5313</v>
      </c>
      <c r="I62" s="122">
        <f t="shared" si="4"/>
        <v>253516</v>
      </c>
      <c r="J62" s="57">
        <f t="shared" si="4"/>
        <v>36346</v>
      </c>
      <c r="K62" s="122">
        <f t="shared" si="4"/>
        <v>289862</v>
      </c>
    </row>
    <row r="63" ht="13.5" thickTop="1"/>
    <row r="68" ht="12.75">
      <c r="B68" s="34" t="s">
        <v>61</v>
      </c>
    </row>
    <row r="69" ht="12.75">
      <c r="B69" s="35" t="s">
        <v>133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75" zoomScaleNormal="75" workbookViewId="0" topLeftCell="A17">
      <selection activeCell="I36" sqref="I36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150</v>
      </c>
    </row>
    <row r="5" spans="2:6" ht="12.75">
      <c r="B5" s="36"/>
      <c r="D5" s="31" t="s">
        <v>151</v>
      </c>
      <c r="F5" s="31" t="s">
        <v>151</v>
      </c>
    </row>
    <row r="6" spans="4:6" ht="12.75">
      <c r="D6" s="31" t="s">
        <v>38</v>
      </c>
      <c r="F6" s="31" t="s">
        <v>38</v>
      </c>
    </row>
    <row r="7" spans="4:6" ht="12.75">
      <c r="D7" s="32">
        <v>39355</v>
      </c>
      <c r="F7" s="32">
        <v>38990</v>
      </c>
    </row>
    <row r="8" spans="4:6" ht="12.75">
      <c r="D8" s="26" t="s">
        <v>11</v>
      </c>
      <c r="F8" s="26" t="s">
        <v>11</v>
      </c>
    </row>
    <row r="10" spans="2:6" ht="12.75">
      <c r="B10" s="25" t="s">
        <v>74</v>
      </c>
      <c r="D10" s="58">
        <f>'Consol Y Stmt'!H32</f>
        <v>20660</v>
      </c>
      <c r="E10" s="56"/>
      <c r="F10" s="58">
        <v>10567</v>
      </c>
    </row>
    <row r="11" spans="4:6" ht="12.75">
      <c r="D11" s="59"/>
      <c r="E11" s="56"/>
      <c r="F11" s="59"/>
    </row>
    <row r="12" spans="2:6" ht="12.75">
      <c r="B12" s="25" t="s">
        <v>39</v>
      </c>
      <c r="D12" s="59"/>
      <c r="E12" s="56"/>
      <c r="F12" s="59"/>
    </row>
    <row r="13" spans="4:6" ht="9.75" customHeight="1">
      <c r="D13" s="59"/>
      <c r="E13" s="56"/>
      <c r="F13" s="59"/>
    </row>
    <row r="14" spans="2:6" ht="12.75">
      <c r="B14" t="s">
        <v>40</v>
      </c>
      <c r="D14" s="58">
        <f>2973+2894-19-2143-437+1485</f>
        <v>4753</v>
      </c>
      <c r="E14" s="56"/>
      <c r="F14" s="58">
        <v>2658</v>
      </c>
    </row>
    <row r="15" spans="2:6" ht="12.75">
      <c r="B15" t="s">
        <v>41</v>
      </c>
      <c r="D15" s="58">
        <f>-D23-D24-D22</f>
        <v>-6404</v>
      </c>
      <c r="E15" s="56"/>
      <c r="F15" s="58">
        <v>-8904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19009</v>
      </c>
      <c r="E17" s="56"/>
      <c r="F17" s="58">
        <f>SUM(F10:F15)</f>
        <v>4321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-102074-532-1</f>
        <v>-102607</v>
      </c>
      <c r="E20" s="56"/>
      <c r="F20" s="58">
        <v>-1946</v>
      </c>
    </row>
    <row r="21" spans="2:6" ht="12.75">
      <c r="B21" t="s">
        <v>44</v>
      </c>
      <c r="D21" s="58">
        <f>119458</f>
        <v>119458</v>
      </c>
      <c r="E21" s="56"/>
      <c r="F21" s="58">
        <v>-11068</v>
      </c>
    </row>
    <row r="22" spans="2:6" ht="12.75">
      <c r="B22" t="s">
        <v>78</v>
      </c>
      <c r="D22" s="58">
        <f>1171+140</f>
        <v>1311</v>
      </c>
      <c r="E22" s="56"/>
      <c r="F22" s="58">
        <v>262</v>
      </c>
    </row>
    <row r="23" spans="2:7" ht="12.75">
      <c r="B23" t="s">
        <v>79</v>
      </c>
      <c r="D23" s="58">
        <v>6573</v>
      </c>
      <c r="E23" s="56"/>
      <c r="F23" s="58">
        <v>4949</v>
      </c>
      <c r="G23" s="112"/>
    </row>
    <row r="24" spans="2:7" ht="12.75">
      <c r="B24" t="s">
        <v>80</v>
      </c>
      <c r="D24" s="58">
        <v>-1480</v>
      </c>
      <c r="E24" s="56"/>
      <c r="F24" s="58">
        <v>-1378</v>
      </c>
      <c r="G24" s="112"/>
    </row>
    <row r="25" spans="2:6" ht="12.75">
      <c r="B25" t="s">
        <v>69</v>
      </c>
      <c r="D25" s="58">
        <v>-1951</v>
      </c>
      <c r="E25" s="56"/>
      <c r="F25" s="58">
        <v>-878</v>
      </c>
    </row>
    <row r="26" spans="2:6" ht="12.75">
      <c r="B26" t="s">
        <v>75</v>
      </c>
      <c r="D26" s="58">
        <v>0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40313</v>
      </c>
      <c r="E28" s="56"/>
      <c r="F28" s="61">
        <f>SUM(F17:F26)</f>
        <v>-5738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-667</v>
      </c>
      <c r="E32" s="56"/>
      <c r="F32" s="58">
        <v>-244</v>
      </c>
    </row>
    <row r="33" spans="2:6" ht="12.75">
      <c r="B33" t="s">
        <v>66</v>
      </c>
      <c r="D33" s="58">
        <v>19</v>
      </c>
      <c r="E33" s="56"/>
      <c r="F33" s="58">
        <v>40</v>
      </c>
    </row>
    <row r="34" spans="2:6" ht="12.75">
      <c r="B34" t="s">
        <v>101</v>
      </c>
      <c r="D34" s="58">
        <v>0</v>
      </c>
      <c r="E34" s="56"/>
      <c r="F34" s="58">
        <v>9549</v>
      </c>
    </row>
    <row r="35" spans="2:6" ht="12.75">
      <c r="B35" t="s">
        <v>142</v>
      </c>
      <c r="D35" s="58">
        <v>-1171</v>
      </c>
      <c r="E35" s="56"/>
      <c r="F35" s="58">
        <v>0</v>
      </c>
    </row>
    <row r="36" spans="2:6" ht="12.75">
      <c r="B36" s="25" t="s">
        <v>50</v>
      </c>
      <c r="D36" s="61">
        <f>SUM(D32:D35)</f>
        <v>-1819</v>
      </c>
      <c r="E36" s="56"/>
      <c r="F36" s="61">
        <f>SUM(F32:F35)</f>
        <v>9345</v>
      </c>
    </row>
    <row r="37" spans="4:6" ht="12.75">
      <c r="D37" s="58"/>
      <c r="E37" s="56"/>
      <c r="F37" s="58"/>
    </row>
    <row r="38" spans="2:6" ht="12.75">
      <c r="B38" s="25" t="s">
        <v>47</v>
      </c>
      <c r="D38" s="58"/>
      <c r="E38" s="56"/>
      <c r="F38" s="58"/>
    </row>
    <row r="39" spans="2:6" ht="6.75" customHeight="1">
      <c r="B39" s="25"/>
      <c r="D39" s="58"/>
      <c r="E39" s="56"/>
      <c r="F39" s="58"/>
    </row>
    <row r="40" spans="2:6" ht="12.75">
      <c r="B40" t="s">
        <v>34</v>
      </c>
      <c r="D40" s="58">
        <v>-1305</v>
      </c>
      <c r="E40" s="56"/>
      <c r="F40" s="58">
        <v>-1196</v>
      </c>
    </row>
    <row r="41" spans="2:6" ht="12.75">
      <c r="B41" t="s">
        <v>48</v>
      </c>
      <c r="D41" s="58">
        <v>-2093</v>
      </c>
      <c r="E41" s="56"/>
      <c r="F41" s="58">
        <v>-2101</v>
      </c>
    </row>
    <row r="42" spans="2:6" ht="12.75">
      <c r="B42" t="s">
        <v>49</v>
      </c>
      <c r="D42" s="58">
        <v>0</v>
      </c>
      <c r="E42" s="56"/>
      <c r="F42" s="58">
        <v>0</v>
      </c>
    </row>
    <row r="43" spans="2:6" ht="12.75">
      <c r="B43" t="s">
        <v>83</v>
      </c>
      <c r="D43" s="58">
        <v>-181</v>
      </c>
      <c r="E43" s="56"/>
      <c r="F43" s="58">
        <v>-735</v>
      </c>
    </row>
    <row r="44" spans="2:6" ht="12.75">
      <c r="B44" s="25" t="s">
        <v>68</v>
      </c>
      <c r="D44" s="61">
        <f>SUM(D40:D43)</f>
        <v>-3579</v>
      </c>
      <c r="E44" s="56"/>
      <c r="F44" s="61">
        <f>SUM(F40:F43)</f>
        <v>-4032</v>
      </c>
    </row>
    <row r="45" spans="4:6" ht="12.75">
      <c r="D45" s="62"/>
      <c r="E45" s="56"/>
      <c r="F45" s="62"/>
    </row>
    <row r="46" spans="2:6" ht="12.75">
      <c r="B46" s="25" t="s">
        <v>51</v>
      </c>
      <c r="D46" s="58">
        <f>D28+D36+D44</f>
        <v>34915</v>
      </c>
      <c r="E46" s="56"/>
      <c r="F46" s="58">
        <f>F28+F36+F44</f>
        <v>-425</v>
      </c>
    </row>
    <row r="47" spans="2:6" ht="12.75">
      <c r="B47" s="25"/>
      <c r="D47" s="58"/>
      <c r="E47" s="56"/>
      <c r="F47" s="58"/>
    </row>
    <row r="48" spans="2:6" ht="12.75">
      <c r="B48" s="25" t="s">
        <v>70</v>
      </c>
      <c r="D48" s="58">
        <v>34385</v>
      </c>
      <c r="E48" s="56"/>
      <c r="F48" s="58">
        <v>20589</v>
      </c>
    </row>
    <row r="49" spans="2:6" ht="12.75">
      <c r="B49" s="25"/>
      <c r="D49" s="58"/>
      <c r="E49" s="56"/>
      <c r="F49" s="58"/>
    </row>
    <row r="50" spans="2:6" ht="13.5" thickBot="1">
      <c r="B50" s="25" t="s">
        <v>63</v>
      </c>
      <c r="D50" s="63">
        <f>SUM(D46:D48)</f>
        <v>69300</v>
      </c>
      <c r="E50" s="56"/>
      <c r="F50" s="63">
        <f>SUM(F46:F48)</f>
        <v>20164</v>
      </c>
    </row>
    <row r="51" spans="4:6" ht="13.5" thickTop="1">
      <c r="D51" s="64"/>
      <c r="E51" s="56"/>
      <c r="F51" s="64"/>
    </row>
    <row r="52" spans="2:6" ht="12.75">
      <c r="B52" s="25" t="s">
        <v>71</v>
      </c>
      <c r="D52" s="64"/>
      <c r="E52" s="56"/>
      <c r="F52" s="64"/>
    </row>
    <row r="53" spans="2:6" ht="12.75">
      <c r="B53" t="s">
        <v>72</v>
      </c>
      <c r="D53" s="64">
        <f>5541+63763</f>
        <v>69304</v>
      </c>
      <c r="E53" s="56"/>
      <c r="F53" s="64">
        <v>26252</v>
      </c>
    </row>
    <row r="54" spans="2:6" ht="12.75">
      <c r="B54" t="s">
        <v>73</v>
      </c>
      <c r="D54" s="64">
        <v>-4</v>
      </c>
      <c r="E54" s="56"/>
      <c r="F54" s="64">
        <v>-6088</v>
      </c>
    </row>
    <row r="55" spans="4:6" ht="13.5" thickBot="1">
      <c r="D55" s="63">
        <f>SUM(D53:D54)</f>
        <v>69300</v>
      </c>
      <c r="E55" s="56"/>
      <c r="F55" s="63">
        <f>SUM(F53:F54)</f>
        <v>20164</v>
      </c>
    </row>
    <row r="56" spans="4:6" ht="13.5" thickTop="1">
      <c r="D56" s="65">
        <f>D50-D55</f>
        <v>0</v>
      </c>
      <c r="E56" s="56"/>
      <c r="F56" s="65">
        <f>F55-F50</f>
        <v>0</v>
      </c>
    </row>
    <row r="57" spans="4:6" ht="12.75">
      <c r="D57" s="56"/>
      <c r="E57" s="56"/>
      <c r="F57" s="56"/>
    </row>
    <row r="58" spans="2:6" ht="12.75">
      <c r="B58" s="34" t="s">
        <v>64</v>
      </c>
      <c r="D58" s="56"/>
      <c r="E58" s="56"/>
      <c r="F58" s="56"/>
    </row>
    <row r="59" spans="2:6" ht="12.75">
      <c r="B59" s="35" t="s">
        <v>137</v>
      </c>
      <c r="D59" s="56"/>
      <c r="E59" s="56"/>
      <c r="F59" s="56"/>
    </row>
    <row r="60" spans="4:6" ht="12.75">
      <c r="D60" s="56"/>
      <c r="E60" s="56"/>
      <c r="F60" s="56"/>
    </row>
    <row r="61" spans="4:6" ht="12.75">
      <c r="D61" s="56"/>
      <c r="E61" s="56"/>
      <c r="F61" s="56"/>
    </row>
    <row r="62" spans="4:6" ht="12.75">
      <c r="D62" s="56"/>
      <c r="E62" s="56"/>
      <c r="F62" s="56"/>
    </row>
    <row r="63" spans="4:6" ht="12.75">
      <c r="D63" s="56"/>
      <c r="E63" s="56"/>
      <c r="F63" s="56"/>
    </row>
  </sheetData>
  <printOptions/>
  <pageMargins left="0.75" right="0.75" top="1" bottom="1" header="0" footer="0"/>
  <pageSetup fitToHeight="1" fitToWidth="1"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2007-10-26T04:19:03Z</cp:lastPrinted>
  <dcterms:created xsi:type="dcterms:W3CDTF">2000-05-08T06:50:43Z</dcterms:created>
  <dcterms:modified xsi:type="dcterms:W3CDTF">2007-11-29T07:51:38Z</dcterms:modified>
  <cp:category/>
  <cp:version/>
  <cp:contentType/>
  <cp:contentStatus/>
</cp:coreProperties>
</file>