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equity'!$A$1:$K$62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<sst xmlns="http://schemas.openxmlformats.org/spreadsheetml/2006/main" count="180" uniqueCount="146">
  <si>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</si>
  <si>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</si>
  <si>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</si>
  <si>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</si>
  <si>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</si>
  <si>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</si>
  <si>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</si>
  <si>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</si>
  <si>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</si>
  <si>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</si>
  <si>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</si>
  <si>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</si>
  <si>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</si>
  <si>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</si>
  <si>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</si>
  <si>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</si>
  <si>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</si>
  <si>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</si>
  <si>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</si>
  <si>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</si>
  <si>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</si>
  <si>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</si>
  <si>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</si>
  <si>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</si>
  <si>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</si>
  <si>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</si>
  <si>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</si>
  <si>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</si>
  <si>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</si>
  <si>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</si>
  <si>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</si>
  <si>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</si>
  <si>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</si>
  <si>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Debtors</t>
  </si>
  <si>
    <t>Creditors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</si>
  <si>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</si>
  <si>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</si>
  <si>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</si>
  <si>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</si>
  <si>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</si>
  <si>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</si>
  <si>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</si>
  <si>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</si>
  <si>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</si>
  <si>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</si>
  <si>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</si>
  <si>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</si>
  <si>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</si>
  <si>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</si>
  <si>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</si>
  <si>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</si>
  <si>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</si>
  <si>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</si>
  <si>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</si>
  <si>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</si>
  <si>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</si>
  <si>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</si>
  <si>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</si>
  <si>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</si>
  <si>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</si>
  <si>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</si>
  <si>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</si>
  <si>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</si>
  <si>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</si>
  <si>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</si>
  <si>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</si>
  <si>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</si>
  <si>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</si>
  <si>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</si>
  <si>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</si>
  <si>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</si>
  <si>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</si>
  <si>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</si>
  <si>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</si>
  <si>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</si>
  <si>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</si>
  <si>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</si>
  <si>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</si>
  <si>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</si>
  <si>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Purchase of investment</t>
  </si>
  <si>
    <t>Dividend Income</t>
  </si>
  <si>
    <t>Interest income</t>
  </si>
  <si>
    <t>Interest expense</t>
  </si>
  <si>
    <t>Balance at end of period 2005</t>
  </si>
  <si>
    <t>Deferred Tax Assets</t>
  </si>
  <si>
    <t>Shares</t>
  </si>
  <si>
    <t>Shares buy-back</t>
  </si>
  <si>
    <t>Profit</t>
  </si>
  <si>
    <t>Unappropriated</t>
  </si>
  <si>
    <t>31.12.2005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</si>
  <si>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</si>
  <si>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</si>
  <si>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</si>
  <si>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</si>
  <si>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</si>
  <si>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the year ended 31 December 2005)</t>
  </si>
  <si>
    <t>for the year ended 31 December 2005)</t>
  </si>
  <si>
    <t>with the Annual Financial Report for the year ended 31 December 2005)</t>
  </si>
  <si>
    <t>(RESTATED)</t>
  </si>
  <si>
    <t xml:space="preserve">                           </t>
  </si>
  <si>
    <t>Available-for-sale Investments</t>
  </si>
  <si>
    <t>Bank Borrowings</t>
  </si>
  <si>
    <t>Discount On Acquisition</t>
  </si>
  <si>
    <t>Prepaid Lease Payments</t>
  </si>
  <si>
    <t>Profit From Operations</t>
  </si>
  <si>
    <t>Profit/(Loss) Before Tax</t>
  </si>
  <si>
    <t>Profit/(Loss) After Tax</t>
  </si>
  <si>
    <t>Proceeds from disposal of available for sales investments</t>
  </si>
  <si>
    <t>Balance at beginning of year 2006</t>
  </si>
  <si>
    <t>As previously stated</t>
  </si>
  <si>
    <t>As restated</t>
  </si>
  <si>
    <t>Fair Value</t>
  </si>
  <si>
    <t>Reserve</t>
  </si>
  <si>
    <t>Transfer from fair value reserve to profit &amp; loss</t>
  </si>
  <si>
    <t>Balance at end of period 2006</t>
  </si>
  <si>
    <t>Unrealised gain on valuation of available for sales investment</t>
  </si>
  <si>
    <t>Balance at beginning of year 2005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</si>
  <si>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</si>
  <si>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</si>
  <si>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</si>
  <si>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</si>
  <si>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</si>
  <si>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</si>
  <si>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</si>
  <si>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</si>
  <si>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Cash and Short Term Funds</t>
  </si>
  <si>
    <t>Non-Current Liabilities</t>
  </si>
  <si>
    <t>Effect on adopting FRS 3</t>
  </si>
  <si>
    <t>Effect on adopting FRS 139</t>
  </si>
  <si>
    <t>Net Current Assets</t>
  </si>
  <si>
    <t>Financed by:</t>
  </si>
  <si>
    <t>Total Equity</t>
  </si>
  <si>
    <t>Non-Current Assets</t>
  </si>
  <si>
    <t>Fixed Deposits with Financial Institutions</t>
  </si>
  <si>
    <t>Property, Plant and Equipment</t>
  </si>
  <si>
    <t>Securities Fair Value Through Profit or Loss</t>
  </si>
  <si>
    <t>Equity Holders of the Parent</t>
  </si>
  <si>
    <t>Net assets per share attributable to equity holders of the parent (RM)</t>
  </si>
  <si>
    <t>Quarterly report on consolidated results for the financial quarter ended 30 September 2006</t>
  </si>
  <si>
    <t>CONDENSED CONSOLIDATED BALANCE SHEETS AS AT 30 SEPTEMBER 2006</t>
  </si>
  <si>
    <t>30.09.2006</t>
  </si>
  <si>
    <t>9 months ended 30 September 2005</t>
  </si>
  <si>
    <t>9 months ended 30 September 2006</t>
  </si>
  <si>
    <t>FOR THE PERIOD ENDED 30 SEPTEMBER 2006</t>
  </si>
  <si>
    <t>9 months</t>
  </si>
  <si>
    <t>CONDENSED CONSOLIDATED INCOME STATEMENT FOR THE QUARTER ENDED 30 SEPTEMBER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</si>
</sst>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3" fontId="0" fillId="0" borderId="14" xfId="15" applyNumberFormat="1" applyFill="1" applyBorder="1" applyAlignment="1">
      <alignment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173" fontId="1" fillId="0" borderId="1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13" xfId="15" applyNumberFormat="1" applyFont="1" applyFill="1" applyBorder="1" applyAlignment="1">
      <alignment/>
    </xf>
    <xf numFmtId="0" fontId="0" fillId="0" borderId="13" xfId="0" applyBorder="1" applyAlignment="1">
      <alignment/>
    </xf>
    <xf numFmtId="173" fontId="0" fillId="0" borderId="41" xfId="15" applyNumberFormat="1" applyFill="1" applyBorder="1" applyAlignment="1">
      <alignment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/>
    </xf>
    <xf numFmtId="38" fontId="0" fillId="0" borderId="14" xfId="15" applyNumberFormat="1" applyFill="1" applyBorder="1" applyAlignment="1">
      <alignment/>
    </xf>
    <xf numFmtId="173" fontId="0" fillId="0" borderId="41" xfId="15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138</v>
      </c>
    </row>
    <row r="9" ht="12.75">
      <c r="A9" t="s">
        <v>20</v>
      </c>
    </row>
    <row r="11" ht="15.75">
      <c r="A11" s="1" t="s">
        <v>145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38990</v>
      </c>
      <c r="G17" s="75">
        <v>38625</v>
      </c>
      <c r="H17" s="83">
        <f>F17</f>
        <v>38990</v>
      </c>
      <c r="I17" s="87">
        <f>G17</f>
        <v>38625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H20-35692</f>
        <v>14748</v>
      </c>
      <c r="G20" s="66">
        <f>I20-55693</f>
        <v>16198</v>
      </c>
      <c r="H20" s="45">
        <v>50440</v>
      </c>
      <c r="I20" s="104">
        <v>71891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H22-(-32335)</f>
        <v>-13457</v>
      </c>
      <c r="G22" s="68">
        <f>I22--61707</f>
        <v>-12604</v>
      </c>
      <c r="H22" s="93">
        <f>-31810-13982</f>
        <v>-45792</v>
      </c>
      <c r="I22" s="106">
        <v>-74311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H24-1372</f>
        <v>891</v>
      </c>
      <c r="G24" s="68">
        <f>I24-1002</f>
        <v>80</v>
      </c>
      <c r="H24" s="93">
        <f>1655+608</f>
        <v>2263</v>
      </c>
      <c r="I24" s="106">
        <v>1082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104</v>
      </c>
      <c r="F26" s="41">
        <f>SUM(F20:F24)</f>
        <v>2182</v>
      </c>
      <c r="G26" s="70">
        <f>SUM(G20:G24)</f>
        <v>3674</v>
      </c>
      <c r="H26" s="95">
        <f>SUM(H20:H24)</f>
        <v>6911</v>
      </c>
      <c r="I26" s="108">
        <f>SUM(I20:I24)</f>
        <v>-1338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H28--1071</f>
        <v>-307</v>
      </c>
      <c r="G28" s="68">
        <f>I28--1376</f>
        <v>-527</v>
      </c>
      <c r="H28" s="93">
        <v>-1378</v>
      </c>
      <c r="I28" s="106">
        <v>-1903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H30-5034</f>
        <v>0</v>
      </c>
      <c r="G30" s="68">
        <f>I30-4084</f>
        <v>-3088</v>
      </c>
      <c r="H30" s="93">
        <v>5034</v>
      </c>
      <c r="I30" s="106">
        <v>996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105</v>
      </c>
      <c r="F32" s="39">
        <f>SUM(F26:F30)</f>
        <v>1875</v>
      </c>
      <c r="G32" s="68">
        <f>SUM(G26:G30)</f>
        <v>59</v>
      </c>
      <c r="H32" s="93">
        <f>SUM(H26:H30)</f>
        <v>10567</v>
      </c>
      <c r="I32" s="106">
        <f>SUM(I26:I30)</f>
        <v>-2245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H34--677</f>
        <v>-497</v>
      </c>
      <c r="G34" s="68">
        <f>I34--343</f>
        <v>6</v>
      </c>
      <c r="H34" s="93">
        <v>-1174</v>
      </c>
      <c r="I34" s="106">
        <v>-337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106</v>
      </c>
      <c r="F36" s="43">
        <f>SUM(F32:F34)</f>
        <v>1378</v>
      </c>
      <c r="G36" s="72">
        <f>SUM(G32:G34)</f>
        <v>65</v>
      </c>
      <c r="H36" s="97">
        <f>SUM(H32:H34)</f>
        <v>9393</v>
      </c>
      <c r="I36" s="110">
        <f>SUM(I32:I34)</f>
        <v>-2582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94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136</v>
      </c>
      <c r="F40" s="39">
        <f>H40-5945</f>
        <v>1173</v>
      </c>
      <c r="G40" s="68">
        <f>I40--2115</f>
        <v>-888</v>
      </c>
      <c r="H40" s="93">
        <v>7118</v>
      </c>
      <c r="I40" s="106">
        <v>-3003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205</v>
      </c>
      <c r="G42" s="68">
        <f>G44-G40</f>
        <v>953</v>
      </c>
      <c r="H42" s="93">
        <f>H44-H40</f>
        <v>2275</v>
      </c>
      <c r="I42" s="106">
        <f>I44-I40</f>
        <v>421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1378</v>
      </c>
      <c r="G44" s="72">
        <f>G36</f>
        <v>65</v>
      </c>
      <c r="H44" s="97">
        <f>H36</f>
        <v>9393</v>
      </c>
      <c r="I44" s="110">
        <f>I36</f>
        <v>-2582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63</v>
      </c>
      <c r="C47" s="25" t="s">
        <v>30</v>
      </c>
      <c r="F47" s="44">
        <f>F40/209635*100</f>
        <v>0.559543969279939</v>
      </c>
      <c r="G47" s="78">
        <f>G40/212300*100</f>
        <v>-0.41827602449364104</v>
      </c>
      <c r="H47" s="46">
        <f>H40/209635*100</f>
        <v>3.39542538221194</v>
      </c>
      <c r="I47" s="100">
        <f>I40/212300*100</f>
        <v>-1.4145077720207253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95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workbookViewId="0" topLeftCell="A30">
      <selection activeCell="H52" sqref="H52"/>
    </sheetView>
  </sheetViews>
  <sheetFormatPr defaultColWidth="9.140625" defaultRowHeight="12.75"/>
  <cols>
    <col min="1" max="1" width="3.28125" style="0" customWidth="1"/>
    <col min="2" max="2" width="2.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6" t="s">
        <v>99</v>
      </c>
    </row>
    <row r="2" ht="15.75">
      <c r="A2" s="1" t="s">
        <v>139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140</v>
      </c>
      <c r="I5" s="4"/>
      <c r="J5" s="4"/>
      <c r="K5" s="13" t="s">
        <v>89</v>
      </c>
      <c r="L5" s="4"/>
    </row>
    <row r="6" spans="7:12" ht="12.75">
      <c r="G6" s="4"/>
      <c r="H6" s="13"/>
      <c r="I6" s="4"/>
      <c r="J6" s="4"/>
      <c r="K6" s="113" t="s">
        <v>98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7:12" ht="12.75">
      <c r="G9" s="4"/>
      <c r="H9" s="14"/>
      <c r="I9" s="4"/>
      <c r="J9" s="4"/>
      <c r="K9" s="11"/>
      <c r="L9" s="4"/>
    </row>
    <row r="10" spans="2:12" ht="12.75">
      <c r="B10" s="25" t="s">
        <v>132</v>
      </c>
      <c r="G10" s="4"/>
      <c r="H10" s="14"/>
      <c r="I10" s="4"/>
      <c r="J10" s="4"/>
      <c r="K10" s="11"/>
      <c r="L10" s="4"/>
    </row>
    <row r="11" spans="1:12" ht="12.75">
      <c r="A11" s="2"/>
      <c r="C11" s="29" t="s">
        <v>134</v>
      </c>
      <c r="G11" s="4"/>
      <c r="H11" s="129">
        <v>46209</v>
      </c>
      <c r="I11" s="4"/>
      <c r="J11" s="4"/>
      <c r="K11" s="129">
        <f>49027-K12</f>
        <v>48895</v>
      </c>
      <c r="L11" s="4"/>
    </row>
    <row r="12" spans="1:12" ht="12.75">
      <c r="A12" s="2"/>
      <c r="C12" s="29" t="s">
        <v>103</v>
      </c>
      <c r="G12" s="4"/>
      <c r="H12" s="47">
        <v>131</v>
      </c>
      <c r="I12" s="4"/>
      <c r="J12" s="4"/>
      <c r="K12" s="47">
        <v>132</v>
      </c>
      <c r="L12" s="4"/>
    </row>
    <row r="13" spans="1:12" ht="12.75">
      <c r="A13" s="2"/>
      <c r="C13" s="29" t="s">
        <v>100</v>
      </c>
      <c r="G13" s="4"/>
      <c r="H13" s="47">
        <v>39570</v>
      </c>
      <c r="I13" s="4"/>
      <c r="J13" s="4"/>
      <c r="K13" s="47">
        <v>24132</v>
      </c>
      <c r="L13" s="4"/>
    </row>
    <row r="14" spans="3:12" ht="12.75">
      <c r="C14" s="29" t="s">
        <v>84</v>
      </c>
      <c r="G14" s="4"/>
      <c r="H14" s="114">
        <v>1245</v>
      </c>
      <c r="I14" s="4"/>
      <c r="J14" s="4"/>
      <c r="K14" s="114">
        <v>1245</v>
      </c>
      <c r="L14" s="4"/>
    </row>
    <row r="15" spans="2:12" ht="12.75">
      <c r="B15" s="25"/>
      <c r="G15" s="4"/>
      <c r="H15" s="132">
        <f>SUM(H11:H14)</f>
        <v>87155</v>
      </c>
      <c r="I15" s="4"/>
      <c r="J15" s="4"/>
      <c r="K15" s="132">
        <f>SUM(K11:K14)</f>
        <v>74404</v>
      </c>
      <c r="L15" s="4"/>
    </row>
    <row r="16" spans="2:12" ht="12.75">
      <c r="B16" s="25"/>
      <c r="G16" s="4"/>
      <c r="H16" s="48"/>
      <c r="I16" s="4"/>
      <c r="J16" s="4"/>
      <c r="K16" s="48"/>
      <c r="L16" s="4"/>
    </row>
    <row r="17" spans="1:11" ht="12.75">
      <c r="A17" s="2"/>
      <c r="B17" s="25" t="s">
        <v>14</v>
      </c>
      <c r="H17"/>
      <c r="K17"/>
    </row>
    <row r="18" spans="3:12" ht="12.75">
      <c r="C18" s="29" t="s">
        <v>135</v>
      </c>
      <c r="G18" s="4"/>
      <c r="H18" s="123">
        <f>810+2433</f>
        <v>3243</v>
      </c>
      <c r="I18" s="4"/>
      <c r="J18" s="4"/>
      <c r="K18" s="123">
        <f>810+1492</f>
        <v>2302</v>
      </c>
      <c r="L18" s="4"/>
    </row>
    <row r="19" spans="3:12" ht="12.75">
      <c r="C19" s="29" t="s">
        <v>33</v>
      </c>
      <c r="G19" s="4"/>
      <c r="H19" s="50">
        <f>100830+7784+125652+30827+1086+1</f>
        <v>266180</v>
      </c>
      <c r="I19" s="4"/>
      <c r="J19" s="4"/>
      <c r="K19" s="50">
        <f>102721+2665+83555+74346+1411</f>
        <v>264698</v>
      </c>
      <c r="L19" s="137"/>
    </row>
    <row r="20" spans="3:12" ht="12.75">
      <c r="C20" s="29" t="s">
        <v>133</v>
      </c>
      <c r="G20" s="4"/>
      <c r="H20" s="50">
        <v>5786</v>
      </c>
      <c r="I20" s="4"/>
      <c r="J20" s="4"/>
      <c r="K20" s="50">
        <v>6659</v>
      </c>
      <c r="L20" s="4"/>
    </row>
    <row r="21" spans="3:12" ht="12.75">
      <c r="C21" s="29" t="s">
        <v>125</v>
      </c>
      <c r="G21" s="4"/>
      <c r="H21" s="50">
        <v>20466</v>
      </c>
      <c r="I21" s="4"/>
      <c r="J21" s="4"/>
      <c r="K21" s="50">
        <v>19215</v>
      </c>
      <c r="L21" s="4"/>
    </row>
    <row r="22" spans="7:12" ht="12.75">
      <c r="G22" s="4"/>
      <c r="H22" s="49"/>
      <c r="I22" s="4"/>
      <c r="J22" s="4"/>
      <c r="K22" s="49"/>
      <c r="L22" s="4"/>
    </row>
    <row r="23" spans="7:12" ht="12.75">
      <c r="G23" s="4"/>
      <c r="H23" s="127">
        <f>SUM(H18:H21)</f>
        <v>295675</v>
      </c>
      <c r="I23" s="4"/>
      <c r="J23" s="4"/>
      <c r="K23" s="127">
        <f>SUM(K18:K21)</f>
        <v>292874</v>
      </c>
      <c r="L23" s="4"/>
    </row>
    <row r="24" spans="7:12" ht="12.75">
      <c r="G24" s="4"/>
      <c r="H24" s="130"/>
      <c r="I24" s="4"/>
      <c r="J24" s="4"/>
      <c r="K24" s="130"/>
      <c r="L24" s="4"/>
    </row>
    <row r="25" spans="1:13" ht="12.75">
      <c r="A25" s="2"/>
      <c r="B25" s="25" t="s">
        <v>15</v>
      </c>
      <c r="G25" s="4"/>
      <c r="H25" s="131"/>
      <c r="I25" s="4"/>
      <c r="J25" s="4"/>
      <c r="K25" s="131"/>
      <c r="L25" s="4"/>
      <c r="M25" s="4"/>
    </row>
    <row r="26" spans="3:12" ht="12.75">
      <c r="C26" s="29" t="s">
        <v>34</v>
      </c>
      <c r="G26" s="4"/>
      <c r="H26" s="50">
        <f>34807+20527+9666</f>
        <v>65000</v>
      </c>
      <c r="I26" s="4"/>
      <c r="J26" s="4"/>
      <c r="K26" s="50">
        <f>14747+49936+11386</f>
        <v>76069</v>
      </c>
      <c r="L26" s="4"/>
    </row>
    <row r="27" spans="3:12" ht="12.75">
      <c r="C27" s="29" t="s">
        <v>101</v>
      </c>
      <c r="G27" s="4"/>
      <c r="H27" s="51">
        <v>18305</v>
      </c>
      <c r="I27" s="4"/>
      <c r="J27" s="4"/>
      <c r="K27" s="51">
        <v>17503</v>
      </c>
      <c r="L27" s="4"/>
    </row>
    <row r="28" spans="3:12" ht="12.75">
      <c r="C28" s="29" t="s">
        <v>36</v>
      </c>
      <c r="G28" s="4"/>
      <c r="H28" s="51">
        <v>0</v>
      </c>
      <c r="I28" s="4"/>
      <c r="J28" s="4"/>
      <c r="K28" s="51">
        <v>29</v>
      </c>
      <c r="L28" s="4"/>
    </row>
    <row r="29" spans="3:12" ht="12.75">
      <c r="C29" s="3"/>
      <c r="G29" s="4"/>
      <c r="H29" s="127">
        <f>SUM(H26:H28)</f>
        <v>83305</v>
      </c>
      <c r="I29" s="4"/>
      <c r="J29" s="4"/>
      <c r="K29" s="127">
        <f>SUM(K26:K28)</f>
        <v>93601</v>
      </c>
      <c r="L29" s="4"/>
    </row>
    <row r="30" spans="3:12" ht="12.75">
      <c r="C30" s="3"/>
      <c r="G30" s="4"/>
      <c r="H30" s="62"/>
      <c r="I30" s="4"/>
      <c r="J30" s="4"/>
      <c r="K30" s="62"/>
      <c r="L30" s="4"/>
    </row>
    <row r="31" spans="2:12" ht="12.75">
      <c r="B31" s="25" t="s">
        <v>129</v>
      </c>
      <c r="C31" s="3"/>
      <c r="G31" s="4"/>
      <c r="H31" s="62">
        <f>H23-H29</f>
        <v>212370</v>
      </c>
      <c r="I31" s="4"/>
      <c r="J31" s="4"/>
      <c r="K31" s="62">
        <f>K23-K29</f>
        <v>199273</v>
      </c>
      <c r="L31" s="4"/>
    </row>
    <row r="32" spans="2:12" ht="12.75">
      <c r="B32" s="25"/>
      <c r="C32" s="3"/>
      <c r="G32" s="4"/>
      <c r="H32" s="62"/>
      <c r="I32" s="4"/>
      <c r="J32" s="4"/>
      <c r="K32" s="62"/>
      <c r="L32" s="4"/>
    </row>
    <row r="33" spans="2:13" ht="13.5" thickBot="1">
      <c r="B33" s="25"/>
      <c r="G33" s="4"/>
      <c r="H33" s="125">
        <f>H31+H15</f>
        <v>299525</v>
      </c>
      <c r="I33" s="4"/>
      <c r="J33" s="4"/>
      <c r="K33" s="126">
        <f>K31+K15</f>
        <v>273677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130</v>
      </c>
      <c r="G36" s="4"/>
      <c r="H36" s="52"/>
      <c r="I36" s="4"/>
      <c r="J36" s="4"/>
      <c r="K36" s="52"/>
      <c r="L36" s="4"/>
    </row>
    <row r="37" spans="2:12" ht="12.75">
      <c r="B37" s="25" t="s">
        <v>120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33">
        <v>213563.324</v>
      </c>
      <c r="I38" s="4"/>
      <c r="J38" s="4"/>
      <c r="K38" s="133">
        <v>213563.324</v>
      </c>
      <c r="L38" s="4"/>
    </row>
    <row r="39" spans="3:12" ht="12.75">
      <c r="C39" s="29" t="s">
        <v>17</v>
      </c>
      <c r="G39" s="4"/>
      <c r="H39" s="133">
        <v>41362</v>
      </c>
      <c r="I39" s="4"/>
      <c r="J39" s="4"/>
      <c r="K39" s="133">
        <v>15794</v>
      </c>
      <c r="L39" s="4"/>
    </row>
    <row r="40" spans="3:12" ht="12.75">
      <c r="C40" s="29" t="s">
        <v>117</v>
      </c>
      <c r="G40" s="4"/>
      <c r="H40" s="135">
        <v>-1805</v>
      </c>
      <c r="I40" s="4"/>
      <c r="J40" s="4"/>
      <c r="K40" s="135">
        <v>-1070</v>
      </c>
      <c r="L40" s="4"/>
    </row>
    <row r="41" spans="7:12" ht="12.75">
      <c r="G41" s="4"/>
      <c r="H41" s="134">
        <f>SUM(H38:H40)</f>
        <v>253120.324</v>
      </c>
      <c r="I41" s="4"/>
      <c r="J41" s="4"/>
      <c r="K41" s="134">
        <f>SUM(K38:K40)</f>
        <v>228287.324</v>
      </c>
      <c r="L41" s="4"/>
    </row>
    <row r="42" spans="1:12" ht="12.75">
      <c r="A42" s="2"/>
      <c r="B42" s="25" t="s">
        <v>19</v>
      </c>
      <c r="G42" s="4"/>
      <c r="H42" s="114">
        <v>36742</v>
      </c>
      <c r="I42" s="4"/>
      <c r="J42" s="4"/>
      <c r="K42" s="114">
        <v>34066</v>
      </c>
      <c r="L42" s="4"/>
    </row>
    <row r="43" spans="1:12" ht="12.75">
      <c r="A43" s="2"/>
      <c r="B43" s="25" t="s">
        <v>131</v>
      </c>
      <c r="G43" s="4"/>
      <c r="H43" s="136">
        <f>H42+H41</f>
        <v>289862.324</v>
      </c>
      <c r="I43" s="4"/>
      <c r="J43" s="4"/>
      <c r="K43" s="136">
        <f>K42+K41</f>
        <v>262353.324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126</v>
      </c>
      <c r="G45" s="4"/>
      <c r="H45" s="47"/>
      <c r="I45" s="4"/>
      <c r="J45" s="4"/>
      <c r="K45" s="47"/>
      <c r="L45" s="4"/>
    </row>
    <row r="46" spans="1:12" ht="12.75">
      <c r="A46" s="2"/>
      <c r="C46" s="29" t="s">
        <v>22</v>
      </c>
      <c r="G46" s="4"/>
      <c r="H46" s="123">
        <v>9663</v>
      </c>
      <c r="I46" s="4"/>
      <c r="J46" s="4"/>
      <c r="K46" s="123">
        <v>10859</v>
      </c>
      <c r="L46" s="4"/>
    </row>
    <row r="47" spans="1:12" ht="12.75">
      <c r="A47" s="2"/>
      <c r="C47" s="29" t="s">
        <v>102</v>
      </c>
      <c r="G47" s="4"/>
      <c r="H47" s="124">
        <v>0</v>
      </c>
      <c r="I47" s="4"/>
      <c r="J47" s="4"/>
      <c r="K47" s="124">
        <v>465</v>
      </c>
      <c r="L47" s="4"/>
    </row>
    <row r="48" spans="1:12" ht="12.75">
      <c r="A48" s="2"/>
      <c r="B48" s="25"/>
      <c r="G48" s="4"/>
      <c r="H48" s="124">
        <f>SUM(H46:H47)</f>
        <v>9663</v>
      </c>
      <c r="I48" s="4"/>
      <c r="J48" s="4"/>
      <c r="K48" s="124">
        <f>SUM(K46:K47)</f>
        <v>11324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2:12" ht="13.5" thickBot="1">
      <c r="B50" s="25"/>
      <c r="G50" s="4"/>
      <c r="H50" s="53">
        <f>H48+H43</f>
        <v>299525.324</v>
      </c>
      <c r="I50" s="4"/>
      <c r="J50" s="4"/>
      <c r="K50" s="53">
        <f>K48+K43</f>
        <v>273677.324</v>
      </c>
      <c r="L50" s="4"/>
    </row>
    <row r="51" spans="7:12" ht="13.5" thickTop="1">
      <c r="G51" s="4"/>
      <c r="H51" s="48"/>
      <c r="I51" s="4"/>
      <c r="J51" s="4"/>
      <c r="K51" s="48"/>
      <c r="L51" s="4"/>
    </row>
    <row r="52" spans="1:12" ht="30" customHeight="1" thickBot="1">
      <c r="A52" s="2"/>
      <c r="B52" s="138" t="s">
        <v>137</v>
      </c>
      <c r="C52" s="139"/>
      <c r="D52" s="139"/>
      <c r="E52" s="139"/>
      <c r="F52" s="139"/>
      <c r="G52" s="4"/>
      <c r="H52" s="115">
        <f>H41/(213563-3928)</f>
        <v>1.207433510625611</v>
      </c>
      <c r="I52" s="15"/>
      <c r="J52" s="15"/>
      <c r="K52" s="115">
        <f>K41/(213563-2398)</f>
        <v>1.0810850472379419</v>
      </c>
      <c r="L52" s="4"/>
    </row>
    <row r="53" ht="12.75">
      <c r="H53" s="54"/>
    </row>
    <row r="55" spans="2:11" ht="12.75" hidden="1">
      <c r="B55" t="s">
        <v>18</v>
      </c>
      <c r="H55" s="12" t="e">
        <f>#REF!-H50</f>
        <v>#REF!</v>
      </c>
      <c r="K55" s="12" t="e">
        <f>#REF!-K50</f>
        <v>#REF!</v>
      </c>
    </row>
    <row r="56" ht="12.75">
      <c r="H56" s="128"/>
    </row>
    <row r="57" spans="2:8" ht="12.75">
      <c r="B57" s="34" t="s">
        <v>37</v>
      </c>
      <c r="H57" s="9"/>
    </row>
    <row r="58" ht="12.75">
      <c r="B58" s="35" t="s">
        <v>96</v>
      </c>
    </row>
  </sheetData>
  <mergeCells count="1">
    <mergeCell ref="B52:F52"/>
  </mergeCells>
  <printOptions/>
  <pageMargins left="0.75" right="0.75" top="0.75" bottom="0.75" header="0" footer="0"/>
  <pageSetup fitToHeight="1" fitToWidth="1" horizontalDpi="600" verticalDpi="600" orientation="portrait" paperSize="9" scale="86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53</v>
      </c>
    </row>
    <row r="3" ht="15.75">
      <c r="A3" s="1" t="s">
        <v>143</v>
      </c>
    </row>
    <row r="4" ht="15.75">
      <c r="A4" s="1"/>
    </row>
    <row r="5" spans="7:9" ht="12.75">
      <c r="G5" s="31"/>
      <c r="I5" s="31" t="s">
        <v>121</v>
      </c>
    </row>
    <row r="6" spans="3:11" ht="12.75">
      <c r="C6" s="31" t="s">
        <v>54</v>
      </c>
      <c r="D6" s="31" t="s">
        <v>54</v>
      </c>
      <c r="E6" s="31" t="s">
        <v>111</v>
      </c>
      <c r="F6" s="31" t="s">
        <v>57</v>
      </c>
      <c r="G6" s="31" t="s">
        <v>88</v>
      </c>
      <c r="H6" s="31" t="s">
        <v>92</v>
      </c>
      <c r="I6" s="31" t="s">
        <v>122</v>
      </c>
      <c r="J6" s="31" t="s">
        <v>124</v>
      </c>
      <c r="K6" s="31" t="s">
        <v>58</v>
      </c>
    </row>
    <row r="7" spans="3:11" ht="12.75">
      <c r="C7" s="31" t="s">
        <v>55</v>
      </c>
      <c r="D7" s="31" t="s">
        <v>56</v>
      </c>
      <c r="E7" s="31" t="s">
        <v>112</v>
      </c>
      <c r="F7" s="31" t="s">
        <v>17</v>
      </c>
      <c r="G7" s="31" t="s">
        <v>87</v>
      </c>
      <c r="H7" s="31" t="s">
        <v>85</v>
      </c>
      <c r="I7" s="31" t="s">
        <v>123</v>
      </c>
      <c r="J7" s="31" t="s">
        <v>119</v>
      </c>
      <c r="K7" s="31" t="s">
        <v>118</v>
      </c>
    </row>
    <row r="8" spans="3:11" ht="12.75">
      <c r="C8" s="31" t="s">
        <v>59</v>
      </c>
      <c r="D8" s="31" t="s">
        <v>59</v>
      </c>
      <c r="E8" s="31" t="s">
        <v>59</v>
      </c>
      <c r="F8" s="31" t="s">
        <v>59</v>
      </c>
      <c r="G8" s="31" t="s">
        <v>59</v>
      </c>
      <c r="H8" s="31" t="s">
        <v>59</v>
      </c>
      <c r="I8" s="31" t="s">
        <v>59</v>
      </c>
      <c r="J8" s="31" t="s">
        <v>59</v>
      </c>
      <c r="K8" s="31" t="s">
        <v>59</v>
      </c>
    </row>
    <row r="10" spans="2:11" ht="12.75" hidden="1">
      <c r="B10" t="s">
        <v>77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60</v>
      </c>
    </row>
    <row r="13" spans="2:11" ht="12.75" hidden="1">
      <c r="B13" s="30" t="s">
        <v>61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78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142</v>
      </c>
    </row>
    <row r="18" ht="12.75">
      <c r="B18" t="s">
        <v>108</v>
      </c>
    </row>
    <row r="19" spans="2:11" ht="12.75">
      <c r="B19" t="s">
        <v>109</v>
      </c>
      <c r="C19" s="55">
        <v>213563</v>
      </c>
      <c r="D19" s="55">
        <v>10392</v>
      </c>
      <c r="E19" s="55">
        <v>0</v>
      </c>
      <c r="F19" s="55">
        <f>-1624+899</f>
        <v>-725</v>
      </c>
      <c r="G19" s="55">
        <v>6127</v>
      </c>
      <c r="H19" s="55">
        <v>-1070</v>
      </c>
      <c r="I19" s="118">
        <f>SUM(C19:H19)</f>
        <v>228287</v>
      </c>
      <c r="J19" s="55">
        <v>34066</v>
      </c>
      <c r="K19" s="118">
        <f>SUM(I19:J19)</f>
        <v>262353</v>
      </c>
    </row>
    <row r="20" spans="3:11" ht="12.75">
      <c r="C20" s="55"/>
      <c r="D20" s="55"/>
      <c r="E20" s="55"/>
      <c r="F20" s="55"/>
      <c r="G20" s="55"/>
      <c r="H20" s="55"/>
      <c r="I20" s="118"/>
      <c r="J20" s="55"/>
      <c r="K20" s="118"/>
    </row>
    <row r="21" spans="2:11" ht="12.75">
      <c r="B21" t="s">
        <v>127</v>
      </c>
      <c r="C21" s="55">
        <v>0</v>
      </c>
      <c r="D21" s="55">
        <v>0</v>
      </c>
      <c r="E21" s="55">
        <v>0</v>
      </c>
      <c r="F21" s="55">
        <v>0</v>
      </c>
      <c r="G21" s="55">
        <v>464</v>
      </c>
      <c r="H21" s="55">
        <v>0</v>
      </c>
      <c r="I21" s="118">
        <f>SUM(C21:H21)</f>
        <v>464</v>
      </c>
      <c r="J21" s="55">
        <v>0</v>
      </c>
      <c r="K21" s="118">
        <f>SUM(I21:J21)</f>
        <v>464</v>
      </c>
    </row>
    <row r="22" spans="3:11" ht="12.75">
      <c r="C22" s="55"/>
      <c r="D22" s="55"/>
      <c r="E22" s="55"/>
      <c r="F22" s="55"/>
      <c r="G22" s="55"/>
      <c r="H22" s="55"/>
      <c r="I22" s="118"/>
      <c r="J22" s="55"/>
      <c r="K22" s="118"/>
    </row>
    <row r="23" spans="2:11" ht="12.75">
      <c r="B23" t="s">
        <v>128</v>
      </c>
      <c r="C23" s="47">
        <v>0</v>
      </c>
      <c r="D23" s="47">
        <v>0</v>
      </c>
      <c r="E23" s="47">
        <f>1320+4334-396</f>
        <v>5258</v>
      </c>
      <c r="F23" s="47">
        <v>0</v>
      </c>
      <c r="G23" s="47">
        <v>0</v>
      </c>
      <c r="H23" s="47">
        <v>0</v>
      </c>
      <c r="I23" s="120">
        <f>SUM(C23:H23)</f>
        <v>5258</v>
      </c>
      <c r="J23" s="47">
        <v>396</v>
      </c>
      <c r="K23" s="118">
        <f>SUM(I23:J23)</f>
        <v>5654</v>
      </c>
    </row>
    <row r="24" spans="3:11" ht="12.75">
      <c r="C24" s="114"/>
      <c r="D24" s="114"/>
      <c r="E24" s="114"/>
      <c r="F24" s="114"/>
      <c r="G24" s="114"/>
      <c r="H24" s="114"/>
      <c r="I24" s="119"/>
      <c r="J24" s="114"/>
      <c r="K24" s="119"/>
    </row>
    <row r="25" spans="2:11" ht="12.75">
      <c r="B25" t="s">
        <v>110</v>
      </c>
      <c r="C25" s="47">
        <f aca="true" t="shared" si="0" ref="C25:K25">SUM(C19:C23)</f>
        <v>213563</v>
      </c>
      <c r="D25" s="47">
        <f>SUM(D19:D23)</f>
        <v>10392</v>
      </c>
      <c r="E25" s="47">
        <f>SUM(E19:E23)</f>
        <v>5258</v>
      </c>
      <c r="F25" s="47">
        <f t="shared" si="0"/>
        <v>-725</v>
      </c>
      <c r="G25" s="47">
        <f t="shared" si="0"/>
        <v>6591</v>
      </c>
      <c r="H25" s="47">
        <f>SUM(H19:H23)</f>
        <v>-1070</v>
      </c>
      <c r="I25" s="120">
        <f>SUM(I19:I23)</f>
        <v>234009</v>
      </c>
      <c r="J25" s="47">
        <f>SUM(J19:J23)</f>
        <v>34462</v>
      </c>
      <c r="K25" s="120">
        <f t="shared" si="0"/>
        <v>268471</v>
      </c>
    </row>
    <row r="26" spans="3:11" ht="12.75">
      <c r="C26" s="56"/>
      <c r="D26" s="56"/>
      <c r="E26" s="56"/>
      <c r="F26" s="56"/>
      <c r="G26" s="56"/>
      <c r="H26" s="56"/>
      <c r="I26" s="121"/>
      <c r="J26" s="56"/>
      <c r="K26" s="118"/>
    </row>
    <row r="27" spans="2:11" ht="12.75">
      <c r="B27" t="s">
        <v>90</v>
      </c>
      <c r="C27" s="55">
        <v>0</v>
      </c>
      <c r="D27" s="55">
        <v>0</v>
      </c>
      <c r="E27" s="55"/>
      <c r="F27" s="55">
        <v>0</v>
      </c>
      <c r="G27" s="55">
        <f>ROUND('Consol Y Stmt'!H40,0)</f>
        <v>7118</v>
      </c>
      <c r="H27" s="55">
        <v>0</v>
      </c>
      <c r="I27" s="118">
        <f aca="true" t="shared" si="1" ref="I27:I37">SUM(C27:H27)</f>
        <v>7118</v>
      </c>
      <c r="J27" s="55">
        <f>ROUND('Consol Y Stmt'!H42,0)</f>
        <v>2275</v>
      </c>
      <c r="K27" s="118">
        <f aca="true" t="shared" si="2" ref="K27:K37">SUM(I27:J27)</f>
        <v>9393</v>
      </c>
    </row>
    <row r="28" spans="3:11" ht="12.75">
      <c r="C28" s="55"/>
      <c r="D28" s="55"/>
      <c r="E28" s="55"/>
      <c r="F28" s="55"/>
      <c r="G28" s="55"/>
      <c r="H28" s="55"/>
      <c r="I28" s="118"/>
      <c r="J28" s="55"/>
      <c r="K28" s="118"/>
    </row>
    <row r="29" spans="2:11" ht="25.5">
      <c r="B29" s="117" t="s">
        <v>115</v>
      </c>
      <c r="C29" s="55">
        <v>0</v>
      </c>
      <c r="D29" s="55">
        <v>0</v>
      </c>
      <c r="E29" s="55">
        <f>19427-J29</f>
        <v>18044</v>
      </c>
      <c r="F29" s="55">
        <v>0</v>
      </c>
      <c r="G29" s="55">
        <v>0</v>
      </c>
      <c r="H29" s="55">
        <v>0</v>
      </c>
      <c r="I29" s="118">
        <f t="shared" si="1"/>
        <v>18044</v>
      </c>
      <c r="J29" s="55">
        <f>1383</f>
        <v>1383</v>
      </c>
      <c r="K29" s="118">
        <f t="shared" si="2"/>
        <v>19427</v>
      </c>
    </row>
    <row r="30" spans="3:11" ht="12.75">
      <c r="C30" s="55"/>
      <c r="D30" s="55"/>
      <c r="E30" s="55"/>
      <c r="F30" s="55"/>
      <c r="G30" s="55"/>
      <c r="H30" s="55"/>
      <c r="I30" s="118"/>
      <c r="J30" s="55"/>
      <c r="K30" s="118"/>
    </row>
    <row r="31" spans="2:11" ht="25.5">
      <c r="B31" s="117" t="s">
        <v>113</v>
      </c>
      <c r="C31" s="55">
        <v>0</v>
      </c>
      <c r="D31" s="55">
        <v>0</v>
      </c>
      <c r="E31" s="55">
        <f>-4594-J31+1</f>
        <v>-3215</v>
      </c>
      <c r="F31" s="55">
        <v>0</v>
      </c>
      <c r="G31" s="55">
        <v>0</v>
      </c>
      <c r="H31" s="55">
        <v>0</v>
      </c>
      <c r="I31" s="118">
        <f t="shared" si="1"/>
        <v>-3215</v>
      </c>
      <c r="J31" s="55">
        <v>-1378</v>
      </c>
      <c r="K31" s="118">
        <f t="shared" si="2"/>
        <v>-4593</v>
      </c>
    </row>
    <row r="32" spans="3:11" ht="12.75">
      <c r="C32" s="55"/>
      <c r="D32" s="55"/>
      <c r="E32" s="55"/>
      <c r="F32" s="55"/>
      <c r="G32" s="55"/>
      <c r="H32" s="55"/>
      <c r="I32" s="118"/>
      <c r="J32" s="55"/>
      <c r="K32" s="118">
        <f t="shared" si="2"/>
        <v>0</v>
      </c>
    </row>
    <row r="33" spans="2:11" ht="25.5">
      <c r="B33" s="117" t="s">
        <v>93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8">
        <f t="shared" si="1"/>
        <v>0</v>
      </c>
      <c r="J33" s="55">
        <v>0</v>
      </c>
      <c r="K33" s="118">
        <f t="shared" si="2"/>
        <v>0</v>
      </c>
    </row>
    <row r="34" spans="3:11" ht="12.75">
      <c r="C34" s="55"/>
      <c r="D34" s="55"/>
      <c r="E34" s="55"/>
      <c r="F34" s="55"/>
      <c r="G34" s="55"/>
      <c r="H34" s="55"/>
      <c r="I34" s="118"/>
      <c r="J34" s="55"/>
      <c r="K34" s="118"/>
    </row>
    <row r="35" spans="2:11" ht="12.75">
      <c r="B35" t="s">
        <v>86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-735</v>
      </c>
      <c r="I35" s="118">
        <f t="shared" si="1"/>
        <v>-735</v>
      </c>
      <c r="J35" s="55">
        <v>0</v>
      </c>
      <c r="K35" s="118">
        <f t="shared" si="2"/>
        <v>-735</v>
      </c>
    </row>
    <row r="36" spans="2:11" ht="12.75">
      <c r="B36" s="30"/>
      <c r="C36" s="55"/>
      <c r="D36" s="55"/>
      <c r="E36" s="55"/>
      <c r="F36" s="55"/>
      <c r="G36" s="55"/>
      <c r="H36" s="55"/>
      <c r="I36" s="118"/>
      <c r="J36" s="55"/>
      <c r="K36" s="118"/>
    </row>
    <row r="37" spans="2:11" ht="12.75">
      <c r="B37" t="s">
        <v>91</v>
      </c>
      <c r="C37" s="55">
        <v>0</v>
      </c>
      <c r="D37" s="55">
        <v>0</v>
      </c>
      <c r="E37" s="55">
        <v>0</v>
      </c>
      <c r="F37" s="55">
        <v>0</v>
      </c>
      <c r="G37" s="55">
        <v>-2101</v>
      </c>
      <c r="H37" s="55">
        <v>0</v>
      </c>
      <c r="I37" s="118">
        <f t="shared" si="1"/>
        <v>-2101</v>
      </c>
      <c r="J37" s="55">
        <v>0</v>
      </c>
      <c r="K37" s="118">
        <f t="shared" si="2"/>
        <v>-2101</v>
      </c>
    </row>
    <row r="38" spans="3:11" ht="12.75">
      <c r="C38" s="56"/>
      <c r="D38" s="56"/>
      <c r="E38" s="56"/>
      <c r="F38" s="56"/>
      <c r="G38" s="56"/>
      <c r="H38" s="56"/>
      <c r="I38" s="121"/>
      <c r="J38" s="56"/>
      <c r="K38" s="121"/>
    </row>
    <row r="39" spans="2:11" ht="13.5" thickBot="1">
      <c r="B39" t="s">
        <v>114</v>
      </c>
      <c r="C39" s="57">
        <f aca="true" t="shared" si="3" ref="C39:K39">SUM(C25:C38)</f>
        <v>213563</v>
      </c>
      <c r="D39" s="57">
        <f t="shared" si="3"/>
        <v>10392</v>
      </c>
      <c r="E39" s="57">
        <f t="shared" si="3"/>
        <v>20087</v>
      </c>
      <c r="F39" s="57">
        <f t="shared" si="3"/>
        <v>-725</v>
      </c>
      <c r="G39" s="57">
        <f t="shared" si="3"/>
        <v>11608</v>
      </c>
      <c r="H39" s="57">
        <f>SUM(H25:H38)</f>
        <v>-1805</v>
      </c>
      <c r="I39" s="122">
        <f>SUM(I25:I38)</f>
        <v>253120</v>
      </c>
      <c r="J39" s="57">
        <f>SUM(J25:J38)</f>
        <v>36742</v>
      </c>
      <c r="K39" s="122">
        <f t="shared" si="3"/>
        <v>289862</v>
      </c>
    </row>
    <row r="40" spans="3:11" ht="13.5" thickTop="1">
      <c r="C40" s="56"/>
      <c r="D40" s="65"/>
      <c r="E40" s="56"/>
      <c r="F40" s="56"/>
      <c r="G40" s="56"/>
      <c r="H40" s="56"/>
      <c r="I40" s="56"/>
      <c r="J40" s="56"/>
      <c r="K40" s="56"/>
    </row>
    <row r="41" spans="3:11" ht="12.75"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2.75">
      <c r="B42" s="25" t="s">
        <v>141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2.75">
      <c r="B43" t="s">
        <v>116</v>
      </c>
      <c r="C43" s="55">
        <v>213563</v>
      </c>
      <c r="D43" s="55">
        <v>10392</v>
      </c>
      <c r="E43" s="55">
        <v>0</v>
      </c>
      <c r="F43" s="55">
        <v>-791</v>
      </c>
      <c r="G43" s="55">
        <v>44365</v>
      </c>
      <c r="H43" s="55">
        <v>0</v>
      </c>
      <c r="I43" s="118">
        <f aca="true" t="shared" si="4" ref="I43:I51">SUM(C43:H43)</f>
        <v>267529</v>
      </c>
      <c r="J43" s="55">
        <v>35068</v>
      </c>
      <c r="K43" s="118">
        <f aca="true" t="shared" si="5" ref="K43:K51">SUM(I43:J43)</f>
        <v>302597</v>
      </c>
    </row>
    <row r="44" spans="3:11" ht="12.75">
      <c r="C44" s="55"/>
      <c r="D44" s="55"/>
      <c r="E44" s="55"/>
      <c r="F44" s="55"/>
      <c r="G44" s="55"/>
      <c r="H44" s="55"/>
      <c r="I44" s="118"/>
      <c r="J44" s="55"/>
      <c r="K44" s="118"/>
    </row>
    <row r="45" spans="2:11" ht="12.75">
      <c r="B45" t="s">
        <v>90</v>
      </c>
      <c r="C45" s="55">
        <v>0</v>
      </c>
      <c r="D45" s="55">
        <v>0</v>
      </c>
      <c r="E45" s="55">
        <v>0</v>
      </c>
      <c r="F45" s="55">
        <v>0</v>
      </c>
      <c r="G45" s="55">
        <f>'Consol Y Stmt'!I40</f>
        <v>-3003</v>
      </c>
      <c r="H45" s="55">
        <v>0</v>
      </c>
      <c r="I45" s="118">
        <f t="shared" si="4"/>
        <v>-3003</v>
      </c>
      <c r="J45" s="55">
        <f>'Consol Y Stmt'!I42</f>
        <v>421</v>
      </c>
      <c r="K45" s="118">
        <f t="shared" si="5"/>
        <v>-2582</v>
      </c>
    </row>
    <row r="46" spans="2:11" ht="12.75">
      <c r="B46" s="30"/>
      <c r="C46" s="55"/>
      <c r="D46" s="55"/>
      <c r="E46" s="55"/>
      <c r="F46" s="55"/>
      <c r="G46" s="55"/>
      <c r="H46" s="55"/>
      <c r="I46" s="118"/>
      <c r="J46" s="55"/>
      <c r="K46" s="118"/>
    </row>
    <row r="47" spans="2:11" ht="25.5">
      <c r="B47" s="117" t="s">
        <v>93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118">
        <f t="shared" si="4"/>
        <v>0</v>
      </c>
      <c r="J47" s="55">
        <v>0</v>
      </c>
      <c r="K47" s="118">
        <f t="shared" si="5"/>
        <v>0</v>
      </c>
    </row>
    <row r="48" spans="3:11" ht="12.75">
      <c r="C48" s="55"/>
      <c r="D48" s="55"/>
      <c r="E48" s="55"/>
      <c r="F48" s="55"/>
      <c r="G48" s="55"/>
      <c r="H48" s="55"/>
      <c r="I48" s="118"/>
      <c r="J48" s="55"/>
      <c r="K48" s="118"/>
    </row>
    <row r="49" spans="2:11" ht="12.75">
      <c r="B49" t="s">
        <v>86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-575</v>
      </c>
      <c r="I49" s="118">
        <f>SUM(C49:H49)</f>
        <v>-575</v>
      </c>
      <c r="J49" s="55">
        <v>0</v>
      </c>
      <c r="K49" s="118">
        <f>SUM(I49:J49)</f>
        <v>-575</v>
      </c>
    </row>
    <row r="50" spans="3:11" ht="12.75">
      <c r="C50" s="56"/>
      <c r="D50" s="56"/>
      <c r="E50" s="56"/>
      <c r="F50" s="56"/>
      <c r="G50" s="56"/>
      <c r="H50" s="56"/>
      <c r="I50" s="121"/>
      <c r="J50" s="56"/>
      <c r="K50" s="118"/>
    </row>
    <row r="51" spans="2:11" ht="12.75">
      <c r="B51" t="s">
        <v>91</v>
      </c>
      <c r="C51" s="55">
        <v>0</v>
      </c>
      <c r="D51" s="55">
        <v>0</v>
      </c>
      <c r="E51" s="55">
        <v>0</v>
      </c>
      <c r="F51" s="55">
        <v>0</v>
      </c>
      <c r="G51" s="55">
        <v>-2136</v>
      </c>
      <c r="H51" s="55">
        <v>0</v>
      </c>
      <c r="I51" s="118">
        <f t="shared" si="4"/>
        <v>-2136</v>
      </c>
      <c r="J51" s="55">
        <v>0</v>
      </c>
      <c r="K51" s="118">
        <f t="shared" si="5"/>
        <v>-2136</v>
      </c>
    </row>
    <row r="52" spans="3:11" ht="12.75">
      <c r="C52" s="56"/>
      <c r="D52" s="56"/>
      <c r="E52" s="56"/>
      <c r="F52" s="56"/>
      <c r="G52" s="56"/>
      <c r="H52" s="56"/>
      <c r="I52" s="121"/>
      <c r="J52" s="56"/>
      <c r="K52" s="121"/>
    </row>
    <row r="53" spans="2:11" ht="13.5" thickBot="1">
      <c r="B53" t="s">
        <v>83</v>
      </c>
      <c r="C53" s="57">
        <f aca="true" t="shared" si="6" ref="C53:K53">SUM(C43:C52)</f>
        <v>213563</v>
      </c>
      <c r="D53" s="57">
        <f t="shared" si="6"/>
        <v>10392</v>
      </c>
      <c r="E53" s="57">
        <f t="shared" si="6"/>
        <v>0</v>
      </c>
      <c r="F53" s="57">
        <f t="shared" si="6"/>
        <v>-791</v>
      </c>
      <c r="G53" s="57">
        <f t="shared" si="6"/>
        <v>39226</v>
      </c>
      <c r="H53" s="57">
        <f t="shared" si="6"/>
        <v>-575</v>
      </c>
      <c r="I53" s="122">
        <f t="shared" si="6"/>
        <v>261815</v>
      </c>
      <c r="J53" s="57">
        <f t="shared" si="6"/>
        <v>35489</v>
      </c>
      <c r="K53" s="122">
        <f t="shared" si="6"/>
        <v>297304</v>
      </c>
    </row>
    <row r="54" ht="13.5" thickTop="1"/>
    <row r="59" ht="12.75">
      <c r="B59" s="34" t="s">
        <v>62</v>
      </c>
    </row>
    <row r="60" ht="12.75">
      <c r="B60" s="35" t="s">
        <v>96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workbookViewId="0" topLeftCell="A29">
      <selection activeCell="D54" sqref="D5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38</v>
      </c>
    </row>
    <row r="3" ht="15.75">
      <c r="A3" s="1" t="s">
        <v>143</v>
      </c>
    </row>
    <row r="5" spans="2:6" ht="12.75">
      <c r="B5" s="36"/>
      <c r="D5" s="31" t="s">
        <v>144</v>
      </c>
      <c r="F5" s="31" t="s">
        <v>144</v>
      </c>
    </row>
    <row r="6" spans="4:6" ht="12.75">
      <c r="D6" s="31" t="s">
        <v>39</v>
      </c>
      <c r="F6" s="31" t="s">
        <v>39</v>
      </c>
    </row>
    <row r="7" spans="4:6" ht="12.75">
      <c r="D7" s="32">
        <v>38990</v>
      </c>
      <c r="F7" s="32">
        <v>38625</v>
      </c>
    </row>
    <row r="8" spans="4:6" ht="12.75">
      <c r="D8" s="26" t="s">
        <v>11</v>
      </c>
      <c r="F8" s="26" t="s">
        <v>11</v>
      </c>
    </row>
    <row r="10" spans="2:6" ht="12.75">
      <c r="B10" s="25" t="s">
        <v>75</v>
      </c>
      <c r="D10" s="58">
        <f>'Consol Y Stmt'!H32</f>
        <v>10567</v>
      </c>
      <c r="E10" s="56"/>
      <c r="F10" s="58">
        <f>'Consol Y Stmt'!I32</f>
        <v>-2245</v>
      </c>
    </row>
    <row r="11" spans="4:6" ht="12.75">
      <c r="D11" s="59"/>
      <c r="E11" s="56"/>
      <c r="F11" s="59"/>
    </row>
    <row r="12" spans="2:6" ht="12.75">
      <c r="B12" s="25" t="s">
        <v>40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41</v>
      </c>
      <c r="D14" s="58">
        <f>2929+337-608</f>
        <v>2658</v>
      </c>
      <c r="E14" s="56"/>
      <c r="F14" s="58">
        <v>17752</v>
      </c>
    </row>
    <row r="15" spans="2:6" ht="12.75">
      <c r="B15" t="s">
        <v>42</v>
      </c>
      <c r="D15" s="58">
        <f>-D23-D24-D22-5034-37</f>
        <v>-8904</v>
      </c>
      <c r="E15" s="56"/>
      <c r="F15" s="58">
        <v>-7392</v>
      </c>
    </row>
    <row r="16" spans="4:6" ht="12.75">
      <c r="D16" s="60"/>
      <c r="E16" s="56"/>
      <c r="F16" s="60"/>
    </row>
    <row r="17" spans="2:6" ht="12.75">
      <c r="B17" s="25" t="s">
        <v>68</v>
      </c>
      <c r="D17" s="58">
        <f>SUM(D10:D15)</f>
        <v>4321</v>
      </c>
      <c r="E17" s="56"/>
      <c r="F17" s="58">
        <f>SUM(F10:F15)</f>
        <v>8115</v>
      </c>
    </row>
    <row r="18" spans="4:6" ht="12.75">
      <c r="D18" s="58"/>
      <c r="E18" s="56"/>
      <c r="F18" s="58"/>
    </row>
    <row r="19" spans="2:6" ht="12.75">
      <c r="B19" s="25" t="s">
        <v>43</v>
      </c>
      <c r="D19" s="58"/>
      <c r="E19" s="56"/>
      <c r="F19" s="58"/>
    </row>
    <row r="20" spans="2:6" ht="12.75">
      <c r="B20" t="s">
        <v>44</v>
      </c>
      <c r="D20" s="58">
        <f>-2147+201</f>
        <v>-1946</v>
      </c>
      <c r="E20" s="56"/>
      <c r="F20" s="58">
        <v>-164762</v>
      </c>
    </row>
    <row r="21" spans="2:6" ht="12.75">
      <c r="B21" t="s">
        <v>45</v>
      </c>
      <c r="D21" s="58">
        <v>-11068</v>
      </c>
      <c r="E21" s="56"/>
      <c r="F21" s="58">
        <v>167426</v>
      </c>
    </row>
    <row r="22" spans="2:6" ht="12.75">
      <c r="B22" t="s">
        <v>80</v>
      </c>
      <c r="D22" s="58">
        <v>262</v>
      </c>
      <c r="E22" s="56"/>
      <c r="F22" s="58">
        <v>343</v>
      </c>
    </row>
    <row r="23" spans="2:7" ht="12.75">
      <c r="B23" t="s">
        <v>81</v>
      </c>
      <c r="D23" s="58">
        <v>4949</v>
      </c>
      <c r="E23" s="56"/>
      <c r="F23" s="58">
        <v>4299</v>
      </c>
      <c r="G23" s="112"/>
    </row>
    <row r="24" spans="2:7" ht="12.75">
      <c r="B24" t="s">
        <v>82</v>
      </c>
      <c r="D24" s="58">
        <v>-1378</v>
      </c>
      <c r="E24" s="56"/>
      <c r="F24" s="58">
        <v>-1903</v>
      </c>
      <c r="G24" s="112"/>
    </row>
    <row r="25" spans="2:6" ht="12.75">
      <c r="B25" t="s">
        <v>70</v>
      </c>
      <c r="D25" s="58">
        <v>-878</v>
      </c>
      <c r="E25" s="56"/>
      <c r="F25" s="58">
        <v>-3710</v>
      </c>
    </row>
    <row r="26" spans="2:6" ht="12.75">
      <c r="B26" t="s">
        <v>76</v>
      </c>
      <c r="D26" s="58">
        <v>0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46</v>
      </c>
      <c r="D28" s="61">
        <f>SUM(D17:D26)</f>
        <v>-5738</v>
      </c>
      <c r="E28" s="56"/>
      <c r="F28" s="61">
        <f>SUM(F17:F26)</f>
        <v>9808</v>
      </c>
    </row>
    <row r="29" spans="4:6" ht="12.75">
      <c r="D29" s="58"/>
      <c r="E29" s="56"/>
      <c r="F29" s="58"/>
    </row>
    <row r="30" spans="2:6" ht="12.75">
      <c r="B30" s="25" t="s">
        <v>47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66</v>
      </c>
      <c r="D32" s="58">
        <v>-244</v>
      </c>
      <c r="E32" s="56"/>
      <c r="F32" s="58">
        <v>-776</v>
      </c>
    </row>
    <row r="33" spans="2:6" ht="12.75">
      <c r="B33" t="s">
        <v>67</v>
      </c>
      <c r="D33" s="58">
        <v>40</v>
      </c>
      <c r="E33" s="56"/>
      <c r="F33" s="58">
        <v>171</v>
      </c>
    </row>
    <row r="34" spans="2:6" ht="12.75">
      <c r="B34" t="s">
        <v>107</v>
      </c>
      <c r="D34" s="58">
        <v>9549</v>
      </c>
      <c r="E34" s="56"/>
      <c r="F34" s="58">
        <v>10904</v>
      </c>
    </row>
    <row r="35" spans="2:6" ht="12.75">
      <c r="B35" t="s">
        <v>79</v>
      </c>
      <c r="D35" s="58">
        <v>0</v>
      </c>
      <c r="E35" s="56"/>
      <c r="F35" s="58">
        <v>0</v>
      </c>
    </row>
    <row r="36" spans="2:6" ht="12.75">
      <c r="B36" s="25" t="s">
        <v>51</v>
      </c>
      <c r="D36" s="61">
        <f>SUM(D32:D35)</f>
        <v>9345</v>
      </c>
      <c r="E36" s="56"/>
      <c r="F36" s="61">
        <f>SUM(F32:F35)</f>
        <v>10299</v>
      </c>
    </row>
    <row r="37" spans="4:6" ht="12.75">
      <c r="D37" s="58"/>
      <c r="E37" s="56"/>
      <c r="F37" s="58"/>
    </row>
    <row r="38" spans="2:6" ht="12.75">
      <c r="B38" s="25" t="s">
        <v>48</v>
      </c>
      <c r="D38" s="58"/>
      <c r="E38" s="56"/>
      <c r="F38" s="58"/>
    </row>
    <row r="39" spans="2:6" ht="6.75" customHeight="1">
      <c r="B39" s="25"/>
      <c r="D39" s="58"/>
      <c r="E39" s="56"/>
      <c r="F39" s="58"/>
    </row>
    <row r="40" spans="2:6" ht="12.75">
      <c r="B40" t="s">
        <v>35</v>
      </c>
      <c r="D40" s="58">
        <v>-1196</v>
      </c>
      <c r="E40" s="56"/>
      <c r="F40" s="58">
        <v>-2757</v>
      </c>
    </row>
    <row r="41" spans="2:6" ht="12.75">
      <c r="B41" t="s">
        <v>49</v>
      </c>
      <c r="D41" s="58">
        <v>-2101</v>
      </c>
      <c r="E41" s="56"/>
      <c r="F41" s="58">
        <v>-2136</v>
      </c>
    </row>
    <row r="42" spans="2:6" ht="12.75">
      <c r="B42" t="s">
        <v>50</v>
      </c>
      <c r="D42" s="58">
        <v>0</v>
      </c>
      <c r="E42" s="56"/>
      <c r="F42" s="58">
        <v>-1800</v>
      </c>
    </row>
    <row r="43" spans="2:6" ht="12.75">
      <c r="B43" t="s">
        <v>86</v>
      </c>
      <c r="D43" s="58">
        <v>-735</v>
      </c>
      <c r="E43" s="56"/>
      <c r="F43" s="58">
        <v>-575</v>
      </c>
    </row>
    <row r="44" spans="2:6" ht="12.75">
      <c r="B44" s="25" t="s">
        <v>69</v>
      </c>
      <c r="D44" s="61">
        <f>SUM(D40:D43)</f>
        <v>-4032</v>
      </c>
      <c r="E44" s="56"/>
      <c r="F44" s="61">
        <f>SUM(F40:F43)</f>
        <v>-7268</v>
      </c>
    </row>
    <row r="45" spans="4:6" ht="12.75">
      <c r="D45" s="62"/>
      <c r="E45" s="56"/>
      <c r="F45" s="62"/>
    </row>
    <row r="46" spans="2:6" ht="12.75">
      <c r="B46" s="25" t="s">
        <v>52</v>
      </c>
      <c r="D46" s="58">
        <f>D28+D36+D44</f>
        <v>-425</v>
      </c>
      <c r="E46" s="56"/>
      <c r="F46" s="58">
        <f>F28+F36+F44</f>
        <v>12839</v>
      </c>
    </row>
    <row r="47" spans="2:6" ht="12.75">
      <c r="B47" s="25"/>
      <c r="D47" s="58"/>
      <c r="E47" s="56"/>
      <c r="F47" s="58"/>
    </row>
    <row r="48" spans="2:6" ht="12.75">
      <c r="B48" s="25" t="s">
        <v>71</v>
      </c>
      <c r="D48" s="58">
        <v>20589</v>
      </c>
      <c r="E48" s="56"/>
      <c r="F48" s="58">
        <v>20282</v>
      </c>
    </row>
    <row r="49" spans="2:6" ht="12.75">
      <c r="B49" s="25"/>
      <c r="D49" s="58"/>
      <c r="E49" s="56"/>
      <c r="F49" s="58"/>
    </row>
    <row r="50" spans="2:6" ht="13.5" thickBot="1">
      <c r="B50" s="25" t="s">
        <v>64</v>
      </c>
      <c r="D50" s="63">
        <f>SUM(D46:D48)</f>
        <v>20164</v>
      </c>
      <c r="E50" s="56"/>
      <c r="F50" s="63">
        <f>SUM(F46:F48)</f>
        <v>33121</v>
      </c>
    </row>
    <row r="51" spans="4:6" ht="13.5" thickTop="1">
      <c r="D51" s="64"/>
      <c r="E51" s="56"/>
      <c r="F51" s="64"/>
    </row>
    <row r="52" spans="2:6" ht="12.75">
      <c r="B52" s="25" t="s">
        <v>72</v>
      </c>
      <c r="D52" s="64"/>
      <c r="E52" s="56"/>
      <c r="F52" s="64"/>
    </row>
    <row r="53" spans="2:6" ht="12.75">
      <c r="B53" t="s">
        <v>73</v>
      </c>
      <c r="D53" s="64">
        <f>5786+20466</f>
        <v>26252</v>
      </c>
      <c r="E53" s="56"/>
      <c r="F53" s="64">
        <v>36345</v>
      </c>
    </row>
    <row r="54" spans="2:6" ht="12.75">
      <c r="B54" t="s">
        <v>74</v>
      </c>
      <c r="D54" s="64">
        <v>-6088</v>
      </c>
      <c r="E54" s="56"/>
      <c r="F54" s="64">
        <v>-3224</v>
      </c>
    </row>
    <row r="55" spans="4:6" ht="13.5" thickBot="1">
      <c r="D55" s="63">
        <f>SUM(D53:D54)</f>
        <v>20164</v>
      </c>
      <c r="E55" s="56"/>
      <c r="F55" s="63">
        <f>SUM(F53:F54)</f>
        <v>33121</v>
      </c>
    </row>
    <row r="56" spans="4:6" ht="13.5" thickTop="1">
      <c r="D56" s="65">
        <f>D50-D55</f>
        <v>0</v>
      </c>
      <c r="E56" s="56"/>
      <c r="F56" s="65">
        <f>F55-F50</f>
        <v>0</v>
      </c>
    </row>
    <row r="57" spans="4:6" ht="12.75">
      <c r="D57" s="56"/>
      <c r="E57" s="56"/>
      <c r="F57" s="56"/>
    </row>
    <row r="58" spans="2:6" ht="12.75">
      <c r="B58" s="34" t="s">
        <v>65</v>
      </c>
      <c r="D58" s="56"/>
      <c r="E58" s="56"/>
      <c r="F58" s="56"/>
    </row>
    <row r="59" spans="2:6" ht="12.75">
      <c r="B59" s="35" t="s">
        <v>97</v>
      </c>
      <c r="D59" s="56"/>
      <c r="E59" s="56"/>
      <c r="F59" s="56"/>
    </row>
    <row r="60" spans="4:6" ht="12.75">
      <c r="D60" s="56"/>
      <c r="E60" s="56"/>
      <c r="F60" s="56"/>
    </row>
    <row r="61" spans="4:6" ht="12.75"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</sheetData>
  <printOptions/>
  <pageMargins left="0.75" right="0.75" top="1" bottom="1" header="0" footer="0"/>
  <pageSetup fitToHeight="1" fitToWidth="1"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Zalili</cp:lastModifiedBy>
  <cp:lastPrinted>2006-10-30T09:03:30Z</cp:lastPrinted>
  <dcterms:created xsi:type="dcterms:W3CDTF">2000-05-08T06:50:43Z</dcterms:created>
  <dcterms:modified xsi:type="dcterms:W3CDTF">2006-11-22T08:35:28Z</dcterms:modified>
  <cp:category/>
  <cp:version/>
  <cp:contentType/>
  <cp:contentStatus/>
</cp:coreProperties>
</file>