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285" tabRatio="395" firstSheet="2" activeTab="3"/>
  </bookViews>
  <sheets>
    <sheet name="Consol Y Stmt" sheetId="1" r:id="rId1"/>
    <sheet name="Consol BS" sheetId="2" r:id="rId2"/>
    <sheet name="Changes in equity" sheetId="3" r:id="rId3"/>
    <sheet name="Cash flow" sheetId="4" r:id="rId4"/>
  </sheets>
  <definedNames>
    <definedName name="_xlnm.Print_Area" localSheetId="2">'Changes in equity'!$A$1:$K$60</definedName>
    <definedName name="_xlnm.Print_Titles" localSheetId="0">'Consol Y Stmt'!$1:$18</definedName>
  </definedNames>
  <calcPr fullCalcOnLoad="1"/>
</workbook>
</file>

<file path=xl/sharedStrings.xml><?xml version="1.0" encoding="utf-8"?>
<sst xmlns="http://schemas.openxmlformats.org/spreadsheetml/2006/main" count="179" uniqueCount="146">
  <si>
    <t>APEX EQUITY HOLDINGS BERHAD</t>
  </si>
  <si>
    <t>(208232 - A)</t>
  </si>
  <si>
    <t>QUARTERLY REPORT</t>
  </si>
  <si>
    <t xml:space="preserve">                    INDIVIDUAL QUARTER</t>
  </si>
  <si>
    <t xml:space="preserve">               CUMULATIVE QUARTER</t>
  </si>
  <si>
    <t>CURRENT</t>
  </si>
  <si>
    <t>PRECEDING YEAR</t>
  </si>
  <si>
    <t>YEAR</t>
  </si>
  <si>
    <t>QUARTER</t>
  </si>
  <si>
    <t>TO DATE</t>
  </si>
  <si>
    <t>PERIOD</t>
  </si>
  <si>
    <t>RM' 000</t>
  </si>
  <si>
    <t>APEX EQUITY HOLDINGS BERHAD ( 208232-A )</t>
  </si>
  <si>
    <t>AS AT</t>
  </si>
  <si>
    <t>Current Assets</t>
  </si>
  <si>
    <t>Current Liabilities</t>
  </si>
  <si>
    <t xml:space="preserve">Share Capital </t>
  </si>
  <si>
    <t>Reserves</t>
  </si>
  <si>
    <t xml:space="preserve"> </t>
  </si>
  <si>
    <t>Minority Interests</t>
  </si>
  <si>
    <t>The figures have not been audited.</t>
  </si>
  <si>
    <t>Revenue</t>
  </si>
  <si>
    <t>Bank Term Loan</t>
  </si>
  <si>
    <t>COMPARATIVE</t>
  </si>
  <si>
    <t>Other Operating Income</t>
  </si>
  <si>
    <t>Operating Expenses</t>
  </si>
  <si>
    <t>Investing Results</t>
  </si>
  <si>
    <t>Finance Costs</t>
  </si>
  <si>
    <t>Taxation</t>
  </si>
  <si>
    <t>Minority Interest</t>
  </si>
  <si>
    <t>: Basic</t>
  </si>
  <si>
    <t>: Diluted</t>
  </si>
  <si>
    <t xml:space="preserve">(The Condensed Consolidated Income Statements should be read in conjunction with the Annual Financial Report for </t>
  </si>
  <si>
    <t>Debtors</t>
  </si>
  <si>
    <t>Creditors</t>
  </si>
  <si>
    <t>Bank borrowings</t>
  </si>
  <si>
    <t xml:space="preserve">Taxation </t>
  </si>
  <si>
    <t>(The Condensed Consolidated Balance Sheet should be read in conjunction with the Annual Financial Report</t>
  </si>
  <si>
    <t xml:space="preserve">CONDENSED CONSOLIDATED CASH FLOW STATEMENT </t>
  </si>
  <si>
    <t>ended</t>
  </si>
  <si>
    <t>Adjustments for :-</t>
  </si>
  <si>
    <t>Non-cash items</t>
  </si>
  <si>
    <t>Non-operating items (which are investing/financing)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</si>
  <si>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</si>
  <si>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</si>
  <si>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</si>
  <si>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</si>
  <si>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</si>
  <si>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</si>
  <si>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Dividends paid</t>
  </si>
  <si>
    <t>Dividend paid to minority interest</t>
  </si>
  <si>
    <t>Net cash in investing activities</t>
  </si>
  <si>
    <t>Net change in Cash &amp; Cash Equivalents</t>
  </si>
  <si>
    <t>CONDENSED CONSOLIDATED STATEMENT OF CHANGES IN EQUITY</t>
  </si>
  <si>
    <t>Share</t>
  </si>
  <si>
    <t>Capital</t>
  </si>
  <si>
    <t>Premium</t>
  </si>
  <si>
    <t>Other</t>
  </si>
  <si>
    <t>Total</t>
  </si>
  <si>
    <t>RM`000</t>
  </si>
  <si>
    <t>Movements during the period</t>
  </si>
  <si>
    <t>(cumulative)</t>
  </si>
  <si>
    <t>(The Condensed Consolidated Statement of Changes in Equity should be read in conjunction with the Annual Financial Report</t>
  </si>
  <si>
    <t>EPS (sen)</t>
  </si>
  <si>
    <t>Cash &amp; Cash Equivalents at end of period</t>
  </si>
  <si>
    <t xml:space="preserve">(The Condensed Consolidated Cashflow Statement should be read in conjunction </t>
  </si>
  <si>
    <t>Purchase of property, plant &amp; equipment</t>
  </si>
  <si>
    <t>Proceeds from disposal of property,plant and equipment</t>
  </si>
  <si>
    <t>Operating profit before changes in working capital</t>
  </si>
  <si>
    <t>Net cash used in financing activities</t>
  </si>
  <si>
    <t>Income tax paid</t>
  </si>
  <si>
    <t>Cash &amp; Cash Equivalents at beginning of period</t>
  </si>
  <si>
    <t>Cash &amp; Cash Equivalents at end of period comprise :</t>
  </si>
  <si>
    <t>Cash,Bank Balances and Deposits</t>
  </si>
  <si>
    <t>Bank Overdrafts</t>
  </si>
  <si>
    <t>Net Profit/(Loss)  before tax</t>
  </si>
  <si>
    <t>Tax refund</t>
  </si>
  <si>
    <t>Balance at beginning of year 2002</t>
  </si>
  <si>
    <t>Balance at end of year 2002</t>
  </si>
  <si>
    <t>Purchase of investment</t>
  </si>
  <si>
    <t>Dividend Income</t>
  </si>
  <si>
    <t>Interest income</t>
  </si>
  <si>
    <t>Interest expense</t>
  </si>
  <si>
    <t>Balance at end of period 2005</t>
  </si>
  <si>
    <t>Deferred Tax Assets</t>
  </si>
  <si>
    <t>Shares</t>
  </si>
  <si>
    <t>Shares buy-back</t>
  </si>
  <si>
    <t>Profit</t>
  </si>
  <si>
    <t>Unappropriated</t>
  </si>
  <si>
    <t>31.12.2005</t>
  </si>
  <si>
    <t>Net profit/(loss) during the period</t>
  </si>
  <si>
    <t>Dividend paid</t>
  </si>
  <si>
    <t>Treasury</t>
  </si>
  <si>
    <t>Translation differences in foreign subsidiary</t>
  </si>
  <si>
    <t>Attributable to :</t>
  </si>
  <si>
    <t>the year ended 31 December 2005)</t>
  </si>
  <si>
    <t>for the year ended 31 December 2005)</t>
  </si>
  <si>
    <t>with the Annual Financial Report for the year ended 31 December 2005)</t>
  </si>
  <si>
    <t>(RESTATED)</t>
  </si>
  <si>
    <t xml:space="preserve">                           </t>
  </si>
  <si>
    <t>Available-for-sale Investments</t>
  </si>
  <si>
    <t>Bank Borrowings</t>
  </si>
  <si>
    <t>Discount On Acquisition</t>
  </si>
  <si>
    <t>Prepaid Lease Payments</t>
  </si>
  <si>
    <t>Profit From Operations</t>
  </si>
  <si>
    <t>Profit/(Loss) Before Tax</t>
  </si>
  <si>
    <t>Profit/(Loss) After Tax</t>
  </si>
  <si>
    <t>Proceeds from disposal of available for sales investments</t>
  </si>
  <si>
    <t>Balance at beginning of year 2006</t>
  </si>
  <si>
    <t>As previously stated</t>
  </si>
  <si>
    <t>As restated</t>
  </si>
  <si>
    <t>Fair Value</t>
  </si>
  <si>
    <t>Reserve</t>
  </si>
  <si>
    <t>Transfer from fair value reserve to profit &amp; loss</t>
  </si>
  <si>
    <t>Balance at end of period 2006</t>
  </si>
  <si>
    <t>Unrealised gain on valuation of available for sales investment</t>
  </si>
  <si>
    <t>Balance at beginning of year 2005</t>
  </si>
  <si>
    <t>Treasury Shares</t>
  </si>
  <si>
    <t>Equity</t>
  </si>
  <si>
    <t>Interest</t>
  </si>
  <si>
    <t>Equity Attributable to Equity Holders of the Parent</t>
  </si>
  <si>
    <t>Attributable to</t>
  </si>
  <si>
    <t>Equity Holders</t>
  </si>
  <si>
    <t>of the Parent</t>
  </si>
  <si>
    <t>Minority</t>
  </si>
  <si>
    <t>Cash and Short Term Funds</t>
  </si>
  <si>
    <t>Non-Current Liabilities</t>
  </si>
  <si>
    <t>Effect on adopting FRS 3</t>
  </si>
  <si>
    <t>Effect on adopting FRS 139</t>
  </si>
  <si>
    <t>Net Current Assets</t>
  </si>
  <si>
    <t>Financed by:</t>
  </si>
  <si>
    <t>Total Equity</t>
  </si>
  <si>
    <t>Non-Current Assets</t>
  </si>
  <si>
    <t>Fixed Deposits with Financial Institutions</t>
  </si>
  <si>
    <t>Property, Plant and Equipment</t>
  </si>
  <si>
    <t>Securities Fair Value Through Profit or Loss</t>
  </si>
  <si>
    <t>Equity Holders of the Parent</t>
  </si>
  <si>
    <t>Net assets per share attributable to equity holders of the parent (RM)</t>
  </si>
  <si>
    <t>Quarterly report on consolidated results for the financial quarter ended 30 June 2006</t>
  </si>
  <si>
    <t>CONDENSED CONSOLIDATED INCOME STATEMENT FOR THE QUARTER ENDED 30 JUNE 2006</t>
  </si>
  <si>
    <t>30.06.2006</t>
  </si>
  <si>
    <t>CONDENSED CONSOLIDATED BALANCE SHEETS AS AT 30 JUNE 2006</t>
  </si>
  <si>
    <t>6 months ended 30 June 2005</t>
  </si>
  <si>
    <t>6 months ended 30 June 2006</t>
  </si>
  <si>
    <t>6 months</t>
  </si>
  <si>
    <t>FOR THE PERIOD ENDED 30 JUNE 2006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</si>
</sst>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 * #,##0.0_ ;_ * \-#,##0.0_ ;_ * &quot;-&quot;?_ ;_ @_ 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  <numFmt numFmtId="179" formatCode="#,##0.0"/>
    <numFmt numFmtId="180" formatCode="#,##0.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Accounting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Border="1" applyAlignment="1">
      <alignment horizontal="centerContinuous"/>
    </xf>
    <xf numFmtId="173" fontId="0" fillId="0" borderId="0" xfId="15" applyNumberFormat="1" applyBorder="1" applyAlignment="1">
      <alignment/>
    </xf>
    <xf numFmtId="3" fontId="0" fillId="0" borderId="0" xfId="15" applyNumberFormat="1" applyAlignment="1">
      <alignment/>
    </xf>
    <xf numFmtId="3" fontId="1" fillId="0" borderId="0" xfId="15" applyNumberFormat="1" applyFont="1" applyBorder="1" applyAlignment="1">
      <alignment horizontal="centerContinuous"/>
    </xf>
    <xf numFmtId="3" fontId="0" fillId="0" borderId="0" xfId="15" applyNumberFormat="1" applyBorder="1" applyAlignment="1">
      <alignment/>
    </xf>
    <xf numFmtId="0" fontId="8" fillId="0" borderId="0" xfId="0" applyFont="1" applyBorder="1" applyAlignment="1">
      <alignment/>
    </xf>
    <xf numFmtId="173" fontId="0" fillId="0" borderId="2" xfId="15" applyNumberFormat="1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3" fontId="0" fillId="0" borderId="7" xfId="15" applyNumberFormat="1" applyBorder="1" applyAlignment="1">
      <alignment/>
    </xf>
    <xf numFmtId="173" fontId="0" fillId="0" borderId="8" xfId="15" applyNumberFormat="1" applyBorder="1" applyAlignment="1">
      <alignment/>
    </xf>
    <xf numFmtId="173" fontId="0" fillId="0" borderId="9" xfId="15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15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173" fontId="1" fillId="0" borderId="0" xfId="15" applyNumberFormat="1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73" fontId="0" fillId="0" borderId="10" xfId="15" applyNumberFormat="1" applyBorder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7" xfId="15" applyNumberFormat="1" applyFont="1" applyFill="1" applyBorder="1" applyAlignment="1">
      <alignment/>
    </xf>
    <xf numFmtId="0" fontId="0" fillId="0" borderId="7" xfId="0" applyFill="1" applyBorder="1" applyAlignment="1">
      <alignment/>
    </xf>
    <xf numFmtId="173" fontId="0" fillId="0" borderId="7" xfId="15" applyNumberFormat="1" applyFill="1" applyBorder="1" applyAlignment="1">
      <alignment/>
    </xf>
    <xf numFmtId="0" fontId="0" fillId="0" borderId="11" xfId="0" applyFill="1" applyBorder="1" applyAlignment="1">
      <alignment/>
    </xf>
    <xf numFmtId="173" fontId="0" fillId="0" borderId="7" xfId="0" applyNumberFormat="1" applyFill="1" applyBorder="1" applyAlignment="1">
      <alignment/>
    </xf>
    <xf numFmtId="173" fontId="0" fillId="0" borderId="11" xfId="15" applyNumberFormat="1" applyFill="1" applyBorder="1" applyAlignment="1">
      <alignment/>
    </xf>
    <xf numFmtId="173" fontId="0" fillId="0" borderId="12" xfId="15" applyNumberFormat="1" applyFill="1" applyBorder="1" applyAlignment="1">
      <alignment/>
    </xf>
    <xf numFmtId="43" fontId="0" fillId="0" borderId="7" xfId="15" applyNumberFormat="1" applyFill="1" applyBorder="1" applyAlignment="1">
      <alignment/>
    </xf>
    <xf numFmtId="173" fontId="0" fillId="0" borderId="2" xfId="15" applyNumberFormat="1" applyFont="1" applyFill="1" applyBorder="1" applyAlignment="1">
      <alignment/>
    </xf>
    <xf numFmtId="43" fontId="0" fillId="0" borderId="2" xfId="15" applyNumberFormat="1" applyFont="1" applyFill="1" applyBorder="1" applyAlignment="1">
      <alignment/>
    </xf>
    <xf numFmtId="173" fontId="0" fillId="0" borderId="0" xfId="15" applyNumberFormat="1" applyFill="1" applyBorder="1" applyAlignment="1">
      <alignment/>
    </xf>
    <xf numFmtId="3" fontId="0" fillId="0" borderId="0" xfId="15" applyNumberFormat="1" applyFill="1" applyBorder="1" applyAlignment="1">
      <alignment/>
    </xf>
    <xf numFmtId="3" fontId="0" fillId="0" borderId="13" xfId="15" applyNumberFormat="1" applyFill="1" applyBorder="1" applyAlignment="1">
      <alignment/>
    </xf>
    <xf numFmtId="173" fontId="0" fillId="0" borderId="13" xfId="15" applyNumberFormat="1" applyFill="1" applyBorder="1" applyAlignment="1">
      <alignment/>
    </xf>
    <xf numFmtId="173" fontId="0" fillId="0" borderId="13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173" fontId="1" fillId="0" borderId="10" xfId="15" applyNumberFormat="1" applyFont="1" applyFill="1" applyBorder="1" applyAlignment="1">
      <alignment/>
    </xf>
    <xf numFmtId="3" fontId="0" fillId="0" borderId="0" xfId="15" applyNumberFormat="1" applyFill="1" applyAlignment="1">
      <alignment/>
    </xf>
    <xf numFmtId="173" fontId="0" fillId="0" borderId="0" xfId="15" applyNumberFormat="1" applyFill="1" applyAlignment="1">
      <alignment/>
    </xf>
    <xf numFmtId="0" fontId="0" fillId="0" borderId="0" xfId="0" applyFill="1" applyAlignment="1">
      <alignment/>
    </xf>
    <xf numFmtId="173" fontId="0" fillId="0" borderId="10" xfId="15" applyNumberFormat="1" applyFill="1" applyBorder="1" applyAlignment="1">
      <alignment/>
    </xf>
    <xf numFmtId="173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73" fontId="0" fillId="0" borderId="14" xfId="15" applyNumberFormat="1" applyFont="1" applyFill="1" applyBorder="1" applyAlignment="1">
      <alignment/>
    </xf>
    <xf numFmtId="173" fontId="0" fillId="0" borderId="15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0" fillId="0" borderId="10" xfId="15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16" xfId="15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173" fontId="0" fillId="0" borderId="16" xfId="15" applyNumberFormat="1" applyFill="1" applyBorder="1" applyAlignment="1">
      <alignment/>
    </xf>
    <xf numFmtId="0" fontId="0" fillId="0" borderId="17" xfId="0" applyFill="1" applyBorder="1" applyAlignment="1">
      <alignment/>
    </xf>
    <xf numFmtId="173" fontId="0" fillId="0" borderId="16" xfId="0" applyNumberFormat="1" applyFill="1" applyBorder="1" applyAlignment="1">
      <alignment/>
    </xf>
    <xf numFmtId="173" fontId="0" fillId="0" borderId="17" xfId="15" applyNumberFormat="1" applyFill="1" applyBorder="1" applyAlignment="1">
      <alignment/>
    </xf>
    <xf numFmtId="173" fontId="0" fillId="0" borderId="18" xfId="15" applyNumberFormat="1" applyFill="1" applyBorder="1" applyAlignment="1">
      <alignment/>
    </xf>
    <xf numFmtId="0" fontId="1" fillId="0" borderId="1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15" fontId="1" fillId="0" borderId="1" xfId="0" applyNumberFormat="1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173" fontId="0" fillId="0" borderId="1" xfId="15" applyNumberFormat="1" applyBorder="1" applyAlignment="1">
      <alignment/>
    </xf>
    <xf numFmtId="43" fontId="0" fillId="0" borderId="1" xfId="15" applyNumberFormat="1" applyFill="1" applyBorder="1" applyAlignment="1">
      <alignment/>
    </xf>
    <xf numFmtId="43" fontId="0" fillId="0" borderId="1" xfId="15" applyNumberFormat="1" applyBorder="1" applyAlignment="1">
      <alignment/>
    </xf>
    <xf numFmtId="173" fontId="0" fillId="0" borderId="21" xfId="15" applyNumberFormat="1" applyBorder="1" applyAlignment="1">
      <alignment/>
    </xf>
    <xf numFmtId="0" fontId="1" fillId="0" borderId="22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15" fontId="1" fillId="0" borderId="2" xfId="0" applyNumberFormat="1" applyFont="1" applyBorder="1" applyAlignment="1">
      <alignment horizontal="centerContinuous"/>
    </xf>
    <xf numFmtId="0" fontId="1" fillId="0" borderId="23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15" fontId="1" fillId="0" borderId="25" xfId="0" applyNumberFormat="1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0" fillId="0" borderId="2" xfId="0" applyFill="1" applyBorder="1" applyAlignment="1">
      <alignment/>
    </xf>
    <xf numFmtId="173" fontId="0" fillId="0" borderId="2" xfId="15" applyNumberFormat="1" applyFill="1" applyBorder="1" applyAlignment="1">
      <alignment/>
    </xf>
    <xf numFmtId="0" fontId="0" fillId="0" borderId="29" xfId="0" applyFill="1" applyBorder="1" applyAlignment="1">
      <alignment/>
    </xf>
    <xf numFmtId="173" fontId="0" fillId="0" borderId="2" xfId="0" applyNumberFormat="1" applyFill="1" applyBorder="1" applyAlignment="1">
      <alignment/>
    </xf>
    <xf numFmtId="173" fontId="0" fillId="0" borderId="29" xfId="15" applyNumberFormat="1" applyFill="1" applyBorder="1" applyAlignment="1">
      <alignment/>
    </xf>
    <xf numFmtId="173" fontId="0" fillId="0" borderId="30" xfId="15" applyNumberFormat="1" applyFill="1" applyBorder="1" applyAlignment="1">
      <alignment/>
    </xf>
    <xf numFmtId="0" fontId="0" fillId="0" borderId="31" xfId="0" applyBorder="1" applyAlignment="1">
      <alignment/>
    </xf>
    <xf numFmtId="173" fontId="0" fillId="0" borderId="32" xfId="15" applyNumberFormat="1" applyBorder="1" applyAlignment="1">
      <alignment/>
    </xf>
    <xf numFmtId="43" fontId="0" fillId="0" borderId="32" xfId="15" applyNumberFormat="1" applyFill="1" applyBorder="1" applyAlignment="1">
      <alignment/>
    </xf>
    <xf numFmtId="43" fontId="0" fillId="0" borderId="32" xfId="15" applyNumberFormat="1" applyBorder="1" applyAlignment="1">
      <alignment/>
    </xf>
    <xf numFmtId="173" fontId="0" fillId="0" borderId="33" xfId="15" applyNumberFormat="1" applyBorder="1" applyAlignment="1">
      <alignment/>
    </xf>
    <xf numFmtId="0" fontId="0" fillId="0" borderId="34" xfId="0" applyBorder="1" applyAlignment="1">
      <alignment/>
    </xf>
    <xf numFmtId="173" fontId="0" fillId="0" borderId="32" xfId="15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173" fontId="0" fillId="0" borderId="32" xfId="15" applyNumberFormat="1" applyFill="1" applyBorder="1" applyAlignment="1">
      <alignment/>
    </xf>
    <xf numFmtId="0" fontId="0" fillId="0" borderId="35" xfId="0" applyFill="1" applyBorder="1" applyAlignment="1">
      <alignment/>
    </xf>
    <xf numFmtId="173" fontId="0" fillId="0" borderId="32" xfId="0" applyNumberFormat="1" applyFill="1" applyBorder="1" applyAlignment="1">
      <alignment/>
    </xf>
    <xf numFmtId="173" fontId="0" fillId="0" borderId="35" xfId="15" applyNumberFormat="1" applyFill="1" applyBorder="1" applyAlignment="1">
      <alignment/>
    </xf>
    <xf numFmtId="173" fontId="0" fillId="0" borderId="36" xfId="15" applyNumberFormat="1" applyFill="1" applyBorder="1" applyAlignment="1">
      <alignment/>
    </xf>
    <xf numFmtId="15" fontId="1" fillId="0" borderId="7" xfId="0" applyNumberFormat="1" applyFont="1" applyBorder="1" applyAlignment="1">
      <alignment horizontal="centerContinuous"/>
    </xf>
    <xf numFmtId="173" fontId="0" fillId="0" borderId="0" xfId="0" applyNumberFormat="1" applyAlignment="1">
      <alignment/>
    </xf>
    <xf numFmtId="3" fontId="1" fillId="0" borderId="0" xfId="15" applyNumberFormat="1" applyFont="1" applyBorder="1" applyAlignment="1" quotePrefix="1">
      <alignment horizontal="centerContinuous"/>
    </xf>
    <xf numFmtId="173" fontId="0" fillId="0" borderId="14" xfId="15" applyNumberFormat="1" applyFill="1" applyBorder="1" applyAlignment="1">
      <alignment/>
    </xf>
    <xf numFmtId="43" fontId="1" fillId="0" borderId="37" xfId="15" applyNumberFormat="1" applyFont="1" applyFill="1" applyBorder="1" applyAlignment="1">
      <alignment/>
    </xf>
    <xf numFmtId="3" fontId="0" fillId="0" borderId="0" xfId="15" applyNumberFormat="1" applyFont="1" applyAlignment="1">
      <alignment/>
    </xf>
    <xf numFmtId="0" fontId="0" fillId="0" borderId="0" xfId="0" applyAlignment="1">
      <alignment vertical="top" wrapText="1"/>
    </xf>
    <xf numFmtId="173" fontId="1" fillId="0" borderId="0" xfId="15" applyNumberFormat="1" applyFont="1" applyFill="1" applyAlignment="1">
      <alignment/>
    </xf>
    <xf numFmtId="173" fontId="1" fillId="0" borderId="14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173" fontId="1" fillId="0" borderId="10" xfId="15" applyNumberFormat="1" applyFont="1" applyFill="1" applyBorder="1" applyAlignment="1">
      <alignment/>
    </xf>
    <xf numFmtId="173" fontId="0" fillId="0" borderId="38" xfId="15" applyNumberFormat="1" applyFill="1" applyBorder="1" applyAlignment="1">
      <alignment/>
    </xf>
    <xf numFmtId="173" fontId="0" fillId="0" borderId="39" xfId="15" applyNumberFormat="1" applyFill="1" applyBorder="1" applyAlignment="1">
      <alignment/>
    </xf>
    <xf numFmtId="3" fontId="1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0" fillId="0" borderId="40" xfId="15" applyNumberFormat="1" applyFont="1" applyFill="1" applyBorder="1" applyAlignment="1">
      <alignment/>
    </xf>
    <xf numFmtId="180" fontId="0" fillId="0" borderId="0" xfId="15" applyNumberFormat="1" applyAlignment="1">
      <alignment/>
    </xf>
    <xf numFmtId="173" fontId="0" fillId="0" borderId="0" xfId="15" applyNumberFormat="1" applyFont="1" applyFill="1" applyBorder="1" applyAlignment="1">
      <alignment horizontal="right"/>
    </xf>
    <xf numFmtId="173" fontId="0" fillId="0" borderId="13" xfId="15" applyNumberFormat="1" applyFont="1" applyFill="1" applyBorder="1" applyAlignment="1">
      <alignment/>
    </xf>
    <xf numFmtId="0" fontId="0" fillId="0" borderId="13" xfId="0" applyBorder="1" applyAlignment="1">
      <alignment/>
    </xf>
    <xf numFmtId="173" fontId="0" fillId="0" borderId="41" xfId="15" applyNumberFormat="1" applyFill="1" applyBorder="1" applyAlignment="1">
      <alignment/>
    </xf>
    <xf numFmtId="38" fontId="0" fillId="0" borderId="0" xfId="15" applyNumberFormat="1" applyFont="1" applyFill="1" applyBorder="1" applyAlignment="1">
      <alignment horizontal="right"/>
    </xf>
    <xf numFmtId="38" fontId="0" fillId="0" borderId="0" xfId="15" applyNumberFormat="1" applyFont="1" applyFill="1" applyBorder="1" applyAlignment="1">
      <alignment/>
    </xf>
    <xf numFmtId="38" fontId="0" fillId="0" borderId="14" xfId="15" applyNumberFormat="1" applyFill="1" applyBorder="1" applyAlignment="1">
      <alignment/>
    </xf>
    <xf numFmtId="173" fontId="0" fillId="0" borderId="41" xfId="15" applyNumberFormat="1" applyFont="1" applyFill="1" applyBorder="1" applyAlignment="1">
      <alignment/>
    </xf>
    <xf numFmtId="173" fontId="0" fillId="0" borderId="0" xfId="0" applyNumberFormat="1" applyBorder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zoomScale="75" zoomScaleNormal="75" zoomScaleSheetLayoutView="75" workbookViewId="0" topLeftCell="A30">
      <selection activeCell="I47" sqref="I47"/>
    </sheetView>
  </sheetViews>
  <sheetFormatPr defaultColWidth="9.140625" defaultRowHeight="12.75"/>
  <cols>
    <col min="1" max="1" width="3.8515625" style="0" customWidth="1"/>
    <col min="2" max="2" width="11.57421875" style="0" customWidth="1"/>
    <col min="5" max="5" width="7.57421875" style="0" customWidth="1"/>
    <col min="6" max="7" width="20.7109375" style="0" customWidth="1"/>
    <col min="8" max="9" width="20.8515625" style="0" customWidth="1"/>
  </cols>
  <sheetData>
    <row r="1" spans="1:4" ht="20.25">
      <c r="A1" s="8" t="s">
        <v>0</v>
      </c>
      <c r="D1" s="7"/>
    </row>
    <row r="2" ht="15.75">
      <c r="A2" s="8" t="s">
        <v>1</v>
      </c>
    </row>
    <row r="3" ht="15.75">
      <c r="F3" s="8"/>
    </row>
    <row r="4" ht="15.75">
      <c r="F4" s="8"/>
    </row>
    <row r="6" ht="18">
      <c r="A6" s="5" t="s">
        <v>2</v>
      </c>
    </row>
    <row r="8" ht="12.75">
      <c r="A8" t="s">
        <v>138</v>
      </c>
    </row>
    <row r="9" ht="12.75">
      <c r="A9" t="s">
        <v>20</v>
      </c>
    </row>
    <row r="11" ht="15.75">
      <c r="A11" s="1" t="s">
        <v>139</v>
      </c>
    </row>
    <row r="12" ht="13.5" thickBot="1"/>
    <row r="13" spans="6:9" ht="15">
      <c r="F13" s="17" t="s">
        <v>3</v>
      </c>
      <c r="G13" s="18"/>
      <c r="H13" s="19" t="s">
        <v>4</v>
      </c>
      <c r="I13" s="20"/>
    </row>
    <row r="14" spans="6:9" ht="12.75">
      <c r="F14" s="81" t="s">
        <v>5</v>
      </c>
      <c r="G14" s="73" t="s">
        <v>6</v>
      </c>
      <c r="H14" s="89" t="s">
        <v>5</v>
      </c>
      <c r="I14" s="85" t="s">
        <v>6</v>
      </c>
    </row>
    <row r="15" spans="6:9" ht="12.75">
      <c r="F15" s="82" t="s">
        <v>7</v>
      </c>
      <c r="G15" s="74" t="s">
        <v>23</v>
      </c>
      <c r="H15" s="90" t="s">
        <v>7</v>
      </c>
      <c r="I15" s="86" t="s">
        <v>23</v>
      </c>
    </row>
    <row r="16" spans="6:9" ht="12.75">
      <c r="F16" s="82" t="s">
        <v>8</v>
      </c>
      <c r="G16" s="74" t="s">
        <v>8</v>
      </c>
      <c r="H16" s="90" t="s">
        <v>9</v>
      </c>
      <c r="I16" s="86" t="s">
        <v>10</v>
      </c>
    </row>
    <row r="17" spans="6:9" ht="12.75">
      <c r="F17" s="111">
        <v>38898</v>
      </c>
      <c r="G17" s="75">
        <v>38533</v>
      </c>
      <c r="H17" s="83">
        <f>F17</f>
        <v>38898</v>
      </c>
      <c r="I17" s="87">
        <f>G17</f>
        <v>38533</v>
      </c>
    </row>
    <row r="18" spans="6:9" ht="13.5" thickBot="1">
      <c r="F18" s="84" t="s">
        <v>11</v>
      </c>
      <c r="G18" s="76" t="s">
        <v>11</v>
      </c>
      <c r="H18" s="91" t="s">
        <v>11</v>
      </c>
      <c r="I18" s="88" t="s">
        <v>11</v>
      </c>
    </row>
    <row r="19" spans="6:9" ht="13.5" thickTop="1">
      <c r="F19" s="21"/>
      <c r="G19" s="6"/>
      <c r="H19" s="103"/>
      <c r="I19" s="98"/>
    </row>
    <row r="20" spans="2:9" ht="12.75">
      <c r="B20" s="25" t="s">
        <v>21</v>
      </c>
      <c r="F20" s="37">
        <f>H20-18109</f>
        <v>17583</v>
      </c>
      <c r="G20" s="66">
        <f>I20-33812</f>
        <v>21881</v>
      </c>
      <c r="H20" s="45">
        <v>35692</v>
      </c>
      <c r="I20" s="104">
        <v>55693</v>
      </c>
    </row>
    <row r="21" spans="2:9" ht="12.75">
      <c r="B21" s="25"/>
      <c r="F21" s="38"/>
      <c r="G21" s="67"/>
      <c r="H21" s="92"/>
      <c r="I21" s="105"/>
    </row>
    <row r="22" spans="2:9" ht="12.75">
      <c r="B22" s="25" t="s">
        <v>25</v>
      </c>
      <c r="F22" s="39">
        <f>H22-(-17235)</f>
        <v>-15100</v>
      </c>
      <c r="G22" s="68">
        <f>I22--29455</f>
        <v>-32252</v>
      </c>
      <c r="H22" s="93">
        <f>-22196-10139</f>
        <v>-32335</v>
      </c>
      <c r="I22" s="106">
        <v>-61707</v>
      </c>
    </row>
    <row r="23" spans="2:9" ht="12.75">
      <c r="B23" s="25"/>
      <c r="F23" s="41"/>
      <c r="G23" s="70"/>
      <c r="H23" s="92"/>
      <c r="I23" s="105"/>
    </row>
    <row r="24" spans="2:9" ht="12.75">
      <c r="B24" s="25" t="s">
        <v>24</v>
      </c>
      <c r="F24" s="39">
        <f>H24-461</f>
        <v>911</v>
      </c>
      <c r="G24" s="68">
        <f>I24-303</f>
        <v>699</v>
      </c>
      <c r="H24" s="93">
        <f>1007+365</f>
        <v>1372</v>
      </c>
      <c r="I24" s="106">
        <v>1002</v>
      </c>
    </row>
    <row r="25" spans="2:9" ht="12.75">
      <c r="B25" s="25"/>
      <c r="F25" s="40"/>
      <c r="G25" s="69"/>
      <c r="H25" s="94"/>
      <c r="I25" s="107"/>
    </row>
    <row r="26" spans="2:9" ht="12.75">
      <c r="B26" s="25" t="s">
        <v>104</v>
      </c>
      <c r="F26" s="41">
        <f>SUM(F20:F24)</f>
        <v>3394</v>
      </c>
      <c r="G26" s="70">
        <f>SUM(G20:G24)</f>
        <v>-9672</v>
      </c>
      <c r="H26" s="95">
        <f>SUM(H20:H24)</f>
        <v>4729</v>
      </c>
      <c r="I26" s="108">
        <f>SUM(I20:I24)</f>
        <v>-5012</v>
      </c>
    </row>
    <row r="27" spans="2:9" ht="12.75">
      <c r="B27" s="25"/>
      <c r="F27" s="38"/>
      <c r="G27" s="67"/>
      <c r="H27" s="92"/>
      <c r="I27" s="105"/>
    </row>
    <row r="28" spans="2:9" ht="12.75">
      <c r="B28" s="25" t="s">
        <v>27</v>
      </c>
      <c r="F28" s="39">
        <f>H28--419</f>
        <v>-652</v>
      </c>
      <c r="G28" s="68">
        <f>I28--829</f>
        <v>-547</v>
      </c>
      <c r="H28" s="93">
        <v>-1071</v>
      </c>
      <c r="I28" s="106">
        <v>-1376</v>
      </c>
    </row>
    <row r="29" spans="2:9" ht="12.75">
      <c r="B29" s="25"/>
      <c r="F29" s="39"/>
      <c r="G29" s="68"/>
      <c r="H29" s="93"/>
      <c r="I29" s="106"/>
    </row>
    <row r="30" spans="2:9" ht="12.75">
      <c r="B30" s="25" t="s">
        <v>26</v>
      </c>
      <c r="F30" s="39">
        <f>H30-807</f>
        <v>4227</v>
      </c>
      <c r="G30" s="68">
        <f>I30--47</f>
        <v>4131</v>
      </c>
      <c r="H30" s="93">
        <v>5034</v>
      </c>
      <c r="I30" s="106">
        <v>4084</v>
      </c>
    </row>
    <row r="31" spans="2:9" ht="12.75">
      <c r="B31" s="25"/>
      <c r="F31" s="42"/>
      <c r="G31" s="71"/>
      <c r="H31" s="96"/>
      <c r="I31" s="109"/>
    </row>
    <row r="32" spans="2:9" ht="12.75">
      <c r="B32" s="25" t="s">
        <v>105</v>
      </c>
      <c r="F32" s="39">
        <f>SUM(F26:F30)</f>
        <v>6969</v>
      </c>
      <c r="G32" s="68">
        <f>SUM(G26:G30)</f>
        <v>-6088</v>
      </c>
      <c r="H32" s="93">
        <f>SUM(H26:H30)</f>
        <v>8692</v>
      </c>
      <c r="I32" s="106">
        <f>SUM(I26:I30)</f>
        <v>-2304</v>
      </c>
    </row>
    <row r="33" spans="2:9" ht="12.75">
      <c r="B33" s="25"/>
      <c r="F33" s="39"/>
      <c r="G33" s="68"/>
      <c r="H33" s="93"/>
      <c r="I33" s="106"/>
    </row>
    <row r="34" spans="2:9" ht="12.75">
      <c r="B34" s="25" t="s">
        <v>28</v>
      </c>
      <c r="F34" s="39">
        <f>H34--217</f>
        <v>-460</v>
      </c>
      <c r="G34" s="68">
        <f>I34--1303</f>
        <v>960</v>
      </c>
      <c r="H34" s="93">
        <v>-677</v>
      </c>
      <c r="I34" s="106">
        <v>-343</v>
      </c>
    </row>
    <row r="35" spans="2:9" ht="12.75">
      <c r="B35" s="25"/>
      <c r="F35" s="42"/>
      <c r="G35" s="71"/>
      <c r="H35" s="96"/>
      <c r="I35" s="109"/>
    </row>
    <row r="36" spans="2:9" ht="13.5" thickBot="1">
      <c r="B36" s="25" t="s">
        <v>106</v>
      </c>
      <c r="F36" s="43">
        <f>SUM(F32:F34)</f>
        <v>6509</v>
      </c>
      <c r="G36" s="72">
        <f>SUM(G32:G34)</f>
        <v>-5128</v>
      </c>
      <c r="H36" s="97">
        <f>SUM(H32:H34)</f>
        <v>8015</v>
      </c>
      <c r="I36" s="110">
        <f>SUM(I32:I34)</f>
        <v>-2647</v>
      </c>
    </row>
    <row r="37" spans="2:9" ht="13.5" thickTop="1">
      <c r="B37" s="25"/>
      <c r="F37" s="39"/>
      <c r="G37" s="68"/>
      <c r="H37" s="93"/>
      <c r="I37" s="106"/>
    </row>
    <row r="38" spans="2:9" ht="12.75">
      <c r="B38" s="25" t="s">
        <v>94</v>
      </c>
      <c r="F38" s="39"/>
      <c r="G38" s="68"/>
      <c r="H38" s="93"/>
      <c r="I38" s="106"/>
    </row>
    <row r="39" spans="2:9" ht="12.75">
      <c r="B39" s="25"/>
      <c r="F39" s="39"/>
      <c r="G39" s="68"/>
      <c r="H39" s="93"/>
      <c r="I39" s="106"/>
    </row>
    <row r="40" spans="2:9" ht="12.75">
      <c r="B40" s="25" t="s">
        <v>136</v>
      </c>
      <c r="F40" s="39">
        <f>H40-1214</f>
        <v>4731</v>
      </c>
      <c r="G40" s="68">
        <f>I40-1753</f>
        <v>-3868</v>
      </c>
      <c r="H40" s="93">
        <v>5945</v>
      </c>
      <c r="I40" s="106">
        <v>-2115</v>
      </c>
    </row>
    <row r="41" spans="2:9" ht="12.75">
      <c r="B41" s="25"/>
      <c r="F41" s="39"/>
      <c r="G41" s="68"/>
      <c r="H41" s="93"/>
      <c r="I41" s="106"/>
    </row>
    <row r="42" spans="2:9" ht="12.75">
      <c r="B42" s="25" t="s">
        <v>29</v>
      </c>
      <c r="F42" s="39">
        <f>F44-F40</f>
        <v>1778</v>
      </c>
      <c r="G42" s="68">
        <f>G44-G40</f>
        <v>-1260</v>
      </c>
      <c r="H42" s="93">
        <f>H44-H40</f>
        <v>2070</v>
      </c>
      <c r="I42" s="106">
        <f>I44-I40</f>
        <v>-532</v>
      </c>
    </row>
    <row r="43" spans="2:9" ht="12.75">
      <c r="B43" s="25"/>
      <c r="F43" s="39"/>
      <c r="G43" s="68"/>
      <c r="H43" s="93"/>
      <c r="I43" s="106"/>
    </row>
    <row r="44" spans="2:9" ht="13.5" thickBot="1">
      <c r="B44" s="25"/>
      <c r="F44" s="43">
        <f>F36</f>
        <v>6509</v>
      </c>
      <c r="G44" s="72">
        <f>G36</f>
        <v>-5128</v>
      </c>
      <c r="H44" s="97">
        <f>H36</f>
        <v>8015</v>
      </c>
      <c r="I44" s="110">
        <f>I36</f>
        <v>-2647</v>
      </c>
    </row>
    <row r="45" spans="2:9" ht="13.5" thickTop="1">
      <c r="B45" s="25"/>
      <c r="F45" s="39"/>
      <c r="G45" s="77"/>
      <c r="H45" s="45"/>
      <c r="I45" s="99"/>
    </row>
    <row r="46" spans="2:9" ht="12.75" customHeight="1">
      <c r="B46" s="25"/>
      <c r="F46" s="39"/>
      <c r="G46" s="77"/>
      <c r="H46" s="45"/>
      <c r="I46" s="99"/>
    </row>
    <row r="47" spans="2:9" ht="12.75" customHeight="1">
      <c r="B47" s="25" t="s">
        <v>63</v>
      </c>
      <c r="C47" s="25" t="s">
        <v>30</v>
      </c>
      <c r="F47" s="44">
        <f>F40/210067*100</f>
        <v>2.2521386033979636</v>
      </c>
      <c r="G47" s="78">
        <f>G40/213563*100</f>
        <v>-1.8111751567453163</v>
      </c>
      <c r="H47" s="46">
        <f>H40/210067*100</f>
        <v>2.83004946041025</v>
      </c>
      <c r="I47" s="100">
        <f>I40/213563*100</f>
        <v>-0.990340087000089</v>
      </c>
    </row>
    <row r="48" spans="3:9" ht="12.75">
      <c r="C48" s="25" t="s">
        <v>31</v>
      </c>
      <c r="F48" s="44">
        <v>0</v>
      </c>
      <c r="G48" s="79">
        <v>0</v>
      </c>
      <c r="H48" s="46">
        <v>0</v>
      </c>
      <c r="I48" s="101">
        <v>0</v>
      </c>
    </row>
    <row r="49" spans="6:9" ht="12.75">
      <c r="F49" s="22"/>
      <c r="G49" s="77"/>
      <c r="H49" s="16"/>
      <c r="I49" s="99"/>
    </row>
    <row r="50" spans="6:9" ht="13.5" thickBot="1">
      <c r="F50" s="23"/>
      <c r="G50" s="80"/>
      <c r="H50" s="24"/>
      <c r="I50" s="102"/>
    </row>
    <row r="54" ht="12.75">
      <c r="B54" s="34" t="s">
        <v>32</v>
      </c>
    </row>
    <row r="55" ht="12.75">
      <c r="B55" s="35" t="s">
        <v>95</v>
      </c>
    </row>
  </sheetData>
  <printOptions/>
  <pageMargins left="0.75" right="0.75" top="1" bottom="1" header="0" footer="0"/>
  <pageSetup fitToHeight="1" fitToWidth="1" horizontalDpi="600" verticalDpi="600" orientation="portrait" paperSize="9" scale="70" r:id="rId1"/>
  <headerFooter alignWithMargins="0">
    <oddFooter>&amp;L&amp;8&amp;F&amp;A&amp;R&amp;P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="75" zoomScaleNormal="75" workbookViewId="0" topLeftCell="A29">
      <selection activeCell="J44" sqref="J44"/>
    </sheetView>
  </sheetViews>
  <sheetFormatPr defaultColWidth="9.140625" defaultRowHeight="12.75"/>
  <cols>
    <col min="1" max="1" width="3.28125" style="0" customWidth="1"/>
    <col min="2" max="2" width="2.421875" style="0" customWidth="1"/>
    <col min="5" max="6" width="11.28125" style="0" customWidth="1"/>
    <col min="7" max="7" width="10.140625" style="0" customWidth="1"/>
    <col min="8" max="8" width="13.00390625" style="12" customWidth="1"/>
    <col min="11" max="11" width="13.57421875" style="9" customWidth="1"/>
  </cols>
  <sheetData>
    <row r="1" spans="1:8" ht="15.75">
      <c r="A1" s="8" t="s">
        <v>12</v>
      </c>
      <c r="H1" s="116" t="s">
        <v>99</v>
      </c>
    </row>
    <row r="2" ht="15.75">
      <c r="A2" s="1" t="s">
        <v>141</v>
      </c>
    </row>
    <row r="4" spans="7:12" ht="12.75">
      <c r="G4" s="4"/>
      <c r="H4" s="13" t="s">
        <v>13</v>
      </c>
      <c r="I4" s="4"/>
      <c r="J4" s="4"/>
      <c r="K4" s="10" t="s">
        <v>13</v>
      </c>
      <c r="L4" s="4"/>
    </row>
    <row r="5" spans="7:12" ht="12.75">
      <c r="G5" s="4"/>
      <c r="H5" s="13" t="s">
        <v>140</v>
      </c>
      <c r="I5" s="4"/>
      <c r="J5" s="4"/>
      <c r="K5" s="13" t="s">
        <v>89</v>
      </c>
      <c r="L5" s="4"/>
    </row>
    <row r="6" spans="7:12" ht="12.75">
      <c r="G6" s="4"/>
      <c r="H6" s="13"/>
      <c r="I6" s="4"/>
      <c r="J6" s="4"/>
      <c r="K6" s="113" t="s">
        <v>98</v>
      </c>
      <c r="L6" s="4"/>
    </row>
    <row r="7" spans="7:12" ht="12.75">
      <c r="G7" s="4"/>
      <c r="H7" s="26" t="s">
        <v>11</v>
      </c>
      <c r="I7" s="27"/>
      <c r="J7" s="27"/>
      <c r="K7" s="28" t="s">
        <v>11</v>
      </c>
      <c r="L7" s="4"/>
    </row>
    <row r="8" spans="7:12" ht="12.75">
      <c r="G8" s="4"/>
      <c r="H8" s="26"/>
      <c r="I8" s="27"/>
      <c r="J8" s="27"/>
      <c r="K8" s="28"/>
      <c r="L8" s="4"/>
    </row>
    <row r="9" spans="7:12" ht="12.75">
      <c r="G9" s="4"/>
      <c r="H9" s="14"/>
      <c r="I9" s="4"/>
      <c r="J9" s="4"/>
      <c r="K9" s="11"/>
      <c r="L9" s="4"/>
    </row>
    <row r="10" spans="2:12" ht="12.75">
      <c r="B10" s="25" t="s">
        <v>132</v>
      </c>
      <c r="G10" s="4"/>
      <c r="H10" s="14"/>
      <c r="I10" s="4"/>
      <c r="J10" s="4"/>
      <c r="K10" s="11"/>
      <c r="L10" s="4"/>
    </row>
    <row r="11" spans="1:12" ht="12.75">
      <c r="A11" s="2"/>
      <c r="C11" s="29" t="s">
        <v>134</v>
      </c>
      <c r="G11" s="4"/>
      <c r="H11" s="129">
        <v>47060</v>
      </c>
      <c r="I11" s="4"/>
      <c r="J11" s="4"/>
      <c r="K11" s="129">
        <f>49027-K12</f>
        <v>48895</v>
      </c>
      <c r="L11" s="4"/>
    </row>
    <row r="12" spans="1:12" ht="12.75">
      <c r="A12" s="2"/>
      <c r="C12" s="29" t="s">
        <v>103</v>
      </c>
      <c r="G12" s="4"/>
      <c r="H12" s="47">
        <v>132</v>
      </c>
      <c r="I12" s="4"/>
      <c r="J12" s="4"/>
      <c r="K12" s="47">
        <v>132</v>
      </c>
      <c r="L12" s="4"/>
    </row>
    <row r="13" spans="1:12" ht="12.75">
      <c r="A13" s="2"/>
      <c r="C13" s="29" t="s">
        <v>100</v>
      </c>
      <c r="G13" s="4"/>
      <c r="H13" s="47">
        <v>43659</v>
      </c>
      <c r="I13" s="4"/>
      <c r="J13" s="4"/>
      <c r="K13" s="47">
        <v>24132</v>
      </c>
      <c r="L13" s="4"/>
    </row>
    <row r="14" spans="3:12" ht="12.75">
      <c r="C14" s="29" t="s">
        <v>84</v>
      </c>
      <c r="G14" s="4"/>
      <c r="H14" s="114">
        <v>1245</v>
      </c>
      <c r="I14" s="4"/>
      <c r="J14" s="4"/>
      <c r="K14" s="114">
        <v>1245</v>
      </c>
      <c r="L14" s="4"/>
    </row>
    <row r="15" spans="2:12" ht="12.75">
      <c r="B15" s="25"/>
      <c r="G15" s="4"/>
      <c r="H15" s="132">
        <f>SUM(H11:H14)</f>
        <v>92096</v>
      </c>
      <c r="I15" s="4"/>
      <c r="J15" s="4"/>
      <c r="K15" s="132">
        <f>SUM(K11:K14)</f>
        <v>74404</v>
      </c>
      <c r="L15" s="4"/>
    </row>
    <row r="16" spans="2:12" ht="12.75">
      <c r="B16" s="25"/>
      <c r="G16" s="4"/>
      <c r="H16" s="48"/>
      <c r="I16" s="4"/>
      <c r="J16" s="4"/>
      <c r="K16" s="48"/>
      <c r="L16" s="4"/>
    </row>
    <row r="17" spans="1:11" ht="12.75">
      <c r="A17" s="2"/>
      <c r="B17" s="25" t="s">
        <v>14</v>
      </c>
      <c r="H17"/>
      <c r="K17"/>
    </row>
    <row r="18" spans="3:12" ht="12.75">
      <c r="C18" s="29" t="s">
        <v>135</v>
      </c>
      <c r="G18" s="4"/>
      <c r="H18" s="123">
        <f>810+1778</f>
        <v>2588</v>
      </c>
      <c r="I18" s="4"/>
      <c r="J18" s="4"/>
      <c r="K18" s="123">
        <f>810+1492</f>
        <v>2302</v>
      </c>
      <c r="L18" s="4"/>
    </row>
    <row r="19" spans="3:12" ht="12.75">
      <c r="C19" s="29" t="s">
        <v>33</v>
      </c>
      <c r="G19" s="4"/>
      <c r="H19" s="50">
        <f>102608+5827+119918+19499+1330</f>
        <v>249182</v>
      </c>
      <c r="I19" s="4"/>
      <c r="J19" s="4"/>
      <c r="K19" s="50">
        <f>102721+2665+83555+74346+1411</f>
        <v>264698</v>
      </c>
      <c r="L19" s="137"/>
    </row>
    <row r="20" spans="3:12" ht="12.75">
      <c r="C20" s="29" t="s">
        <v>133</v>
      </c>
      <c r="G20" s="4"/>
      <c r="H20" s="50">
        <v>5286</v>
      </c>
      <c r="I20" s="4"/>
      <c r="J20" s="4"/>
      <c r="K20" s="50">
        <v>6659</v>
      </c>
      <c r="L20" s="4"/>
    </row>
    <row r="21" spans="3:12" ht="12.75">
      <c r="C21" s="29" t="s">
        <v>125</v>
      </c>
      <c r="G21" s="4"/>
      <c r="H21" s="50">
        <v>27214</v>
      </c>
      <c r="I21" s="4"/>
      <c r="J21" s="4"/>
      <c r="K21" s="50">
        <v>19215</v>
      </c>
      <c r="L21" s="4"/>
    </row>
    <row r="22" spans="7:12" ht="12.75">
      <c r="G22" s="4"/>
      <c r="H22" s="49"/>
      <c r="I22" s="4"/>
      <c r="J22" s="4"/>
      <c r="K22" s="49"/>
      <c r="L22" s="4"/>
    </row>
    <row r="23" spans="7:12" ht="12.75">
      <c r="G23" s="4"/>
      <c r="H23" s="127">
        <f>SUM(H18:H21)</f>
        <v>284270</v>
      </c>
      <c r="I23" s="4"/>
      <c r="J23" s="4"/>
      <c r="K23" s="127">
        <f>SUM(K18:K21)</f>
        <v>292874</v>
      </c>
      <c r="L23" s="4"/>
    </row>
    <row r="24" spans="7:12" ht="12.75">
      <c r="G24" s="4"/>
      <c r="H24" s="130"/>
      <c r="I24" s="4"/>
      <c r="J24" s="4"/>
      <c r="K24" s="130"/>
      <c r="L24" s="4"/>
    </row>
    <row r="25" spans="1:13" ht="12.75">
      <c r="A25" s="2"/>
      <c r="B25" s="25" t="s">
        <v>15</v>
      </c>
      <c r="G25" s="4"/>
      <c r="H25" s="131"/>
      <c r="I25" s="4"/>
      <c r="J25" s="4"/>
      <c r="K25" s="131"/>
      <c r="L25" s="4"/>
      <c r="M25" s="4"/>
    </row>
    <row r="26" spans="3:12" ht="12.75">
      <c r="C26" s="29" t="s">
        <v>34</v>
      </c>
      <c r="G26" s="4"/>
      <c r="H26" s="50">
        <f>24682+24803+10246</f>
        <v>59731</v>
      </c>
      <c r="I26" s="4"/>
      <c r="J26" s="4"/>
      <c r="K26" s="50">
        <f>14747+49936+11386</f>
        <v>76069</v>
      </c>
      <c r="L26" s="4"/>
    </row>
    <row r="27" spans="3:12" ht="12.75">
      <c r="C27" s="29" t="s">
        <v>101</v>
      </c>
      <c r="G27" s="4"/>
      <c r="H27" s="51">
        <v>12218</v>
      </c>
      <c r="I27" s="4"/>
      <c r="J27" s="4"/>
      <c r="K27" s="51">
        <v>17503</v>
      </c>
      <c r="L27" s="4"/>
    </row>
    <row r="28" spans="3:12" ht="12.75">
      <c r="C28" s="29" t="s">
        <v>36</v>
      </c>
      <c r="G28" s="4"/>
      <c r="H28" s="51">
        <v>0</v>
      </c>
      <c r="I28" s="4"/>
      <c r="J28" s="4"/>
      <c r="K28" s="51">
        <v>29</v>
      </c>
      <c r="L28" s="4"/>
    </row>
    <row r="29" spans="3:12" ht="12.75">
      <c r="C29" s="3"/>
      <c r="G29" s="4"/>
      <c r="H29" s="127">
        <f>SUM(H26:H28)</f>
        <v>71949</v>
      </c>
      <c r="I29" s="4"/>
      <c r="J29" s="4"/>
      <c r="K29" s="127">
        <f>SUM(K26:K28)</f>
        <v>93601</v>
      </c>
      <c r="L29" s="4"/>
    </row>
    <row r="30" spans="3:12" ht="12.75">
      <c r="C30" s="3"/>
      <c r="G30" s="4"/>
      <c r="H30" s="62"/>
      <c r="I30" s="4"/>
      <c r="J30" s="4"/>
      <c r="K30" s="62"/>
      <c r="L30" s="4"/>
    </row>
    <row r="31" spans="2:12" ht="12.75">
      <c r="B31" s="25" t="s">
        <v>129</v>
      </c>
      <c r="C31" s="3"/>
      <c r="G31" s="4"/>
      <c r="H31" s="62">
        <f>H23-H29</f>
        <v>212321</v>
      </c>
      <c r="I31" s="4"/>
      <c r="J31" s="4"/>
      <c r="K31" s="62">
        <f>K23-K29</f>
        <v>199273</v>
      </c>
      <c r="L31" s="4"/>
    </row>
    <row r="32" spans="2:12" ht="12.75">
      <c r="B32" s="25"/>
      <c r="C32" s="3"/>
      <c r="G32" s="4"/>
      <c r="H32" s="62"/>
      <c r="I32" s="4"/>
      <c r="J32" s="4"/>
      <c r="K32" s="62"/>
      <c r="L32" s="4"/>
    </row>
    <row r="33" spans="2:13" ht="13.5" thickBot="1">
      <c r="B33" s="25"/>
      <c r="G33" s="4"/>
      <c r="H33" s="125">
        <f>H31+H15</f>
        <v>304417</v>
      </c>
      <c r="I33" s="4"/>
      <c r="J33" s="4"/>
      <c r="K33" s="126">
        <f>K31+K15</f>
        <v>273677</v>
      </c>
      <c r="L33" s="4"/>
      <c r="M33" s="4"/>
    </row>
    <row r="34" spans="7:12" ht="13.5" thickTop="1">
      <c r="G34" s="4"/>
      <c r="H34" s="48"/>
      <c r="I34" s="4"/>
      <c r="J34" s="4"/>
      <c r="K34" s="48"/>
      <c r="L34" s="4"/>
    </row>
    <row r="35" spans="7:12" ht="12.75">
      <c r="G35" s="4"/>
      <c r="H35" s="48"/>
      <c r="I35" s="4"/>
      <c r="J35" s="4"/>
      <c r="K35" s="48"/>
      <c r="L35" s="4"/>
    </row>
    <row r="36" spans="2:12" ht="12.75">
      <c r="B36" s="25" t="s">
        <v>130</v>
      </c>
      <c r="G36" s="4"/>
      <c r="H36" s="52"/>
      <c r="I36" s="4"/>
      <c r="J36" s="4"/>
      <c r="K36" s="52"/>
      <c r="L36" s="4"/>
    </row>
    <row r="37" spans="2:12" ht="12.75">
      <c r="B37" s="25" t="s">
        <v>120</v>
      </c>
      <c r="G37" s="4"/>
      <c r="H37" s="48"/>
      <c r="I37" s="4"/>
      <c r="J37" s="4"/>
      <c r="K37" s="48"/>
      <c r="L37" s="4"/>
    </row>
    <row r="38" spans="3:12" ht="12.75">
      <c r="C38" s="29" t="s">
        <v>16</v>
      </c>
      <c r="G38" s="4"/>
      <c r="H38" s="133">
        <v>213563.324</v>
      </c>
      <c r="I38" s="4"/>
      <c r="J38" s="4"/>
      <c r="K38" s="133">
        <v>213563.324</v>
      </c>
      <c r="L38" s="4"/>
    </row>
    <row r="39" spans="3:12" ht="12.75">
      <c r="C39" s="29" t="s">
        <v>17</v>
      </c>
      <c r="G39" s="4"/>
      <c r="H39" s="133">
        <v>46244</v>
      </c>
      <c r="I39" s="4"/>
      <c r="J39" s="4"/>
      <c r="K39" s="133">
        <v>15794</v>
      </c>
      <c r="L39" s="4"/>
    </row>
    <row r="40" spans="3:12" ht="12.75">
      <c r="C40" s="29" t="s">
        <v>117</v>
      </c>
      <c r="G40" s="4"/>
      <c r="H40" s="135">
        <v>-1588</v>
      </c>
      <c r="I40" s="4"/>
      <c r="J40" s="4"/>
      <c r="K40" s="135">
        <v>-1070</v>
      </c>
      <c r="L40" s="4"/>
    </row>
    <row r="41" spans="7:12" ht="12.75">
      <c r="G41" s="4"/>
      <c r="H41" s="134">
        <f>SUM(H38:H40)</f>
        <v>258219.324</v>
      </c>
      <c r="I41" s="4"/>
      <c r="J41" s="4"/>
      <c r="K41" s="134">
        <f>SUM(K38:K40)</f>
        <v>228287.324</v>
      </c>
      <c r="L41" s="4"/>
    </row>
    <row r="42" spans="1:12" ht="12.75">
      <c r="A42" s="2"/>
      <c r="B42" s="25" t="s">
        <v>19</v>
      </c>
      <c r="G42" s="4"/>
      <c r="H42" s="114">
        <v>36136</v>
      </c>
      <c r="I42" s="4"/>
      <c r="J42" s="4"/>
      <c r="K42" s="114">
        <v>34066</v>
      </c>
      <c r="L42" s="4"/>
    </row>
    <row r="43" spans="1:12" ht="12.75">
      <c r="A43" s="2"/>
      <c r="B43" s="25" t="s">
        <v>131</v>
      </c>
      <c r="G43" s="4"/>
      <c r="H43" s="136">
        <f>H42+H41</f>
        <v>294355.324</v>
      </c>
      <c r="I43" s="4"/>
      <c r="J43" s="4"/>
      <c r="K43" s="136">
        <f>K42+K41</f>
        <v>262353.324</v>
      </c>
      <c r="L43" s="4"/>
    </row>
    <row r="44" spans="1:12" ht="12.75">
      <c r="A44" s="2"/>
      <c r="G44" s="4"/>
      <c r="H44" s="47"/>
      <c r="I44" s="4"/>
      <c r="J44" s="4"/>
      <c r="K44" s="47"/>
      <c r="L44" s="4"/>
    </row>
    <row r="45" spans="1:12" ht="12.75">
      <c r="A45" s="2"/>
      <c r="B45" s="25" t="s">
        <v>126</v>
      </c>
      <c r="G45" s="4"/>
      <c r="H45" s="47"/>
      <c r="I45" s="4"/>
      <c r="J45" s="4"/>
      <c r="K45" s="47"/>
      <c r="L45" s="4"/>
    </row>
    <row r="46" spans="1:12" ht="12.75">
      <c r="A46" s="2"/>
      <c r="C46" s="29" t="s">
        <v>22</v>
      </c>
      <c r="G46" s="4"/>
      <c r="H46" s="123">
        <v>10062</v>
      </c>
      <c r="I46" s="4"/>
      <c r="J46" s="4"/>
      <c r="K46" s="123">
        <v>10859</v>
      </c>
      <c r="L46" s="4"/>
    </row>
    <row r="47" spans="1:12" ht="12.75">
      <c r="A47" s="2"/>
      <c r="C47" s="29" t="s">
        <v>102</v>
      </c>
      <c r="G47" s="4"/>
      <c r="H47" s="124">
        <v>0</v>
      </c>
      <c r="I47" s="4"/>
      <c r="J47" s="4"/>
      <c r="K47" s="124">
        <v>465</v>
      </c>
      <c r="L47" s="4"/>
    </row>
    <row r="48" spans="1:12" ht="12.75">
      <c r="A48" s="2"/>
      <c r="B48" s="25"/>
      <c r="G48" s="4"/>
      <c r="H48" s="124">
        <f>SUM(H46:H47)</f>
        <v>10062</v>
      </c>
      <c r="I48" s="4"/>
      <c r="J48" s="4"/>
      <c r="K48" s="124">
        <f>SUM(K46:K47)</f>
        <v>11324</v>
      </c>
      <c r="L48" s="4"/>
    </row>
    <row r="49" spans="1:12" ht="12.75">
      <c r="A49" s="2"/>
      <c r="B49" s="25"/>
      <c r="G49" s="4"/>
      <c r="H49" s="47"/>
      <c r="I49" s="4"/>
      <c r="J49" s="4"/>
      <c r="K49" s="47"/>
      <c r="L49" s="4"/>
    </row>
    <row r="50" spans="2:12" ht="13.5" thickBot="1">
      <c r="B50" s="25"/>
      <c r="G50" s="4"/>
      <c r="H50" s="53">
        <f>H48+H43</f>
        <v>304417.324</v>
      </c>
      <c r="I50" s="4"/>
      <c r="J50" s="4"/>
      <c r="K50" s="53">
        <f>K48+K43</f>
        <v>273677.324</v>
      </c>
      <c r="L50" s="4"/>
    </row>
    <row r="51" spans="7:12" ht="13.5" thickTop="1">
      <c r="G51" s="4"/>
      <c r="H51" s="48"/>
      <c r="I51" s="4"/>
      <c r="J51" s="4"/>
      <c r="K51" s="48"/>
      <c r="L51" s="4"/>
    </row>
    <row r="52" spans="1:12" ht="30" customHeight="1" thickBot="1">
      <c r="A52" s="2"/>
      <c r="B52" s="138" t="s">
        <v>137</v>
      </c>
      <c r="C52" s="139"/>
      <c r="D52" s="139"/>
      <c r="E52" s="139"/>
      <c r="F52" s="139"/>
      <c r="G52" s="4"/>
      <c r="H52" s="115">
        <f>H41/(213563-3496)</f>
        <v>1.229223647693355</v>
      </c>
      <c r="I52" s="15"/>
      <c r="J52" s="15"/>
      <c r="K52" s="115">
        <f>K41/(213563-2398)</f>
        <v>1.0810850472379419</v>
      </c>
      <c r="L52" s="4"/>
    </row>
    <row r="53" ht="12.75">
      <c r="H53" s="54"/>
    </row>
    <row r="55" spans="2:11" ht="12.75" hidden="1">
      <c r="B55" t="s">
        <v>18</v>
      </c>
      <c r="H55" s="12" t="e">
        <f>#REF!-H50</f>
        <v>#REF!</v>
      </c>
      <c r="K55" s="12" t="e">
        <f>#REF!-K50</f>
        <v>#REF!</v>
      </c>
    </row>
    <row r="56" ht="12.75">
      <c r="H56" s="128"/>
    </row>
    <row r="57" spans="2:8" ht="12.75">
      <c r="B57" s="34" t="s">
        <v>37</v>
      </c>
      <c r="H57" s="9"/>
    </row>
    <row r="58" ht="12.75">
      <c r="B58" s="35" t="s">
        <v>96</v>
      </c>
    </row>
  </sheetData>
  <mergeCells count="1">
    <mergeCell ref="B52:F52"/>
  </mergeCells>
  <printOptions/>
  <pageMargins left="0.75" right="0.75" top="0.75" bottom="0.75" header="0" footer="0"/>
  <pageSetup fitToHeight="1" fitToWidth="1" horizontalDpi="600" verticalDpi="600" orientation="portrait" paperSize="9" scale="86" r:id="rId1"/>
  <headerFooter alignWithMargins="0">
    <oddFooter>&amp;L&amp;8&amp;F&amp;A&amp;R2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="75" zoomScaleNormal="75" workbookViewId="0" topLeftCell="A17">
      <selection activeCell="H39" sqref="H39"/>
    </sheetView>
  </sheetViews>
  <sheetFormatPr defaultColWidth="9.140625" defaultRowHeight="12.75"/>
  <cols>
    <col min="1" max="1" width="3.28125" style="0" customWidth="1"/>
    <col min="2" max="2" width="31.140625" style="0" customWidth="1"/>
    <col min="3" max="6" width="9.7109375" style="0" customWidth="1"/>
    <col min="7" max="7" width="15.00390625" style="0" customWidth="1"/>
    <col min="8" max="8" width="9.7109375" style="0" customWidth="1"/>
    <col min="9" max="9" width="14.140625" style="0" customWidth="1"/>
    <col min="10" max="10" width="9.7109375" style="0" customWidth="1"/>
    <col min="11" max="11" width="10.421875" style="0" customWidth="1"/>
  </cols>
  <sheetData>
    <row r="1" ht="15.75">
      <c r="A1" s="8" t="s">
        <v>12</v>
      </c>
    </row>
    <row r="2" ht="15.75">
      <c r="A2" s="1" t="s">
        <v>53</v>
      </c>
    </row>
    <row r="3" ht="15.75">
      <c r="A3" s="1" t="s">
        <v>145</v>
      </c>
    </row>
    <row r="4" ht="15.75">
      <c r="A4" s="1"/>
    </row>
    <row r="5" spans="7:9" ht="12.75">
      <c r="G5" s="31"/>
      <c r="I5" s="31" t="s">
        <v>121</v>
      </c>
    </row>
    <row r="6" spans="3:11" ht="12.75">
      <c r="C6" s="31" t="s">
        <v>54</v>
      </c>
      <c r="D6" s="31" t="s">
        <v>54</v>
      </c>
      <c r="E6" s="31" t="s">
        <v>111</v>
      </c>
      <c r="F6" s="31" t="s">
        <v>57</v>
      </c>
      <c r="G6" s="31" t="s">
        <v>88</v>
      </c>
      <c r="H6" s="31" t="s">
        <v>92</v>
      </c>
      <c r="I6" s="31" t="s">
        <v>122</v>
      </c>
      <c r="J6" s="31" t="s">
        <v>124</v>
      </c>
      <c r="K6" s="31" t="s">
        <v>58</v>
      </c>
    </row>
    <row r="7" spans="3:11" ht="12.75">
      <c r="C7" s="31" t="s">
        <v>55</v>
      </c>
      <c r="D7" s="31" t="s">
        <v>56</v>
      </c>
      <c r="E7" s="31" t="s">
        <v>112</v>
      </c>
      <c r="F7" s="31" t="s">
        <v>17</v>
      </c>
      <c r="G7" s="31" t="s">
        <v>87</v>
      </c>
      <c r="H7" s="31" t="s">
        <v>85</v>
      </c>
      <c r="I7" s="31" t="s">
        <v>123</v>
      </c>
      <c r="J7" s="31" t="s">
        <v>119</v>
      </c>
      <c r="K7" s="31" t="s">
        <v>118</v>
      </c>
    </row>
    <row r="8" spans="3:11" ht="12.75">
      <c r="C8" s="31" t="s">
        <v>59</v>
      </c>
      <c r="D8" s="31" t="s">
        <v>59</v>
      </c>
      <c r="E8" s="31" t="s">
        <v>59</v>
      </c>
      <c r="F8" s="31" t="s">
        <v>59</v>
      </c>
      <c r="G8" s="31" t="s">
        <v>59</v>
      </c>
      <c r="H8" s="31" t="s">
        <v>59</v>
      </c>
      <c r="I8" s="31" t="s">
        <v>59</v>
      </c>
      <c r="J8" s="31" t="s">
        <v>59</v>
      </c>
      <c r="K8" s="31" t="s">
        <v>59</v>
      </c>
    </row>
    <row r="10" spans="2:11" ht="12.75" hidden="1">
      <c r="B10" t="s">
        <v>77</v>
      </c>
      <c r="C10" s="9">
        <v>213563</v>
      </c>
      <c r="D10" s="9">
        <v>10392</v>
      </c>
      <c r="E10" s="9"/>
      <c r="F10" s="9">
        <v>-700</v>
      </c>
      <c r="G10" s="9">
        <v>171175</v>
      </c>
      <c r="H10" s="9"/>
      <c r="I10" s="9"/>
      <c r="J10" s="9"/>
      <c r="K10" s="9" t="e">
        <f>C10+D10+F10+#REF!</f>
        <v>#REF!</v>
      </c>
    </row>
    <row r="11" ht="12.75" hidden="1"/>
    <row r="12" ht="12.75" hidden="1">
      <c r="B12" t="s">
        <v>60</v>
      </c>
    </row>
    <row r="13" spans="2:11" ht="12.75" hidden="1">
      <c r="B13" s="30" t="s">
        <v>61</v>
      </c>
      <c r="C13" s="9">
        <v>0</v>
      </c>
      <c r="D13" s="9">
        <v>0</v>
      </c>
      <c r="E13" s="9"/>
      <c r="F13" s="9">
        <v>-52</v>
      </c>
      <c r="G13" s="9">
        <f>-6554-15000-1000+300</f>
        <v>-22254</v>
      </c>
      <c r="H13" s="9"/>
      <c r="I13" s="9"/>
      <c r="J13" s="9"/>
      <c r="K13" s="9" t="e">
        <f>C13+D13+F13+#REF!</f>
        <v>#REF!</v>
      </c>
    </row>
    <row r="14" ht="12.75" hidden="1"/>
    <row r="15" spans="2:11" ht="13.5" hidden="1" thickBot="1">
      <c r="B15" t="s">
        <v>78</v>
      </c>
      <c r="C15" s="33">
        <f>C10+C13</f>
        <v>213563</v>
      </c>
      <c r="D15" s="33">
        <f>D10+D13</f>
        <v>10392</v>
      </c>
      <c r="E15" s="33"/>
      <c r="F15" s="33">
        <f>F10+F13</f>
        <v>-752</v>
      </c>
      <c r="G15" s="33">
        <f>G10+G13</f>
        <v>148921</v>
      </c>
      <c r="H15" s="33"/>
      <c r="I15" s="33"/>
      <c r="J15" s="33"/>
      <c r="K15" s="33" t="e">
        <f>C15+D15+F15+#REF!</f>
        <v>#REF!</v>
      </c>
    </row>
    <row r="16" spans="3:11" ht="12.75">
      <c r="C16" s="11"/>
      <c r="D16" s="11"/>
      <c r="E16" s="11"/>
      <c r="F16" s="11"/>
      <c r="G16" s="11"/>
      <c r="H16" s="11"/>
      <c r="I16" s="11"/>
      <c r="J16" s="11"/>
      <c r="K16" s="11"/>
    </row>
    <row r="17" ht="12.75">
      <c r="B17" s="25" t="s">
        <v>143</v>
      </c>
    </row>
    <row r="18" ht="12.75">
      <c r="B18" t="s">
        <v>108</v>
      </c>
    </row>
    <row r="19" spans="2:11" ht="12.75">
      <c r="B19" t="s">
        <v>109</v>
      </c>
      <c r="C19" s="55">
        <v>213563</v>
      </c>
      <c r="D19" s="55">
        <v>10392</v>
      </c>
      <c r="E19" s="55">
        <v>0</v>
      </c>
      <c r="F19" s="55">
        <f>-1624+899</f>
        <v>-725</v>
      </c>
      <c r="G19" s="55">
        <v>6127</v>
      </c>
      <c r="H19" s="55">
        <v>-1070</v>
      </c>
      <c r="I19" s="118">
        <f>SUM(C19:H19)</f>
        <v>228287</v>
      </c>
      <c r="J19" s="55">
        <v>34066</v>
      </c>
      <c r="K19" s="118">
        <f>SUM(I19:J19)</f>
        <v>262353</v>
      </c>
    </row>
    <row r="20" spans="3:11" ht="12.75">
      <c r="C20" s="55"/>
      <c r="D20" s="55"/>
      <c r="E20" s="55"/>
      <c r="F20" s="55"/>
      <c r="G20" s="55"/>
      <c r="H20" s="55"/>
      <c r="I20" s="118"/>
      <c r="J20" s="55"/>
      <c r="K20" s="118"/>
    </row>
    <row r="21" spans="2:11" ht="12.75">
      <c r="B21" t="s">
        <v>127</v>
      </c>
      <c r="C21" s="55">
        <v>0</v>
      </c>
      <c r="D21" s="55">
        <v>0</v>
      </c>
      <c r="E21" s="55">
        <v>0</v>
      </c>
      <c r="F21" s="55">
        <v>0</v>
      </c>
      <c r="G21" s="55">
        <v>464</v>
      </c>
      <c r="H21" s="55">
        <v>0</v>
      </c>
      <c r="I21" s="118">
        <f>SUM(C21:H21)</f>
        <v>464</v>
      </c>
      <c r="J21" s="55">
        <v>0</v>
      </c>
      <c r="K21" s="118">
        <f>SUM(I21:J21)</f>
        <v>464</v>
      </c>
    </row>
    <row r="22" spans="3:11" ht="12.75">
      <c r="C22" s="55"/>
      <c r="D22" s="55"/>
      <c r="E22" s="55"/>
      <c r="F22" s="55"/>
      <c r="G22" s="55"/>
      <c r="H22" s="55"/>
      <c r="I22" s="118"/>
      <c r="J22" s="55"/>
      <c r="K22" s="118"/>
    </row>
    <row r="23" spans="2:11" ht="12.75">
      <c r="B23" t="s">
        <v>128</v>
      </c>
      <c r="C23" s="47">
        <v>0</v>
      </c>
      <c r="D23" s="47">
        <v>0</v>
      </c>
      <c r="E23" s="47">
        <f>1320+4334</f>
        <v>5654</v>
      </c>
      <c r="F23" s="47">
        <v>0</v>
      </c>
      <c r="G23" s="47">
        <v>0</v>
      </c>
      <c r="H23" s="47">
        <v>0</v>
      </c>
      <c r="I23" s="120">
        <f>SUM(C23:H23)</f>
        <v>5654</v>
      </c>
      <c r="J23" s="47">
        <v>0</v>
      </c>
      <c r="K23" s="118">
        <f>SUM(I23:J23)</f>
        <v>5654</v>
      </c>
    </row>
    <row r="24" spans="3:11" ht="12.75">
      <c r="C24" s="114"/>
      <c r="D24" s="114"/>
      <c r="E24" s="114"/>
      <c r="F24" s="114"/>
      <c r="G24" s="114"/>
      <c r="H24" s="114"/>
      <c r="I24" s="119"/>
      <c r="J24" s="114"/>
      <c r="K24" s="119"/>
    </row>
    <row r="25" spans="2:11" ht="12.75">
      <c r="B25" t="s">
        <v>110</v>
      </c>
      <c r="C25" s="47">
        <f aca="true" t="shared" si="0" ref="C25:K25">SUM(C19:C23)</f>
        <v>213563</v>
      </c>
      <c r="D25" s="47">
        <f>SUM(D19:D23)</f>
        <v>10392</v>
      </c>
      <c r="E25" s="47">
        <f>SUM(E19:E23)</f>
        <v>5654</v>
      </c>
      <c r="F25" s="47">
        <f t="shared" si="0"/>
        <v>-725</v>
      </c>
      <c r="G25" s="47">
        <f t="shared" si="0"/>
        <v>6591</v>
      </c>
      <c r="H25" s="47">
        <f>SUM(H19:H23)</f>
        <v>-1070</v>
      </c>
      <c r="I25" s="120">
        <f>SUM(I19:I23)</f>
        <v>234405</v>
      </c>
      <c r="J25" s="47">
        <f>SUM(J19:J23)</f>
        <v>34066</v>
      </c>
      <c r="K25" s="120">
        <f t="shared" si="0"/>
        <v>268471</v>
      </c>
    </row>
    <row r="26" spans="3:11" ht="12.75">
      <c r="C26" s="56"/>
      <c r="D26" s="56"/>
      <c r="E26" s="56"/>
      <c r="F26" s="56"/>
      <c r="G26" s="56"/>
      <c r="H26" s="56"/>
      <c r="I26" s="121"/>
      <c r="J26" s="56"/>
      <c r="K26" s="118"/>
    </row>
    <row r="27" spans="2:11" ht="12.75">
      <c r="B27" t="s">
        <v>90</v>
      </c>
      <c r="C27" s="55">
        <v>0</v>
      </c>
      <c r="D27" s="55">
        <v>0</v>
      </c>
      <c r="E27" s="55"/>
      <c r="F27" s="55">
        <v>0</v>
      </c>
      <c r="G27" s="55">
        <f>ROUND('Consol Y Stmt'!H40,0)</f>
        <v>5945</v>
      </c>
      <c r="H27" s="55">
        <v>0</v>
      </c>
      <c r="I27" s="118">
        <f aca="true" t="shared" si="1" ref="I27:I37">SUM(C27:H27)</f>
        <v>5945</v>
      </c>
      <c r="J27" s="55">
        <f>ROUND('Consol Y Stmt'!H42,0)</f>
        <v>2070</v>
      </c>
      <c r="K27" s="118">
        <f aca="true" t="shared" si="2" ref="K27:K37">SUM(I27:J27)</f>
        <v>8015</v>
      </c>
    </row>
    <row r="28" spans="3:11" ht="12.75">
      <c r="C28" s="55"/>
      <c r="D28" s="55"/>
      <c r="E28" s="55"/>
      <c r="F28" s="55"/>
      <c r="G28" s="55"/>
      <c r="H28" s="55"/>
      <c r="I28" s="118"/>
      <c r="J28" s="55"/>
      <c r="K28" s="118"/>
    </row>
    <row r="29" spans="2:11" ht="25.5">
      <c r="B29" s="117" t="s">
        <v>115</v>
      </c>
      <c r="C29" s="55">
        <v>0</v>
      </c>
      <c r="D29" s="55">
        <v>0</v>
      </c>
      <c r="E29" s="55">
        <v>23377</v>
      </c>
      <c r="F29" s="55">
        <v>0</v>
      </c>
      <c r="G29" s="55">
        <v>0</v>
      </c>
      <c r="H29" s="55">
        <v>0</v>
      </c>
      <c r="I29" s="118">
        <f t="shared" si="1"/>
        <v>23377</v>
      </c>
      <c r="J29" s="55">
        <v>0</v>
      </c>
      <c r="K29" s="118">
        <f t="shared" si="2"/>
        <v>23377</v>
      </c>
    </row>
    <row r="30" spans="3:11" ht="12.75">
      <c r="C30" s="55"/>
      <c r="D30" s="55"/>
      <c r="E30" s="55"/>
      <c r="F30" s="55"/>
      <c r="G30" s="55"/>
      <c r="H30" s="55"/>
      <c r="I30" s="118"/>
      <c r="J30" s="55"/>
      <c r="K30" s="118"/>
    </row>
    <row r="31" spans="2:11" ht="25.5">
      <c r="B31" s="117" t="s">
        <v>113</v>
      </c>
      <c r="C31" s="55">
        <v>0</v>
      </c>
      <c r="D31" s="55">
        <v>0</v>
      </c>
      <c r="E31" s="55">
        <v>-4990</v>
      </c>
      <c r="F31" s="55">
        <v>0</v>
      </c>
      <c r="G31" s="55">
        <v>0</v>
      </c>
      <c r="H31" s="55">
        <v>0</v>
      </c>
      <c r="I31" s="118">
        <f t="shared" si="1"/>
        <v>-4990</v>
      </c>
      <c r="J31" s="55">
        <v>0</v>
      </c>
      <c r="K31" s="118">
        <f t="shared" si="2"/>
        <v>-4990</v>
      </c>
    </row>
    <row r="32" spans="3:11" ht="12.75">
      <c r="C32" s="55"/>
      <c r="D32" s="55"/>
      <c r="E32" s="55"/>
      <c r="F32" s="55"/>
      <c r="G32" s="55"/>
      <c r="H32" s="55"/>
      <c r="I32" s="118"/>
      <c r="J32" s="55"/>
      <c r="K32" s="118">
        <f t="shared" si="2"/>
        <v>0</v>
      </c>
    </row>
    <row r="33" spans="2:11" ht="25.5">
      <c r="B33" s="117" t="s">
        <v>93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118">
        <f t="shared" si="1"/>
        <v>0</v>
      </c>
      <c r="J33" s="55">
        <v>0</v>
      </c>
      <c r="K33" s="118">
        <f t="shared" si="2"/>
        <v>0</v>
      </c>
    </row>
    <row r="34" spans="3:11" ht="12.75">
      <c r="C34" s="55"/>
      <c r="D34" s="55"/>
      <c r="E34" s="55"/>
      <c r="F34" s="55"/>
      <c r="G34" s="55"/>
      <c r="H34" s="55"/>
      <c r="I34" s="118"/>
      <c r="J34" s="55"/>
      <c r="K34" s="118"/>
    </row>
    <row r="35" spans="2:11" ht="12.75">
      <c r="B35" t="s">
        <v>86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  <c r="H35" s="55">
        <v>-518</v>
      </c>
      <c r="I35" s="118">
        <f t="shared" si="1"/>
        <v>-518</v>
      </c>
      <c r="J35" s="55">
        <v>0</v>
      </c>
      <c r="K35" s="118">
        <f t="shared" si="2"/>
        <v>-518</v>
      </c>
    </row>
    <row r="36" spans="2:11" ht="12.75">
      <c r="B36" s="30"/>
      <c r="C36" s="55"/>
      <c r="D36" s="55"/>
      <c r="E36" s="55"/>
      <c r="F36" s="55"/>
      <c r="G36" s="55"/>
      <c r="H36" s="55"/>
      <c r="I36" s="118"/>
      <c r="J36" s="55"/>
      <c r="K36" s="118"/>
    </row>
    <row r="37" spans="2:11" ht="12.75">
      <c r="B37" t="s">
        <v>91</v>
      </c>
      <c r="C37" s="55">
        <v>0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118">
        <f t="shared" si="1"/>
        <v>0</v>
      </c>
      <c r="J37" s="55">
        <v>0</v>
      </c>
      <c r="K37" s="118">
        <f t="shared" si="2"/>
        <v>0</v>
      </c>
    </row>
    <row r="38" spans="3:11" ht="12.75">
      <c r="C38" s="56"/>
      <c r="D38" s="56"/>
      <c r="E38" s="56"/>
      <c r="F38" s="56"/>
      <c r="G38" s="56"/>
      <c r="H38" s="56"/>
      <c r="I38" s="121"/>
      <c r="J38" s="56"/>
      <c r="K38" s="121"/>
    </row>
    <row r="39" spans="2:11" ht="13.5" thickBot="1">
      <c r="B39" t="s">
        <v>114</v>
      </c>
      <c r="C39" s="57">
        <f aca="true" t="shared" si="3" ref="C39:K39">SUM(C25:C38)</f>
        <v>213563</v>
      </c>
      <c r="D39" s="57">
        <f t="shared" si="3"/>
        <v>10392</v>
      </c>
      <c r="E39" s="57">
        <f t="shared" si="3"/>
        <v>24041</v>
      </c>
      <c r="F39" s="57">
        <f t="shared" si="3"/>
        <v>-725</v>
      </c>
      <c r="G39" s="57">
        <f t="shared" si="3"/>
        <v>12536</v>
      </c>
      <c r="H39" s="57">
        <f>SUM(H25:H38)</f>
        <v>-1588</v>
      </c>
      <c r="I39" s="122">
        <f>SUM(I25:I38)</f>
        <v>258219</v>
      </c>
      <c r="J39" s="57">
        <f>SUM(J25:J38)</f>
        <v>36136</v>
      </c>
      <c r="K39" s="122">
        <f t="shared" si="3"/>
        <v>294355</v>
      </c>
    </row>
    <row r="40" spans="3:11" ht="13.5" thickTop="1">
      <c r="C40" s="56"/>
      <c r="D40" s="65"/>
      <c r="E40" s="56"/>
      <c r="F40" s="56"/>
      <c r="G40" s="56"/>
      <c r="H40" s="56"/>
      <c r="I40" s="56"/>
      <c r="J40" s="56"/>
      <c r="K40" s="56"/>
    </row>
    <row r="41" spans="3:11" ht="12.75">
      <c r="C41" s="56"/>
      <c r="D41" s="56"/>
      <c r="E41" s="56"/>
      <c r="F41" s="56"/>
      <c r="G41" s="56"/>
      <c r="H41" s="56"/>
      <c r="I41" s="56"/>
      <c r="J41" s="56"/>
      <c r="K41" s="56"/>
    </row>
    <row r="42" spans="2:11" ht="12.75">
      <c r="B42" s="25" t="s">
        <v>142</v>
      </c>
      <c r="C42" s="56"/>
      <c r="D42" s="56"/>
      <c r="E42" s="56"/>
      <c r="F42" s="56"/>
      <c r="G42" s="56"/>
      <c r="H42" s="56"/>
      <c r="I42" s="56"/>
      <c r="J42" s="56"/>
      <c r="K42" s="56"/>
    </row>
    <row r="43" spans="2:11" ht="12.75">
      <c r="B43" t="s">
        <v>116</v>
      </c>
      <c r="C43" s="55">
        <v>213563</v>
      </c>
      <c r="D43" s="55">
        <v>10392</v>
      </c>
      <c r="E43" s="55">
        <v>0</v>
      </c>
      <c r="F43" s="55">
        <v>-791</v>
      </c>
      <c r="G43" s="55">
        <v>44365</v>
      </c>
      <c r="H43" s="55">
        <v>0</v>
      </c>
      <c r="I43" s="118">
        <f aca="true" t="shared" si="4" ref="I43:I49">SUM(C43:H43)</f>
        <v>267529</v>
      </c>
      <c r="J43" s="55">
        <v>35068</v>
      </c>
      <c r="K43" s="118">
        <f aca="true" t="shared" si="5" ref="K43:K49">SUM(I43:J43)</f>
        <v>302597</v>
      </c>
    </row>
    <row r="44" spans="3:11" ht="12.75">
      <c r="C44" s="55"/>
      <c r="D44" s="55"/>
      <c r="E44" s="55"/>
      <c r="F44" s="55"/>
      <c r="G44" s="55"/>
      <c r="H44" s="55"/>
      <c r="I44" s="118"/>
      <c r="J44" s="55"/>
      <c r="K44" s="118"/>
    </row>
    <row r="45" spans="2:11" ht="12.75">
      <c r="B45" t="s">
        <v>90</v>
      </c>
      <c r="C45" s="55">
        <v>0</v>
      </c>
      <c r="D45" s="55">
        <v>0</v>
      </c>
      <c r="E45" s="55">
        <v>0</v>
      </c>
      <c r="F45" s="55">
        <v>0</v>
      </c>
      <c r="G45" s="55">
        <f>'Consol Y Stmt'!I40</f>
        <v>-2115</v>
      </c>
      <c r="H45" s="55">
        <v>0</v>
      </c>
      <c r="I45" s="118">
        <f t="shared" si="4"/>
        <v>-2115</v>
      </c>
      <c r="J45" s="55">
        <f>'Consol Y Stmt'!I42</f>
        <v>-532</v>
      </c>
      <c r="K45" s="118">
        <f t="shared" si="5"/>
        <v>-2647</v>
      </c>
    </row>
    <row r="46" spans="2:11" ht="12.75">
      <c r="B46" s="30"/>
      <c r="C46" s="55"/>
      <c r="D46" s="55"/>
      <c r="E46" s="55"/>
      <c r="F46" s="55"/>
      <c r="G46" s="55"/>
      <c r="H46" s="55"/>
      <c r="I46" s="118"/>
      <c r="J46" s="55"/>
      <c r="K46" s="118"/>
    </row>
    <row r="47" spans="2:11" ht="25.5">
      <c r="B47" s="117" t="s">
        <v>93</v>
      </c>
      <c r="C47" s="55">
        <v>0</v>
      </c>
      <c r="D47" s="55">
        <v>0</v>
      </c>
      <c r="E47" s="55">
        <v>0</v>
      </c>
      <c r="F47" s="55">
        <v>0</v>
      </c>
      <c r="G47" s="55">
        <v>0</v>
      </c>
      <c r="H47" s="55">
        <v>0</v>
      </c>
      <c r="I47" s="118">
        <f t="shared" si="4"/>
        <v>0</v>
      </c>
      <c r="J47" s="55">
        <v>0</v>
      </c>
      <c r="K47" s="118">
        <f t="shared" si="5"/>
        <v>0</v>
      </c>
    </row>
    <row r="48" spans="3:11" ht="12.75">
      <c r="C48" s="56"/>
      <c r="D48" s="56"/>
      <c r="E48" s="56"/>
      <c r="F48" s="56"/>
      <c r="G48" s="56"/>
      <c r="H48" s="56"/>
      <c r="I48" s="121"/>
      <c r="J48" s="56"/>
      <c r="K48" s="118"/>
    </row>
    <row r="49" spans="2:11" ht="12.75">
      <c r="B49" t="s">
        <v>91</v>
      </c>
      <c r="C49" s="55">
        <v>0</v>
      </c>
      <c r="D49" s="55">
        <v>0</v>
      </c>
      <c r="E49" s="55">
        <v>0</v>
      </c>
      <c r="F49" s="55">
        <v>0</v>
      </c>
      <c r="G49" s="55">
        <v>0</v>
      </c>
      <c r="H49" s="55">
        <v>0</v>
      </c>
      <c r="I49" s="118">
        <f t="shared" si="4"/>
        <v>0</v>
      </c>
      <c r="J49" s="55">
        <v>0</v>
      </c>
      <c r="K49" s="118">
        <f t="shared" si="5"/>
        <v>0</v>
      </c>
    </row>
    <row r="50" spans="3:11" ht="12.75">
      <c r="C50" s="56"/>
      <c r="D50" s="56"/>
      <c r="E50" s="56"/>
      <c r="F50" s="56"/>
      <c r="G50" s="56"/>
      <c r="H50" s="56"/>
      <c r="I50" s="121"/>
      <c r="J50" s="56"/>
      <c r="K50" s="121"/>
    </row>
    <row r="51" spans="2:11" ht="13.5" thickBot="1">
      <c r="B51" t="s">
        <v>83</v>
      </c>
      <c r="C51" s="57">
        <f aca="true" t="shared" si="6" ref="C51:J51">C43+C45</f>
        <v>213563</v>
      </c>
      <c r="D51" s="57">
        <f t="shared" si="6"/>
        <v>10392</v>
      </c>
      <c r="E51" s="57">
        <f t="shared" si="6"/>
        <v>0</v>
      </c>
      <c r="F51" s="57">
        <f t="shared" si="6"/>
        <v>-791</v>
      </c>
      <c r="G51" s="57">
        <f t="shared" si="6"/>
        <v>42250</v>
      </c>
      <c r="H51" s="57">
        <f t="shared" si="6"/>
        <v>0</v>
      </c>
      <c r="I51" s="122">
        <f t="shared" si="6"/>
        <v>265414</v>
      </c>
      <c r="J51" s="57">
        <f t="shared" si="6"/>
        <v>34536</v>
      </c>
      <c r="K51" s="122">
        <f>SUM(K43:K50)</f>
        <v>299950</v>
      </c>
    </row>
    <row r="52" ht="13.5" thickTop="1"/>
    <row r="57" ht="12.75">
      <c r="B57" s="34" t="s">
        <v>62</v>
      </c>
    </row>
    <row r="58" ht="12.75">
      <c r="B58" s="35" t="s">
        <v>96</v>
      </c>
    </row>
  </sheetData>
  <printOptions/>
  <pageMargins left="0.75" right="0.5" top="0.5" bottom="0.5" header="0" footer="0"/>
  <pageSetup fitToHeight="1" fitToWidth="1" horizontalDpi="600" verticalDpi="600" orientation="portrait" paperSize="9" scale="69" r:id="rId1"/>
  <headerFooter alignWithMargins="0">
    <oddFooter>&amp;L&amp;8&amp;F&amp;A&amp;R3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zoomScale="75" zoomScaleNormal="75" workbookViewId="0" topLeftCell="A29">
      <selection activeCell="D19" sqref="D19"/>
    </sheetView>
  </sheetViews>
  <sheetFormatPr defaultColWidth="9.140625" defaultRowHeight="12.75"/>
  <cols>
    <col min="1" max="1" width="4.140625" style="0" customWidth="1"/>
    <col min="2" max="2" width="53.28125" style="0" customWidth="1"/>
    <col min="3" max="3" width="2.28125" style="0" customWidth="1"/>
    <col min="4" max="4" width="15.140625" style="0" customWidth="1"/>
    <col min="5" max="5" width="2.140625" style="0" customWidth="1"/>
    <col min="6" max="6" width="12.7109375" style="0" customWidth="1"/>
  </cols>
  <sheetData>
    <row r="1" ht="15.75">
      <c r="A1" s="8" t="s">
        <v>12</v>
      </c>
    </row>
    <row r="2" ht="15.75">
      <c r="A2" s="1" t="s">
        <v>38</v>
      </c>
    </row>
    <row r="3" ht="15.75">
      <c r="A3" s="1" t="s">
        <v>145</v>
      </c>
    </row>
    <row r="5" spans="2:6" ht="12.75">
      <c r="B5" s="36"/>
      <c r="D5" s="31" t="s">
        <v>144</v>
      </c>
      <c r="F5" s="31" t="s">
        <v>144</v>
      </c>
    </row>
    <row r="6" spans="4:6" ht="12.75">
      <c r="D6" s="31" t="s">
        <v>39</v>
      </c>
      <c r="F6" s="31" t="s">
        <v>39</v>
      </c>
    </row>
    <row r="7" spans="4:6" ht="12.75">
      <c r="D7" s="32">
        <v>38898</v>
      </c>
      <c r="F7" s="32">
        <v>38533</v>
      </c>
    </row>
    <row r="8" spans="4:6" ht="12.75">
      <c r="D8" s="26" t="s">
        <v>11</v>
      </c>
      <c r="F8" s="26" t="s">
        <v>11</v>
      </c>
    </row>
    <row r="10" spans="2:6" ht="12.75">
      <c r="B10" s="25" t="s">
        <v>75</v>
      </c>
      <c r="D10" s="58">
        <f>'Consol Y Stmt'!H32</f>
        <v>8692</v>
      </c>
      <c r="E10" s="56"/>
      <c r="F10" s="58">
        <v>-2304</v>
      </c>
    </row>
    <row r="11" spans="4:6" ht="12.75">
      <c r="D11" s="59"/>
      <c r="E11" s="56"/>
      <c r="F11" s="59"/>
    </row>
    <row r="12" spans="2:6" ht="12.75">
      <c r="B12" s="25" t="s">
        <v>40</v>
      </c>
      <c r="D12" s="59"/>
      <c r="E12" s="56"/>
      <c r="F12" s="59"/>
    </row>
    <row r="13" spans="4:6" ht="9.75" customHeight="1">
      <c r="D13" s="59"/>
      <c r="E13" s="56"/>
      <c r="F13" s="59"/>
    </row>
    <row r="14" spans="2:6" ht="12.75">
      <c r="B14" t="s">
        <v>41</v>
      </c>
      <c r="D14" s="58">
        <f>1961+144-365</f>
        <v>1740</v>
      </c>
      <c r="E14" s="56"/>
      <c r="F14" s="58">
        <v>14917</v>
      </c>
    </row>
    <row r="15" spans="2:6" ht="12.75">
      <c r="B15" t="s">
        <v>42</v>
      </c>
      <c r="D15" s="58">
        <f>-D23-D24-D22-5034-37</f>
        <v>-7242</v>
      </c>
      <c r="E15" s="56"/>
      <c r="F15" s="58">
        <v>-6234</v>
      </c>
    </row>
    <row r="16" spans="4:6" ht="12.75">
      <c r="D16" s="60"/>
      <c r="E16" s="56"/>
      <c r="F16" s="60"/>
    </row>
    <row r="17" spans="2:6" ht="12.75">
      <c r="B17" s="25" t="s">
        <v>68</v>
      </c>
      <c r="D17" s="58">
        <f>SUM(D10:D15)</f>
        <v>3190</v>
      </c>
      <c r="E17" s="56"/>
      <c r="F17" s="58">
        <f>SUM(F10:F15)</f>
        <v>6379</v>
      </c>
    </row>
    <row r="18" spans="4:6" ht="12.75">
      <c r="D18" s="58"/>
      <c r="E18" s="56"/>
      <c r="F18" s="58"/>
    </row>
    <row r="19" spans="2:6" ht="12.75">
      <c r="B19" s="25" t="s">
        <v>43</v>
      </c>
      <c r="D19" s="58"/>
      <c r="E19" s="56"/>
      <c r="F19" s="58"/>
    </row>
    <row r="20" spans="2:6" ht="12.75">
      <c r="B20" t="s">
        <v>44</v>
      </c>
      <c r="D20" s="58">
        <f>15289+79</f>
        <v>15368</v>
      </c>
      <c r="E20" s="56"/>
      <c r="F20" s="58">
        <v>-255722</v>
      </c>
    </row>
    <row r="21" spans="2:6" ht="12.75">
      <c r="B21" t="s">
        <v>45</v>
      </c>
      <c r="D21" s="58">
        <v>-16338</v>
      </c>
      <c r="E21" s="56"/>
      <c r="F21" s="58">
        <v>253284</v>
      </c>
    </row>
    <row r="22" spans="2:6" ht="12.75">
      <c r="B22" t="s">
        <v>80</v>
      </c>
      <c r="D22" s="58">
        <v>148</v>
      </c>
      <c r="E22" s="56"/>
      <c r="F22" s="58">
        <v>98</v>
      </c>
    </row>
    <row r="23" spans="2:7" ht="12.75">
      <c r="B23" t="s">
        <v>81</v>
      </c>
      <c r="D23" s="58">
        <v>3094</v>
      </c>
      <c r="E23" s="56"/>
      <c r="F23" s="58">
        <v>2880</v>
      </c>
      <c r="G23" s="112"/>
    </row>
    <row r="24" spans="2:7" ht="12.75">
      <c r="B24" t="s">
        <v>82</v>
      </c>
      <c r="D24" s="58">
        <v>-1071</v>
      </c>
      <c r="E24" s="56"/>
      <c r="F24" s="58">
        <v>-1376</v>
      </c>
      <c r="G24" s="112"/>
    </row>
    <row r="25" spans="2:6" ht="12.75">
      <c r="B25" t="s">
        <v>70</v>
      </c>
      <c r="D25" s="58">
        <v>-625</v>
      </c>
      <c r="E25" s="56"/>
      <c r="F25" s="58">
        <v>-1436</v>
      </c>
    </row>
    <row r="26" spans="2:6" ht="12.75">
      <c r="B26" t="s">
        <v>76</v>
      </c>
      <c r="D26" s="58">
        <v>0</v>
      </c>
      <c r="E26" s="56"/>
      <c r="F26" s="58">
        <v>0</v>
      </c>
    </row>
    <row r="27" spans="4:6" ht="12.75">
      <c r="D27" s="58"/>
      <c r="E27" s="56"/>
      <c r="F27" s="58"/>
    </row>
    <row r="28" spans="2:6" ht="12.75">
      <c r="B28" s="25" t="s">
        <v>46</v>
      </c>
      <c r="D28" s="61">
        <f>SUM(D17:D26)</f>
        <v>3766</v>
      </c>
      <c r="E28" s="56"/>
      <c r="F28" s="61">
        <f>SUM(F17:F26)</f>
        <v>4107</v>
      </c>
    </row>
    <row r="29" spans="4:6" ht="12.75">
      <c r="D29" s="58"/>
      <c r="E29" s="56"/>
      <c r="F29" s="58"/>
    </row>
    <row r="30" spans="2:6" ht="12.75">
      <c r="B30" s="25" t="s">
        <v>47</v>
      </c>
      <c r="D30" s="58"/>
      <c r="E30" s="56"/>
      <c r="F30" s="58"/>
    </row>
    <row r="31" spans="2:6" ht="6.75" customHeight="1">
      <c r="B31" s="25"/>
      <c r="D31" s="58"/>
      <c r="E31" s="56"/>
      <c r="F31" s="58"/>
    </row>
    <row r="32" spans="2:6" ht="12.75">
      <c r="B32" t="s">
        <v>66</v>
      </c>
      <c r="D32" s="58">
        <v>-128</v>
      </c>
      <c r="E32" s="56"/>
      <c r="F32" s="58">
        <v>-608</v>
      </c>
    </row>
    <row r="33" spans="2:6" ht="12.75">
      <c r="B33" t="s">
        <v>67</v>
      </c>
      <c r="D33" s="58">
        <v>39</v>
      </c>
      <c r="E33" s="56"/>
      <c r="F33" s="58">
        <v>71</v>
      </c>
    </row>
    <row r="34" spans="2:6" ht="12.75">
      <c r="B34" t="s">
        <v>107</v>
      </c>
      <c r="D34" s="58">
        <v>9549</v>
      </c>
      <c r="E34" s="56"/>
      <c r="F34" s="58">
        <v>10904</v>
      </c>
    </row>
    <row r="35" spans="2:6" ht="12.75">
      <c r="B35" t="s">
        <v>79</v>
      </c>
      <c r="D35" s="58">
        <v>0</v>
      </c>
      <c r="E35" s="56"/>
      <c r="F35" s="58">
        <v>0</v>
      </c>
    </row>
    <row r="36" spans="2:6" ht="12.75">
      <c r="B36" s="25" t="s">
        <v>51</v>
      </c>
      <c r="D36" s="61">
        <f>SUM(D32:D35)</f>
        <v>9460</v>
      </c>
      <c r="E36" s="56"/>
      <c r="F36" s="61">
        <f>SUM(F32:F35)</f>
        <v>10367</v>
      </c>
    </row>
    <row r="37" spans="4:6" ht="12.75">
      <c r="D37" s="58"/>
      <c r="E37" s="56"/>
      <c r="F37" s="58"/>
    </row>
    <row r="38" spans="2:6" ht="12.75">
      <c r="B38" s="25" t="s">
        <v>48</v>
      </c>
      <c r="D38" s="58"/>
      <c r="E38" s="56"/>
      <c r="F38" s="58"/>
    </row>
    <row r="39" spans="2:6" ht="6.75" customHeight="1">
      <c r="B39" s="25"/>
      <c r="D39" s="58"/>
      <c r="E39" s="56"/>
      <c r="F39" s="58"/>
    </row>
    <row r="40" spans="2:6" ht="12.75">
      <c r="B40" t="s">
        <v>35</v>
      </c>
      <c r="D40" s="58">
        <v>-797</v>
      </c>
      <c r="E40" s="56"/>
      <c r="F40" s="58">
        <v>-1866</v>
      </c>
    </row>
    <row r="41" spans="2:6" ht="12.75">
      <c r="B41" t="s">
        <v>49</v>
      </c>
      <c r="D41" s="58">
        <v>0</v>
      </c>
      <c r="E41" s="56"/>
      <c r="F41" s="58">
        <v>0</v>
      </c>
    </row>
    <row r="42" spans="2:6" ht="12.75">
      <c r="B42" t="s">
        <v>50</v>
      </c>
      <c r="D42" s="58">
        <v>0</v>
      </c>
      <c r="E42" s="56"/>
      <c r="F42" s="58">
        <v>0</v>
      </c>
    </row>
    <row r="43" spans="2:6" ht="12.75">
      <c r="B43" t="s">
        <v>86</v>
      </c>
      <c r="D43" s="58">
        <v>-518</v>
      </c>
      <c r="E43" s="56"/>
      <c r="F43" s="58">
        <v>0</v>
      </c>
    </row>
    <row r="44" spans="2:6" ht="12.75">
      <c r="B44" s="25" t="s">
        <v>69</v>
      </c>
      <c r="D44" s="61">
        <f>SUM(D40:D43)</f>
        <v>-1315</v>
      </c>
      <c r="E44" s="56"/>
      <c r="F44" s="61">
        <f>SUM(F40:F43)</f>
        <v>-1866</v>
      </c>
    </row>
    <row r="45" spans="4:6" ht="12.75">
      <c r="D45" s="62"/>
      <c r="E45" s="56"/>
      <c r="F45" s="62"/>
    </row>
    <row r="46" spans="2:6" ht="12.75">
      <c r="B46" s="25" t="s">
        <v>52</v>
      </c>
      <c r="D46" s="58">
        <f>D28+D36+D44</f>
        <v>11911</v>
      </c>
      <c r="E46" s="56"/>
      <c r="F46" s="58">
        <f>F28+F36+F44</f>
        <v>12608</v>
      </c>
    </row>
    <row r="47" spans="2:6" ht="12.75">
      <c r="B47" s="25"/>
      <c r="D47" s="58"/>
      <c r="E47" s="56"/>
      <c r="F47" s="58"/>
    </row>
    <row r="48" spans="2:6" ht="12.75">
      <c r="B48" s="25" t="s">
        <v>71</v>
      </c>
      <c r="D48" s="58">
        <v>20589</v>
      </c>
      <c r="E48" s="56"/>
      <c r="F48" s="58">
        <v>20282</v>
      </c>
    </row>
    <row r="49" spans="2:6" ht="12.75">
      <c r="B49" s="25"/>
      <c r="D49" s="58"/>
      <c r="E49" s="56"/>
      <c r="F49" s="58"/>
    </row>
    <row r="50" spans="2:6" ht="13.5" thickBot="1">
      <c r="B50" s="25" t="s">
        <v>64</v>
      </c>
      <c r="D50" s="63">
        <f>SUM(D46:D48)</f>
        <v>32500</v>
      </c>
      <c r="E50" s="56"/>
      <c r="F50" s="63">
        <f>SUM(F46:F48)</f>
        <v>32890</v>
      </c>
    </row>
    <row r="51" spans="4:6" ht="13.5" thickTop="1">
      <c r="D51" s="64"/>
      <c r="E51" s="56"/>
      <c r="F51" s="64"/>
    </row>
    <row r="52" spans="2:6" ht="12.75">
      <c r="B52" s="25" t="s">
        <v>72</v>
      </c>
      <c r="D52" s="64"/>
      <c r="E52" s="56"/>
      <c r="F52" s="64"/>
    </row>
    <row r="53" spans="2:6" ht="12.75">
      <c r="B53" t="s">
        <v>73</v>
      </c>
      <c r="D53" s="64">
        <f>5286+27214</f>
        <v>32500</v>
      </c>
      <c r="E53" s="56"/>
      <c r="F53" s="64">
        <v>34532</v>
      </c>
    </row>
    <row r="54" spans="2:6" ht="12.75">
      <c r="B54" t="s">
        <v>74</v>
      </c>
      <c r="D54" s="64">
        <v>0</v>
      </c>
      <c r="E54" s="56"/>
      <c r="F54" s="64">
        <v>-1642</v>
      </c>
    </row>
    <row r="55" spans="4:6" ht="13.5" thickBot="1">
      <c r="D55" s="63">
        <f>SUM(D53:D54)</f>
        <v>32500</v>
      </c>
      <c r="E55" s="56"/>
      <c r="F55" s="63">
        <f>SUM(F53:F54)</f>
        <v>32890</v>
      </c>
    </row>
    <row r="56" spans="4:6" ht="13.5" thickTop="1">
      <c r="D56" s="65">
        <f>D50-D55</f>
        <v>0</v>
      </c>
      <c r="E56" s="56"/>
      <c r="F56" s="65">
        <f>F55-F50</f>
        <v>0</v>
      </c>
    </row>
    <row r="57" spans="4:6" ht="12.75">
      <c r="D57" s="56"/>
      <c r="E57" s="56"/>
      <c r="F57" s="56"/>
    </row>
    <row r="58" spans="2:6" ht="12.75">
      <c r="B58" s="34" t="s">
        <v>65</v>
      </c>
      <c r="D58" s="56"/>
      <c r="E58" s="56"/>
      <c r="F58" s="56"/>
    </row>
    <row r="59" spans="2:6" ht="12.75">
      <c r="B59" s="35" t="s">
        <v>97</v>
      </c>
      <c r="D59" s="56"/>
      <c r="E59" s="56"/>
      <c r="F59" s="56"/>
    </row>
    <row r="60" spans="4:6" ht="12.75">
      <c r="D60" s="56"/>
      <c r="E60" s="56"/>
      <c r="F60" s="56"/>
    </row>
    <row r="61" spans="4:6" ht="12.75">
      <c r="D61" s="56"/>
      <c r="E61" s="56"/>
      <c r="F61" s="56"/>
    </row>
    <row r="62" spans="4:6" ht="12.75">
      <c r="D62" s="56"/>
      <c r="E62" s="56"/>
      <c r="F62" s="56"/>
    </row>
    <row r="63" spans="4:6" ht="12.75">
      <c r="D63" s="56"/>
      <c r="E63" s="56"/>
      <c r="F63" s="56"/>
    </row>
  </sheetData>
  <printOptions/>
  <pageMargins left="0.75" right="0.75" top="1" bottom="1" header="0" footer="0"/>
  <pageSetup fitToHeight="1" fitToWidth="1" horizontalDpi="600" verticalDpi="600" orientation="portrait" paperSize="9" scale="95" r:id="rId1"/>
  <headerFooter alignWithMargins="0">
    <oddFooter>&amp;L&amp;8&amp;F&amp;A&amp;R4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annoucement</dc:title>
  <dc:subject/>
  <dc:creator>IT Dept</dc:creator>
  <cp:keywords/>
  <dc:description/>
  <cp:lastModifiedBy>Zalili</cp:lastModifiedBy>
  <cp:lastPrinted>2006-07-25T09:00:47Z</cp:lastPrinted>
  <dcterms:created xsi:type="dcterms:W3CDTF">2000-05-08T06:50:43Z</dcterms:created>
  <dcterms:modified xsi:type="dcterms:W3CDTF">2006-08-25T07:06:34Z</dcterms:modified>
  <cp:category/>
  <cp:version/>
  <cp:contentType/>
  <cp:contentStatus/>
</cp:coreProperties>
</file>