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<sst xmlns="http://schemas.openxmlformats.org/spreadsheetml/2006/main" count="196" uniqueCount="162">
  <si>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</si>
  <si>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</si>
  <si>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</si>
  <si>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</si>
  <si>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</si>
  <si>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</si>
  <si>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</si>
  <si>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</si>
  <si>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</si>
  <si>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</si>
  <si>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</si>
  <si>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</si>
  <si>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</si>
  <si>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</si>
  <si>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</si>
  <si>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</si>
  <si>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</si>
  <si>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</si>
  <si>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</si>
  <si>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</si>
  <si>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</si>
  <si>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</si>
  <si>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</si>
  <si>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</si>
  <si>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</si>
  <si>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</si>
  <si>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</si>
  <si>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</si>
  <si>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</si>
  <si>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</si>
  <si>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</si>
  <si>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</si>
  <si>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</si>
  <si>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</si>
  <si>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</si>
  <si>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</si>
  <si>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</si>
  <si>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</si>
  <si>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</si>
  <si>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</si>
  <si>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</si>
  <si>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</si>
  <si>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</si>
  <si>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</si>
  <si>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</si>
  <si>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</si>
  <si>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</si>
  <si>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</si>
  <si>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</si>
  <si>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</si>
  <si>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</si>
  <si>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</si>
  <si>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</si>
  <si>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</si>
  <si>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</si>
  <si>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</si>
  <si>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</si>
  <si>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</si>
  <si>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</si>
  <si>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</si>
  <si>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</si>
  <si>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</si>
  <si>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</si>
  <si>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</si>
  <si>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</si>
  <si>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</si>
  <si>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</si>
  <si>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</si>
  <si>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</si>
  <si>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</si>
  <si>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</si>
  <si>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</si>
  <si>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</si>
  <si>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</si>
  <si>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</si>
  <si>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</si>
  <si>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</si>
  <si>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</si>
  <si>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</si>
  <si>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</si>
  <si>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</si>
  <si>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</si>
  <si>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</si>
  <si>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</si>
  <si>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</si>
  <si>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</si>
  <si>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</si>
  <si>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</si>
  <si>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</si>
  <si>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</si>
  <si>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</si>
  <si>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</si>
  <si>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At 1 May 2003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</si>
  <si>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</si>
  <si>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</si>
  <si>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</si>
  <si>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</si>
  <si>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</si>
  <si>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</si>
  <si>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</si>
  <si>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</si>
  <si>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</si>
  <si>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30/04/04</t>
  </si>
  <si>
    <t>DEFERRED TAX ASSETS</t>
  </si>
  <si>
    <t>Cash and cash equivalents at beginning of year</t>
  </si>
  <si>
    <t>Cash and cash equivalents at end of year</t>
  </si>
  <si>
    <t>Proceeds from disposal of investment property</t>
  </si>
  <si>
    <t>Proceeds from issuance of shares</t>
  </si>
  <si>
    <t>(This Unaudited Condensed Consolidated Income Statements should be read in conjunction with the Annual Financial Statements for the year ended 30 April 2004)</t>
  </si>
  <si>
    <t>(This Unaudited Condensed Consolidated Balance Sheet should be read in conjunction with the Annual Financial Statements for the year ended 30 April 2004)</t>
  </si>
  <si>
    <t>(The Unaudited Condensed Consolidated Statement of Changes in Equity should be read in conjunction with the Annual Financial Statements for the year ended 30 April 2004)</t>
  </si>
  <si>
    <t>(The Unaudited Consolidated Cashflow Statements should be read in conjunction with the Annual Financial Statements for the year ended 30 April 2004)</t>
  </si>
  <si>
    <t>At 1 May 2004</t>
  </si>
  <si>
    <t>Second and final dividend for 30 April 2004</t>
  </si>
  <si>
    <t>Interim dividend for 30 April 2005</t>
  </si>
  <si>
    <t>Reserve on consolidation arising from</t>
  </si>
  <si>
    <t>acquisition of a subsidiary</t>
  </si>
  <si>
    <t>Period</t>
  </si>
  <si>
    <t>Cash on hand and at banks</t>
  </si>
  <si>
    <t>Bank balances pledged</t>
  </si>
  <si>
    <t>Deposits pledged</t>
  </si>
  <si>
    <t>Fixed and short term deposits</t>
  </si>
  <si>
    <t>Treasury Shares</t>
  </si>
  <si>
    <t>Treasury</t>
  </si>
  <si>
    <t>shares</t>
  </si>
  <si>
    <t>Repurchase of shares</t>
  </si>
  <si>
    <t>Expenses in relation to private placement exercise</t>
  </si>
  <si>
    <t>Drawdown of bank borrowings</t>
  </si>
  <si>
    <t>Share Premium</t>
  </si>
  <si>
    <t>Reserves:-</t>
  </si>
  <si>
    <t>Revaluation Reserve</t>
  </si>
  <si>
    <t>Reserve on Consolidation</t>
  </si>
  <si>
    <t>Retained Profit</t>
  </si>
  <si>
    <t>Issue of ordinary shares pursuant to ESOS</t>
  </si>
  <si>
    <t>Working capital changes:</t>
  </si>
  <si>
    <t>Property development projects - Non current</t>
  </si>
  <si>
    <t>Property development projects - Current</t>
  </si>
  <si>
    <t>Other working capital changes</t>
  </si>
  <si>
    <t>Proceeds from / (Repayment of ) Islamic Private Debt Securities</t>
  </si>
  <si>
    <t>30/04/05</t>
  </si>
  <si>
    <t>UNAUDITED CONDENSED CONSOLIDATED BALANCE SHEET AS AT 30 APRIL 2005</t>
  </si>
  <si>
    <t>At 30 April 2005</t>
  </si>
  <si>
    <t>At 30 April 2004</t>
  </si>
  <si>
    <t>FOR THE YEAR ENDED 30 APRIL 2005</t>
  </si>
  <si>
    <t>Exceptional gain</t>
  </si>
  <si>
    <t xml:space="preserve">    investment property</t>
  </si>
  <si>
    <t>Issue of ordinary shares:-</t>
  </si>
  <si>
    <t>Issue for cash, net of share issue cost</t>
  </si>
  <si>
    <t>Bonus issue from retained profit</t>
  </si>
  <si>
    <t>Pursuant to ESOS</t>
  </si>
  <si>
    <t>Transfer to Defered Taxation</t>
  </si>
  <si>
    <t>Second and final dividend for 30 April 2003</t>
  </si>
  <si>
    <t>Interim dividend for 30 April 2004</t>
  </si>
  <si>
    <t xml:space="preserve"> - Revaluation of
    investment properties</t>
  </si>
  <si>
    <t>Increase in revaluation surplus</t>
  </si>
  <si>
    <t>Transfer to deferred taxation</t>
  </si>
  <si>
    <t>Accrued billings</t>
  </si>
  <si>
    <t>Progress billings</t>
  </si>
  <si>
    <t xml:space="preserve"> - Gain on disposal of</t>
  </si>
  <si>
    <t>Realisation of revaluation surplus to retained</t>
  </si>
  <si>
    <t>earnings upon disposal of investment property</t>
  </si>
  <si>
    <t>Quarterly Report On Consolidated Results For The Financial Year Ended 30 April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</si>
</sst>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3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0" fontId="12" fillId="0" borderId="5" xfId="0" applyFont="1" applyBorder="1" applyAlignment="1">
      <alignment/>
    </xf>
    <xf numFmtId="164" fontId="12" fillId="0" borderId="6" xfId="15" applyNumberFormat="1" applyFont="1" applyBorder="1" applyAlignment="1">
      <alignment/>
    </xf>
    <xf numFmtId="0" fontId="12" fillId="0" borderId="7" xfId="0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0" fontId="7" fillId="0" borderId="0" xfId="0" applyFont="1" applyAlignment="1">
      <alignment wrapText="1"/>
    </xf>
    <xf numFmtId="164" fontId="12" fillId="0" borderId="0" xfId="15" applyNumberFormat="1" applyFont="1" applyFill="1" applyAlignment="1">
      <alignment/>
    </xf>
    <xf numFmtId="164" fontId="7" fillId="0" borderId="9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10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7" fontId="12" fillId="0" borderId="11" xfId="21" applyNumberFormat="1" applyFont="1" applyFill="1" applyBorder="1">
      <alignment/>
      <protection/>
    </xf>
    <xf numFmtId="167" fontId="12" fillId="0" borderId="11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1" xfId="21" applyNumberFormat="1" applyFont="1" applyFill="1" applyBorder="1">
      <alignment/>
      <protection/>
    </xf>
    <xf numFmtId="43" fontId="7" fillId="0" borderId="0" xfId="15" applyFont="1" applyFill="1" applyAlignment="1">
      <alignment vertical="top"/>
    </xf>
    <xf numFmtId="168" fontId="15" fillId="0" borderId="0" xfId="21" applyNumberFormat="1" applyFont="1" applyFill="1">
      <alignment/>
      <protection/>
    </xf>
    <xf numFmtId="0" fontId="12" fillId="0" borderId="0" xfId="0" applyFont="1" applyFill="1" applyAlignment="1">
      <alignment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>
      <alignment/>
      <protection/>
    </xf>
    <xf numFmtId="168" fontId="7" fillId="0" borderId="0" xfId="21" applyNumberFormat="1" applyFont="1" applyFill="1" applyBorder="1">
      <alignment/>
      <protection/>
    </xf>
    <xf numFmtId="0" fontId="21" fillId="0" borderId="0" xfId="0" applyFont="1" applyBorder="1" applyAlignment="1">
      <alignment/>
    </xf>
    <xf numFmtId="43" fontId="7" fillId="0" borderId="0" xfId="15" applyFont="1" applyFill="1" applyAlignment="1">
      <alignment horizontal="right"/>
    </xf>
    <xf numFmtId="0" fontId="13" fillId="0" borderId="0" xfId="0" applyFont="1" applyFill="1" applyAlignment="1">
      <alignment/>
    </xf>
    <xf numFmtId="0" fontId="19" fillId="0" borderId="0" xfId="21" applyFont="1" applyFill="1" applyBorder="1">
      <alignment/>
      <protection/>
    </xf>
    <xf numFmtId="167" fontId="19" fillId="0" borderId="0" xfId="21" applyNumberFormat="1" applyFont="1" applyFill="1" applyBorder="1">
      <alignment/>
      <protection/>
    </xf>
    <xf numFmtId="0" fontId="11" fillId="0" borderId="0" xfId="23" applyFont="1" applyFill="1" applyAlignment="1">
      <alignment/>
    </xf>
    <xf numFmtId="37" fontId="11" fillId="0" borderId="0" xfId="0" applyAlignment="1">
      <alignment/>
    </xf>
    <xf numFmtId="164" fontId="13" fillId="0" borderId="0" xfId="15" applyNumberFormat="1" applyFont="1" applyAlignment="1">
      <alignment/>
    </xf>
    <xf numFmtId="164" fontId="7" fillId="0" borderId="0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center"/>
    </xf>
    <xf numFmtId="164" fontId="11" fillId="0" borderId="0" xfId="15" applyNumberFormat="1" applyFont="1" applyFill="1" applyBorder="1" applyAlignment="1">
      <alignment horizontal="center"/>
    </xf>
    <xf numFmtId="37" fontId="11" fillId="0" borderId="0" xfId="0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0" fillId="0" borderId="0" xfId="15" applyNumberFormat="1" applyFont="1" applyAlignment="1">
      <alignment/>
    </xf>
    <xf numFmtId="0" fontId="12" fillId="0" borderId="0" xfId="23" applyFont="1" applyFill="1" applyAlignment="1">
      <alignment/>
    </xf>
    <xf numFmtId="164" fontId="12" fillId="0" borderId="1" xfId="15" applyNumberFormat="1" applyFont="1" applyFill="1" applyBorder="1" applyAlignment="1">
      <alignment/>
    </xf>
    <xf numFmtId="164" fontId="12" fillId="0" borderId="12" xfId="15" applyNumberFormat="1" applyFont="1" applyFill="1" applyBorder="1" applyAlignment="1">
      <alignment/>
    </xf>
    <xf numFmtId="49" fontId="7" fillId="0" borderId="0" xfId="15" applyNumberFormat="1" applyFont="1" applyFill="1" applyAlignment="1">
      <alignment horizontal="center"/>
    </xf>
    <xf numFmtId="164" fontId="15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164" fontId="19" fillId="0" borderId="0" xfId="15" applyNumberFormat="1" applyFont="1" applyFill="1" applyBorder="1" applyAlignment="1">
      <alignment horizontal="right"/>
    </xf>
    <xf numFmtId="164" fontId="19" fillId="0" borderId="0" xfId="15" applyNumberFormat="1" applyFont="1" applyAlignment="1">
      <alignment horizontal="center"/>
    </xf>
    <xf numFmtId="49" fontId="19" fillId="0" borderId="0" xfId="15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164" fontId="15" fillId="0" borderId="0" xfId="15" applyNumberFormat="1" applyFont="1" applyFill="1" applyAlignment="1">
      <alignment/>
    </xf>
    <xf numFmtId="164" fontId="19" fillId="0" borderId="0" xfId="15" applyNumberFormat="1" applyFont="1" applyFill="1" applyAlignment="1">
      <alignment/>
    </xf>
    <xf numFmtId="164" fontId="19" fillId="0" borderId="9" xfId="15" applyNumberFormat="1" applyFont="1" applyFill="1" applyBorder="1" applyAlignment="1">
      <alignment/>
    </xf>
    <xf numFmtId="164" fontId="19" fillId="0" borderId="0" xfId="15" applyNumberFormat="1" applyFont="1" applyFill="1" applyBorder="1" applyAlignment="1">
      <alignment/>
    </xf>
    <xf numFmtId="164" fontId="19" fillId="0" borderId="10" xfId="15" applyNumberFormat="1" applyFont="1" applyFill="1" applyBorder="1" applyAlignment="1">
      <alignment/>
    </xf>
    <xf numFmtId="164" fontId="19" fillId="0" borderId="2" xfId="15" applyNumberFormat="1" applyFont="1" applyFill="1" applyBorder="1" applyAlignment="1">
      <alignment/>
    </xf>
    <xf numFmtId="164" fontId="15" fillId="0" borderId="0" xfId="15" applyNumberFormat="1" applyFont="1" applyFill="1" applyAlignment="1">
      <alignment horizontal="center"/>
    </xf>
    <xf numFmtId="164" fontId="15" fillId="0" borderId="1" xfId="15" applyNumberFormat="1" applyFont="1" applyFill="1" applyBorder="1" applyAlignment="1">
      <alignment/>
    </xf>
    <xf numFmtId="164" fontId="15" fillId="0" borderId="12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2" fillId="0" borderId="0" xfId="15" applyFont="1" applyFill="1" applyAlignment="1">
      <alignment vertical="top"/>
    </xf>
    <xf numFmtId="43" fontId="12" fillId="0" borderId="11" xfId="15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12" fillId="0" borderId="9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0" xfId="15" applyNumberFormat="1" applyFont="1" applyFill="1" applyBorder="1" applyAlignment="1">
      <alignment horizontal="center"/>
    </xf>
    <xf numFmtId="164" fontId="12" fillId="0" borderId="1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164" fontId="12" fillId="2" borderId="13" xfId="15" applyNumberFormat="1" applyFont="1" applyFill="1" applyBorder="1" applyAlignment="1">
      <alignment/>
    </xf>
    <xf numFmtId="164" fontId="12" fillId="2" borderId="14" xfId="15" applyNumberFormat="1" applyFont="1" applyFill="1" applyBorder="1" applyAlignment="1">
      <alignment/>
    </xf>
    <xf numFmtId="164" fontId="12" fillId="2" borderId="15" xfId="15" applyNumberFormat="1" applyFont="1" applyFill="1" applyBorder="1" applyAlignment="1">
      <alignment/>
    </xf>
    <xf numFmtId="164" fontId="14" fillId="0" borderId="0" xfId="0" applyNumberFormat="1" applyFont="1" applyAlignment="1">
      <alignment horizontal="center"/>
    </xf>
    <xf numFmtId="37" fontId="20" fillId="0" borderId="0" xfId="0" applyFont="1" applyAlignment="1">
      <alignment/>
    </xf>
    <xf numFmtId="0" fontId="15" fillId="0" borderId="0" xfId="22" applyFont="1" applyFill="1" applyAlignment="1">
      <alignment horizontal="left"/>
      <protection/>
    </xf>
    <xf numFmtId="37" fontId="15" fillId="0" borderId="0" xfId="0" applyFont="1" applyFill="1" applyAlignment="1">
      <alignment/>
    </xf>
    <xf numFmtId="37" fontId="22" fillId="0" borderId="0" xfId="0" applyFont="1" applyBorder="1" applyAlignment="1">
      <alignment/>
    </xf>
    <xf numFmtId="167" fontId="15" fillId="0" borderId="11" xfId="0" applyNumberFormat="1" applyFont="1" applyFill="1" applyBorder="1" applyAlignment="1">
      <alignment/>
    </xf>
    <xf numFmtId="37" fontId="20" fillId="0" borderId="1" xfId="0" applyFont="1" applyBorder="1" applyAlignment="1">
      <alignment/>
    </xf>
    <xf numFmtId="37" fontId="20" fillId="0" borderId="11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21" applyFont="1" applyFill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981700" y="1247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752850" y="1257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workbookViewId="0" topLeftCell="A32">
      <selection activeCell="C48" sqref="C48:D48"/>
    </sheetView>
  </sheetViews>
  <sheetFormatPr defaultColWidth="9.140625" defaultRowHeight="12.75"/>
  <cols>
    <col min="1" max="1" width="3.8515625" style="0" customWidth="1"/>
    <col min="2" max="2" width="22.57421875" style="48" customWidth="1"/>
    <col min="3" max="3" width="4.57421875" style="48" customWidth="1"/>
    <col min="4" max="4" width="14.140625" style="115" bestFit="1" customWidth="1"/>
    <col min="5" max="5" width="16.57421875" style="48" customWidth="1"/>
    <col min="6" max="6" width="1.7109375" style="48" bestFit="1" customWidth="1"/>
    <col min="7" max="7" width="14.28125" style="115" customWidth="1"/>
    <col min="8" max="8" width="16.57421875" style="48" customWidth="1"/>
    <col min="9" max="9" width="10.28125" style="0" bestFit="1" customWidth="1"/>
    <col min="11" max="11" width="9.57421875" style="0" bestFit="1" customWidth="1"/>
  </cols>
  <sheetData>
    <row r="1" spans="2:8" ht="24" customHeight="1">
      <c r="B1" s="170" t="s">
        <v>61</v>
      </c>
      <c r="C1" s="170"/>
      <c r="D1" s="170"/>
      <c r="E1" s="170"/>
      <c r="F1" s="170"/>
      <c r="G1" s="170"/>
      <c r="H1" s="170"/>
    </row>
    <row r="2" spans="2:8" ht="15">
      <c r="B2" s="171"/>
      <c r="C2" s="171"/>
      <c r="D2" s="171"/>
      <c r="E2" s="171"/>
      <c r="F2" s="171"/>
      <c r="G2" s="171"/>
      <c r="H2" s="171"/>
    </row>
    <row r="3" spans="2:8" ht="15" customHeight="1">
      <c r="B3" s="173" t="s">
        <v>161</v>
      </c>
      <c r="C3" s="173"/>
      <c r="D3" s="173"/>
      <c r="E3" s="173"/>
      <c r="F3" s="173"/>
      <c r="G3" s="173"/>
      <c r="H3" s="173"/>
    </row>
    <row r="4" spans="2:8" ht="15">
      <c r="B4" s="174" t="s">
        <v>7</v>
      </c>
      <c r="C4" s="174"/>
      <c r="D4" s="174"/>
      <c r="E4" s="174"/>
      <c r="F4" s="174"/>
      <c r="G4" s="174"/>
      <c r="H4" s="174"/>
    </row>
    <row r="5" spans="3:8" ht="15">
      <c r="C5" s="11"/>
      <c r="D5" s="12"/>
      <c r="E5" s="11"/>
      <c r="F5" s="11"/>
      <c r="G5" s="12"/>
      <c r="H5" s="3"/>
    </row>
    <row r="6" spans="2:8" ht="15">
      <c r="B6" s="13"/>
      <c r="C6" s="13"/>
      <c r="D6" s="14"/>
      <c r="E6" s="13"/>
      <c r="F6" s="13"/>
      <c r="G6" s="14"/>
      <c r="H6" s="15"/>
    </row>
    <row r="7" spans="2:8" ht="15">
      <c r="B7" s="3" t="s">
        <v>82</v>
      </c>
      <c r="C7" s="11"/>
      <c r="D7" s="12"/>
      <c r="E7" s="11"/>
      <c r="F7" s="11"/>
      <c r="G7" s="12"/>
      <c r="H7" s="11"/>
    </row>
    <row r="8" spans="2:8" ht="11.25" customHeight="1">
      <c r="B8" s="11"/>
      <c r="C8" s="11"/>
      <c r="D8" s="12"/>
      <c r="E8" s="11"/>
      <c r="F8" s="11"/>
      <c r="G8" s="12"/>
      <c r="H8" s="11"/>
    </row>
    <row r="9" spans="2:8" s="49" customFormat="1" ht="12">
      <c r="B9" s="5"/>
      <c r="C9" s="5"/>
      <c r="D9" s="172" t="s">
        <v>32</v>
      </c>
      <c r="E9" s="172"/>
      <c r="F9" s="5"/>
      <c r="G9" s="172" t="s">
        <v>31</v>
      </c>
      <c r="H9" s="172"/>
    </row>
    <row r="10" spans="2:8" s="49" customFormat="1" ht="36">
      <c r="B10" s="5"/>
      <c r="C10" s="5"/>
      <c r="D10" s="97" t="s">
        <v>2</v>
      </c>
      <c r="E10" s="96" t="s">
        <v>5</v>
      </c>
      <c r="F10" s="4"/>
      <c r="G10" s="97" t="s">
        <v>4</v>
      </c>
      <c r="H10" s="96" t="s">
        <v>3</v>
      </c>
    </row>
    <row r="11" spans="2:8" ht="15">
      <c r="B11" s="11"/>
      <c r="C11" s="11"/>
      <c r="D11" s="98" t="s">
        <v>139</v>
      </c>
      <c r="E11" s="98" t="s">
        <v>102</v>
      </c>
      <c r="F11" s="98"/>
      <c r="G11" s="98" t="s">
        <v>139</v>
      </c>
      <c r="H11" s="98" t="s">
        <v>102</v>
      </c>
    </row>
    <row r="12" spans="2:8" ht="15">
      <c r="B12" s="11"/>
      <c r="C12" s="11"/>
      <c r="D12" s="83" t="s">
        <v>1</v>
      </c>
      <c r="E12" s="16" t="s">
        <v>1</v>
      </c>
      <c r="F12" s="16"/>
      <c r="G12" s="83" t="s">
        <v>1</v>
      </c>
      <c r="H12" s="16" t="s">
        <v>1</v>
      </c>
    </row>
    <row r="13" spans="2:8" ht="15">
      <c r="B13" s="11"/>
      <c r="C13" s="11"/>
      <c r="D13" s="12"/>
      <c r="E13" s="11"/>
      <c r="F13" s="11"/>
      <c r="G13" s="12"/>
      <c r="H13" s="11"/>
    </row>
    <row r="14" spans="2:9" s="7" customFormat="1" ht="15">
      <c r="B14" s="17" t="s">
        <v>8</v>
      </c>
      <c r="C14" s="18"/>
      <c r="D14" s="19">
        <f>G14-196075</f>
        <v>65838</v>
      </c>
      <c r="E14" s="19">
        <v>83672</v>
      </c>
      <c r="F14" s="20"/>
      <c r="G14" s="19">
        <v>261913</v>
      </c>
      <c r="H14" s="19">
        <v>320160</v>
      </c>
      <c r="I14" s="147"/>
    </row>
    <row r="15" spans="2:8" s="7" customFormat="1" ht="15">
      <c r="B15" s="17"/>
      <c r="C15" s="18"/>
      <c r="D15" s="19"/>
      <c r="E15" s="19"/>
      <c r="F15" s="20"/>
      <c r="G15" s="19"/>
      <c r="H15" s="19"/>
    </row>
    <row r="16" spans="2:8" s="7" customFormat="1" ht="15">
      <c r="B16" s="17" t="s">
        <v>29</v>
      </c>
      <c r="C16" s="18"/>
      <c r="D16" s="19">
        <f>G16--160697+(121+107)</f>
        <v>-50553</v>
      </c>
      <c r="E16" s="19">
        <v>-75118</v>
      </c>
      <c r="F16" s="20"/>
      <c r="G16" s="19">
        <v>-211478</v>
      </c>
      <c r="H16" s="19">
        <v>-269851</v>
      </c>
    </row>
    <row r="17" spans="2:8" s="7" customFormat="1" ht="15">
      <c r="B17" s="17"/>
      <c r="C17" s="18"/>
      <c r="D17" s="19"/>
      <c r="E17" s="19"/>
      <c r="F17" s="20"/>
      <c r="G17" s="19"/>
      <c r="H17" s="19"/>
    </row>
    <row r="18" spans="2:8" s="7" customFormat="1" ht="15">
      <c r="B18" s="17" t="s">
        <v>30</v>
      </c>
      <c r="C18" s="18"/>
      <c r="D18" s="19">
        <f>G18-1151</f>
        <v>287</v>
      </c>
      <c r="E18" s="19">
        <v>748</v>
      </c>
      <c r="F18" s="20"/>
      <c r="G18" s="19">
        <v>1438</v>
      </c>
      <c r="H18" s="19">
        <v>1639</v>
      </c>
    </row>
    <row r="19" spans="2:8" s="7" customFormat="1" ht="15">
      <c r="B19" s="17"/>
      <c r="C19" s="18"/>
      <c r="D19" s="21"/>
      <c r="E19" s="21"/>
      <c r="F19" s="22"/>
      <c r="G19" s="21"/>
      <c r="H19" s="21"/>
    </row>
    <row r="20" spans="2:8" s="7" customFormat="1" ht="15">
      <c r="B20" s="17" t="s">
        <v>22</v>
      </c>
      <c r="C20" s="23"/>
      <c r="D20" s="19">
        <f>SUM(D14:D18)</f>
        <v>15572</v>
      </c>
      <c r="E20" s="19">
        <f>SUM(E14:E18)</f>
        <v>9302</v>
      </c>
      <c r="F20" s="20"/>
      <c r="G20" s="19">
        <f>SUM(G14:G18)</f>
        <v>51873</v>
      </c>
      <c r="H20" s="19">
        <f>SUM(H14:H18)</f>
        <v>51948</v>
      </c>
    </row>
    <row r="21" spans="2:8" s="7" customFormat="1" ht="15">
      <c r="B21" s="17"/>
      <c r="C21" s="23"/>
      <c r="D21" s="19"/>
      <c r="E21" s="19"/>
      <c r="F21" s="20"/>
      <c r="G21" s="19"/>
      <c r="H21" s="19"/>
    </row>
    <row r="22" spans="2:8" s="7" customFormat="1" ht="15">
      <c r="B22" s="17" t="s">
        <v>9</v>
      </c>
      <c r="C22" s="23"/>
      <c r="D22" s="19">
        <v>-121</v>
      </c>
      <c r="E22" s="19">
        <v>-656</v>
      </c>
      <c r="F22" s="20"/>
      <c r="G22" s="19">
        <v>-1128</v>
      </c>
      <c r="H22" s="19">
        <v>-3415</v>
      </c>
    </row>
    <row r="23" spans="2:8" s="7" customFormat="1" ht="15">
      <c r="B23" s="17"/>
      <c r="C23" s="23"/>
      <c r="D23" s="19"/>
      <c r="E23" s="19"/>
      <c r="F23" s="20"/>
      <c r="G23" s="19"/>
      <c r="H23" s="19"/>
    </row>
    <row r="24" spans="2:8" s="7" customFormat="1" ht="15">
      <c r="B24" s="17" t="s">
        <v>81</v>
      </c>
      <c r="C24" s="23"/>
      <c r="D24" s="19">
        <f>G24-3337</f>
        <v>583</v>
      </c>
      <c r="E24" s="19">
        <v>801</v>
      </c>
      <c r="F24" s="20"/>
      <c r="G24" s="19">
        <v>3920</v>
      </c>
      <c r="H24" s="19">
        <v>1685</v>
      </c>
    </row>
    <row r="25" spans="2:8" s="7" customFormat="1" ht="15">
      <c r="B25" s="17"/>
      <c r="C25" s="23"/>
      <c r="D25" s="19"/>
      <c r="E25" s="19"/>
      <c r="F25" s="20"/>
      <c r="G25" s="19"/>
      <c r="H25" s="19"/>
    </row>
    <row r="26" spans="2:8" s="7" customFormat="1" ht="30">
      <c r="B26" s="24" t="s">
        <v>25</v>
      </c>
      <c r="C26" s="25"/>
      <c r="D26" s="26">
        <f>G26-2028</f>
        <v>-885</v>
      </c>
      <c r="E26" s="26">
        <v>519</v>
      </c>
      <c r="F26" s="27"/>
      <c r="G26" s="26">
        <v>1143</v>
      </c>
      <c r="H26" s="26">
        <v>2793</v>
      </c>
    </row>
    <row r="27" spans="2:8" s="7" customFormat="1" ht="15">
      <c r="B27" s="24"/>
      <c r="C27" s="25"/>
      <c r="D27" s="26"/>
      <c r="E27" s="26"/>
      <c r="F27" s="27"/>
      <c r="G27" s="26"/>
      <c r="H27" s="26"/>
    </row>
    <row r="28" spans="2:8" s="7" customFormat="1" ht="15">
      <c r="B28" s="24" t="s">
        <v>144</v>
      </c>
      <c r="C28" s="25"/>
      <c r="D28" s="26"/>
      <c r="E28" s="26"/>
      <c r="F28" s="27"/>
      <c r="G28" s="26"/>
      <c r="H28" s="26"/>
    </row>
    <row r="29" spans="2:8" s="7" customFormat="1" ht="15">
      <c r="B29" s="24" t="s">
        <v>158</v>
      </c>
      <c r="C29" s="25"/>
      <c r="D29" s="26"/>
      <c r="E29" s="26"/>
      <c r="F29" s="27"/>
      <c r="G29" s="26"/>
      <c r="H29" s="26"/>
    </row>
    <row r="30" spans="2:8" s="7" customFormat="1" ht="15">
      <c r="B30" s="24" t="s">
        <v>145</v>
      </c>
      <c r="C30" s="25"/>
      <c r="D30" s="26">
        <v>0</v>
      </c>
      <c r="E30" s="26">
        <v>4299</v>
      </c>
      <c r="F30" s="27"/>
      <c r="G30" s="26">
        <v>0</v>
      </c>
      <c r="H30" s="26">
        <v>4299</v>
      </c>
    </row>
    <row r="31" spans="2:8" s="7" customFormat="1" ht="30">
      <c r="B31" s="24" t="s">
        <v>153</v>
      </c>
      <c r="C31" s="25"/>
      <c r="D31" s="26">
        <f>G31-0</f>
        <v>-1305</v>
      </c>
      <c r="E31" s="26">
        <v>0</v>
      </c>
      <c r="F31" s="27"/>
      <c r="G31" s="26">
        <v>-1305</v>
      </c>
      <c r="H31" s="26">
        <v>0</v>
      </c>
    </row>
    <row r="32" spans="2:8" s="7" customFormat="1" ht="15">
      <c r="B32" s="24"/>
      <c r="C32" s="25"/>
      <c r="D32" s="28"/>
      <c r="E32" s="28"/>
      <c r="F32" s="27"/>
      <c r="G32" s="28"/>
      <c r="H32" s="28"/>
    </row>
    <row r="33" spans="2:9" s="7" customFormat="1" ht="15">
      <c r="B33" s="17" t="s">
        <v>13</v>
      </c>
      <c r="C33" s="23"/>
      <c r="D33" s="19">
        <f>SUM(D20:D32)</f>
        <v>13844</v>
      </c>
      <c r="E33" s="19">
        <f>SUM(E20:E32)</f>
        <v>14265</v>
      </c>
      <c r="F33" s="20"/>
      <c r="G33" s="19">
        <f>SUM(G20:G32)</f>
        <v>54503</v>
      </c>
      <c r="H33" s="19">
        <f>SUM(H20:H32)</f>
        <v>57310</v>
      </c>
      <c r="I33" s="148"/>
    </row>
    <row r="34" spans="2:8" s="7" customFormat="1" ht="15">
      <c r="B34" s="17"/>
      <c r="C34" s="23"/>
      <c r="D34" s="19"/>
      <c r="E34" s="19"/>
      <c r="F34" s="20"/>
      <c r="G34" s="19"/>
      <c r="H34" s="19"/>
    </row>
    <row r="35" spans="2:8" s="7" customFormat="1" ht="15">
      <c r="B35" s="29" t="s">
        <v>0</v>
      </c>
      <c r="C35" s="30"/>
      <c r="D35" s="31">
        <f>G35--10047</f>
        <v>-5195</v>
      </c>
      <c r="E35" s="31">
        <v>-5670</v>
      </c>
      <c r="F35" s="32"/>
      <c r="G35" s="31">
        <v>-15242</v>
      </c>
      <c r="H35" s="31">
        <v>-18095</v>
      </c>
    </row>
    <row r="36" spans="2:8" s="7" customFormat="1" ht="15">
      <c r="B36" s="29"/>
      <c r="C36" s="30"/>
      <c r="D36" s="33"/>
      <c r="E36" s="33"/>
      <c r="F36" s="34"/>
      <c r="G36" s="33"/>
      <c r="H36" s="33"/>
    </row>
    <row r="37" spans="2:8" s="7" customFormat="1" ht="15">
      <c r="B37" s="29" t="s">
        <v>14</v>
      </c>
      <c r="C37" s="35"/>
      <c r="D37" s="36">
        <f>SUM(D33:D35)</f>
        <v>8649</v>
      </c>
      <c r="E37" s="36">
        <f>SUM(E33:E35)</f>
        <v>8595</v>
      </c>
      <c r="F37" s="22"/>
      <c r="G37" s="36">
        <f>SUM(G33:G35)</f>
        <v>39261</v>
      </c>
      <c r="H37" s="36">
        <f>SUM(H33:H35)</f>
        <v>39215</v>
      </c>
    </row>
    <row r="38" spans="2:8" s="7" customFormat="1" ht="15">
      <c r="B38" s="29"/>
      <c r="C38" s="35"/>
      <c r="D38" s="36"/>
      <c r="E38" s="36"/>
      <c r="F38" s="22"/>
      <c r="G38" s="36"/>
      <c r="H38" s="36"/>
    </row>
    <row r="39" spans="2:8" s="7" customFormat="1" ht="15">
      <c r="B39" s="29" t="s">
        <v>10</v>
      </c>
      <c r="C39" s="30"/>
      <c r="D39" s="31">
        <f>G39--537</f>
        <v>1336</v>
      </c>
      <c r="E39" s="31">
        <v>276</v>
      </c>
      <c r="F39" s="32"/>
      <c r="G39" s="31">
        <v>799</v>
      </c>
      <c r="H39" s="31">
        <v>-491</v>
      </c>
    </row>
    <row r="40" spans="2:8" s="7" customFormat="1" ht="15">
      <c r="B40" s="29"/>
      <c r="C40" s="30"/>
      <c r="D40" s="31"/>
      <c r="E40" s="31"/>
      <c r="F40" s="34"/>
      <c r="G40" s="31"/>
      <c r="H40" s="31"/>
    </row>
    <row r="41" spans="2:8" s="7" customFormat="1" ht="36.75" customHeight="1" thickBot="1">
      <c r="B41" s="37" t="s">
        <v>75</v>
      </c>
      <c r="C41" s="38"/>
      <c r="D41" s="39">
        <f>SUM(D37:D39)</f>
        <v>9985</v>
      </c>
      <c r="E41" s="39">
        <f>SUM(E37:E39)</f>
        <v>8871</v>
      </c>
      <c r="F41" s="40"/>
      <c r="G41" s="39">
        <f>SUM(G37:G39)</f>
        <v>40060</v>
      </c>
      <c r="H41" s="39">
        <f>SUM(H37:H39)</f>
        <v>38724</v>
      </c>
    </row>
    <row r="42" spans="2:8" ht="15">
      <c r="B42" s="41"/>
      <c r="C42" s="41"/>
      <c r="D42" s="42"/>
      <c r="E42" s="22"/>
      <c r="F42" s="22"/>
      <c r="G42" s="42"/>
      <c r="H42" s="42"/>
    </row>
    <row r="43" spans="2:8" ht="15">
      <c r="B43" s="43" t="s">
        <v>15</v>
      </c>
      <c r="C43" s="41"/>
      <c r="D43" s="42"/>
      <c r="E43" s="22"/>
      <c r="F43" s="22"/>
      <c r="G43" s="42"/>
      <c r="H43" s="42"/>
    </row>
    <row r="44" spans="2:8" ht="15">
      <c r="B44" s="44" t="s">
        <v>77</v>
      </c>
      <c r="C44" s="45"/>
      <c r="D44" s="114">
        <v>4.65</v>
      </c>
      <c r="E44" s="149">
        <v>4.11</v>
      </c>
      <c r="F44"/>
      <c r="G44" s="107">
        <v>18.58</v>
      </c>
      <c r="H44" s="149">
        <v>19.02</v>
      </c>
    </row>
    <row r="45" spans="2:8" ht="15">
      <c r="B45" s="44" t="s">
        <v>76</v>
      </c>
      <c r="C45" s="47"/>
      <c r="D45" s="114">
        <v>4.45</v>
      </c>
      <c r="E45" s="149">
        <v>4</v>
      </c>
      <c r="F45" s="47"/>
      <c r="G45" s="114">
        <v>17.86</v>
      </c>
      <c r="H45" s="149">
        <v>18.49</v>
      </c>
    </row>
    <row r="46" spans="2:8" ht="15">
      <c r="B46" s="46"/>
      <c r="C46" s="11"/>
      <c r="D46" s="6"/>
      <c r="E46" s="11"/>
      <c r="F46" s="11"/>
      <c r="G46" s="6"/>
      <c r="H46" s="11"/>
    </row>
    <row r="47" spans="2:8" ht="15">
      <c r="B47" s="30"/>
      <c r="C47" s="11"/>
      <c r="D47" s="175"/>
      <c r="E47" s="176"/>
      <c r="F47" s="176"/>
      <c r="G47" s="176"/>
      <c r="H47" s="176"/>
    </row>
    <row r="48" spans="2:8" ht="15">
      <c r="B48" s="46"/>
      <c r="C48" s="11"/>
      <c r="D48" s="6"/>
      <c r="E48" s="11"/>
      <c r="F48" s="11"/>
      <c r="G48" s="12"/>
      <c r="H48" s="11"/>
    </row>
    <row r="49" spans="2:8" ht="29.25" customHeight="1">
      <c r="B49" s="169" t="s">
        <v>108</v>
      </c>
      <c r="C49" s="169"/>
      <c r="D49" s="169"/>
      <c r="E49" s="169"/>
      <c r="F49" s="169"/>
      <c r="G49" s="169"/>
      <c r="H49" s="169"/>
    </row>
  </sheetData>
  <mergeCells count="8">
    <mergeCell ref="B49:H49"/>
    <mergeCell ref="B1:H1"/>
    <mergeCell ref="B2:H2"/>
    <mergeCell ref="G9:H9"/>
    <mergeCell ref="D9:E9"/>
    <mergeCell ref="B3:H3"/>
    <mergeCell ref="B4:H4"/>
    <mergeCell ref="D47:H47"/>
  </mergeCells>
  <printOptions horizontalCentered="1"/>
  <pageMargins left="0.5" right="0.22" top="0.87" bottom="0.74" header="0.5" footer="0.5"/>
  <pageSetup fitToHeight="1" fitToWidth="1" horizontalDpi="600" verticalDpi="600" orientation="portrait" paperSize="9" scale="90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3"/>
  <sheetViews>
    <sheetView workbookViewId="0" topLeftCell="A57">
      <selection activeCell="F53" sqref="F53"/>
    </sheetView>
  </sheetViews>
  <sheetFormatPr defaultColWidth="9.140625" defaultRowHeight="12.75" outlineLevelRow="1"/>
  <cols>
    <col min="1" max="1" width="6.140625" style="0" customWidth="1"/>
    <col min="2" max="2" width="2.7109375" style="8" customWidth="1"/>
    <col min="3" max="3" width="50.8515625" style="8" customWidth="1"/>
    <col min="4" max="4" width="2.421875" style="8" customWidth="1"/>
    <col min="5" max="5" width="0.85546875" style="8" customWidth="1"/>
    <col min="6" max="6" width="13.00390625" style="22" customWidth="1"/>
    <col min="7" max="7" width="0.71875" style="9" customWidth="1"/>
    <col min="8" max="8" width="1.7109375" style="8" customWidth="1"/>
    <col min="9" max="9" width="0.71875" style="8" customWidth="1"/>
    <col min="10" max="10" width="12.57421875" style="9" customWidth="1"/>
    <col min="11" max="11" width="0.71875" style="1" customWidth="1"/>
    <col min="12" max="12" width="2.28125" style="1" customWidth="1"/>
    <col min="13" max="13" width="12.140625" style="22" bestFit="1" customWidth="1"/>
  </cols>
  <sheetData>
    <row r="1" spans="2:12" ht="24.75" customHeight="1"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2"/>
      <c r="L1" s="2"/>
    </row>
    <row r="2" spans="2:12" ht="15.75" customHeight="1">
      <c r="B2" s="50"/>
      <c r="C2" s="50"/>
      <c r="D2" s="50"/>
      <c r="E2" s="50"/>
      <c r="F2" s="151"/>
      <c r="G2" s="50"/>
      <c r="H2" s="50"/>
      <c r="I2" s="50"/>
      <c r="J2" s="161"/>
      <c r="K2" s="2"/>
      <c r="L2" s="2"/>
    </row>
    <row r="3" spans="2:13" s="48" customFormat="1" ht="15">
      <c r="B3" s="3" t="s">
        <v>140</v>
      </c>
      <c r="C3" s="3"/>
      <c r="D3" s="3"/>
      <c r="E3" s="3"/>
      <c r="F3" s="22"/>
      <c r="G3" s="51"/>
      <c r="H3" s="3"/>
      <c r="I3" s="3"/>
      <c r="J3" s="51"/>
      <c r="K3" s="3"/>
      <c r="L3" s="3"/>
      <c r="M3" s="22"/>
    </row>
    <row r="4" spans="2:13" s="48" customFormat="1" ht="15">
      <c r="B4" s="3"/>
      <c r="C4" s="3"/>
      <c r="D4" s="3"/>
      <c r="E4" s="3"/>
      <c r="F4" s="22"/>
      <c r="G4" s="51"/>
      <c r="H4" s="3"/>
      <c r="I4" s="3"/>
      <c r="J4" s="51"/>
      <c r="K4" s="3"/>
      <c r="L4" s="3"/>
      <c r="M4" s="22"/>
    </row>
    <row r="5" spans="2:13" s="48" customFormat="1" ht="15">
      <c r="B5" s="16"/>
      <c r="C5" s="16"/>
      <c r="D5" s="16"/>
      <c r="E5" s="16"/>
      <c r="F5" s="52" t="s">
        <v>33</v>
      </c>
      <c r="G5" s="52"/>
      <c r="H5" s="16"/>
      <c r="I5" s="16"/>
      <c r="J5" s="52" t="s">
        <v>33</v>
      </c>
      <c r="K5" s="52"/>
      <c r="L5" s="16"/>
      <c r="M5" s="22"/>
    </row>
    <row r="6" spans="2:13" s="48" customFormat="1" ht="15">
      <c r="B6" s="16"/>
      <c r="C6" s="16"/>
      <c r="D6" s="16"/>
      <c r="E6" s="16"/>
      <c r="F6" s="98" t="s">
        <v>139</v>
      </c>
      <c r="G6" s="52"/>
      <c r="H6" s="16"/>
      <c r="I6" s="16"/>
      <c r="J6" s="152" t="s">
        <v>102</v>
      </c>
      <c r="K6" s="52"/>
      <c r="L6" s="16"/>
      <c r="M6" s="22"/>
    </row>
    <row r="7" spans="2:13" s="48" customFormat="1" ht="15">
      <c r="B7" s="16"/>
      <c r="C7" s="16"/>
      <c r="D7" s="16"/>
      <c r="E7" s="16"/>
      <c r="F7" s="52" t="s">
        <v>34</v>
      </c>
      <c r="G7" s="52"/>
      <c r="H7" s="16"/>
      <c r="I7" s="16"/>
      <c r="J7" s="52" t="s">
        <v>35</v>
      </c>
      <c r="K7" s="52"/>
      <c r="L7" s="16"/>
      <c r="M7" s="22"/>
    </row>
    <row r="8" spans="2:13" s="48" customFormat="1" ht="15">
      <c r="B8" s="11"/>
      <c r="C8" s="11"/>
      <c r="D8" s="11"/>
      <c r="E8" s="11"/>
      <c r="F8" s="52" t="s">
        <v>1</v>
      </c>
      <c r="G8" s="53"/>
      <c r="H8" s="11"/>
      <c r="I8" s="11"/>
      <c r="J8" s="52" t="s">
        <v>1</v>
      </c>
      <c r="K8" s="53"/>
      <c r="L8" s="11"/>
      <c r="M8" s="22"/>
    </row>
    <row r="9" spans="2:13" s="48" customFormat="1" ht="15" hidden="1">
      <c r="B9" s="11"/>
      <c r="C9" s="11"/>
      <c r="D9" s="11"/>
      <c r="E9" s="11"/>
      <c r="F9" s="22"/>
      <c r="G9" s="22"/>
      <c r="H9" s="11"/>
      <c r="I9" s="11"/>
      <c r="J9" s="22"/>
      <c r="K9" s="22"/>
      <c r="L9" s="11"/>
      <c r="M9" s="22"/>
    </row>
    <row r="10" spans="2:13" s="48" customFormat="1" ht="15">
      <c r="B10" s="11" t="s">
        <v>36</v>
      </c>
      <c r="C10" s="11"/>
      <c r="D10" s="11"/>
      <c r="E10" s="11"/>
      <c r="F10" s="22">
        <v>11047.246188650794</v>
      </c>
      <c r="G10" s="22"/>
      <c r="H10" s="11"/>
      <c r="I10" s="11"/>
      <c r="J10" s="22">
        <v>11070.21495722222</v>
      </c>
      <c r="K10" s="22"/>
      <c r="L10" s="11"/>
      <c r="M10" s="22"/>
    </row>
    <row r="11" spans="2:13" s="48" customFormat="1" ht="15">
      <c r="B11" s="11" t="s">
        <v>37</v>
      </c>
      <c r="C11" s="11"/>
      <c r="D11" s="11"/>
      <c r="E11" s="11"/>
      <c r="F11" s="22">
        <v>90553.871</v>
      </c>
      <c r="G11" s="22"/>
      <c r="H11" s="11"/>
      <c r="I11" s="11"/>
      <c r="J11" s="22">
        <v>89289.758</v>
      </c>
      <c r="K11" s="22"/>
      <c r="L11" s="11"/>
      <c r="M11" s="22"/>
    </row>
    <row r="12" spans="2:13" s="48" customFormat="1" ht="15">
      <c r="B12" s="11" t="s">
        <v>38</v>
      </c>
      <c r="C12" s="11"/>
      <c r="D12" s="11"/>
      <c r="E12" s="11"/>
      <c r="F12" s="22">
        <v>17972.63883</v>
      </c>
      <c r="G12" s="22"/>
      <c r="H12" s="11"/>
      <c r="I12" s="11"/>
      <c r="J12" s="22">
        <v>32214.58266</v>
      </c>
      <c r="K12" s="22"/>
      <c r="L12" s="11"/>
      <c r="M12" s="22"/>
    </row>
    <row r="13" spans="2:13" s="48" customFormat="1" ht="15">
      <c r="B13" s="11" t="s">
        <v>39</v>
      </c>
      <c r="C13" s="11"/>
      <c r="D13" s="11"/>
      <c r="E13" s="11"/>
      <c r="F13" s="22">
        <v>6500</v>
      </c>
      <c r="G13" s="22"/>
      <c r="H13" s="11"/>
      <c r="I13" s="11"/>
      <c r="J13" s="22">
        <v>4000</v>
      </c>
      <c r="K13" s="22"/>
      <c r="L13" s="11"/>
      <c r="M13" s="22"/>
    </row>
    <row r="14" spans="2:13" s="48" customFormat="1" ht="15">
      <c r="B14" s="11" t="s">
        <v>93</v>
      </c>
      <c r="C14" s="11"/>
      <c r="D14" s="11"/>
      <c r="E14" s="11"/>
      <c r="F14" s="22">
        <v>5476.662406666667</v>
      </c>
      <c r="G14" s="22"/>
      <c r="H14" s="11"/>
      <c r="I14" s="11"/>
      <c r="J14" s="22">
        <v>6038.218006666668</v>
      </c>
      <c r="K14" s="22"/>
      <c r="L14" s="11"/>
      <c r="M14" s="22"/>
    </row>
    <row r="15" spans="2:13" s="48" customFormat="1" ht="15">
      <c r="B15" s="11" t="s">
        <v>40</v>
      </c>
      <c r="C15" s="11"/>
      <c r="D15" s="11"/>
      <c r="E15" s="11"/>
      <c r="F15" s="22">
        <v>245037.484</v>
      </c>
      <c r="G15" s="22"/>
      <c r="H15" s="11"/>
      <c r="I15" s="11"/>
      <c r="J15" s="22">
        <v>150444</v>
      </c>
      <c r="K15" s="22"/>
      <c r="L15" s="11"/>
      <c r="M15" s="22"/>
    </row>
    <row r="16" spans="2:13" s="48" customFormat="1" ht="15">
      <c r="B16" s="11" t="s">
        <v>103</v>
      </c>
      <c r="C16" s="11"/>
      <c r="D16" s="11"/>
      <c r="E16" s="11"/>
      <c r="F16" s="22">
        <v>2135.5</v>
      </c>
      <c r="G16" s="22"/>
      <c r="H16" s="11"/>
      <c r="I16" s="11"/>
      <c r="J16" s="22">
        <v>1823.15</v>
      </c>
      <c r="K16" s="22"/>
      <c r="L16" s="11"/>
      <c r="M16" s="22"/>
    </row>
    <row r="17" spans="2:13" s="48" customFormat="1" ht="15">
      <c r="B17" s="11"/>
      <c r="C17" s="11"/>
      <c r="D17" s="11"/>
      <c r="E17" s="11"/>
      <c r="F17" s="22"/>
      <c r="G17" s="22"/>
      <c r="H17" s="11"/>
      <c r="I17" s="11"/>
      <c r="J17" s="22"/>
      <c r="K17" s="22"/>
      <c r="L17" s="11"/>
      <c r="M17" s="22"/>
    </row>
    <row r="18" spans="2:13" s="48" customFormat="1" ht="15">
      <c r="B18" s="11" t="s">
        <v>41</v>
      </c>
      <c r="C18" s="11"/>
      <c r="D18" s="11"/>
      <c r="E18" s="54"/>
      <c r="F18" s="153"/>
      <c r="G18" s="55"/>
      <c r="H18" s="11"/>
      <c r="I18" s="54"/>
      <c r="J18" s="153"/>
      <c r="K18" s="55"/>
      <c r="L18" s="11"/>
      <c r="M18" s="22"/>
    </row>
    <row r="19" spans="2:13" s="48" customFormat="1" ht="15">
      <c r="B19" s="11"/>
      <c r="C19" s="11" t="s">
        <v>11</v>
      </c>
      <c r="D19" s="11"/>
      <c r="E19" s="56"/>
      <c r="F19" s="20">
        <v>8844.681</v>
      </c>
      <c r="G19" s="57"/>
      <c r="H19" s="11"/>
      <c r="I19" s="56"/>
      <c r="J19" s="20">
        <v>8649.039</v>
      </c>
      <c r="K19" s="57"/>
      <c r="L19" s="11"/>
      <c r="M19" s="22"/>
    </row>
    <row r="20" spans="2:13" s="48" customFormat="1" ht="15">
      <c r="B20" s="11"/>
      <c r="C20" s="11" t="s">
        <v>42</v>
      </c>
      <c r="D20" s="11"/>
      <c r="E20" s="56"/>
      <c r="F20" s="20">
        <v>91571.73898301792</v>
      </c>
      <c r="G20" s="57"/>
      <c r="H20" s="11"/>
      <c r="I20" s="56"/>
      <c r="J20" s="20">
        <v>40333</v>
      </c>
      <c r="K20" s="57"/>
      <c r="L20" s="11"/>
      <c r="M20" s="22"/>
    </row>
    <row r="21" spans="2:13" s="48" customFormat="1" ht="15">
      <c r="B21" s="11"/>
      <c r="C21" s="11" t="s">
        <v>43</v>
      </c>
      <c r="D21" s="11"/>
      <c r="E21" s="56"/>
      <c r="F21" s="20">
        <v>2862.8951400000005</v>
      </c>
      <c r="G21" s="57"/>
      <c r="H21" s="11"/>
      <c r="I21" s="56"/>
      <c r="J21" s="20">
        <v>1042.953</v>
      </c>
      <c r="K21" s="57"/>
      <c r="L21" s="11"/>
      <c r="M21" s="22"/>
    </row>
    <row r="22" spans="2:13" s="48" customFormat="1" ht="15">
      <c r="B22" s="11"/>
      <c r="C22" s="11" t="s">
        <v>44</v>
      </c>
      <c r="D22" s="11"/>
      <c r="E22" s="56"/>
      <c r="F22" s="20">
        <v>34403.947</v>
      </c>
      <c r="G22" s="57"/>
      <c r="H22" s="11"/>
      <c r="I22" s="56"/>
      <c r="J22" s="20">
        <v>28276.848</v>
      </c>
      <c r="K22" s="57"/>
      <c r="L22" s="11"/>
      <c r="M22" s="22"/>
    </row>
    <row r="23" spans="2:13" s="48" customFormat="1" ht="15">
      <c r="B23" s="11"/>
      <c r="C23" s="11" t="s">
        <v>156</v>
      </c>
      <c r="D23" s="11"/>
      <c r="E23" s="56"/>
      <c r="F23" s="20">
        <v>15519.591</v>
      </c>
      <c r="G23" s="57"/>
      <c r="H23" s="11"/>
      <c r="I23" s="56"/>
      <c r="J23" s="20">
        <v>43184</v>
      </c>
      <c r="K23" s="57"/>
      <c r="L23" s="11"/>
      <c r="M23" s="22"/>
    </row>
    <row r="24" spans="2:13" s="48" customFormat="1" ht="15">
      <c r="B24" s="11"/>
      <c r="C24" s="11" t="s">
        <v>45</v>
      </c>
      <c r="D24" s="11"/>
      <c r="E24" s="56"/>
      <c r="F24" s="95">
        <v>42237.771</v>
      </c>
      <c r="G24" s="57"/>
      <c r="H24" s="11"/>
      <c r="I24" s="56"/>
      <c r="J24" s="95">
        <f>29064.228+10321+5435</f>
        <v>44820.228</v>
      </c>
      <c r="K24" s="57"/>
      <c r="L24" s="11"/>
      <c r="M24" s="22"/>
    </row>
    <row r="25" spans="2:13" s="48" customFormat="1" ht="15">
      <c r="B25" s="11"/>
      <c r="C25" s="11" t="s">
        <v>46</v>
      </c>
      <c r="D25" s="11"/>
      <c r="E25" s="56"/>
      <c r="F25" s="20">
        <v>1045.919</v>
      </c>
      <c r="G25" s="57"/>
      <c r="H25" s="11"/>
      <c r="I25" s="56"/>
      <c r="J25" s="20">
        <v>4315.362</v>
      </c>
      <c r="K25" s="57"/>
      <c r="L25" s="11"/>
      <c r="M25" s="22"/>
    </row>
    <row r="26" spans="2:13" s="48" customFormat="1" ht="15">
      <c r="B26" s="11"/>
      <c r="C26" s="11" t="s">
        <v>47</v>
      </c>
      <c r="D26" s="11"/>
      <c r="E26" s="56"/>
      <c r="F26" s="20">
        <f>8606.423-5108</f>
        <v>3498.4230000000007</v>
      </c>
      <c r="G26" s="57"/>
      <c r="H26" s="11"/>
      <c r="I26" s="56"/>
      <c r="J26" s="20">
        <v>2106.218</v>
      </c>
      <c r="K26" s="57"/>
      <c r="L26" s="11"/>
      <c r="M26" s="22"/>
    </row>
    <row r="27" spans="2:13" s="48" customFormat="1" ht="15">
      <c r="B27" s="11"/>
      <c r="C27" s="11" t="s">
        <v>48</v>
      </c>
      <c r="D27" s="11"/>
      <c r="E27" s="56"/>
      <c r="F27" s="20">
        <v>32918.647</v>
      </c>
      <c r="G27" s="57"/>
      <c r="H27" s="11"/>
      <c r="I27" s="56"/>
      <c r="J27" s="20">
        <v>57117.617</v>
      </c>
      <c r="K27" s="57"/>
      <c r="L27" s="11"/>
      <c r="M27" s="22"/>
    </row>
    <row r="28" spans="2:13" s="48" customFormat="1" ht="15">
      <c r="B28" s="11"/>
      <c r="C28" s="11" t="s">
        <v>6</v>
      </c>
      <c r="D28" s="11"/>
      <c r="E28" s="56"/>
      <c r="F28" s="20">
        <v>78546.899</v>
      </c>
      <c r="G28" s="57"/>
      <c r="H28" s="11"/>
      <c r="I28" s="56"/>
      <c r="J28" s="20">
        <v>73917.574</v>
      </c>
      <c r="K28" s="57"/>
      <c r="L28" s="11"/>
      <c r="M28" s="22"/>
    </row>
    <row r="29" spans="2:13" s="48" customFormat="1" ht="15">
      <c r="B29" s="11"/>
      <c r="C29" s="11"/>
      <c r="D29" s="11"/>
      <c r="E29" s="56"/>
      <c r="F29" s="154">
        <f>SUM(F19:F28)</f>
        <v>311450.5121230179</v>
      </c>
      <c r="G29" s="57"/>
      <c r="H29" s="11"/>
      <c r="I29" s="56"/>
      <c r="J29" s="154">
        <f>SUM(J19:J28)</f>
        <v>303762.83900000004</v>
      </c>
      <c r="K29" s="57"/>
      <c r="L29" s="11"/>
      <c r="M29" s="22"/>
    </row>
    <row r="30" spans="2:13" s="48" customFormat="1" ht="15">
      <c r="B30" s="11"/>
      <c r="C30" s="11"/>
      <c r="D30" s="11"/>
      <c r="E30" s="56"/>
      <c r="F30" s="20"/>
      <c r="G30" s="57"/>
      <c r="H30" s="11"/>
      <c r="I30" s="56"/>
      <c r="J30" s="20"/>
      <c r="K30" s="57"/>
      <c r="L30" s="11"/>
      <c r="M30" s="22"/>
    </row>
    <row r="31" spans="2:13" s="48" customFormat="1" ht="15">
      <c r="B31" s="11" t="s">
        <v>49</v>
      </c>
      <c r="C31" s="11"/>
      <c r="D31" s="11"/>
      <c r="E31" s="56"/>
      <c r="F31" s="20"/>
      <c r="G31" s="57"/>
      <c r="H31" s="11"/>
      <c r="I31" s="56"/>
      <c r="J31" s="20"/>
      <c r="K31" s="57"/>
      <c r="L31" s="11"/>
      <c r="M31" s="22"/>
    </row>
    <row r="32" spans="2:13" s="48" customFormat="1" ht="15">
      <c r="B32" s="11"/>
      <c r="C32" s="11" t="s">
        <v>50</v>
      </c>
      <c r="D32" s="11"/>
      <c r="E32" s="56"/>
      <c r="F32" s="20">
        <v>1930.8181400000005</v>
      </c>
      <c r="G32" s="57"/>
      <c r="H32" s="11"/>
      <c r="I32" s="56"/>
      <c r="J32" s="20">
        <v>1004.623030000031</v>
      </c>
      <c r="K32" s="57"/>
      <c r="L32" s="11"/>
      <c r="M32" s="22"/>
    </row>
    <row r="33" spans="2:13" s="48" customFormat="1" ht="15">
      <c r="B33" s="11"/>
      <c r="C33" s="11" t="s">
        <v>51</v>
      </c>
      <c r="D33" s="11"/>
      <c r="E33" s="56"/>
      <c r="F33" s="20">
        <v>38232.823</v>
      </c>
      <c r="G33" s="57"/>
      <c r="H33" s="11"/>
      <c r="I33" s="56"/>
      <c r="J33" s="20">
        <v>35752.22</v>
      </c>
      <c r="K33" s="57"/>
      <c r="L33" s="11"/>
      <c r="M33" s="22"/>
    </row>
    <row r="34" spans="2:13" s="48" customFormat="1" ht="15">
      <c r="B34" s="11"/>
      <c r="C34" s="11" t="s">
        <v>157</v>
      </c>
      <c r="D34" s="11"/>
      <c r="E34" s="56"/>
      <c r="F34" s="20">
        <v>25521.923</v>
      </c>
      <c r="G34" s="57"/>
      <c r="H34" s="11"/>
      <c r="I34" s="56"/>
      <c r="J34" s="20">
        <v>16744</v>
      </c>
      <c r="K34" s="57"/>
      <c r="L34" s="11"/>
      <c r="M34" s="22"/>
    </row>
    <row r="35" spans="2:13" s="48" customFormat="1" ht="15">
      <c r="B35" s="11"/>
      <c r="C35" s="11" t="s">
        <v>52</v>
      </c>
      <c r="D35" s="11"/>
      <c r="E35" s="56"/>
      <c r="F35" s="155">
        <v>30294.356</v>
      </c>
      <c r="G35" s="57"/>
      <c r="H35" s="11"/>
      <c r="I35" s="56"/>
      <c r="J35" s="155">
        <f>14183.96938+8624</f>
        <v>22807.969380000002</v>
      </c>
      <c r="K35" s="57"/>
      <c r="L35" s="11"/>
      <c r="M35" s="22"/>
    </row>
    <row r="36" spans="2:13" s="48" customFormat="1" ht="15">
      <c r="B36" s="11"/>
      <c r="C36" s="11" t="s">
        <v>53</v>
      </c>
      <c r="D36" s="11"/>
      <c r="E36" s="56"/>
      <c r="F36" s="95">
        <v>1452.802</v>
      </c>
      <c r="G36" s="57"/>
      <c r="H36" s="11"/>
      <c r="I36" s="56"/>
      <c r="J36" s="95">
        <v>1209.29</v>
      </c>
      <c r="K36" s="57"/>
      <c r="L36" s="11"/>
      <c r="M36" s="22"/>
    </row>
    <row r="37" spans="2:13" s="48" customFormat="1" ht="15">
      <c r="B37" s="11"/>
      <c r="C37" s="11" t="s">
        <v>54</v>
      </c>
      <c r="D37" s="11"/>
      <c r="E37" s="56"/>
      <c r="F37" s="95">
        <v>11184.002</v>
      </c>
      <c r="G37" s="57"/>
      <c r="H37" s="11"/>
      <c r="I37" s="56"/>
      <c r="J37" s="95">
        <f>52.729+1750-53</f>
        <v>1749.729</v>
      </c>
      <c r="K37" s="57"/>
      <c r="L37" s="11"/>
      <c r="M37" s="22"/>
    </row>
    <row r="38" spans="2:13" s="48" customFormat="1" ht="15">
      <c r="B38" s="11"/>
      <c r="C38" s="11" t="s">
        <v>95</v>
      </c>
      <c r="D38" s="11"/>
      <c r="E38" s="56"/>
      <c r="F38" s="95">
        <v>20000</v>
      </c>
      <c r="G38" s="57"/>
      <c r="H38" s="11"/>
      <c r="I38" s="56"/>
      <c r="J38" s="95">
        <v>30000</v>
      </c>
      <c r="K38" s="57"/>
      <c r="L38" s="11"/>
      <c r="M38" s="22"/>
    </row>
    <row r="39" spans="2:13" s="48" customFormat="1" ht="15">
      <c r="B39" s="11"/>
      <c r="C39" s="11" t="s">
        <v>55</v>
      </c>
      <c r="D39" s="11"/>
      <c r="E39" s="56"/>
      <c r="F39" s="20">
        <f>10656.24-5108</f>
        <v>5548.24</v>
      </c>
      <c r="G39" s="57"/>
      <c r="H39" s="11"/>
      <c r="I39" s="56"/>
      <c r="J39" s="20">
        <f>4690.099-774</f>
        <v>3916.099</v>
      </c>
      <c r="K39" s="57"/>
      <c r="L39" s="11"/>
      <c r="M39" s="22"/>
    </row>
    <row r="40" spans="2:13" s="48" customFormat="1" ht="15">
      <c r="B40" s="11"/>
      <c r="C40" s="11" t="s">
        <v>80</v>
      </c>
      <c r="D40" s="11"/>
      <c r="E40" s="56"/>
      <c r="F40" s="20">
        <v>6185.04336</v>
      </c>
      <c r="G40" s="57"/>
      <c r="H40" s="11"/>
      <c r="I40" s="56"/>
      <c r="J40" s="20">
        <v>0</v>
      </c>
      <c r="K40" s="57"/>
      <c r="L40" s="11"/>
      <c r="M40" s="22"/>
    </row>
    <row r="41" spans="2:13" s="48" customFormat="1" ht="15">
      <c r="B41" s="11"/>
      <c r="C41" s="11"/>
      <c r="D41" s="11"/>
      <c r="E41" s="56"/>
      <c r="F41" s="154">
        <f>SUM(F32:F40)</f>
        <v>140350.0075</v>
      </c>
      <c r="G41" s="57"/>
      <c r="H41" s="11"/>
      <c r="I41" s="56"/>
      <c r="J41" s="154">
        <f>SUM(J32:J40)</f>
        <v>113183.93041000004</v>
      </c>
      <c r="K41" s="57"/>
      <c r="L41" s="11"/>
      <c r="M41" s="22"/>
    </row>
    <row r="42" spans="2:13" s="48" customFormat="1" ht="15">
      <c r="B42" s="11"/>
      <c r="C42" s="11"/>
      <c r="D42" s="11"/>
      <c r="E42" s="58"/>
      <c r="F42" s="156"/>
      <c r="G42" s="59"/>
      <c r="H42" s="11"/>
      <c r="I42" s="58"/>
      <c r="J42" s="156"/>
      <c r="K42" s="59"/>
      <c r="L42" s="11"/>
      <c r="M42" s="22"/>
    </row>
    <row r="43" spans="2:13" s="48" customFormat="1" ht="15">
      <c r="B43" s="11"/>
      <c r="C43" s="11"/>
      <c r="D43" s="11"/>
      <c r="E43" s="13"/>
      <c r="F43" s="20"/>
      <c r="G43" s="20"/>
      <c r="H43" s="11"/>
      <c r="I43" s="13"/>
      <c r="J43" s="20"/>
      <c r="K43" s="20"/>
      <c r="L43" s="11"/>
      <c r="M43" s="22"/>
    </row>
    <row r="44" spans="2:13" s="48" customFormat="1" ht="15">
      <c r="B44" s="11" t="s">
        <v>56</v>
      </c>
      <c r="C44" s="11"/>
      <c r="D44" s="11"/>
      <c r="E44" s="11"/>
      <c r="F44" s="22">
        <f>F29-F41</f>
        <v>171100.5046230179</v>
      </c>
      <c r="G44" s="22"/>
      <c r="H44" s="11"/>
      <c r="I44" s="11"/>
      <c r="J44" s="22">
        <f>J29-J41</f>
        <v>190578.90859</v>
      </c>
      <c r="K44" s="22"/>
      <c r="L44" s="11"/>
      <c r="M44" s="22"/>
    </row>
    <row r="45" spans="2:13" s="48" customFormat="1" ht="15">
      <c r="B45" s="11"/>
      <c r="C45" s="11"/>
      <c r="D45" s="11"/>
      <c r="E45" s="11"/>
      <c r="F45" s="22"/>
      <c r="G45" s="22"/>
      <c r="H45" s="11"/>
      <c r="I45" s="11"/>
      <c r="J45" s="22"/>
      <c r="K45" s="22"/>
      <c r="L45" s="11"/>
      <c r="M45" s="22"/>
    </row>
    <row r="46" spans="2:13" s="48" customFormat="1" ht="15.75" thickBot="1">
      <c r="B46" s="11"/>
      <c r="C46" s="11"/>
      <c r="D46" s="11"/>
      <c r="E46" s="11"/>
      <c r="F46" s="157">
        <f>SUM(F10:F16)+F44</f>
        <v>549823.9070483353</v>
      </c>
      <c r="G46" s="22"/>
      <c r="H46" s="11"/>
      <c r="I46" s="11"/>
      <c r="J46" s="157">
        <f>SUM(J10:J16)+J44</f>
        <v>485458.8322138889</v>
      </c>
      <c r="K46" s="22"/>
      <c r="L46" s="11"/>
      <c r="M46" s="22"/>
    </row>
    <row r="47" spans="2:13" s="48" customFormat="1" ht="15.75" hidden="1" thickTop="1">
      <c r="B47" s="11"/>
      <c r="C47" s="11"/>
      <c r="D47" s="11"/>
      <c r="E47" s="11"/>
      <c r="F47" s="20"/>
      <c r="G47" s="22"/>
      <c r="H47" s="11"/>
      <c r="I47" s="11"/>
      <c r="J47" s="20"/>
      <c r="K47" s="22"/>
      <c r="L47" s="11"/>
      <c r="M47" s="22"/>
    </row>
    <row r="48" spans="2:13" s="48" customFormat="1" ht="15" hidden="1">
      <c r="B48" s="11"/>
      <c r="C48" s="11"/>
      <c r="D48" s="11"/>
      <c r="E48" s="11"/>
      <c r="F48" s="22"/>
      <c r="G48" s="22"/>
      <c r="H48" s="11"/>
      <c r="I48" s="11"/>
      <c r="J48" s="22"/>
      <c r="K48" s="22"/>
      <c r="L48" s="11"/>
      <c r="M48" s="22"/>
    </row>
    <row r="49" spans="2:13" s="48" customFormat="1" ht="15.75" thickTop="1">
      <c r="B49" s="11" t="s">
        <v>79</v>
      </c>
      <c r="C49" s="11"/>
      <c r="D49" s="11"/>
      <c r="E49" s="11"/>
      <c r="F49" s="22"/>
      <c r="G49" s="22"/>
      <c r="H49" s="11"/>
      <c r="I49" s="11"/>
      <c r="J49" s="22"/>
      <c r="K49" s="22"/>
      <c r="L49" s="11"/>
      <c r="M49" s="22"/>
    </row>
    <row r="50" spans="2:13" s="48" customFormat="1" ht="15">
      <c r="B50" s="11" t="s">
        <v>58</v>
      </c>
      <c r="C50" s="11"/>
      <c r="D50" s="11"/>
      <c r="E50" s="11"/>
      <c r="F50" s="20">
        <v>216887.25</v>
      </c>
      <c r="G50" s="22"/>
      <c r="H50" s="11"/>
      <c r="I50" s="11"/>
      <c r="J50" s="20">
        <v>216624.75</v>
      </c>
      <c r="K50" s="22"/>
      <c r="L50" s="11"/>
      <c r="M50" s="22"/>
    </row>
    <row r="51" spans="2:13" s="48" customFormat="1" ht="15" hidden="1" outlineLevel="1">
      <c r="B51" s="11" t="s">
        <v>129</v>
      </c>
      <c r="C51" s="11"/>
      <c r="D51" s="11"/>
      <c r="E51" s="11"/>
      <c r="F51" s="20"/>
      <c r="G51" s="22"/>
      <c r="H51" s="11"/>
      <c r="I51" s="11"/>
      <c r="J51" s="20"/>
      <c r="K51" s="22"/>
      <c r="L51" s="11"/>
      <c r="M51" s="22"/>
    </row>
    <row r="52" spans="2:13" s="48" customFormat="1" ht="15" hidden="1" outlineLevel="1">
      <c r="B52" s="11"/>
      <c r="C52" s="11" t="s">
        <v>128</v>
      </c>
      <c r="D52" s="11"/>
      <c r="E52" s="11"/>
      <c r="F52" s="158">
        <v>29038.288</v>
      </c>
      <c r="G52" s="22"/>
      <c r="H52" s="11"/>
      <c r="I52" s="11"/>
      <c r="J52" s="158">
        <v>28871</v>
      </c>
      <c r="K52" s="22"/>
      <c r="L52" s="11"/>
      <c r="M52" s="22"/>
    </row>
    <row r="53" spans="2:13" s="48" customFormat="1" ht="15" hidden="1" outlineLevel="1">
      <c r="B53" s="11"/>
      <c r="C53" s="11" t="s">
        <v>130</v>
      </c>
      <c r="D53" s="11"/>
      <c r="E53" s="11"/>
      <c r="F53" s="159">
        <f>7929.847+76.43</f>
        <v>8006.277</v>
      </c>
      <c r="G53" s="22"/>
      <c r="H53" s="11"/>
      <c r="I53" s="11"/>
      <c r="J53" s="159">
        <v>5566</v>
      </c>
      <c r="K53" s="22"/>
      <c r="L53" s="11"/>
      <c r="M53" s="22"/>
    </row>
    <row r="54" spans="2:13" s="48" customFormat="1" ht="15" hidden="1" outlineLevel="1">
      <c r="B54" s="11"/>
      <c r="C54" s="11" t="s">
        <v>131</v>
      </c>
      <c r="D54" s="11"/>
      <c r="E54" s="11"/>
      <c r="F54" s="159">
        <v>9151.17466</v>
      </c>
      <c r="G54" s="22"/>
      <c r="H54" s="11"/>
      <c r="I54" s="11"/>
      <c r="J54" s="159">
        <v>5334</v>
      </c>
      <c r="K54" s="22"/>
      <c r="L54" s="11"/>
      <c r="M54" s="22"/>
    </row>
    <row r="55" spans="2:13" s="48" customFormat="1" ht="15" hidden="1" outlineLevel="1">
      <c r="B55" s="11"/>
      <c r="C55" s="11" t="s">
        <v>132</v>
      </c>
      <c r="D55" s="11"/>
      <c r="E55" s="11"/>
      <c r="F55" s="160">
        <v>102145.01055383538</v>
      </c>
      <c r="G55" s="22"/>
      <c r="H55" s="11"/>
      <c r="I55" s="11"/>
      <c r="J55" s="160">
        <v>76006</v>
      </c>
      <c r="K55" s="22"/>
      <c r="L55" s="11"/>
      <c r="M55" s="22"/>
    </row>
    <row r="56" spans="2:13" s="48" customFormat="1" ht="15" collapsed="1">
      <c r="B56" s="11" t="s">
        <v>78</v>
      </c>
      <c r="C56" s="11"/>
      <c r="D56" s="11"/>
      <c r="E56" s="11"/>
      <c r="F56" s="20">
        <f>SUM(F52:F55)</f>
        <v>148340.7502138354</v>
      </c>
      <c r="G56" s="22"/>
      <c r="H56" s="11"/>
      <c r="I56" s="11"/>
      <c r="J56" s="20">
        <f>115002.772992311+774</f>
        <v>115776.772992311</v>
      </c>
      <c r="K56" s="22"/>
      <c r="L56" s="11"/>
      <c r="M56" s="22"/>
    </row>
    <row r="57" spans="2:13" s="48" customFormat="1" ht="15">
      <c r="B57" s="11" t="s">
        <v>122</v>
      </c>
      <c r="C57" s="11"/>
      <c r="D57" s="11"/>
      <c r="E57" s="11"/>
      <c r="F57" s="156">
        <v>-4471.573</v>
      </c>
      <c r="G57" s="20"/>
      <c r="H57" s="13"/>
      <c r="I57" s="13"/>
      <c r="J57" s="156">
        <v>0</v>
      </c>
      <c r="K57" s="22"/>
      <c r="L57" s="11"/>
      <c r="M57" s="22"/>
    </row>
    <row r="58" spans="2:13" s="48" customFormat="1" ht="15">
      <c r="B58" s="11" t="s">
        <v>57</v>
      </c>
      <c r="C58" s="11"/>
      <c r="D58" s="11"/>
      <c r="E58" s="11"/>
      <c r="F58" s="22">
        <f>F50+F56+F57</f>
        <v>360756.4272138354</v>
      </c>
      <c r="G58" s="22"/>
      <c r="H58" s="11"/>
      <c r="I58" s="11"/>
      <c r="J58" s="22">
        <f>J50+J56+J57</f>
        <v>332401.522992311</v>
      </c>
      <c r="K58" s="22"/>
      <c r="L58" s="11"/>
      <c r="M58" s="22"/>
    </row>
    <row r="59" spans="2:13" s="48" customFormat="1" ht="8.25" customHeight="1">
      <c r="B59" s="11"/>
      <c r="C59" s="11"/>
      <c r="D59" s="11"/>
      <c r="E59" s="11"/>
      <c r="F59" s="22"/>
      <c r="G59" s="22"/>
      <c r="H59" s="11"/>
      <c r="I59" s="11"/>
      <c r="J59" s="64"/>
      <c r="K59" s="22"/>
      <c r="L59" s="11"/>
      <c r="M59" s="22"/>
    </row>
    <row r="60" spans="2:13" s="48" customFormat="1" ht="15">
      <c r="B60" s="11" t="s">
        <v>59</v>
      </c>
      <c r="C60" s="11"/>
      <c r="D60" s="11"/>
      <c r="E60" s="11"/>
      <c r="F60" s="20">
        <v>13221.0223945</v>
      </c>
      <c r="G60" s="22"/>
      <c r="H60" s="11"/>
      <c r="I60" s="11"/>
      <c r="J60" s="20">
        <v>14100.097338285714</v>
      </c>
      <c r="K60" s="22"/>
      <c r="L60" s="11"/>
      <c r="M60" s="22"/>
    </row>
    <row r="61" spans="2:13" s="48" customFormat="1" ht="9" customHeight="1">
      <c r="B61" s="11"/>
      <c r="C61" s="11"/>
      <c r="D61" s="11"/>
      <c r="E61" s="11"/>
      <c r="F61" s="20"/>
      <c r="G61" s="22"/>
      <c r="H61" s="11"/>
      <c r="I61" s="11"/>
      <c r="J61" s="20"/>
      <c r="K61" s="22"/>
      <c r="L61" s="11"/>
      <c r="M61" s="22"/>
    </row>
    <row r="62" spans="2:13" s="48" customFormat="1" ht="15">
      <c r="B62" s="11" t="s">
        <v>96</v>
      </c>
      <c r="C62" s="11"/>
      <c r="D62" s="11"/>
      <c r="E62" s="11"/>
      <c r="F62" s="20"/>
      <c r="G62" s="22"/>
      <c r="H62" s="11"/>
      <c r="I62" s="11"/>
      <c r="J62" s="20"/>
      <c r="K62" s="22"/>
      <c r="L62" s="11"/>
      <c r="M62" s="22"/>
    </row>
    <row r="63" spans="3:13" s="48" customFormat="1" ht="15">
      <c r="C63" s="11" t="s">
        <v>97</v>
      </c>
      <c r="D63" s="11"/>
      <c r="E63" s="11"/>
      <c r="F63" s="20">
        <v>2442.531</v>
      </c>
      <c r="G63" s="22"/>
      <c r="H63" s="11"/>
      <c r="I63" s="11"/>
      <c r="J63" s="20">
        <f>2999.91-0.4</f>
        <v>2999.5099999999998</v>
      </c>
      <c r="K63" s="22"/>
      <c r="L63" s="11"/>
      <c r="M63" s="22"/>
    </row>
    <row r="64" spans="3:13" s="48" customFormat="1" ht="15">
      <c r="C64" s="11" t="s">
        <v>98</v>
      </c>
      <c r="D64" s="11"/>
      <c r="E64" s="11"/>
      <c r="F64" s="20">
        <v>86876.144</v>
      </c>
      <c r="G64" s="22"/>
      <c r="H64" s="11"/>
      <c r="I64" s="11"/>
      <c r="J64" s="20">
        <v>29474.2</v>
      </c>
      <c r="K64" s="22"/>
      <c r="L64" s="11"/>
      <c r="M64" s="22"/>
    </row>
    <row r="65" spans="3:13" s="48" customFormat="1" ht="15">
      <c r="C65" s="11" t="s">
        <v>95</v>
      </c>
      <c r="D65" s="11"/>
      <c r="E65" s="11"/>
      <c r="F65" s="20">
        <v>85000</v>
      </c>
      <c r="G65" s="22"/>
      <c r="H65" s="11"/>
      <c r="I65" s="11"/>
      <c r="J65" s="20">
        <v>105000</v>
      </c>
      <c r="K65" s="22"/>
      <c r="L65" s="11"/>
      <c r="M65" s="22"/>
    </row>
    <row r="66" spans="3:13" s="48" customFormat="1" ht="15">
      <c r="C66" s="11" t="s">
        <v>99</v>
      </c>
      <c r="D66" s="11"/>
      <c r="E66" s="11"/>
      <c r="F66" s="20">
        <f>1604.212-76.43</f>
        <v>1527.782</v>
      </c>
      <c r="G66" s="22"/>
      <c r="H66" s="11"/>
      <c r="I66" s="11"/>
      <c r="J66" s="20">
        <v>1483.126</v>
      </c>
      <c r="K66" s="22"/>
      <c r="L66" s="11"/>
      <c r="M66" s="22"/>
    </row>
    <row r="67" spans="2:13" s="48" customFormat="1" ht="15">
      <c r="B67" s="11"/>
      <c r="C67" s="11"/>
      <c r="D67" s="11"/>
      <c r="E67" s="11"/>
      <c r="F67" s="22"/>
      <c r="G67" s="22"/>
      <c r="H67" s="11"/>
      <c r="I67" s="11"/>
      <c r="J67" s="22"/>
      <c r="K67" s="22"/>
      <c r="L67" s="11"/>
      <c r="M67" s="22"/>
    </row>
    <row r="68" spans="2:13" s="48" customFormat="1" ht="15.75" thickBot="1">
      <c r="B68" s="11"/>
      <c r="C68" s="11"/>
      <c r="D68" s="11"/>
      <c r="E68" s="11"/>
      <c r="F68" s="157">
        <f>SUM(F58:F66)</f>
        <v>549823.9066083354</v>
      </c>
      <c r="G68" s="22"/>
      <c r="H68" s="11"/>
      <c r="I68" s="11"/>
      <c r="J68" s="157">
        <f>SUM(J58:J66)+1</f>
        <v>485459.4563305967</v>
      </c>
      <c r="K68" s="22"/>
      <c r="L68" s="11"/>
      <c r="M68" s="22"/>
    </row>
    <row r="69" spans="2:13" s="48" customFormat="1" ht="15.75" thickTop="1">
      <c r="B69" s="11"/>
      <c r="C69" s="11"/>
      <c r="D69" s="11"/>
      <c r="E69" s="11"/>
      <c r="F69" s="22"/>
      <c r="G69" s="22"/>
      <c r="H69" s="11"/>
      <c r="I69" s="11"/>
      <c r="J69" s="22"/>
      <c r="K69" s="22"/>
      <c r="L69" s="11"/>
      <c r="M69" s="22"/>
    </row>
    <row r="70" spans="2:13" s="48" customFormat="1" ht="15.75" thickBot="1">
      <c r="B70" s="11" t="s">
        <v>60</v>
      </c>
      <c r="C70" s="11"/>
      <c r="D70" s="11"/>
      <c r="E70" s="11"/>
      <c r="F70" s="150">
        <f>(F58-F14-'Group Equity'!K29)/('Group Equity'!C29-2547.6)</f>
        <v>1.6148629920918354</v>
      </c>
      <c r="G70" s="22"/>
      <c r="H70" s="11"/>
      <c r="I70" s="11"/>
      <c r="J70" s="150">
        <f>(J58-J14)/(J50)</f>
        <v>1.5065836428461858</v>
      </c>
      <c r="K70"/>
      <c r="L70" s="11"/>
      <c r="M70" s="22"/>
    </row>
    <row r="71" spans="2:13" s="48" customFormat="1" ht="15.75" thickTop="1">
      <c r="B71" s="11"/>
      <c r="C71" s="11"/>
      <c r="D71" s="11"/>
      <c r="E71" s="11"/>
      <c r="F71" s="20"/>
      <c r="G71" s="22"/>
      <c r="H71" s="11"/>
      <c r="I71" s="11"/>
      <c r="J71" s="20"/>
      <c r="K71" s="11"/>
      <c r="L71" s="11"/>
      <c r="M71" s="22"/>
    </row>
    <row r="72" spans="2:13" s="48" customFormat="1" ht="15">
      <c r="B72" s="11"/>
      <c r="C72" s="109"/>
      <c r="D72" s="11"/>
      <c r="E72" s="11"/>
      <c r="F72" s="20"/>
      <c r="G72" s="22"/>
      <c r="H72" s="11"/>
      <c r="I72" s="11"/>
      <c r="J72" s="20"/>
      <c r="K72" s="11"/>
      <c r="L72" s="11"/>
      <c r="M72" s="22"/>
    </row>
    <row r="73" spans="2:13" s="48" customFormat="1" ht="30" customHeight="1">
      <c r="B73" s="169" t="s">
        <v>109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1"/>
      <c r="M73" s="22"/>
    </row>
  </sheetData>
  <mergeCells count="2">
    <mergeCell ref="B1:J1"/>
    <mergeCell ref="B73:K73"/>
  </mergeCells>
  <printOptions/>
  <pageMargins left="0.69" right="0.22" top="0.49" bottom="0.4" header="0.42" footer="0.21"/>
  <pageSetup firstPageNumber="2" useFirstPageNumber="1" fitToHeight="1" fitToWidth="1" horizontalDpi="600" verticalDpi="600" orientation="portrait" paperSize="9" scale="80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20">
      <selection activeCell="I35" sqref="I35"/>
    </sheetView>
  </sheetViews>
  <sheetFormatPr defaultColWidth="9.140625" defaultRowHeight="12.75"/>
  <cols>
    <col min="1" max="1" width="3.28125" style="60" customWidth="1"/>
    <col min="2" max="2" width="42.00390625" style="60" customWidth="1"/>
    <col min="3" max="3" width="10.28125" style="60" customWidth="1"/>
    <col min="4" max="4" width="0.5625" style="60" customWidth="1"/>
    <col min="5" max="5" width="9.8515625" style="10" customWidth="1"/>
    <col min="6" max="6" width="0.5625" style="60" customWidth="1"/>
    <col min="7" max="7" width="10.7109375" style="60" customWidth="1"/>
    <col min="8" max="8" width="1.1484375" style="60" customWidth="1"/>
    <col min="9" max="9" width="11.421875" style="61" bestFit="1" customWidth="1"/>
    <col min="10" max="10" width="0.5625" style="61" customWidth="1"/>
    <col min="11" max="11" width="11.7109375" style="61" bestFit="1" customWidth="1"/>
    <col min="12" max="12" width="0.5625" style="61" customWidth="1"/>
    <col min="13" max="13" width="11.57421875" style="60" bestFit="1" customWidth="1"/>
    <col min="14" max="14" width="0.85546875" style="60" customWidth="1"/>
    <col min="15" max="15" width="11.57421875" style="60" customWidth="1"/>
    <col min="16" max="16" width="0.9921875" style="60" hidden="1" customWidth="1"/>
  </cols>
  <sheetData>
    <row r="1" spans="1:16" ht="24.75" customHeight="1">
      <c r="A1" s="170" t="s">
        <v>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/>
    </row>
    <row r="2" spans="1:16" ht="21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/>
      <c r="O2"/>
      <c r="P2"/>
    </row>
    <row r="3" spans="1:13" s="48" customFormat="1" ht="14.25">
      <c r="A3" s="3" t="s">
        <v>73</v>
      </c>
      <c r="B3" s="3"/>
      <c r="C3" s="3"/>
      <c r="D3" s="3"/>
      <c r="E3" s="3"/>
      <c r="F3" s="51"/>
      <c r="G3" s="51"/>
      <c r="H3" s="51"/>
      <c r="I3" s="51"/>
      <c r="J3" s="51"/>
      <c r="K3" s="3"/>
      <c r="L3" s="3"/>
      <c r="M3" s="3"/>
    </row>
    <row r="4" spans="1:16" s="48" customFormat="1" ht="15">
      <c r="A4" s="62" t="s">
        <v>143</v>
      </c>
      <c r="B4" s="62"/>
      <c r="C4" s="73"/>
      <c r="D4" s="73"/>
      <c r="E4" s="1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48" customFormat="1" ht="15">
      <c r="A5" s="62"/>
      <c r="B5" s="62"/>
      <c r="C5" s="73"/>
      <c r="D5" s="73"/>
      <c r="E5" s="1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48" customFormat="1" ht="15" hidden="1">
      <c r="A6" s="73"/>
      <c r="B6" s="73"/>
      <c r="C6" s="73"/>
      <c r="D6" s="73"/>
      <c r="E6" s="1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48" customFormat="1" ht="15">
      <c r="A7" s="74"/>
      <c r="B7" s="74"/>
      <c r="C7" s="73"/>
      <c r="D7" s="73"/>
      <c r="E7" s="177" t="s">
        <v>101</v>
      </c>
      <c r="F7" s="177"/>
      <c r="G7" s="177"/>
      <c r="H7" s="177"/>
      <c r="I7" s="177"/>
      <c r="J7" s="177"/>
      <c r="K7" s="177"/>
      <c r="L7" s="75"/>
      <c r="M7" s="75" t="s">
        <v>62</v>
      </c>
      <c r="N7" s="75"/>
      <c r="O7" s="73"/>
      <c r="P7" s="73"/>
    </row>
    <row r="8" spans="1:16" s="48" customFormat="1" ht="15">
      <c r="A8" s="74"/>
      <c r="B8" s="74"/>
      <c r="C8" s="73"/>
      <c r="D8" s="73"/>
      <c r="E8" s="75"/>
      <c r="F8" s="75"/>
      <c r="G8" s="75"/>
      <c r="H8" s="75"/>
      <c r="I8" s="75"/>
      <c r="J8" s="75"/>
      <c r="K8" s="75"/>
      <c r="L8" s="75"/>
      <c r="M8" s="75"/>
      <c r="N8" s="73"/>
      <c r="O8" s="73"/>
      <c r="P8" s="73"/>
    </row>
    <row r="9" spans="1:16" s="48" customFormat="1" ht="15">
      <c r="A9" s="75"/>
      <c r="B9" s="75"/>
      <c r="C9" s="75" t="s">
        <v>63</v>
      </c>
      <c r="D9" s="75"/>
      <c r="E9" s="76" t="s">
        <v>63</v>
      </c>
      <c r="F9" s="75"/>
      <c r="G9" s="75" t="s">
        <v>123</v>
      </c>
      <c r="H9" s="75"/>
      <c r="I9" s="75" t="s">
        <v>64</v>
      </c>
      <c r="J9" s="75"/>
      <c r="K9" s="75" t="s">
        <v>65</v>
      </c>
      <c r="L9" s="75"/>
      <c r="M9" s="75" t="s">
        <v>66</v>
      </c>
      <c r="N9" s="75"/>
      <c r="O9" s="75"/>
      <c r="P9" s="75"/>
    </row>
    <row r="10" spans="1:16" s="48" customFormat="1" ht="15">
      <c r="A10" s="73"/>
      <c r="B10" s="73"/>
      <c r="C10" s="78" t="s">
        <v>67</v>
      </c>
      <c r="D10" s="79"/>
      <c r="E10" s="80" t="s">
        <v>68</v>
      </c>
      <c r="F10" s="79"/>
      <c r="G10" s="79" t="s">
        <v>124</v>
      </c>
      <c r="H10" s="79"/>
      <c r="I10" s="79" t="s">
        <v>69</v>
      </c>
      <c r="J10" s="79"/>
      <c r="K10" s="79" t="s">
        <v>70</v>
      </c>
      <c r="L10" s="79"/>
      <c r="M10" s="79" t="s">
        <v>71</v>
      </c>
      <c r="N10" s="81"/>
      <c r="O10" s="79" t="s">
        <v>21</v>
      </c>
      <c r="P10" s="75"/>
    </row>
    <row r="11" spans="1:16" s="48" customFormat="1" ht="15">
      <c r="A11" s="82"/>
      <c r="B11" s="82"/>
      <c r="C11" s="75" t="s">
        <v>1</v>
      </c>
      <c r="D11" s="75"/>
      <c r="E11" s="75" t="s">
        <v>1</v>
      </c>
      <c r="F11" s="75"/>
      <c r="G11" s="75" t="s">
        <v>1</v>
      </c>
      <c r="H11" s="75"/>
      <c r="I11" s="75" t="s">
        <v>1</v>
      </c>
      <c r="J11" s="73"/>
      <c r="K11" s="75" t="s">
        <v>1</v>
      </c>
      <c r="L11" s="73"/>
      <c r="M11" s="75" t="s">
        <v>1</v>
      </c>
      <c r="N11" s="73"/>
      <c r="O11" s="75" t="str">
        <f>+M11</f>
        <v>RM'000</v>
      </c>
      <c r="P11" s="73"/>
    </row>
    <row r="12" spans="1:16" s="48" customFormat="1" ht="15">
      <c r="A12" s="73"/>
      <c r="B12" s="73"/>
      <c r="C12" s="77"/>
      <c r="D12" s="77"/>
      <c r="E12" s="83"/>
      <c r="F12" s="77"/>
      <c r="G12" s="77"/>
      <c r="H12" s="77"/>
      <c r="I12" s="73"/>
      <c r="J12" s="73"/>
      <c r="K12" s="73"/>
      <c r="L12" s="73"/>
      <c r="M12" s="77"/>
      <c r="N12" s="73"/>
      <c r="O12" s="77"/>
      <c r="P12" s="73"/>
    </row>
    <row r="13" spans="1:16" s="48" customFormat="1" ht="15">
      <c r="A13" s="84" t="s">
        <v>112</v>
      </c>
      <c r="B13" s="84"/>
      <c r="C13" s="85">
        <v>216625</v>
      </c>
      <c r="D13" s="85"/>
      <c r="E13" s="86">
        <v>28871</v>
      </c>
      <c r="F13" s="85"/>
      <c r="G13" s="85">
        <v>0</v>
      </c>
      <c r="H13" s="85"/>
      <c r="I13" s="85">
        <v>5566</v>
      </c>
      <c r="J13" s="85"/>
      <c r="K13" s="85">
        <v>5334</v>
      </c>
      <c r="L13" s="85"/>
      <c r="M13" s="85">
        <v>76006</v>
      </c>
      <c r="N13" s="85"/>
      <c r="O13" s="85">
        <v>332402</v>
      </c>
      <c r="P13" s="87"/>
    </row>
    <row r="14" spans="1:16" s="48" customFormat="1" ht="15">
      <c r="A14" s="73"/>
      <c r="B14" s="73"/>
      <c r="C14" s="85"/>
      <c r="D14" s="85"/>
      <c r="E14" s="8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7"/>
    </row>
    <row r="15" spans="1:16" s="48" customFormat="1" ht="15">
      <c r="A15" s="73" t="s">
        <v>133</v>
      </c>
      <c r="B15" s="73"/>
      <c r="C15" s="85">
        <v>262</v>
      </c>
      <c r="D15" s="85"/>
      <c r="E15" s="86">
        <v>99</v>
      </c>
      <c r="F15" s="85"/>
      <c r="G15" s="85">
        <v>0</v>
      </c>
      <c r="H15" s="85"/>
      <c r="I15" s="85"/>
      <c r="J15" s="85"/>
      <c r="K15" s="85"/>
      <c r="L15" s="85"/>
      <c r="M15" s="85"/>
      <c r="N15" s="85"/>
      <c r="O15" s="85">
        <f>SUM(C15:N15)</f>
        <v>361</v>
      </c>
      <c r="P15" s="87"/>
    </row>
    <row r="16" spans="1:16" s="48" customFormat="1" ht="15">
      <c r="A16" s="73" t="s">
        <v>154</v>
      </c>
      <c r="B16" s="73"/>
      <c r="C16" s="85">
        <v>0</v>
      </c>
      <c r="D16" s="85"/>
      <c r="E16" s="86">
        <v>0</v>
      </c>
      <c r="F16" s="85"/>
      <c r="G16" s="85">
        <v>0</v>
      </c>
      <c r="H16" s="85"/>
      <c r="I16" s="85">
        <f>30+2278+261+1529-1529</f>
        <v>2569</v>
      </c>
      <c r="J16" s="85"/>
      <c r="K16" s="85">
        <v>0</v>
      </c>
      <c r="L16" s="85"/>
      <c r="M16" s="85">
        <v>0</v>
      </c>
      <c r="N16" s="85"/>
      <c r="O16" s="85">
        <f>SUM(C16:N16)</f>
        <v>2569</v>
      </c>
      <c r="P16" s="87"/>
    </row>
    <row r="17" spans="1:16" s="48" customFormat="1" ht="15">
      <c r="A17" s="73" t="s">
        <v>155</v>
      </c>
      <c r="B17" s="73"/>
      <c r="C17" s="85">
        <v>0</v>
      </c>
      <c r="D17" s="85"/>
      <c r="E17" s="86">
        <v>0</v>
      </c>
      <c r="F17" s="85"/>
      <c r="G17" s="85">
        <v>0</v>
      </c>
      <c r="H17" s="85"/>
      <c r="I17" s="85">
        <f>-2-76-114-13+76</f>
        <v>-129</v>
      </c>
      <c r="J17" s="85"/>
      <c r="K17" s="85">
        <v>0</v>
      </c>
      <c r="L17" s="85"/>
      <c r="M17" s="85">
        <v>0</v>
      </c>
      <c r="N17" s="85"/>
      <c r="O17" s="85">
        <f>SUM(C17:N17)</f>
        <v>-129</v>
      </c>
      <c r="P17" s="87"/>
    </row>
    <row r="18" spans="1:16" s="48" customFormat="1" ht="15">
      <c r="A18" s="73" t="s">
        <v>115</v>
      </c>
      <c r="B18" s="73"/>
      <c r="C18" s="85"/>
      <c r="D18" s="85"/>
      <c r="E18" s="86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7"/>
    </row>
    <row r="19" spans="1:16" s="48" customFormat="1" ht="15">
      <c r="A19" s="73"/>
      <c r="B19" s="73" t="s">
        <v>116</v>
      </c>
      <c r="C19" s="85"/>
      <c r="D19" s="85"/>
      <c r="E19" s="86"/>
      <c r="F19" s="85"/>
      <c r="G19" s="85"/>
      <c r="H19" s="85"/>
      <c r="I19" s="85"/>
      <c r="J19" s="85"/>
      <c r="K19" s="85">
        <v>4553</v>
      </c>
      <c r="L19" s="85"/>
      <c r="M19" s="85"/>
      <c r="N19" s="85"/>
      <c r="O19" s="85">
        <f>SUM(C19:N19)</f>
        <v>4553</v>
      </c>
      <c r="P19" s="87"/>
    </row>
    <row r="20" spans="1:16" s="48" customFormat="1" ht="15">
      <c r="A20" s="12" t="s">
        <v>74</v>
      </c>
      <c r="B20" s="12"/>
      <c r="C20" s="85">
        <v>0</v>
      </c>
      <c r="D20" s="85"/>
      <c r="E20" s="86">
        <v>0</v>
      </c>
      <c r="F20" s="85"/>
      <c r="G20" s="85">
        <v>0</v>
      </c>
      <c r="H20" s="85"/>
      <c r="I20" s="85">
        <v>0</v>
      </c>
      <c r="J20" s="85"/>
      <c r="K20" s="85">
        <v>-736</v>
      </c>
      <c r="L20" s="85"/>
      <c r="M20" s="85">
        <v>0</v>
      </c>
      <c r="N20" s="85"/>
      <c r="O20" s="85">
        <f>SUM(C20:N20)</f>
        <v>-736</v>
      </c>
      <c r="P20" s="87"/>
    </row>
    <row r="21" spans="1:16" s="48" customFormat="1" ht="15">
      <c r="A21" s="12" t="s">
        <v>125</v>
      </c>
      <c r="B21" s="12"/>
      <c r="C21" s="85">
        <v>0</v>
      </c>
      <c r="D21" s="85"/>
      <c r="E21" s="86">
        <v>0</v>
      </c>
      <c r="F21" s="85"/>
      <c r="G21" s="85">
        <v>-4472</v>
      </c>
      <c r="H21" s="85"/>
      <c r="I21" s="85">
        <v>0</v>
      </c>
      <c r="J21" s="85"/>
      <c r="K21" s="85">
        <v>0</v>
      </c>
      <c r="L21" s="85"/>
      <c r="M21" s="85">
        <v>0</v>
      </c>
      <c r="N21" s="85"/>
      <c r="O21" s="85">
        <f>SUM(C21:N21)</f>
        <v>-4472</v>
      </c>
      <c r="P21" s="87"/>
    </row>
    <row r="22" spans="1:16" s="48" customFormat="1" ht="15">
      <c r="A22" s="12" t="s">
        <v>126</v>
      </c>
      <c r="B22" s="12"/>
      <c r="C22" s="85">
        <v>0</v>
      </c>
      <c r="D22" s="85"/>
      <c r="E22" s="86">
        <f>64+4</f>
        <v>68</v>
      </c>
      <c r="F22" s="85"/>
      <c r="G22" s="85">
        <v>0</v>
      </c>
      <c r="H22" s="85"/>
      <c r="I22" s="85">
        <v>0</v>
      </c>
      <c r="J22" s="85"/>
      <c r="K22" s="85">
        <v>0</v>
      </c>
      <c r="L22" s="85"/>
      <c r="M22" s="85">
        <v>0</v>
      </c>
      <c r="N22" s="85"/>
      <c r="O22" s="85">
        <f>SUM(C22:N22)</f>
        <v>68</v>
      </c>
      <c r="P22" s="87"/>
    </row>
    <row r="23" spans="1:16" s="48" customFormat="1" ht="15">
      <c r="A23" s="73" t="s">
        <v>72</v>
      </c>
      <c r="B23" s="73"/>
      <c r="C23" s="85">
        <v>0</v>
      </c>
      <c r="D23" s="85"/>
      <c r="E23" s="86">
        <v>0</v>
      </c>
      <c r="F23" s="85"/>
      <c r="G23" s="85">
        <v>0</v>
      </c>
      <c r="H23" s="85"/>
      <c r="I23" s="85">
        <v>0</v>
      </c>
      <c r="J23" s="85"/>
      <c r="K23" s="85">
        <v>0</v>
      </c>
      <c r="L23" s="85"/>
      <c r="M23" s="85">
        <v>40060</v>
      </c>
      <c r="N23" s="85"/>
      <c r="O23" s="85">
        <f>SUM(C23:N23)</f>
        <v>40060</v>
      </c>
      <c r="P23" s="87"/>
    </row>
    <row r="24" spans="1:16" s="48" customFormat="1" ht="15">
      <c r="A24" s="73" t="s">
        <v>91</v>
      </c>
      <c r="B24" s="73"/>
      <c r="C24" s="85"/>
      <c r="D24" s="85"/>
      <c r="E24" s="86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7"/>
    </row>
    <row r="25" spans="1:16" s="48" customFormat="1" ht="15">
      <c r="A25" s="73"/>
      <c r="B25" s="73" t="s">
        <v>113</v>
      </c>
      <c r="C25" s="85">
        <v>0</v>
      </c>
      <c r="D25" s="85"/>
      <c r="E25" s="86">
        <v>0</v>
      </c>
      <c r="F25" s="85"/>
      <c r="G25" s="85"/>
      <c r="H25" s="85"/>
      <c r="I25" s="85">
        <v>0</v>
      </c>
      <c r="J25" s="85"/>
      <c r="K25" s="85">
        <v>0</v>
      </c>
      <c r="L25" s="85"/>
      <c r="M25" s="85">
        <f>-7736</f>
        <v>-7736</v>
      </c>
      <c r="N25" s="85"/>
      <c r="O25" s="85">
        <f>SUM(C25:N25)</f>
        <v>-7736</v>
      </c>
      <c r="P25" s="87"/>
    </row>
    <row r="26" spans="1:16" s="48" customFormat="1" ht="15">
      <c r="A26" s="12"/>
      <c r="B26" s="12" t="s">
        <v>114</v>
      </c>
      <c r="C26" s="85">
        <v>0</v>
      </c>
      <c r="D26" s="85"/>
      <c r="E26" s="86">
        <v>0</v>
      </c>
      <c r="F26" s="85"/>
      <c r="G26" s="85"/>
      <c r="H26" s="85"/>
      <c r="I26" s="85">
        <v>0</v>
      </c>
      <c r="J26" s="85"/>
      <c r="K26" s="85">
        <v>0</v>
      </c>
      <c r="L26" s="85"/>
      <c r="M26" s="85">
        <v>-6185</v>
      </c>
      <c r="N26" s="85"/>
      <c r="O26" s="85">
        <f>SUM(C26:N26)</f>
        <v>-6185</v>
      </c>
      <c r="P26" s="87"/>
    </row>
    <row r="27" spans="1:16" s="48" customFormat="1" ht="15">
      <c r="A27" s="12"/>
      <c r="B27" s="12"/>
      <c r="C27" s="88"/>
      <c r="D27" s="88"/>
      <c r="E27" s="89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</row>
    <row r="28" spans="1:16" s="48" customFormat="1" ht="15">
      <c r="A28" s="73"/>
      <c r="B28" s="73"/>
      <c r="C28" s="85"/>
      <c r="D28" s="85"/>
      <c r="E28" s="8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7"/>
    </row>
    <row r="29" spans="1:16" s="113" customFormat="1" ht="15">
      <c r="A29" s="110" t="s">
        <v>141</v>
      </c>
      <c r="B29" s="110"/>
      <c r="C29" s="111">
        <f>SUM(C13:C26)</f>
        <v>216887</v>
      </c>
      <c r="D29" s="111"/>
      <c r="E29" s="111">
        <f>SUM(E13:E26)</f>
        <v>29038</v>
      </c>
      <c r="F29" s="111"/>
      <c r="G29" s="111">
        <f>SUM(G13:G26)</f>
        <v>-4472</v>
      </c>
      <c r="H29" s="111"/>
      <c r="I29" s="111">
        <f>SUM(I13:I26)</f>
        <v>8006</v>
      </c>
      <c r="J29" s="111"/>
      <c r="K29" s="111">
        <f>SUM(K13:K26)</f>
        <v>9151</v>
      </c>
      <c r="L29" s="111"/>
      <c r="M29" s="111">
        <f>SUM(M13:M26)</f>
        <v>102145</v>
      </c>
      <c r="N29" s="111"/>
      <c r="O29" s="111">
        <f>SUM(O13:O26)</f>
        <v>360755</v>
      </c>
      <c r="P29" s="112"/>
    </row>
    <row r="30" spans="1:16" s="48" customFormat="1" ht="15.75" thickBot="1">
      <c r="A30" s="73"/>
      <c r="B30" s="73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87"/>
    </row>
    <row r="31" spans="1:16" s="48" customFormat="1" ht="15.75" thickTop="1">
      <c r="A31" s="73"/>
      <c r="B31" s="73"/>
      <c r="C31" s="85"/>
      <c r="D31" s="85"/>
      <c r="E31" s="86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7"/>
    </row>
    <row r="32" spans="1:16" s="48" customFormat="1" ht="15">
      <c r="A32" s="73"/>
      <c r="B32" s="73"/>
      <c r="C32" s="85"/>
      <c r="D32" s="85"/>
      <c r="E32" s="86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7"/>
    </row>
    <row r="33" spans="1:16" s="48" customFormat="1" ht="15">
      <c r="A33" s="73"/>
      <c r="B33" s="73"/>
      <c r="C33" s="85"/>
      <c r="D33" s="85"/>
      <c r="E33" s="86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7"/>
    </row>
    <row r="34" spans="1:16" s="99" customFormat="1" ht="15">
      <c r="A34" s="100" t="s">
        <v>92</v>
      </c>
      <c r="B34" s="100"/>
      <c r="C34" s="101">
        <v>150000</v>
      </c>
      <c r="D34" s="101"/>
      <c r="E34" s="102">
        <v>4508</v>
      </c>
      <c r="F34" s="101"/>
      <c r="G34" s="101">
        <v>0</v>
      </c>
      <c r="H34" s="101"/>
      <c r="I34" s="101">
        <v>17744</v>
      </c>
      <c r="J34" s="101"/>
      <c r="K34" s="101">
        <v>5615</v>
      </c>
      <c r="L34" s="101"/>
      <c r="M34" s="101">
        <v>85911</v>
      </c>
      <c r="N34" s="101"/>
      <c r="O34" s="101">
        <f>SUM(C34:N34)</f>
        <v>263778</v>
      </c>
      <c r="P34" s="108"/>
    </row>
    <row r="35" spans="1:16" s="99" customFormat="1" ht="15">
      <c r="A35" s="103"/>
      <c r="B35" s="103"/>
      <c r="C35" s="101"/>
      <c r="D35" s="101"/>
      <c r="E35" s="102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8"/>
    </row>
    <row r="36" spans="1:14" s="162" customFormat="1" ht="15">
      <c r="A36" s="103" t="s">
        <v>146</v>
      </c>
      <c r="B36" s="103"/>
      <c r="C36" s="101"/>
      <c r="D36" s="101"/>
      <c r="E36" s="102"/>
      <c r="F36" s="101"/>
      <c r="G36" s="101"/>
      <c r="H36" s="101"/>
      <c r="I36" s="101"/>
      <c r="J36" s="101"/>
      <c r="K36" s="101"/>
      <c r="L36" s="101"/>
      <c r="M36" s="101"/>
      <c r="N36" s="108"/>
    </row>
    <row r="37" spans="1:15" s="162" customFormat="1" ht="15">
      <c r="A37" s="103"/>
      <c r="B37" s="103" t="s">
        <v>147</v>
      </c>
      <c r="C37" s="101">
        <v>15000</v>
      </c>
      <c r="D37" s="101"/>
      <c r="E37" s="102">
        <v>23557</v>
      </c>
      <c r="F37" s="101"/>
      <c r="G37" s="102">
        <v>0</v>
      </c>
      <c r="I37" s="101">
        <v>0</v>
      </c>
      <c r="J37" s="101"/>
      <c r="K37" s="101">
        <v>0</v>
      </c>
      <c r="L37" s="101"/>
      <c r="M37" s="101">
        <v>0</v>
      </c>
      <c r="N37" s="101"/>
      <c r="O37" s="101">
        <f aca="true" t="shared" si="0" ref="O37:O47">SUM(C37:N37)</f>
        <v>38557</v>
      </c>
    </row>
    <row r="38" spans="1:15" s="162" customFormat="1" ht="15">
      <c r="A38" s="103"/>
      <c r="B38" s="103" t="s">
        <v>148</v>
      </c>
      <c r="C38" s="101">
        <v>49500</v>
      </c>
      <c r="D38" s="101"/>
      <c r="E38" s="102">
        <v>0</v>
      </c>
      <c r="F38" s="101"/>
      <c r="G38" s="102">
        <v>0</v>
      </c>
      <c r="I38" s="101">
        <v>0</v>
      </c>
      <c r="J38" s="101"/>
      <c r="K38" s="101">
        <v>0</v>
      </c>
      <c r="L38" s="101"/>
      <c r="M38" s="101">
        <v>-49500</v>
      </c>
      <c r="N38" s="101"/>
      <c r="O38" s="101">
        <f t="shared" si="0"/>
        <v>0</v>
      </c>
    </row>
    <row r="39" spans="1:15" s="162" customFormat="1" ht="15">
      <c r="A39" s="103"/>
      <c r="B39" s="103" t="s">
        <v>149</v>
      </c>
      <c r="C39" s="101">
        <v>2125</v>
      </c>
      <c r="D39" s="101"/>
      <c r="E39" s="102">
        <v>806</v>
      </c>
      <c r="F39" s="101"/>
      <c r="G39" s="102">
        <v>0</v>
      </c>
      <c r="I39" s="101"/>
      <c r="J39" s="101"/>
      <c r="K39" s="101"/>
      <c r="L39" s="101"/>
      <c r="M39" s="101"/>
      <c r="N39" s="101"/>
      <c r="O39" s="101">
        <f t="shared" si="0"/>
        <v>2931</v>
      </c>
    </row>
    <row r="40" spans="1:15" s="162" customFormat="1" ht="15">
      <c r="A40" s="103" t="s">
        <v>150</v>
      </c>
      <c r="B40" s="103"/>
      <c r="C40" s="101">
        <v>0</v>
      </c>
      <c r="D40" s="101"/>
      <c r="E40" s="102">
        <v>0</v>
      </c>
      <c r="F40" s="101"/>
      <c r="G40" s="102">
        <v>0</v>
      </c>
      <c r="I40" s="101">
        <f>-1776+547+1</f>
        <v>-1228</v>
      </c>
      <c r="J40" s="101"/>
      <c r="K40" s="101">
        <v>0</v>
      </c>
      <c r="L40" s="101"/>
      <c r="M40" s="101">
        <v>0</v>
      </c>
      <c r="N40" s="101"/>
      <c r="O40" s="101">
        <f t="shared" si="0"/>
        <v>-1228</v>
      </c>
    </row>
    <row r="41" spans="1:15" s="162" customFormat="1" ht="15">
      <c r="A41" s="163" t="s">
        <v>159</v>
      </c>
      <c r="B41" s="163"/>
      <c r="C41" s="101"/>
      <c r="D41" s="101"/>
      <c r="E41" s="102"/>
      <c r="F41" s="101"/>
      <c r="I41" s="101"/>
      <c r="J41" s="101"/>
      <c r="K41" s="101"/>
      <c r="L41" s="101"/>
      <c r="M41" s="101"/>
      <c r="N41" s="101"/>
      <c r="O41" s="101">
        <f t="shared" si="0"/>
        <v>0</v>
      </c>
    </row>
    <row r="42" spans="1:15" s="162" customFormat="1" ht="15">
      <c r="A42" s="163"/>
      <c r="B42" s="163" t="s">
        <v>160</v>
      </c>
      <c r="C42" s="101">
        <v>0</v>
      </c>
      <c r="D42" s="101"/>
      <c r="E42" s="102">
        <v>0</v>
      </c>
      <c r="F42" s="101"/>
      <c r="G42" s="102">
        <v>0</v>
      </c>
      <c r="I42" s="101">
        <f>-10402-547-1</f>
        <v>-10950</v>
      </c>
      <c r="J42" s="101"/>
      <c r="K42" s="101">
        <v>0</v>
      </c>
      <c r="L42" s="101"/>
      <c r="M42" s="101">
        <v>10950</v>
      </c>
      <c r="N42" s="101"/>
      <c r="O42" s="101">
        <f t="shared" si="0"/>
        <v>0</v>
      </c>
    </row>
    <row r="43" spans="1:15" s="162" customFormat="1" ht="15">
      <c r="A43" s="164" t="s">
        <v>74</v>
      </c>
      <c r="B43" s="164"/>
      <c r="C43" s="101">
        <v>0</v>
      </c>
      <c r="D43" s="101"/>
      <c r="E43" s="102">
        <v>0</v>
      </c>
      <c r="F43" s="101"/>
      <c r="G43" s="102">
        <v>0</v>
      </c>
      <c r="I43" s="101">
        <v>0</v>
      </c>
      <c r="J43" s="101"/>
      <c r="K43" s="101">
        <v>-281</v>
      </c>
      <c r="L43" s="101"/>
      <c r="M43" s="101">
        <v>0</v>
      </c>
      <c r="N43" s="101"/>
      <c r="O43" s="101">
        <f t="shared" si="0"/>
        <v>-281</v>
      </c>
    </row>
    <row r="44" spans="1:15" s="162" customFormat="1" ht="15">
      <c r="A44" s="103" t="s">
        <v>72</v>
      </c>
      <c r="B44" s="103"/>
      <c r="C44" s="101">
        <v>0</v>
      </c>
      <c r="D44" s="101"/>
      <c r="E44" s="102">
        <v>0</v>
      </c>
      <c r="F44" s="101"/>
      <c r="G44" s="102">
        <v>0</v>
      </c>
      <c r="I44" s="101">
        <v>0</v>
      </c>
      <c r="J44" s="101"/>
      <c r="K44" s="101">
        <v>0</v>
      </c>
      <c r="L44" s="101"/>
      <c r="M44" s="101">
        <f>49674-10950</f>
        <v>38724</v>
      </c>
      <c r="N44" s="101"/>
      <c r="O44" s="101">
        <f t="shared" si="0"/>
        <v>38724</v>
      </c>
    </row>
    <row r="45" spans="1:15" s="162" customFormat="1" ht="15">
      <c r="A45" s="103" t="s">
        <v>91</v>
      </c>
      <c r="B45" s="103"/>
      <c r="C45" s="101"/>
      <c r="D45" s="101"/>
      <c r="E45" s="102"/>
      <c r="F45" s="101"/>
      <c r="I45" s="101"/>
      <c r="J45" s="101"/>
      <c r="K45" s="101"/>
      <c r="L45" s="101"/>
      <c r="M45" s="101"/>
      <c r="N45" s="101"/>
      <c r="O45" s="101">
        <f t="shared" si="0"/>
        <v>0</v>
      </c>
    </row>
    <row r="46" spans="1:15" s="162" customFormat="1" ht="15">
      <c r="A46" s="103"/>
      <c r="B46" s="103" t="s">
        <v>151</v>
      </c>
      <c r="C46" s="101">
        <v>0</v>
      </c>
      <c r="D46" s="101"/>
      <c r="E46" s="102">
        <v>0</v>
      </c>
      <c r="F46" s="101"/>
      <c r="G46" s="102">
        <v>0</v>
      </c>
      <c r="I46" s="101">
        <v>0</v>
      </c>
      <c r="J46" s="101"/>
      <c r="K46" s="101">
        <v>0</v>
      </c>
      <c r="L46" s="101"/>
      <c r="M46" s="101">
        <v>-5400</v>
      </c>
      <c r="N46" s="101"/>
      <c r="O46" s="101">
        <f t="shared" si="0"/>
        <v>-5400</v>
      </c>
    </row>
    <row r="47" spans="1:15" s="162" customFormat="1" ht="15">
      <c r="A47" s="164"/>
      <c r="B47" s="164" t="s">
        <v>152</v>
      </c>
      <c r="C47" s="101">
        <v>0</v>
      </c>
      <c r="D47" s="101"/>
      <c r="E47" s="102">
        <v>0</v>
      </c>
      <c r="F47" s="101"/>
      <c r="G47" s="102">
        <v>0</v>
      </c>
      <c r="I47" s="101">
        <v>0</v>
      </c>
      <c r="J47" s="101"/>
      <c r="K47" s="101">
        <v>0</v>
      </c>
      <c r="L47" s="101"/>
      <c r="M47" s="101">
        <v>-4679</v>
      </c>
      <c r="N47" s="101"/>
      <c r="O47" s="101">
        <f t="shared" si="0"/>
        <v>-4679</v>
      </c>
    </row>
    <row r="48" spans="1:15" s="162" customFormat="1" ht="15">
      <c r="A48" s="164"/>
      <c r="B48" s="164"/>
      <c r="C48" s="104"/>
      <c r="D48" s="104"/>
      <c r="E48" s="105"/>
      <c r="F48" s="104"/>
      <c r="G48" s="167"/>
      <c r="H48" s="167"/>
      <c r="I48" s="104"/>
      <c r="J48" s="104"/>
      <c r="K48" s="104"/>
      <c r="L48" s="104"/>
      <c r="M48" s="104"/>
      <c r="N48" s="104"/>
      <c r="O48" s="104"/>
    </row>
    <row r="49" spans="1:15" s="162" customFormat="1" ht="15">
      <c r="A49" s="103"/>
      <c r="B49" s="103"/>
      <c r="C49" s="101"/>
      <c r="D49" s="101"/>
      <c r="E49" s="102"/>
      <c r="F49" s="101"/>
      <c r="G49" s="101"/>
      <c r="I49" s="101"/>
      <c r="J49" s="101"/>
      <c r="K49" s="101"/>
      <c r="L49" s="101"/>
      <c r="M49" s="101"/>
      <c r="N49" s="101"/>
      <c r="O49" s="101"/>
    </row>
    <row r="50" spans="1:15" s="165" customFormat="1" ht="15">
      <c r="A50" s="116" t="s">
        <v>142</v>
      </c>
      <c r="B50" s="116"/>
      <c r="C50" s="117">
        <f>SUM(C34:C47)</f>
        <v>216625</v>
      </c>
      <c r="D50" s="117"/>
      <c r="E50" s="117">
        <f>SUM(E34:E47)</f>
        <v>28871</v>
      </c>
      <c r="F50" s="117"/>
      <c r="G50" s="117">
        <f>SUM(G34:G47)</f>
        <v>0</v>
      </c>
      <c r="I50" s="117">
        <f>SUM(I34:I47)</f>
        <v>5566</v>
      </c>
      <c r="J50" s="117"/>
      <c r="K50" s="117">
        <f>SUM(K34:K47)</f>
        <v>5334</v>
      </c>
      <c r="L50" s="117"/>
      <c r="M50" s="117">
        <f>SUM(M34:M47)</f>
        <v>76006</v>
      </c>
      <c r="N50" s="117"/>
      <c r="O50" s="117">
        <f>SUM(O34:O47)</f>
        <v>332402</v>
      </c>
    </row>
    <row r="51" spans="1:15" s="162" customFormat="1" ht="15.75" thickBot="1">
      <c r="A51" s="103"/>
      <c r="B51" s="103"/>
      <c r="C51" s="106"/>
      <c r="D51" s="106"/>
      <c r="E51" s="166"/>
      <c r="F51" s="106"/>
      <c r="G51" s="106"/>
      <c r="H51" s="168"/>
      <c r="I51" s="106"/>
      <c r="J51" s="106"/>
      <c r="K51" s="106"/>
      <c r="L51" s="106"/>
      <c r="M51" s="106"/>
      <c r="N51" s="106"/>
      <c r="O51" s="106"/>
    </row>
    <row r="52" spans="1:16" s="48" customFormat="1" ht="15.75" thickTop="1">
      <c r="A52" s="73"/>
      <c r="B52" s="73"/>
      <c r="C52" s="85"/>
      <c r="D52" s="85"/>
      <c r="E52" s="86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7"/>
    </row>
    <row r="53" spans="1:16" s="48" customFormat="1" ht="15" hidden="1">
      <c r="A53" s="73"/>
      <c r="B53" s="73"/>
      <c r="C53" s="85"/>
      <c r="D53" s="85"/>
      <c r="E53" s="86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7"/>
    </row>
    <row r="54" spans="1:16" s="48" customFormat="1" ht="15" hidden="1">
      <c r="A54" s="7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87"/>
    </row>
    <row r="55" spans="1:16" s="48" customFormat="1" ht="15">
      <c r="A55" s="7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87"/>
    </row>
    <row r="56" spans="1:16" s="48" customFormat="1" ht="15" hidden="1">
      <c r="A56" s="92"/>
      <c r="B56" s="92"/>
      <c r="C56" s="73"/>
      <c r="D56" s="73"/>
      <c r="E56" s="12"/>
      <c r="F56" s="73"/>
      <c r="G56" s="73"/>
      <c r="H56" s="73"/>
      <c r="I56" s="75"/>
      <c r="J56" s="75"/>
      <c r="K56" s="75"/>
      <c r="L56" s="75"/>
      <c r="M56" s="73"/>
      <c r="N56" s="73"/>
      <c r="O56" s="73"/>
      <c r="P56" s="73"/>
    </row>
    <row r="57" spans="1:16" s="48" customFormat="1" ht="30.75" customHeight="1">
      <c r="A57" s="169" t="s">
        <v>110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73"/>
    </row>
  </sheetData>
  <mergeCells count="3">
    <mergeCell ref="A57:O57"/>
    <mergeCell ref="A1:O1"/>
    <mergeCell ref="E7:K7"/>
  </mergeCells>
  <printOptions/>
  <pageMargins left="0.9" right="0.44" top="0.7" bottom="0.53" header="0.53" footer="0.31"/>
  <pageSetup firstPageNumber="3" useFirstPageNumber="1" fitToHeight="1" fitToWidth="1" horizontalDpi="600" verticalDpi="600" orientation="portrait" paperSize="9" scale="71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40">
      <selection activeCell="C53" sqref="C53"/>
    </sheetView>
  </sheetViews>
  <sheetFormatPr defaultColWidth="9.140625" defaultRowHeight="12.75"/>
  <cols>
    <col min="1" max="1" width="4.28125" style="48" customWidth="1"/>
    <col min="2" max="2" width="53.28125" style="48" customWidth="1"/>
    <col min="3" max="3" width="15.00390625" style="120" customWidth="1"/>
    <col min="4" max="4" width="2.28125" style="48" customWidth="1"/>
    <col min="5" max="5" width="13.140625" style="126" customWidth="1"/>
    <col min="7" max="7" width="14.00390625" style="0" bestFit="1" customWidth="1"/>
  </cols>
  <sheetData>
    <row r="1" spans="1:3" ht="24" customHeight="1">
      <c r="A1" s="170" t="s">
        <v>61</v>
      </c>
      <c r="B1" s="170"/>
      <c r="C1" s="170"/>
    </row>
    <row r="2" spans="1:5" ht="15">
      <c r="A2" s="13"/>
      <c r="B2" s="13"/>
      <c r="C2" s="20"/>
      <c r="E2" s="131"/>
    </row>
    <row r="3" spans="1:5" ht="15.75">
      <c r="A3" s="94" t="s">
        <v>83</v>
      </c>
      <c r="B3" s="3"/>
      <c r="C3" s="22"/>
      <c r="E3" s="132"/>
    </row>
    <row r="4" ht="15.75">
      <c r="A4" s="94" t="s">
        <v>143</v>
      </c>
    </row>
    <row r="5" spans="1:5" ht="15">
      <c r="A5" s="63"/>
      <c r="B5" s="63"/>
      <c r="C5" s="121"/>
      <c r="E5" s="133"/>
    </row>
    <row r="6" spans="1:5" ht="15">
      <c r="A6" s="3"/>
      <c r="B6" s="3"/>
      <c r="C6" s="52" t="s">
        <v>117</v>
      </c>
      <c r="E6" s="134" t="s">
        <v>117</v>
      </c>
    </row>
    <row r="7" spans="1:5" ht="15">
      <c r="A7" s="3"/>
      <c r="B7" s="3"/>
      <c r="C7" s="52" t="s">
        <v>90</v>
      </c>
      <c r="E7" s="134" t="s">
        <v>90</v>
      </c>
    </row>
    <row r="8" spans="1:5" ht="15">
      <c r="A8" s="3"/>
      <c r="B8" s="3"/>
      <c r="C8" s="130" t="s">
        <v>139</v>
      </c>
      <c r="E8" s="135" t="s">
        <v>102</v>
      </c>
    </row>
    <row r="9" spans="1:5" ht="15">
      <c r="A9" s="3"/>
      <c r="B9" s="3"/>
      <c r="C9" s="122" t="s">
        <v>1</v>
      </c>
      <c r="E9" s="136" t="s">
        <v>1</v>
      </c>
    </row>
    <row r="10" spans="1:5" ht="15">
      <c r="A10" s="3" t="s">
        <v>23</v>
      </c>
      <c r="B10" s="3"/>
      <c r="C10" s="64"/>
      <c r="E10" s="137"/>
    </row>
    <row r="11" spans="1:5" ht="15">
      <c r="A11" s="11" t="s">
        <v>12</v>
      </c>
      <c r="B11" s="11"/>
      <c r="C11" s="42">
        <v>54503</v>
      </c>
      <c r="E11" s="138">
        <v>57310</v>
      </c>
    </row>
    <row r="12" spans="1:5" ht="15">
      <c r="A12" s="11" t="s">
        <v>27</v>
      </c>
      <c r="B12" s="11"/>
      <c r="C12" s="42">
        <v>566</v>
      </c>
      <c r="E12" s="138">
        <v>-3883</v>
      </c>
    </row>
    <row r="13" spans="1:5" ht="15">
      <c r="A13" s="11" t="s">
        <v>16</v>
      </c>
      <c r="B13" s="11"/>
      <c r="C13" s="65">
        <f>SUM(C11:C12)</f>
        <v>55069</v>
      </c>
      <c r="E13" s="139">
        <f>SUM(E11:E12)</f>
        <v>53427</v>
      </c>
    </row>
    <row r="14" spans="1:5" ht="8.25" customHeight="1">
      <c r="A14" s="11"/>
      <c r="B14" s="11"/>
      <c r="C14" s="66"/>
      <c r="E14" s="140"/>
    </row>
    <row r="15" spans="1:5" ht="15">
      <c r="A15" s="11" t="s">
        <v>134</v>
      </c>
      <c r="B15" s="11"/>
      <c r="C15" s="66"/>
      <c r="E15" s="140"/>
    </row>
    <row r="16" spans="1:5" ht="15">
      <c r="A16" s="11"/>
      <c r="B16" s="11" t="s">
        <v>136</v>
      </c>
      <c r="C16" s="66">
        <v>-18491</v>
      </c>
      <c r="E16" s="140">
        <f>104010-85969</f>
        <v>18041</v>
      </c>
    </row>
    <row r="17" spans="1:5" ht="15">
      <c r="A17" s="11"/>
      <c r="B17" s="11" t="s">
        <v>137</v>
      </c>
      <c r="C17" s="66">
        <v>24979</v>
      </c>
      <c r="E17" s="140">
        <f>-35647-18041-E25</f>
        <v>-21253</v>
      </c>
    </row>
    <row r="18" spans="1:5" ht="15">
      <c r="A18" s="67" t="s">
        <v>17</v>
      </c>
      <c r="B18" s="67"/>
      <c r="C18" s="65">
        <f>SUM(C13:C17)</f>
        <v>61557</v>
      </c>
      <c r="E18" s="139">
        <f>SUM(E13:E17)</f>
        <v>50215</v>
      </c>
    </row>
    <row r="19" spans="1:5" ht="15">
      <c r="A19" s="67" t="s">
        <v>24</v>
      </c>
      <c r="B19" s="67"/>
      <c r="C19" s="42">
        <v>-13201</v>
      </c>
      <c r="E19" s="138">
        <v>-16685</v>
      </c>
    </row>
    <row r="20" spans="1:5" ht="15">
      <c r="A20" s="68" t="s">
        <v>88</v>
      </c>
      <c r="B20" s="68"/>
      <c r="C20" s="69">
        <f>SUM(C18:C19)</f>
        <v>48356</v>
      </c>
      <c r="E20" s="141">
        <f>SUM(E18:E19)</f>
        <v>33530</v>
      </c>
    </row>
    <row r="21" spans="1:5" ht="15">
      <c r="A21" s="11"/>
      <c r="B21" s="11"/>
      <c r="C21" s="42"/>
      <c r="E21" s="138"/>
    </row>
    <row r="22" spans="1:5" ht="15">
      <c r="A22" s="3" t="s">
        <v>19</v>
      </c>
      <c r="B22" s="3"/>
      <c r="C22" s="42"/>
      <c r="E22" s="138"/>
    </row>
    <row r="23" spans="1:5" ht="15">
      <c r="A23" s="11" t="s">
        <v>100</v>
      </c>
      <c r="B23" s="3"/>
      <c r="C23" s="42">
        <f>-18292+13195</f>
        <v>-5097</v>
      </c>
      <c r="E23" s="138">
        <v>-6270</v>
      </c>
    </row>
    <row r="24" spans="1:5" ht="15">
      <c r="A24" s="11" t="s">
        <v>106</v>
      </c>
      <c r="B24" s="3"/>
      <c r="C24" s="42">
        <v>0</v>
      </c>
      <c r="E24" s="138">
        <v>50000</v>
      </c>
    </row>
    <row r="25" spans="1:5" ht="15">
      <c r="A25" s="11" t="s">
        <v>135</v>
      </c>
      <c r="C25" s="66">
        <v>-86345</v>
      </c>
      <c r="E25" s="140">
        <f>103162-136683+1086</f>
        <v>-32435</v>
      </c>
    </row>
    <row r="26" spans="1:5" ht="15">
      <c r="A26" s="67" t="s">
        <v>86</v>
      </c>
      <c r="B26" s="70"/>
      <c r="C26" s="42">
        <v>-1307</v>
      </c>
      <c r="E26" s="138">
        <v>-1822</v>
      </c>
    </row>
    <row r="27" spans="1:5" ht="15">
      <c r="A27" s="67" t="s">
        <v>28</v>
      </c>
      <c r="B27" s="70"/>
      <c r="C27" s="42">
        <v>2182</v>
      </c>
      <c r="E27" s="138">
        <v>2877</v>
      </c>
    </row>
    <row r="28" spans="1:5" ht="15" hidden="1">
      <c r="A28" s="67"/>
      <c r="B28" s="70"/>
      <c r="C28" s="42"/>
      <c r="E28" s="138"/>
    </row>
    <row r="29" spans="1:5" ht="15">
      <c r="A29" s="68" t="s">
        <v>84</v>
      </c>
      <c r="B29" s="3"/>
      <c r="C29" s="69">
        <f>SUM(C23:C28)</f>
        <v>-90567</v>
      </c>
      <c r="E29" s="141">
        <f>SUM(E23:E28)</f>
        <v>12350</v>
      </c>
    </row>
    <row r="30" spans="1:5" ht="15">
      <c r="A30" s="11"/>
      <c r="B30" s="11"/>
      <c r="C30" s="42"/>
      <c r="E30" s="138"/>
    </row>
    <row r="31" spans="1:5" ht="15">
      <c r="A31" s="3" t="s">
        <v>20</v>
      </c>
      <c r="B31" s="3"/>
      <c r="C31" s="42"/>
      <c r="E31" s="138"/>
    </row>
    <row r="32" spans="1:5" ht="15">
      <c r="A32" s="11" t="s">
        <v>107</v>
      </c>
      <c r="B32" s="3"/>
      <c r="C32" s="42">
        <v>362</v>
      </c>
      <c r="E32" s="138">
        <v>41487</v>
      </c>
    </row>
    <row r="33" spans="1:5" ht="15">
      <c r="A33" s="11" t="s">
        <v>125</v>
      </c>
      <c r="B33" s="3"/>
      <c r="C33" s="42">
        <v>-4472</v>
      </c>
      <c r="E33" s="138">
        <v>0</v>
      </c>
    </row>
    <row r="34" spans="1:5" ht="15">
      <c r="A34" s="11" t="s">
        <v>138</v>
      </c>
      <c r="B34" s="3"/>
      <c r="C34" s="42">
        <v>-30000</v>
      </c>
      <c r="E34" s="138">
        <v>135000</v>
      </c>
    </row>
    <row r="35" spans="1:5" ht="15">
      <c r="A35" s="67" t="s">
        <v>127</v>
      </c>
      <c r="B35" s="3"/>
      <c r="C35" s="42">
        <f>41275+25000</f>
        <v>66275</v>
      </c>
      <c r="E35" s="138">
        <v>64825</v>
      </c>
    </row>
    <row r="36" spans="1:5" ht="15">
      <c r="A36" s="67" t="s">
        <v>26</v>
      </c>
      <c r="B36" s="11"/>
      <c r="C36" s="42">
        <v>-1188</v>
      </c>
      <c r="E36" s="138">
        <v>-169207</v>
      </c>
    </row>
    <row r="37" spans="1:5" ht="15">
      <c r="A37" s="67" t="s">
        <v>89</v>
      </c>
      <c r="B37" s="11"/>
      <c r="C37" s="42">
        <v>-7736</v>
      </c>
      <c r="E37" s="138">
        <v>-13319</v>
      </c>
    </row>
    <row r="38" spans="1:5" ht="15">
      <c r="A38" s="67" t="s">
        <v>28</v>
      </c>
      <c r="B38" s="3"/>
      <c r="C38" s="42">
        <v>-10669</v>
      </c>
      <c r="E38" s="138">
        <v>-12614</v>
      </c>
    </row>
    <row r="39" spans="1:5" ht="15">
      <c r="A39" s="68" t="s">
        <v>85</v>
      </c>
      <c r="B39" s="3"/>
      <c r="C39" s="69">
        <f>SUM(C32:C38)</f>
        <v>12572</v>
      </c>
      <c r="E39" s="141">
        <f>SUM(E32:E38)</f>
        <v>46172</v>
      </c>
    </row>
    <row r="40" spans="1:5" ht="15">
      <c r="A40" s="11"/>
      <c r="B40" s="11"/>
      <c r="C40" s="42"/>
      <c r="E40" s="138"/>
    </row>
    <row r="41" spans="1:5" ht="15">
      <c r="A41" s="3" t="s">
        <v>18</v>
      </c>
      <c r="B41" s="3"/>
      <c r="C41" s="42">
        <f>C39+C29+C20</f>
        <v>-29639</v>
      </c>
      <c r="E41" s="138">
        <f>E39+E29+E20</f>
        <v>92052</v>
      </c>
    </row>
    <row r="42" spans="1:5" ht="15">
      <c r="A42" s="3" t="s">
        <v>104</v>
      </c>
      <c r="B42" s="3"/>
      <c r="C42" s="42">
        <v>121309</v>
      </c>
      <c r="E42" s="138">
        <v>29257</v>
      </c>
    </row>
    <row r="43" spans="1:5" ht="15.75" thickBot="1">
      <c r="A43" s="3" t="s">
        <v>105</v>
      </c>
      <c r="B43" s="3"/>
      <c r="C43" s="71">
        <f>SUM(C41:C42)</f>
        <v>91670</v>
      </c>
      <c r="E43" s="142">
        <f>SUM(E41:E42)</f>
        <v>121309</v>
      </c>
    </row>
    <row r="44" ht="15" customHeight="1"/>
    <row r="45" ht="6" customHeight="1"/>
    <row r="46" spans="1:5" ht="15">
      <c r="A46" s="3" t="s">
        <v>94</v>
      </c>
      <c r="B46" s="11"/>
      <c r="C46" s="22"/>
      <c r="E46" s="132"/>
    </row>
    <row r="47" spans="1:9" ht="15.75">
      <c r="A47" s="11"/>
      <c r="B47" s="118" t="s">
        <v>118</v>
      </c>
      <c r="C47" s="64">
        <f>'Balance Sheet'!F28</f>
        <v>78546.899</v>
      </c>
      <c r="D47" s="127"/>
      <c r="E47" s="143">
        <v>73918</v>
      </c>
      <c r="F47" s="119"/>
      <c r="G47" s="123"/>
      <c r="H47" s="124"/>
      <c r="I47" s="123"/>
    </row>
    <row r="48" spans="1:9" ht="15.75">
      <c r="A48" s="11"/>
      <c r="B48" s="118" t="s">
        <v>121</v>
      </c>
      <c r="C48" s="128">
        <f>'Balance Sheet'!F27</f>
        <v>32918.647</v>
      </c>
      <c r="D48" s="127"/>
      <c r="E48" s="144">
        <f>3435+45153+8530-1</f>
        <v>57117</v>
      </c>
      <c r="F48" s="119"/>
      <c r="G48" s="125"/>
      <c r="H48" s="124"/>
      <c r="I48" s="125"/>
    </row>
    <row r="49" spans="1:9" ht="15.75">
      <c r="A49" s="11"/>
      <c r="B49" s="118" t="s">
        <v>6</v>
      </c>
      <c r="C49" s="64">
        <f>SUM(C47:C48)</f>
        <v>111465.546</v>
      </c>
      <c r="D49" s="127"/>
      <c r="E49" s="137">
        <f>SUM(E47:E48)</f>
        <v>131035</v>
      </c>
      <c r="F49" s="119"/>
      <c r="G49" s="125"/>
      <c r="H49" s="124"/>
      <c r="I49" s="125"/>
    </row>
    <row r="50" spans="1:9" ht="15.75">
      <c r="A50" s="11"/>
      <c r="B50" s="118" t="s">
        <v>119</v>
      </c>
      <c r="C50" s="64">
        <v>-25</v>
      </c>
      <c r="D50" s="127"/>
      <c r="E50" s="137">
        <v>-3789</v>
      </c>
      <c r="F50" s="119"/>
      <c r="G50" s="125"/>
      <c r="H50" s="124"/>
      <c r="I50" s="123"/>
    </row>
    <row r="51" spans="1:9" ht="15.75">
      <c r="A51" s="11"/>
      <c r="B51" s="118" t="s">
        <v>120</v>
      </c>
      <c r="C51" s="64">
        <v>-18022</v>
      </c>
      <c r="D51" s="127"/>
      <c r="E51" s="137">
        <f>-5937</f>
        <v>-5937</v>
      </c>
      <c r="F51" s="119"/>
      <c r="G51" s="125"/>
      <c r="H51" s="124"/>
      <c r="I51" s="123"/>
    </row>
    <row r="52" spans="1:9" ht="15.75">
      <c r="A52" s="11"/>
      <c r="B52" s="118" t="s">
        <v>87</v>
      </c>
      <c r="C52" s="64">
        <v>-1749</v>
      </c>
      <c r="D52" s="127"/>
      <c r="E52" s="137">
        <v>0</v>
      </c>
      <c r="F52" s="119"/>
      <c r="G52" s="125"/>
      <c r="H52" s="124"/>
      <c r="I52" s="125"/>
    </row>
    <row r="53" spans="1:9" ht="16.5" thickBot="1">
      <c r="A53" s="11"/>
      <c r="B53" s="118"/>
      <c r="C53" s="129">
        <f>SUM(C49:C52)</f>
        <v>91669.546</v>
      </c>
      <c r="D53" s="127"/>
      <c r="E53" s="145">
        <f>SUM(E49:E52)</f>
        <v>121309</v>
      </c>
      <c r="F53" s="119"/>
      <c r="G53" s="125"/>
      <c r="H53" s="124"/>
      <c r="I53" s="125"/>
    </row>
    <row r="54" spans="1:7" ht="16.5" thickTop="1">
      <c r="A54" s="11"/>
      <c r="B54" s="11"/>
      <c r="C54" s="95"/>
      <c r="E54" s="146"/>
      <c r="G54" s="123"/>
    </row>
    <row r="55" ht="14.25" customHeight="1" hidden="1">
      <c r="G55" s="125"/>
    </row>
    <row r="56" spans="1:5" ht="29.25" customHeight="1">
      <c r="A56" s="169" t="s">
        <v>111</v>
      </c>
      <c r="B56" s="169"/>
      <c r="C56" s="169"/>
      <c r="D56" s="169"/>
      <c r="E56" s="169"/>
    </row>
  </sheetData>
  <mergeCells count="2">
    <mergeCell ref="A1:C1"/>
    <mergeCell ref="A56:E56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88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2005-06-29T08:57:05Z</cp:lastPrinted>
  <dcterms:created xsi:type="dcterms:W3CDTF">2002-11-28T03:19:13Z</dcterms:created>
  <dcterms:modified xsi:type="dcterms:W3CDTF">2005-06-29T08:57:22Z</dcterms:modified>
  <cp:category/>
  <cp:version/>
  <cp:contentType/>
  <cp:contentStatus/>
</cp:coreProperties>
</file>