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965" activeTab="3"/>
  </bookViews>
  <sheets>
    <sheet name="PL" sheetId="1" r:id="rId1"/>
    <sheet name="BS" sheetId="2" r:id="rId2"/>
    <sheet name="CASHFLOW-SUMMARY" sheetId="3" r:id="rId3"/>
    <sheet name="EQUITY CHANGES" sheetId="4" r:id="rId4"/>
    <sheet name="CASHFLOW" sheetId="5" r:id="rId5"/>
  </sheets>
  <definedNames>
    <definedName name="_xlnm.Print_Area" localSheetId="1">'BS'!$A$1:$J$57</definedName>
    <definedName name="_xlnm.Print_Area" localSheetId="4">'CASHFLOW'!$A$1:$K$87</definedName>
    <definedName name="_xlnm.Print_Area" localSheetId="2">'CASHFLOW-SUMMARY'!$A$1:$J$54</definedName>
    <definedName name="_xlnm.Print_Area" localSheetId="3">'EQUITY CHANGES'!$A$1:$L$62</definedName>
    <definedName name="_xlnm.Print_Area" localSheetId="0">'PL'!$A$1:$K$50</definedName>
  </definedNames>
  <calcPr fullCalcOnLoad="1"/>
</workbook>
</file>

<file path=xl/sharedStrings.xml><?xml version="1.0" encoding="utf-8"?>
<sst xmlns="http://schemas.openxmlformats.org/spreadsheetml/2006/main" count="429" uniqueCount="286">
  <si>
    <t>CURRENT</t>
  </si>
  <si>
    <t>QUARTER</t>
  </si>
  <si>
    <t>TO DATE</t>
  </si>
  <si>
    <t>RM'000</t>
  </si>
  <si>
    <t>( AUDITED )</t>
  </si>
  <si>
    <t>AS AT</t>
  </si>
  <si>
    <t>Current Assets</t>
  </si>
  <si>
    <t xml:space="preserve">     Financing Receivables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</si>
  <si>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</si>
  <si>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</si>
  <si>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</si>
  <si>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</si>
  <si>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</si>
  <si>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</si>
  <si>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</si>
  <si>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</si>
  <si>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NTA per share</t>
  </si>
  <si>
    <t>1</t>
  </si>
  <si>
    <t>2</t>
  </si>
  <si>
    <t>UMW HOLDINGS BERHAD</t>
  </si>
  <si>
    <t>ENDED</t>
  </si>
  <si>
    <t>Dividend</t>
  </si>
  <si>
    <t>Revenue</t>
  </si>
  <si>
    <t xml:space="preserve">     Inventories</t>
  </si>
  <si>
    <t xml:space="preserve">     Trade Receivables</t>
  </si>
  <si>
    <t xml:space="preserve">     Trade Payables</t>
  </si>
  <si>
    <t xml:space="preserve">     Other Payables</t>
  </si>
  <si>
    <t>Deferred Taxation</t>
  </si>
  <si>
    <t xml:space="preserve">     Short Term Borrowings</t>
  </si>
  <si>
    <t>30/09/01</t>
  </si>
  <si>
    <t>Assets employed</t>
  </si>
  <si>
    <t>31/12/01</t>
  </si>
  <si>
    <t>Taxation</t>
  </si>
  <si>
    <t>(COMPANY NO : 90278-P)</t>
  </si>
  <si>
    <t>(INCORPORATED IN MALAYSIA)</t>
  </si>
  <si>
    <t xml:space="preserve">            UMW HOLDINGS BERHAD</t>
  </si>
  <si>
    <t>Operating Expenses</t>
  </si>
  <si>
    <t>Net profit for the period</t>
  </si>
  <si>
    <t>CONDENSED CONSOLIDATED BALANCE SHEET</t>
  </si>
  <si>
    <t xml:space="preserve">     Other Receivables</t>
  </si>
  <si>
    <t xml:space="preserve">     Taxation</t>
  </si>
  <si>
    <t>Reserve</t>
  </si>
  <si>
    <t xml:space="preserve">Translation of foreign subsidiaries </t>
  </si>
  <si>
    <t>Exercise of warrants</t>
  </si>
  <si>
    <t>Balance at end of period</t>
  </si>
  <si>
    <t>for the year ended 31st December 2001)</t>
  </si>
  <si>
    <t>(The Condensed Consolidated Balance Sheet should be read in conjunction with the Annual Financial Report</t>
  </si>
  <si>
    <t>Net profit before taxation</t>
  </si>
  <si>
    <t>Operating profit before working capital changes</t>
  </si>
  <si>
    <t xml:space="preserve">Changes in working capital </t>
  </si>
  <si>
    <t xml:space="preserve">   Net change in current assets</t>
  </si>
  <si>
    <t xml:space="preserve">   Net change in current liabilities</t>
  </si>
  <si>
    <t>Net cash generated from operating activities</t>
  </si>
  <si>
    <t>CASHFLOW FROM INVESTING ACTIVITIES</t>
  </si>
  <si>
    <t>Net cash generated from investing activities</t>
  </si>
  <si>
    <t>CASHFLOW FROM FINANCING ACTIVITIES</t>
  </si>
  <si>
    <t>Net cash generated from financing activities</t>
  </si>
  <si>
    <t>NET INCREASE / DECREASE IN CASH AND CASH EQUIVALENT</t>
  </si>
  <si>
    <t>CASH AND CASH EQUIVALENTS AT 1ST JANUARY 2002</t>
  </si>
  <si>
    <t>CASHFLOW FROM OPERATING ACTIVITIES</t>
  </si>
  <si>
    <t>Adjustment for:</t>
  </si>
  <si>
    <t>Reconciliation items</t>
  </si>
  <si>
    <t>Fixed assets</t>
  </si>
  <si>
    <t>Opening balance</t>
  </si>
  <si>
    <t>Less : Disposal</t>
  </si>
  <si>
    <t xml:space="preserve">           Depreciation</t>
  </si>
  <si>
    <t>Closing balance</t>
  </si>
  <si>
    <t>Add : Increase</t>
  </si>
  <si>
    <t>Less : Decrease</t>
  </si>
  <si>
    <t xml:space="preserve">           Dividend</t>
  </si>
  <si>
    <t>3.</t>
  </si>
  <si>
    <t>4.</t>
  </si>
  <si>
    <t>Long-Term Borrowing</t>
  </si>
  <si>
    <t>Minority Interest</t>
  </si>
  <si>
    <t xml:space="preserve">           Taxation</t>
  </si>
  <si>
    <t>Less : Increase / (Decrease)</t>
  </si>
  <si>
    <t>Less : From Associate Cos</t>
  </si>
  <si>
    <t>Less : Payment - Cash</t>
  </si>
  <si>
    <t>Add : Increase - Cash</t>
  </si>
  <si>
    <t>Less : MI On dividend</t>
  </si>
  <si>
    <t>Add : Purchases - Cash</t>
  </si>
  <si>
    <t>Goodwill</t>
  </si>
  <si>
    <t>Less : Charged to P/L</t>
  </si>
  <si>
    <t>Add : Increase-Cash</t>
  </si>
  <si>
    <t>Add : Increase-P/L</t>
  </si>
  <si>
    <t xml:space="preserve">           Elimination</t>
  </si>
  <si>
    <t>Investment in Assoc &amp; Others</t>
  </si>
  <si>
    <t>Opening balance - Inventories/Trade, Financing &amp; Other Rec</t>
  </si>
  <si>
    <t>Closing balance - Inventories/Trade, Financing &amp; Other Rec</t>
  </si>
  <si>
    <t>Increase / (Decrease)</t>
  </si>
  <si>
    <t>CR</t>
  </si>
  <si>
    <t>Cash statement</t>
  </si>
  <si>
    <t>Opening balance - Trade/Other</t>
  </si>
  <si>
    <t>DR</t>
  </si>
  <si>
    <t>Short-Term Borrowings</t>
  </si>
  <si>
    <t>5.</t>
  </si>
  <si>
    <t>6.</t>
  </si>
  <si>
    <t>Proposed Dividend</t>
  </si>
  <si>
    <t>7.</t>
  </si>
  <si>
    <t>8.</t>
  </si>
  <si>
    <t>Cash Statement</t>
  </si>
  <si>
    <t>9.</t>
  </si>
  <si>
    <t>10.</t>
  </si>
  <si>
    <t>11.</t>
  </si>
  <si>
    <t>12.</t>
  </si>
  <si>
    <t>Add/(Less) : Charged to P/L</t>
  </si>
  <si>
    <t>Add : Increase as per P/L</t>
  </si>
  <si>
    <t>13.</t>
  </si>
  <si>
    <t>14.</t>
  </si>
  <si>
    <t>CUMULATIVE</t>
  </si>
  <si>
    <t>COMPARATIVE</t>
  </si>
  <si>
    <t xml:space="preserve">  Non-operating items</t>
  </si>
  <si>
    <t>Net cash flows from operating activities</t>
  </si>
  <si>
    <t xml:space="preserve">  Other investment</t>
  </si>
  <si>
    <t>Net cash flows from investing activities</t>
  </si>
  <si>
    <t>Net cash flows from financing activities</t>
  </si>
  <si>
    <t>Balance as at 1st January 2002</t>
  </si>
  <si>
    <t xml:space="preserve">     Bank Overdrafts</t>
  </si>
  <si>
    <t>Investments</t>
  </si>
  <si>
    <t>Land Held For Development</t>
  </si>
  <si>
    <t>Long Term Liabilities</t>
  </si>
  <si>
    <t>Balance as at 1st January 2001</t>
  </si>
  <si>
    <t>9 MONTHS</t>
  </si>
  <si>
    <t>Reserves On Consolidation</t>
  </si>
  <si>
    <t xml:space="preserve">  Transactions with owners as owners</t>
  </si>
  <si>
    <t xml:space="preserve">  Bank borrowings</t>
  </si>
  <si>
    <t>Less : Increase of additional 5% investment in Seabanc Kredit</t>
  </si>
  <si>
    <t xml:space="preserve">       - amortisation of goodwill</t>
  </si>
  <si>
    <t xml:space="preserve">       - bad debts written-off</t>
  </si>
  <si>
    <t xml:space="preserve">       - depreciation</t>
  </si>
  <si>
    <t xml:space="preserve">       - provision for bad &amp; doubtful debts</t>
  </si>
  <si>
    <t xml:space="preserve">       - share of profits retained in Assoc Cos</t>
  </si>
  <si>
    <t xml:space="preserve">       - Unrealised exchange loss</t>
  </si>
  <si>
    <t xml:space="preserve">       - interest income</t>
  </si>
  <si>
    <t xml:space="preserve">       - others (balancing amount)</t>
  </si>
  <si>
    <t xml:space="preserve">       - purchase of fixed assets</t>
  </si>
  <si>
    <t xml:space="preserve">       - interest received</t>
  </si>
  <si>
    <t xml:space="preserve">       - dividend received</t>
  </si>
  <si>
    <t xml:space="preserve">       - proceeds from disposal of fixed assets</t>
  </si>
  <si>
    <t xml:space="preserve">       - dividend received from Assoc Cos</t>
  </si>
  <si>
    <t xml:space="preserve">       - net drawdown/(repayment) of short term loans</t>
  </si>
  <si>
    <t xml:space="preserve">       - net drawdown/(repayment) of long term loans</t>
  </si>
  <si>
    <t xml:space="preserve">       - proceeds from issue of shares</t>
  </si>
  <si>
    <t xml:space="preserve">       - dividends paid</t>
  </si>
  <si>
    <t xml:space="preserve">       - dividends paid to minority interest</t>
  </si>
  <si>
    <t>15</t>
  </si>
  <si>
    <t>16</t>
  </si>
  <si>
    <t>Unrealised exchange loss</t>
  </si>
  <si>
    <t xml:space="preserve">   - UMW Equipment</t>
  </si>
  <si>
    <t>Purchase of fixed assets</t>
  </si>
  <si>
    <t>17</t>
  </si>
  <si>
    <t>Proceeds from sale of fixed assets</t>
  </si>
  <si>
    <t xml:space="preserve">   - UMW EM</t>
  </si>
  <si>
    <t xml:space="preserve">   - UMW Niugini</t>
  </si>
  <si>
    <t xml:space="preserve">   - UMW Solomon Island</t>
  </si>
  <si>
    <t xml:space="preserve">   - UMW Industries (1985)</t>
  </si>
  <si>
    <t xml:space="preserve">   - UMW Industrial Power</t>
  </si>
  <si>
    <t xml:space="preserve">   - UMW Auto Parts</t>
  </si>
  <si>
    <t xml:space="preserve">   - Kayaba (M)</t>
  </si>
  <si>
    <t xml:space="preserve">   - Kayaba Hydraulic</t>
  </si>
  <si>
    <t xml:space="preserve">   - Lubetech</t>
  </si>
  <si>
    <t xml:space="preserve">   -  UMW Engineering</t>
  </si>
  <si>
    <t xml:space="preserve">   - UMW Toyota Capital</t>
  </si>
  <si>
    <t xml:space="preserve">   - UET</t>
  </si>
  <si>
    <t xml:space="preserve">   - UMW EEPL</t>
  </si>
  <si>
    <t xml:space="preserve">   - Petrodril (M)</t>
  </si>
  <si>
    <t xml:space="preserve">   - UMW Corporation</t>
  </si>
  <si>
    <t xml:space="preserve">   - UMW Toyota Motor Group</t>
  </si>
  <si>
    <t xml:space="preserve">       - gain on disposal of fixed assets</t>
  </si>
  <si>
    <t xml:space="preserve">       - dividend income</t>
  </si>
  <si>
    <t xml:space="preserve">   - UMW PNSB</t>
  </si>
  <si>
    <t xml:space="preserve">Exercise of share options </t>
  </si>
  <si>
    <t xml:space="preserve">  Equity investment - 5% in Seabanc Kredit</t>
  </si>
  <si>
    <t xml:space="preserve">       - net cash outflow from acquisition of Petrodril</t>
  </si>
  <si>
    <t xml:space="preserve">   Non-cash items</t>
  </si>
  <si>
    <t xml:space="preserve">   Non-operating items</t>
  </si>
  <si>
    <t xml:space="preserve">  Equity investment</t>
  </si>
  <si>
    <t xml:space="preserve">       - acquisition of additional 5% interest in S. Kredit</t>
  </si>
  <si>
    <t>Less : Charged to P/L (Payment)</t>
  </si>
  <si>
    <t>Net Tangible Assets Per Share  (RM)</t>
  </si>
  <si>
    <t>(The Condensed Consolidated Cash Flow Statement should be read in conjunction with the Annual Financial Report</t>
  </si>
  <si>
    <t>INTERIM FINANCIAL REPORT ON CONSOLIDATED RESULTS FOR THE FOURTH QUARTER ENDED 31ST DECEMBER 2002</t>
  </si>
  <si>
    <t>12 MONTHS</t>
  </si>
  <si>
    <t>4TH QTR</t>
  </si>
  <si>
    <t>UNAUDITED</t>
  </si>
  <si>
    <t>CONDENSED CONSOLIDATED CASH FLOW STATEMENT FOR THE PERIOD ENDED 31ST DECEMBER 2002</t>
  </si>
  <si>
    <t>12 MONTHS ENDED</t>
  </si>
  <si>
    <t>CASH AND CASH EQUIVALENTS AT 31ST DECEMBER 2002</t>
  </si>
  <si>
    <t xml:space="preserve">   - UMW Niugini/Solomon Island</t>
  </si>
  <si>
    <t xml:space="preserve">   - Kayaba</t>
  </si>
  <si>
    <t>18</t>
  </si>
  <si>
    <t>Stock writedown</t>
  </si>
  <si>
    <t xml:space="preserve">   - UMW Solomon</t>
  </si>
  <si>
    <t xml:space="preserve">   - UMW Ind Power</t>
  </si>
  <si>
    <t xml:space="preserve">   - UMW Toyota</t>
  </si>
  <si>
    <t xml:space="preserve">       - stock write down</t>
  </si>
  <si>
    <t xml:space="preserve">       - subordinated loan written-off</t>
  </si>
  <si>
    <t xml:space="preserve">       - VSS and compensation for loss of employment</t>
  </si>
  <si>
    <t xml:space="preserve">Change in accounting policy with </t>
  </si>
  <si>
    <t xml:space="preserve">  respect to proposed dividend</t>
  </si>
  <si>
    <t xml:space="preserve">  representing gains not recognised</t>
  </si>
  <si>
    <t xml:space="preserve">  in income statement</t>
  </si>
  <si>
    <t xml:space="preserve">       - loss on consolidation</t>
  </si>
  <si>
    <t xml:space="preserve">   - Specific provision at group level</t>
  </si>
  <si>
    <t xml:space="preserve">       - provision for diminution in value of quoted shares</t>
  </si>
  <si>
    <t xml:space="preserve">       - net advance from Assoc Companies</t>
  </si>
  <si>
    <t>Effects of exchange rate changes</t>
  </si>
  <si>
    <t xml:space="preserve">       - provision for liabilities</t>
  </si>
  <si>
    <t xml:space="preserve">Stock </t>
  </si>
  <si>
    <t xml:space="preserve">Trade &amp; Financing receivable </t>
  </si>
  <si>
    <t xml:space="preserve">Petrodril </t>
  </si>
  <si>
    <t xml:space="preserve">Total trade debtors </t>
  </si>
  <si>
    <t xml:space="preserve">Other receivale </t>
  </si>
  <si>
    <t xml:space="preserve">Conso Adj </t>
  </si>
  <si>
    <t xml:space="preserve">Inventory </t>
  </si>
  <si>
    <t>Bal @31/12/02</t>
  </si>
  <si>
    <t xml:space="preserve">Stock write down </t>
  </si>
  <si>
    <t>Bal @1/01/02</t>
  </si>
  <si>
    <t xml:space="preserve">In flow of  cash </t>
  </si>
  <si>
    <t>Payment from DT</t>
  </si>
  <si>
    <t>Petrodril (8230-80)</t>
  </si>
  <si>
    <t>Gain from disposal of FA</t>
  </si>
  <si>
    <t xml:space="preserve">Loss from disposal of FA </t>
  </si>
  <si>
    <t xml:space="preserve">NBV of FA disposed off </t>
  </si>
  <si>
    <t>Interest paid</t>
  </si>
  <si>
    <t>Balance b/f</t>
  </si>
  <si>
    <t>Interest charged</t>
  </si>
  <si>
    <t>Balance c/f</t>
  </si>
  <si>
    <t>Non cash item</t>
  </si>
  <si>
    <t>2001 paid in 2002</t>
  </si>
  <si>
    <t xml:space="preserve">       - fixed assets written-off/assets impairment</t>
  </si>
  <si>
    <t xml:space="preserve">       - net accrued interest</t>
  </si>
  <si>
    <t>19</t>
  </si>
  <si>
    <t xml:space="preserve">  Adjustment for Non-cash items</t>
  </si>
  <si>
    <t xml:space="preserve">          Trade debtors</t>
  </si>
  <si>
    <t xml:space="preserve">          Other debtors</t>
  </si>
  <si>
    <t xml:space="preserve">          Stock</t>
  </si>
  <si>
    <t xml:space="preserve">          Trade creditors</t>
  </si>
  <si>
    <t xml:space="preserve">          Other creditors</t>
  </si>
  <si>
    <t xml:space="preserve">          Interest paid - 2001</t>
  </si>
  <si>
    <t xml:space="preserve">          Taxation</t>
  </si>
  <si>
    <t xml:space="preserve">          Retirement benefits/warranty</t>
  </si>
  <si>
    <t xml:space="preserve">   - Others (balancing figures)</t>
  </si>
  <si>
    <t xml:space="preserve">           Fixed assets written-off</t>
  </si>
  <si>
    <t xml:space="preserve">  Proceeds from issue of shares</t>
  </si>
  <si>
    <t xml:space="preserve">  Dividends paid </t>
  </si>
  <si>
    <t xml:space="preserve">   - UMW Auto Parts (Thailand)</t>
  </si>
  <si>
    <t>(COMPANY NO. 90278-P)</t>
  </si>
  <si>
    <t>CONDENSED CONSOLIDATED INCOME STATEMENT</t>
  </si>
  <si>
    <t>31/12/2002</t>
  </si>
  <si>
    <t>31/12/2001</t>
  </si>
  <si>
    <t>Other Operating Income</t>
  </si>
  <si>
    <t>Profit From Operations</t>
  </si>
  <si>
    <t>Finance Costs</t>
  </si>
  <si>
    <t>Share Of Profits/(Loss) Of Associated Companies</t>
  </si>
  <si>
    <t>Profit Before Taxation</t>
  </si>
  <si>
    <t>Profit After Taxation</t>
  </si>
  <si>
    <t>Net Profit For The Period</t>
  </si>
  <si>
    <t>Earnings Per Share - Basic (Sen)</t>
  </si>
  <si>
    <t>Property, Plant And Equipment</t>
  </si>
  <si>
    <t>Goodwill On Consolidation</t>
  </si>
  <si>
    <t xml:space="preserve">     Cash And Bank Balances</t>
  </si>
  <si>
    <t>(UNAUDITED)</t>
  </si>
  <si>
    <t>NET INCREASE/(DECREASE) IN CASH AND CASH EQUIVALENT</t>
  </si>
  <si>
    <t>12 MONTHS PERIOD ENDED                  31ST DECEMBER 2002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</si>
  <si>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</si>
  <si>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</si>
  <si>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</si>
  <si>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</si>
  <si>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</si>
  <si>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</si>
  <si>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</si>
  <si>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PROFITS</t>
  </si>
  <si>
    <t>TOTAL</t>
  </si>
  <si>
    <t>CONDENSED CONSOLIDATED STATEMENT OF CHANGES IN EQUITY FOR THE PERIOD ENDED 31ST DECEMBER 2002</t>
  </si>
  <si>
    <t xml:space="preserve">(COMPANY NO. 90278-P) </t>
  </si>
  <si>
    <t>12 MONTHS PERIOD ENDED                  31ST DECEMBER 2001</t>
  </si>
  <si>
    <t>(AUDITED)</t>
  </si>
  <si>
    <t>(THE FIGURES HAVE NOT BEEN AUDITED)</t>
  </si>
  <si>
    <t>(The Condensed Consolidated Income Statement should be read in conjunction with the Annual Financial Report for the year ended</t>
  </si>
  <si>
    <t>31st December 2001)</t>
  </si>
  <si>
    <t>(The Condensed Consolidated Statement of Changes in Equity should be read in conjunction with the Annual Financial Report for the</t>
  </si>
  <si>
    <t>year ended 31st December 2001)</t>
  </si>
  <si>
    <t xml:space="preserve">                                 - Fully Diluted (Sen)</t>
  </si>
  <si>
    <t>Other Investment Income</t>
  </si>
  <si>
    <t xml:space="preserve">  representing losses not recognised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</si>
</sst>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%"/>
    <numFmt numFmtId="178" formatCode="_(* #,##0.000000_);_(* \(#,##0.000000\);_(* &quot;-&quot;??_);_(@_)"/>
    <numFmt numFmtId="179" formatCode="_(* #,##0.0000000_);_(* \(#,##0.000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7" fillId="0" borderId="0" xfId="15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4" fillId="0" borderId="2" xfId="15" applyNumberFormat="1" applyFont="1" applyBorder="1" applyAlignment="1">
      <alignment/>
    </xf>
    <xf numFmtId="173" fontId="7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173" fontId="4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 quotePrefix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 quotePrefix="1">
      <alignment horizontal="center"/>
    </xf>
    <xf numFmtId="178" fontId="0" fillId="0" borderId="0" xfId="15" applyNumberFormat="1" applyAlignment="1">
      <alignment/>
    </xf>
    <xf numFmtId="175" fontId="5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73" fontId="11" fillId="0" borderId="0" xfId="15" applyNumberFormat="1" applyFont="1" applyAlignment="1">
      <alignment/>
    </xf>
    <xf numFmtId="173" fontId="12" fillId="0" borderId="0" xfId="15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/>
    </xf>
    <xf numFmtId="173" fontId="11" fillId="0" borderId="0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1" xfId="15" applyNumberFormat="1" applyFont="1" applyBorder="1" applyAlignment="1">
      <alignment/>
    </xf>
    <xf numFmtId="171" fontId="11" fillId="0" borderId="4" xfId="15" applyNumberFormat="1" applyFont="1" applyBorder="1" applyAlignment="1" quotePrefix="1">
      <alignment/>
    </xf>
    <xf numFmtId="171" fontId="11" fillId="0" borderId="4" xfId="15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3" fontId="7" fillId="0" borderId="0" xfId="15" applyNumberFormat="1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3" fontId="7" fillId="0" borderId="0" xfId="15" applyNumberFormat="1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173" fontId="7" fillId="0" borderId="0" xfId="15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7" fillId="0" borderId="0" xfId="15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3" fontId="11" fillId="0" borderId="0" xfId="15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3" fontId="11" fillId="0" borderId="0" xfId="15" applyNumberFormat="1" applyFont="1" applyBorder="1" applyAlignment="1" quotePrefix="1">
      <alignment horizontal="centerContinuous" vertical="center"/>
    </xf>
    <xf numFmtId="0" fontId="13" fillId="0" borderId="0" xfId="0" applyFont="1" applyBorder="1" applyAlignment="1">
      <alignment vertical="center"/>
    </xf>
    <xf numFmtId="173" fontId="11" fillId="0" borderId="5" xfId="15" applyNumberFormat="1" applyFont="1" applyBorder="1" applyAlignment="1">
      <alignment vertical="center"/>
    </xf>
    <xf numFmtId="173" fontId="11" fillId="0" borderId="6" xfId="15" applyNumberFormat="1" applyFont="1" applyBorder="1" applyAlignment="1">
      <alignment vertical="center"/>
    </xf>
    <xf numFmtId="173" fontId="11" fillId="0" borderId="1" xfId="15" applyNumberFormat="1" applyFont="1" applyBorder="1" applyAlignment="1">
      <alignment vertical="center"/>
    </xf>
    <xf numFmtId="173" fontId="11" fillId="0" borderId="4" xfId="15" applyNumberFormat="1" applyFont="1" applyBorder="1" applyAlignment="1">
      <alignment vertical="center"/>
    </xf>
    <xf numFmtId="0" fontId="11" fillId="0" borderId="0" xfId="0" applyFont="1" applyAlignment="1" quotePrefix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3" fontId="11" fillId="0" borderId="1" xfId="15" applyNumberFormat="1" applyFont="1" applyBorder="1" applyAlignment="1" quotePrefix="1">
      <alignment horizontal="centerContinuous" vertical="center"/>
    </xf>
    <xf numFmtId="173" fontId="11" fillId="0" borderId="5" xfId="15" applyNumberFormat="1" applyFont="1" applyBorder="1" applyAlignment="1" quotePrefix="1">
      <alignment horizontal="centerContinuous" vertical="center"/>
    </xf>
    <xf numFmtId="173" fontId="11" fillId="0" borderId="7" xfId="15" applyNumberFormat="1" applyFont="1" applyBorder="1" applyAlignment="1">
      <alignment vertical="center"/>
    </xf>
    <xf numFmtId="171" fontId="11" fillId="0" borderId="0" xfId="15" applyNumberFormat="1" applyFont="1" applyBorder="1" applyAlignment="1" quotePrefix="1">
      <alignment/>
    </xf>
    <xf numFmtId="171" fontId="11" fillId="0" borderId="0" xfId="15" applyNumberFormat="1" applyFont="1" applyBorder="1" applyAlignment="1">
      <alignment horizontal="right"/>
    </xf>
    <xf numFmtId="173" fontId="4" fillId="0" borderId="0" xfId="15" applyNumberFormat="1" applyFont="1" applyBorder="1" applyAlignment="1">
      <alignment vertical="center"/>
    </xf>
    <xf numFmtId="0" fontId="11" fillId="0" borderId="4" xfId="0" applyFont="1" applyBorder="1" applyAlignment="1">
      <alignment/>
    </xf>
    <xf numFmtId="2" fontId="11" fillId="0" borderId="4" xfId="0" applyNumberFormat="1" applyFont="1" applyBorder="1" applyAlignment="1">
      <alignment/>
    </xf>
    <xf numFmtId="173" fontId="4" fillId="0" borderId="0" xfId="15" applyNumberFormat="1" applyFont="1" applyBorder="1" applyAlignment="1" quotePrefix="1">
      <alignment horizontal="centerContinuous" vertical="center"/>
    </xf>
    <xf numFmtId="0" fontId="5" fillId="0" borderId="0" xfId="0" applyFont="1" applyBorder="1" applyAlignment="1">
      <alignment vertical="center"/>
    </xf>
    <xf numFmtId="173" fontId="5" fillId="0" borderId="0" xfId="15" applyNumberFormat="1" applyFont="1" applyBorder="1" applyAlignment="1">
      <alignment horizontal="center" vertical="center"/>
    </xf>
    <xf numFmtId="173" fontId="5" fillId="0" borderId="0" xfId="15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3" fontId="4" fillId="0" borderId="1" xfId="15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3" fontId="4" fillId="0" borderId="4" xfId="15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 indent="2"/>
    </xf>
    <xf numFmtId="173" fontId="5" fillId="0" borderId="0" xfId="15" applyNumberFormat="1" applyFont="1" applyBorder="1" applyAlignment="1">
      <alignment horizontal="centerContinuous" vertical="center"/>
    </xf>
    <xf numFmtId="173" fontId="5" fillId="0" borderId="0" xfId="15" applyNumberFormat="1" applyFont="1" applyBorder="1" applyAlignment="1" quotePrefix="1">
      <alignment horizontal="centerContinuous" vertical="center"/>
    </xf>
    <xf numFmtId="173" fontId="4" fillId="0" borderId="1" xfId="15" applyNumberFormat="1" applyFont="1" applyBorder="1" applyAlignment="1" quotePrefix="1">
      <alignment vertical="center"/>
    </xf>
    <xf numFmtId="173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7" fillId="0" borderId="0" xfId="15" applyNumberFormat="1" applyFont="1" applyAlignment="1" quotePrefix="1">
      <alignment/>
    </xf>
    <xf numFmtId="0" fontId="7" fillId="0" borderId="0" xfId="0" applyFont="1" applyAlignment="1">
      <alignment wrapText="1"/>
    </xf>
    <xf numFmtId="173" fontId="7" fillId="0" borderId="0" xfId="15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32">
      <selection activeCell="A1" sqref="A1:K50"/>
    </sheetView>
  </sheetViews>
  <sheetFormatPr defaultColWidth="9.140625" defaultRowHeight="12.75"/>
  <cols>
    <col min="1" max="1" width="2.7109375" style="0" customWidth="1"/>
    <col min="2" max="2" width="37.7109375" style="0" customWidth="1"/>
    <col min="3" max="3" width="1.57421875" style="0" customWidth="1"/>
    <col min="4" max="4" width="12.7109375" style="14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14" customWidth="1"/>
    <col min="9" max="9" width="2.140625" style="0" customWidth="1"/>
    <col min="10" max="10" width="12.7109375" style="0" customWidth="1"/>
    <col min="11" max="11" width="2.28125" style="0" customWidth="1"/>
    <col min="14" max="15" width="12.7109375" style="0" customWidth="1"/>
    <col min="16" max="16" width="12.7109375" style="41" customWidth="1"/>
  </cols>
  <sheetData>
    <row r="1" spans="1:16" s="6" customFormat="1" ht="18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N1" s="19"/>
      <c r="O1" s="19"/>
      <c r="P1" s="7"/>
    </row>
    <row r="2" spans="1:16" s="3" customFormat="1" ht="11.25" customHeight="1">
      <c r="A2" s="103" t="s">
        <v>247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N2" s="15"/>
      <c r="O2" s="15"/>
      <c r="P2" s="7"/>
    </row>
    <row r="3" spans="1:16" s="3" customFormat="1" ht="10.5" customHeight="1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P3" s="7"/>
    </row>
    <row r="4" spans="3:16" s="3" customFormat="1" ht="6" customHeight="1">
      <c r="C4" s="29"/>
      <c r="D4" s="22"/>
      <c r="E4" s="22"/>
      <c r="F4" s="22"/>
      <c r="H4" s="10"/>
      <c r="P4" s="7"/>
    </row>
    <row r="5" spans="1:16" s="2" customFormat="1" ht="12.75">
      <c r="A5" s="104" t="s">
        <v>181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N5" s="16"/>
      <c r="O5" s="16"/>
      <c r="P5" s="7"/>
    </row>
    <row r="6" spans="2:15" s="7" customFormat="1" ht="12">
      <c r="B6" s="17" t="s">
        <v>278</v>
      </c>
      <c r="C6" s="17"/>
      <c r="D6" s="18"/>
      <c r="E6" s="17"/>
      <c r="F6" s="17"/>
      <c r="G6" s="17"/>
      <c r="H6" s="18"/>
      <c r="I6" s="17"/>
      <c r="J6" s="17"/>
      <c r="N6" s="17"/>
      <c r="O6" s="17"/>
    </row>
    <row r="7" spans="4:16" s="2" customFormat="1" ht="12.75">
      <c r="D7" s="8"/>
      <c r="H7" s="8"/>
      <c r="P7" s="7"/>
    </row>
    <row r="8" spans="4:16" s="2" customFormat="1" ht="12.75">
      <c r="D8" s="8"/>
      <c r="H8" s="8"/>
      <c r="P8" s="7"/>
    </row>
    <row r="9" spans="4:16" s="2" customFormat="1" ht="12.75">
      <c r="D9" s="8"/>
      <c r="H9" s="8"/>
      <c r="P9" s="7"/>
    </row>
    <row r="10" spans="2:8" s="7" customFormat="1" ht="12" customHeight="1">
      <c r="B10" s="7" t="s">
        <v>248</v>
      </c>
      <c r="D10" s="9"/>
      <c r="H10" s="9"/>
    </row>
    <row r="11" spans="3:15" s="7" customFormat="1" ht="10.5" customHeight="1">
      <c r="C11" s="17"/>
      <c r="D11" s="17"/>
      <c r="E11" s="17"/>
      <c r="F11" s="17"/>
      <c r="G11" s="17"/>
      <c r="H11" s="17"/>
      <c r="I11" s="17"/>
      <c r="J11" s="68" t="s">
        <v>110</v>
      </c>
      <c r="K11" s="17"/>
      <c r="N11" s="68" t="s">
        <v>184</v>
      </c>
      <c r="O11" s="17"/>
    </row>
    <row r="12" spans="4:15" s="7" customFormat="1" ht="10.5" customHeight="1">
      <c r="D12" s="18" t="s">
        <v>0</v>
      </c>
      <c r="E12" s="24"/>
      <c r="F12" s="17" t="s">
        <v>110</v>
      </c>
      <c r="G12" s="24"/>
      <c r="H12" s="46" t="s">
        <v>182</v>
      </c>
      <c r="I12" s="24"/>
      <c r="J12" s="46" t="str">
        <f>+H12</f>
        <v>12 MONTHS</v>
      </c>
      <c r="N12" s="46" t="s">
        <v>182</v>
      </c>
      <c r="O12" s="46" t="s">
        <v>122</v>
      </c>
    </row>
    <row r="13" spans="4:15" s="7" customFormat="1" ht="10.5" customHeight="1">
      <c r="D13" s="18" t="s">
        <v>1</v>
      </c>
      <c r="E13" s="24"/>
      <c r="F13" s="17" t="s">
        <v>1</v>
      </c>
      <c r="G13" s="24"/>
      <c r="H13" s="18" t="s">
        <v>109</v>
      </c>
      <c r="I13" s="24"/>
      <c r="J13" s="18" t="s">
        <v>109</v>
      </c>
      <c r="N13" s="18" t="s">
        <v>109</v>
      </c>
      <c r="O13" s="18" t="s">
        <v>109</v>
      </c>
    </row>
    <row r="14" spans="4:16" s="7" customFormat="1" ht="10.5" customHeight="1">
      <c r="D14" s="18" t="s">
        <v>20</v>
      </c>
      <c r="E14" s="24"/>
      <c r="F14" s="17" t="s">
        <v>20</v>
      </c>
      <c r="G14" s="24"/>
      <c r="H14" s="18" t="s">
        <v>2</v>
      </c>
      <c r="I14" s="24"/>
      <c r="J14" s="18" t="s">
        <v>2</v>
      </c>
      <c r="N14" s="18" t="s">
        <v>2</v>
      </c>
      <c r="O14" s="18" t="s">
        <v>2</v>
      </c>
      <c r="P14" s="18" t="s">
        <v>183</v>
      </c>
    </row>
    <row r="15" spans="4:16" s="7" customFormat="1" ht="10.5" customHeight="1">
      <c r="D15" s="46" t="s">
        <v>249</v>
      </c>
      <c r="E15" s="24"/>
      <c r="F15" s="47" t="s">
        <v>250</v>
      </c>
      <c r="G15" s="24"/>
      <c r="H15" s="46" t="str">
        <f>+D15</f>
        <v>31/12/2002</v>
      </c>
      <c r="I15" s="24"/>
      <c r="J15" s="47" t="str">
        <f>+F15</f>
        <v>31/12/2001</v>
      </c>
      <c r="N15" s="47" t="s">
        <v>31</v>
      </c>
      <c r="O15" s="47" t="s">
        <v>29</v>
      </c>
      <c r="P15" s="46" t="s">
        <v>31</v>
      </c>
    </row>
    <row r="16" spans="4:16" s="7" customFormat="1" ht="10.5" customHeight="1">
      <c r="D16" s="18" t="s">
        <v>3</v>
      </c>
      <c r="E16" s="24"/>
      <c r="F16" s="17" t="s">
        <v>3</v>
      </c>
      <c r="G16" s="24"/>
      <c r="H16" s="18" t="s">
        <v>3</v>
      </c>
      <c r="I16" s="24"/>
      <c r="J16" s="18" t="s">
        <v>3</v>
      </c>
      <c r="N16" s="18" t="s">
        <v>3</v>
      </c>
      <c r="O16" s="18" t="s">
        <v>3</v>
      </c>
      <c r="P16" s="17" t="s">
        <v>3</v>
      </c>
    </row>
    <row r="17" spans="10:15" ht="7.5" customHeight="1">
      <c r="J17" s="14"/>
      <c r="N17" s="14"/>
      <c r="O17" s="14"/>
    </row>
    <row r="18" spans="1:16" s="41" customFormat="1" ht="12">
      <c r="A18" s="40"/>
      <c r="B18" s="41" t="s">
        <v>22</v>
      </c>
      <c r="D18" s="39">
        <v>1060758</v>
      </c>
      <c r="F18" s="39">
        <v>895221</v>
      </c>
      <c r="H18" s="39">
        <v>3939288</v>
      </c>
      <c r="J18" s="39">
        <f>3341028-143680</f>
        <v>3197348</v>
      </c>
      <c r="N18" s="39">
        <f>3330957-2880-141896</f>
        <v>3186181</v>
      </c>
      <c r="O18" s="39">
        <f>2391104-97264-2880</f>
        <v>2290960</v>
      </c>
      <c r="P18" s="39">
        <f>+N18-O18</f>
        <v>895221</v>
      </c>
    </row>
    <row r="19" spans="1:16" s="41" customFormat="1" ht="6" customHeight="1">
      <c r="A19" s="40"/>
      <c r="D19" s="33"/>
      <c r="F19" s="33"/>
      <c r="H19" s="33"/>
      <c r="J19" s="33"/>
      <c r="N19" s="33"/>
      <c r="O19" s="33"/>
      <c r="P19" s="33"/>
    </row>
    <row r="20" spans="1:16" s="41" customFormat="1" ht="12">
      <c r="A20" s="40"/>
      <c r="B20" s="41" t="s">
        <v>36</v>
      </c>
      <c r="D20" s="39">
        <v>-1013341</v>
      </c>
      <c r="F20" s="39">
        <f>-847556+1020</f>
        <v>-846536</v>
      </c>
      <c r="H20" s="39">
        <v>-3659055</v>
      </c>
      <c r="J20" s="39">
        <f>-16461-549864-1863707-290937-86374-191355</f>
        <v>-2998698</v>
      </c>
      <c r="N20" s="39">
        <f>365829-3497649+2880+141896</f>
        <v>-2987044</v>
      </c>
      <c r="O20" s="39">
        <f>-1993148-253561+97264+2880+13040-5963</f>
        <v>-2139488</v>
      </c>
      <c r="P20" s="39">
        <f>+N20-O20</f>
        <v>-847556</v>
      </c>
    </row>
    <row r="21" spans="1:16" s="41" customFormat="1" ht="6" customHeight="1">
      <c r="A21" s="40"/>
      <c r="D21" s="33"/>
      <c r="F21" s="33"/>
      <c r="H21" s="33"/>
      <c r="J21" s="33"/>
      <c r="N21" s="33"/>
      <c r="O21" s="33"/>
      <c r="P21" s="33"/>
    </row>
    <row r="22" spans="1:16" s="41" customFormat="1" ht="12">
      <c r="A22" s="40"/>
      <c r="B22" s="41" t="s">
        <v>251</v>
      </c>
      <c r="D22" s="42">
        <v>20045</v>
      </c>
      <c r="F22" s="42">
        <f>5940-1020</f>
        <v>4920</v>
      </c>
      <c r="H22" s="42">
        <v>47285</v>
      </c>
      <c r="J22" s="42">
        <v>25607</v>
      </c>
      <c r="N22" s="42">
        <f>40524-18471</f>
        <v>22053</v>
      </c>
      <c r="O22" s="42">
        <f>29612-13499</f>
        <v>16113</v>
      </c>
      <c r="P22" s="42">
        <f>+N22-O22</f>
        <v>5940</v>
      </c>
    </row>
    <row r="23" spans="1:16" s="41" customFormat="1" ht="6" customHeight="1">
      <c r="A23" s="40"/>
      <c r="D23" s="39"/>
      <c r="F23" s="39"/>
      <c r="H23" s="39"/>
      <c r="J23" s="39"/>
      <c r="N23" s="39"/>
      <c r="O23" s="39"/>
      <c r="P23" s="39"/>
    </row>
    <row r="24" spans="1:16" s="41" customFormat="1" ht="12">
      <c r="A24" s="40"/>
      <c r="B24" s="7" t="s">
        <v>252</v>
      </c>
      <c r="D24" s="33">
        <f>+D18+D20+D22</f>
        <v>67462</v>
      </c>
      <c r="F24" s="33">
        <f>+F18+F20+F22</f>
        <v>53605</v>
      </c>
      <c r="H24" s="33">
        <f>+H18+H20+H22</f>
        <v>327518</v>
      </c>
      <c r="J24" s="33">
        <f>+J18+J20+J22</f>
        <v>224257</v>
      </c>
      <c r="N24" s="33">
        <f>+N18+N20+N22</f>
        <v>221190</v>
      </c>
      <c r="O24" s="33">
        <f>+O18+O20+O22</f>
        <v>167585</v>
      </c>
      <c r="P24" s="33">
        <f>+P18+P20+P22</f>
        <v>53605</v>
      </c>
    </row>
    <row r="25" spans="1:16" s="41" customFormat="1" ht="6" customHeight="1">
      <c r="A25" s="40"/>
      <c r="D25" s="39"/>
      <c r="F25" s="39"/>
      <c r="H25" s="39"/>
      <c r="J25" s="39"/>
      <c r="N25" s="39"/>
      <c r="O25" s="39"/>
      <c r="P25" s="39"/>
    </row>
    <row r="26" spans="1:16" s="41" customFormat="1" ht="12">
      <c r="A26" s="40"/>
      <c r="B26" s="41" t="s">
        <v>253</v>
      </c>
      <c r="D26" s="33">
        <v>-1505</v>
      </c>
      <c r="F26" s="33">
        <v>-2445</v>
      </c>
      <c r="H26" s="33">
        <v>-6058</v>
      </c>
      <c r="J26" s="33">
        <v>-9794</v>
      </c>
      <c r="N26" s="33">
        <v>-9522</v>
      </c>
      <c r="O26" s="33">
        <f>-13040+5963</f>
        <v>-7077</v>
      </c>
      <c r="P26" s="39">
        <f>+N26-O26</f>
        <v>-2445</v>
      </c>
    </row>
    <row r="27" spans="1:16" s="41" customFormat="1" ht="6.75" customHeight="1">
      <c r="A27" s="40"/>
      <c r="D27" s="39"/>
      <c r="F27" s="39"/>
      <c r="H27" s="39"/>
      <c r="J27" s="39"/>
      <c r="N27" s="39"/>
      <c r="O27" s="39"/>
      <c r="P27" s="39"/>
    </row>
    <row r="28" spans="1:16" s="41" customFormat="1" ht="12" customHeight="1">
      <c r="A28" s="40"/>
      <c r="B28" s="41" t="s">
        <v>254</v>
      </c>
      <c r="D28" s="39">
        <v>27368</v>
      </c>
      <c r="F28" s="39">
        <v>56912</v>
      </c>
      <c r="H28" s="39">
        <v>116096</v>
      </c>
      <c r="J28" s="39">
        <v>141015</v>
      </c>
      <c r="N28" s="39">
        <v>135690</v>
      </c>
      <c r="O28" s="39">
        <v>78778</v>
      </c>
      <c r="P28" s="39">
        <f>+N28-O28</f>
        <v>56912</v>
      </c>
    </row>
    <row r="29" spans="1:16" s="41" customFormat="1" ht="6.75" customHeight="1">
      <c r="A29" s="40"/>
      <c r="D29" s="39"/>
      <c r="F29" s="39"/>
      <c r="H29" s="39"/>
      <c r="J29" s="39"/>
      <c r="N29" s="39"/>
      <c r="O29" s="39"/>
      <c r="P29" s="39"/>
    </row>
    <row r="30" spans="1:16" s="41" customFormat="1" ht="12">
      <c r="A30" s="40"/>
      <c r="B30" s="41" t="s">
        <v>284</v>
      </c>
      <c r="D30" s="42">
        <v>6287</v>
      </c>
      <c r="F30" s="42">
        <v>4972</v>
      </c>
      <c r="H30" s="42">
        <f>23680+374</f>
        <v>24054</v>
      </c>
      <c r="J30" s="42">
        <v>15745</v>
      </c>
      <c r="N30" s="42">
        <f>18078+393</f>
        <v>18471</v>
      </c>
      <c r="O30" s="42">
        <f>13106+393</f>
        <v>13499</v>
      </c>
      <c r="P30" s="42">
        <f>+N30-O30</f>
        <v>4972</v>
      </c>
    </row>
    <row r="31" spans="1:16" s="41" customFormat="1" ht="6.75" customHeight="1">
      <c r="A31" s="40"/>
      <c r="D31" s="39"/>
      <c r="F31" s="39"/>
      <c r="H31" s="39"/>
      <c r="J31" s="39"/>
      <c r="N31" s="39"/>
      <c r="O31" s="39"/>
      <c r="P31" s="39"/>
    </row>
    <row r="32" spans="1:16" s="41" customFormat="1" ht="12">
      <c r="A32" s="40"/>
      <c r="B32" s="7" t="s">
        <v>255</v>
      </c>
      <c r="D32" s="33">
        <f>SUM(D24:D30)</f>
        <v>99612</v>
      </c>
      <c r="F32" s="33">
        <f>SUM(F24:F30)</f>
        <v>113044</v>
      </c>
      <c r="H32" s="33">
        <f>SUM(H24:H30)</f>
        <v>461610</v>
      </c>
      <c r="J32" s="33">
        <f>SUM(J24:J30)</f>
        <v>371223</v>
      </c>
      <c r="N32" s="33">
        <f>SUM(N24:N30)</f>
        <v>365829</v>
      </c>
      <c r="O32" s="33">
        <f>SUM(O24:O30)</f>
        <v>252785</v>
      </c>
      <c r="P32" s="33">
        <f>SUM(P24:P30)</f>
        <v>113044</v>
      </c>
    </row>
    <row r="33" spans="1:16" s="41" customFormat="1" ht="6" customHeight="1">
      <c r="A33" s="40"/>
      <c r="D33" s="33"/>
      <c r="F33" s="33"/>
      <c r="H33" s="33"/>
      <c r="J33" s="33"/>
      <c r="N33" s="33"/>
      <c r="O33" s="33"/>
      <c r="P33" s="33"/>
    </row>
    <row r="34" spans="1:16" s="41" customFormat="1" ht="12">
      <c r="A34" s="40"/>
      <c r="B34" s="41" t="s">
        <v>32</v>
      </c>
      <c r="D34" s="42">
        <v>-23165</v>
      </c>
      <c r="F34" s="42">
        <v>-42082</v>
      </c>
      <c r="H34" s="42">
        <v>-119871</v>
      </c>
      <c r="J34" s="42">
        <v>-107501</v>
      </c>
      <c r="N34" s="42">
        <v>-99771</v>
      </c>
      <c r="O34" s="42">
        <v>-57689</v>
      </c>
      <c r="P34" s="42">
        <f>+N34-O34</f>
        <v>-42082</v>
      </c>
    </row>
    <row r="35" spans="1:16" s="41" customFormat="1" ht="6" customHeight="1">
      <c r="A35" s="40"/>
      <c r="D35" s="33"/>
      <c r="F35" s="33"/>
      <c r="H35" s="33"/>
      <c r="J35" s="33"/>
      <c r="N35" s="33"/>
      <c r="O35" s="33"/>
      <c r="P35" s="33"/>
    </row>
    <row r="36" spans="1:16" s="41" customFormat="1" ht="12">
      <c r="A36" s="40"/>
      <c r="B36" s="41" t="s">
        <v>256</v>
      </c>
      <c r="D36" s="33">
        <f>+D32+D34</f>
        <v>76447</v>
      </c>
      <c r="F36" s="33">
        <f>+F32+F34</f>
        <v>70962</v>
      </c>
      <c r="H36" s="33">
        <f>+H32+H34</f>
        <v>341739</v>
      </c>
      <c r="J36" s="33">
        <f>+J32+J34</f>
        <v>263722</v>
      </c>
      <c r="N36" s="33">
        <f>+N32+N34</f>
        <v>266058</v>
      </c>
      <c r="O36" s="33">
        <f>+O32+O34</f>
        <v>195096</v>
      </c>
      <c r="P36" s="33">
        <f>+P32+P34</f>
        <v>70962</v>
      </c>
    </row>
    <row r="37" spans="1:16" s="41" customFormat="1" ht="6" customHeight="1">
      <c r="A37" s="40"/>
      <c r="D37" s="33"/>
      <c r="F37" s="33"/>
      <c r="H37" s="33"/>
      <c r="J37" s="33"/>
      <c r="N37" s="33"/>
      <c r="O37" s="33"/>
      <c r="P37" s="33"/>
    </row>
    <row r="38" spans="1:16" s="41" customFormat="1" ht="12">
      <c r="A38" s="40"/>
      <c r="B38" s="41" t="s">
        <v>13</v>
      </c>
      <c r="D38" s="42">
        <v>-26417</v>
      </c>
      <c r="F38" s="42">
        <v>-16278</v>
      </c>
      <c r="H38" s="42">
        <v>-121352</v>
      </c>
      <c r="J38" s="42">
        <v>-80928</v>
      </c>
      <c r="N38" s="42">
        <v>-79782</v>
      </c>
      <c r="O38" s="42">
        <v>-63504</v>
      </c>
      <c r="P38" s="42">
        <f>+N38-O38</f>
        <v>-16278</v>
      </c>
    </row>
    <row r="39" spans="1:16" s="41" customFormat="1" ht="6" customHeight="1">
      <c r="A39" s="40"/>
      <c r="D39" s="33"/>
      <c r="F39" s="33"/>
      <c r="H39" s="33"/>
      <c r="J39" s="33"/>
      <c r="N39" s="33"/>
      <c r="O39" s="33"/>
      <c r="P39" s="33"/>
    </row>
    <row r="40" spans="1:16" s="41" customFormat="1" ht="12">
      <c r="A40" s="40"/>
      <c r="B40" s="7" t="s">
        <v>257</v>
      </c>
      <c r="D40" s="42">
        <f>+D36+D38</f>
        <v>50030</v>
      </c>
      <c r="F40" s="42">
        <f>+F36+F38</f>
        <v>54684</v>
      </c>
      <c r="H40" s="42">
        <f>+H36+H38</f>
        <v>220387</v>
      </c>
      <c r="J40" s="42">
        <f>+J36+J38</f>
        <v>182794</v>
      </c>
      <c r="N40" s="42">
        <f>+N36+N38</f>
        <v>186276</v>
      </c>
      <c r="O40" s="42">
        <f>+O36+O38</f>
        <v>131592</v>
      </c>
      <c r="P40" s="42">
        <f>+P36+P38</f>
        <v>54684</v>
      </c>
    </row>
    <row r="41" spans="1:16" s="41" customFormat="1" ht="6" customHeight="1">
      <c r="A41" s="40"/>
      <c r="D41" s="33"/>
      <c r="F41" s="33"/>
      <c r="H41" s="33"/>
      <c r="J41" s="33"/>
      <c r="N41" s="39"/>
      <c r="O41" s="39"/>
      <c r="P41" s="45"/>
    </row>
    <row r="42" spans="1:16" s="41" customFormat="1" ht="12.75" thickBot="1">
      <c r="A42" s="40"/>
      <c r="B42" s="41" t="s">
        <v>258</v>
      </c>
      <c r="D42" s="43">
        <v>18.23</v>
      </c>
      <c r="F42" s="43">
        <v>20.36</v>
      </c>
      <c r="H42" s="43">
        <v>80.31</v>
      </c>
      <c r="J42" s="43">
        <v>68</v>
      </c>
      <c r="N42" s="72">
        <f>186276-N40</f>
        <v>0</v>
      </c>
      <c r="O42" s="72"/>
      <c r="P42" s="45"/>
    </row>
    <row r="43" spans="1:16" s="41" customFormat="1" ht="6" customHeight="1">
      <c r="A43" s="40"/>
      <c r="D43" s="33"/>
      <c r="F43" s="33"/>
      <c r="H43" s="33"/>
      <c r="J43" s="33"/>
      <c r="N43" s="39"/>
      <c r="O43" s="39"/>
      <c r="P43" s="45"/>
    </row>
    <row r="44" spans="1:16" s="41" customFormat="1" ht="12.75" thickBot="1">
      <c r="A44" s="40"/>
      <c r="B44" s="41" t="s">
        <v>283</v>
      </c>
      <c r="D44" s="44">
        <v>17.69</v>
      </c>
      <c r="F44" s="44">
        <v>20.28</v>
      </c>
      <c r="H44" s="44">
        <v>77.95</v>
      </c>
      <c r="J44" s="44">
        <v>67.8</v>
      </c>
      <c r="N44" s="73"/>
      <c r="O44" s="73"/>
      <c r="P44" s="45"/>
    </row>
    <row r="45" spans="1:16" s="41" customFormat="1" ht="6" customHeight="1">
      <c r="A45" s="40"/>
      <c r="D45" s="39"/>
      <c r="F45" s="39"/>
      <c r="H45" s="39"/>
      <c r="J45" s="39"/>
      <c r="N45" s="39"/>
      <c r="O45" s="39"/>
      <c r="P45" s="45"/>
    </row>
    <row r="46" spans="1:16" s="41" customFormat="1" ht="12" customHeight="1">
      <c r="A46" s="40"/>
      <c r="D46" s="39"/>
      <c r="F46" s="39"/>
      <c r="H46" s="39"/>
      <c r="J46" s="39"/>
      <c r="N46" s="39"/>
      <c r="O46" s="39"/>
      <c r="P46" s="45"/>
    </row>
    <row r="47" spans="4:16" s="41" customFormat="1" ht="12">
      <c r="D47" s="33"/>
      <c r="G47" s="45"/>
      <c r="H47" s="39"/>
      <c r="J47" s="45"/>
      <c r="N47" s="45"/>
      <c r="O47" s="45"/>
      <c r="P47" s="45"/>
    </row>
    <row r="48" spans="2:8" s="41" customFormat="1" ht="12">
      <c r="B48" s="65" t="s">
        <v>279</v>
      </c>
      <c r="D48" s="33"/>
      <c r="H48" s="33"/>
    </row>
    <row r="49" spans="2:8" s="41" customFormat="1" ht="12">
      <c r="B49" s="41" t="s">
        <v>280</v>
      </c>
      <c r="D49" s="33"/>
      <c r="H49" s="33"/>
    </row>
    <row r="51" ht="12.75">
      <c r="H51" s="30"/>
    </row>
  </sheetData>
  <mergeCells count="4">
    <mergeCell ref="A5:K5"/>
    <mergeCell ref="A1:K1"/>
    <mergeCell ref="A2:K2"/>
    <mergeCell ref="A3:K3"/>
  </mergeCells>
  <printOptions horizontalCentered="1"/>
  <pageMargins left="0" right="0" top="1.01" bottom="0.41" header="0" footer="0.46"/>
  <pageSetup horizontalDpi="600" verticalDpi="600" orientation="portrait" paperSize="9" scale="9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31">
      <selection activeCell="A1" sqref="A1:J57"/>
    </sheetView>
  </sheetViews>
  <sheetFormatPr defaultColWidth="9.140625" defaultRowHeight="12.75"/>
  <cols>
    <col min="1" max="1" width="2.7109375" style="0" customWidth="1"/>
    <col min="2" max="2" width="29.57421875" style="0" customWidth="1"/>
    <col min="3" max="3" width="2.8515625" style="0" customWidth="1"/>
    <col min="4" max="4" width="7.57421875" style="14" customWidth="1"/>
    <col min="5" max="5" width="2.7109375" style="0" customWidth="1"/>
    <col min="6" max="6" width="13.7109375" style="0" customWidth="1"/>
    <col min="7" max="7" width="3.28125" style="0" customWidth="1"/>
    <col min="8" max="8" width="13.7109375" style="14" customWidth="1"/>
    <col min="9" max="9" width="3.57421875" style="0" customWidth="1"/>
    <col min="10" max="10" width="12.421875" style="0" customWidth="1"/>
  </cols>
  <sheetData>
    <row r="1" spans="2:9" s="6" customFormat="1" ht="18">
      <c r="B1" s="102" t="s">
        <v>19</v>
      </c>
      <c r="C1" s="102"/>
      <c r="D1" s="102"/>
      <c r="E1" s="102"/>
      <c r="F1" s="102"/>
      <c r="G1" s="102"/>
      <c r="H1" s="102"/>
      <c r="I1" s="95"/>
    </row>
    <row r="2" spans="2:9" s="3" customFormat="1" ht="11.25" customHeight="1">
      <c r="B2" s="103" t="s">
        <v>247</v>
      </c>
      <c r="C2" s="103"/>
      <c r="D2" s="103"/>
      <c r="E2" s="103"/>
      <c r="F2" s="103"/>
      <c r="G2" s="103"/>
      <c r="H2" s="103"/>
      <c r="I2" s="15"/>
    </row>
    <row r="3" spans="2:8" s="3" customFormat="1" ht="10.5" customHeight="1">
      <c r="B3" s="103" t="s">
        <v>34</v>
      </c>
      <c r="C3" s="103"/>
      <c r="D3" s="103"/>
      <c r="E3" s="103"/>
      <c r="F3" s="103"/>
      <c r="G3" s="103"/>
      <c r="H3" s="103"/>
    </row>
    <row r="4" spans="3:8" s="3" customFormat="1" ht="9.75" customHeight="1">
      <c r="C4" s="29"/>
      <c r="D4" s="22"/>
      <c r="E4" s="22"/>
      <c r="F4" s="22"/>
      <c r="H4" s="10"/>
    </row>
    <row r="5" spans="3:8" s="3" customFormat="1" ht="9.75" customHeight="1">
      <c r="C5" s="29"/>
      <c r="D5" s="22"/>
      <c r="E5" s="22"/>
      <c r="F5" s="22"/>
      <c r="H5" s="10"/>
    </row>
    <row r="6" spans="3:8" s="3" customFormat="1" ht="9.75" customHeight="1">
      <c r="C6" s="29"/>
      <c r="D6" s="22"/>
      <c r="E6" s="22"/>
      <c r="F6" s="22"/>
      <c r="H6" s="10"/>
    </row>
    <row r="7" spans="1:8" s="41" customFormat="1" ht="12">
      <c r="A7" s="7"/>
      <c r="B7" s="7" t="s">
        <v>38</v>
      </c>
      <c r="D7" s="33"/>
      <c r="H7" s="33"/>
    </row>
    <row r="8" spans="4:8" s="41" customFormat="1" ht="12">
      <c r="D8" s="33"/>
      <c r="F8" s="21" t="s">
        <v>262</v>
      </c>
      <c r="G8" s="7"/>
      <c r="H8" s="48" t="s">
        <v>277</v>
      </c>
    </row>
    <row r="9" spans="2:8" s="41" customFormat="1" ht="12">
      <c r="B9" s="49"/>
      <c r="C9" s="49"/>
      <c r="D9" s="50"/>
      <c r="F9" s="51" t="s">
        <v>5</v>
      </c>
      <c r="H9" s="50" t="s">
        <v>5</v>
      </c>
    </row>
    <row r="10" spans="2:8" s="41" customFormat="1" ht="12">
      <c r="B10" s="49"/>
      <c r="C10" s="49"/>
      <c r="D10" s="52"/>
      <c r="F10" s="53" t="str">
        <f>+PL!D15</f>
        <v>31/12/2002</v>
      </c>
      <c r="H10" s="53" t="s">
        <v>250</v>
      </c>
    </row>
    <row r="11" spans="2:8" s="41" customFormat="1" ht="12">
      <c r="B11" s="49"/>
      <c r="C11" s="49"/>
      <c r="D11" s="54"/>
      <c r="F11" s="55" t="s">
        <v>3</v>
      </c>
      <c r="H11" s="55" t="s">
        <v>3</v>
      </c>
    </row>
    <row r="12" spans="2:8" s="41" customFormat="1" ht="7.5" customHeight="1">
      <c r="B12" s="56"/>
      <c r="C12" s="56"/>
      <c r="D12" s="56"/>
      <c r="F12" s="57"/>
      <c r="H12" s="57"/>
    </row>
    <row r="13" spans="2:8" s="41" customFormat="1" ht="12">
      <c r="B13" s="49" t="s">
        <v>6</v>
      </c>
      <c r="C13" s="56"/>
      <c r="F13" s="69"/>
      <c r="G13" s="45"/>
      <c r="H13" s="69"/>
    </row>
    <row r="14" spans="2:8" s="41" customFormat="1" ht="6" customHeight="1">
      <c r="B14" s="56"/>
      <c r="C14" s="56"/>
      <c r="F14" s="70"/>
      <c r="G14" s="45"/>
      <c r="H14" s="70"/>
    </row>
    <row r="15" spans="2:8" s="45" customFormat="1" ht="12">
      <c r="B15" s="56" t="s">
        <v>261</v>
      </c>
      <c r="C15" s="60"/>
      <c r="F15" s="61">
        <f>881618+1900+1900</f>
        <v>885418</v>
      </c>
      <c r="H15" s="61">
        <f>36384+677500</f>
        <v>713884</v>
      </c>
    </row>
    <row r="16" spans="2:8" s="45" customFormat="1" ht="12">
      <c r="B16" s="56" t="s">
        <v>7</v>
      </c>
      <c r="C16" s="60"/>
      <c r="D16" s="41"/>
      <c r="F16" s="61">
        <v>381575</v>
      </c>
      <c r="H16" s="61">
        <v>186574</v>
      </c>
    </row>
    <row r="17" spans="2:8" s="45" customFormat="1" ht="12">
      <c r="B17" s="56" t="s">
        <v>24</v>
      </c>
      <c r="C17" s="60"/>
      <c r="D17" s="41"/>
      <c r="F17" s="61">
        <v>213961</v>
      </c>
      <c r="H17" s="61">
        <v>223963</v>
      </c>
    </row>
    <row r="18" spans="2:10" s="45" customFormat="1" ht="12">
      <c r="B18" s="56" t="s">
        <v>39</v>
      </c>
      <c r="C18" s="60"/>
      <c r="D18" s="41"/>
      <c r="F18" s="61">
        <f>80706-8700-4000-1900-1900</f>
        <v>64206</v>
      </c>
      <c r="H18" s="61">
        <v>36754</v>
      </c>
      <c r="J18" s="67"/>
    </row>
    <row r="19" spans="2:10" s="45" customFormat="1" ht="12">
      <c r="B19" s="56" t="s">
        <v>23</v>
      </c>
      <c r="C19" s="60"/>
      <c r="D19" s="41"/>
      <c r="F19" s="61">
        <v>436896</v>
      </c>
      <c r="H19" s="61">
        <v>461835</v>
      </c>
      <c r="J19" s="67"/>
    </row>
    <row r="20" spans="2:8" s="45" customFormat="1" ht="6" customHeight="1">
      <c r="B20" s="60"/>
      <c r="C20" s="60"/>
      <c r="F20" s="61"/>
      <c r="H20" s="61"/>
    </row>
    <row r="21" spans="2:8" s="45" customFormat="1" ht="12">
      <c r="B21" s="60"/>
      <c r="C21" s="60"/>
      <c r="F21" s="62">
        <f>SUM(F15:F20)</f>
        <v>1982056</v>
      </c>
      <c r="H21" s="62">
        <f>SUM(H15:H20)</f>
        <v>1623010</v>
      </c>
    </row>
    <row r="22" spans="2:8" s="45" customFormat="1" ht="6" customHeight="1">
      <c r="B22" s="56"/>
      <c r="C22" s="56"/>
      <c r="F22" s="71"/>
      <c r="H22" s="71"/>
    </row>
    <row r="23" spans="1:8" s="41" customFormat="1" ht="12">
      <c r="A23" s="45"/>
      <c r="B23" s="49" t="s">
        <v>8</v>
      </c>
      <c r="C23" s="56"/>
      <c r="F23" s="69"/>
      <c r="G23" s="45"/>
      <c r="H23" s="69"/>
    </row>
    <row r="24" spans="1:8" s="41" customFormat="1" ht="6" customHeight="1">
      <c r="A24" s="45"/>
      <c r="B24" s="56"/>
      <c r="C24" s="56"/>
      <c r="F24" s="70"/>
      <c r="H24" s="70"/>
    </row>
    <row r="25" spans="2:8" s="41" customFormat="1" ht="12">
      <c r="B25" s="56" t="s">
        <v>117</v>
      </c>
      <c r="C25" s="60"/>
      <c r="F25" s="61">
        <v>11798</v>
      </c>
      <c r="H25" s="61">
        <v>17075</v>
      </c>
    </row>
    <row r="26" spans="2:8" s="41" customFormat="1" ht="12">
      <c r="B26" s="56" t="s">
        <v>28</v>
      </c>
      <c r="C26" s="60"/>
      <c r="F26" s="61">
        <f>43113+20840+19200+12916</f>
        <v>96069</v>
      </c>
      <c r="H26" s="61">
        <f>124193</f>
        <v>124193</v>
      </c>
    </row>
    <row r="27" spans="2:8" s="41" customFormat="1" ht="12">
      <c r="B27" s="56" t="s">
        <v>25</v>
      </c>
      <c r="C27" s="60"/>
      <c r="D27" s="58"/>
      <c r="F27" s="61">
        <f>259087-12916</f>
        <v>246171</v>
      </c>
      <c r="H27" s="61">
        <v>192483</v>
      </c>
    </row>
    <row r="28" spans="2:8" s="41" customFormat="1" ht="12">
      <c r="B28" s="56" t="s">
        <v>26</v>
      </c>
      <c r="C28" s="60"/>
      <c r="D28" s="58"/>
      <c r="F28" s="61">
        <f>260209-8700</f>
        <v>251509</v>
      </c>
      <c r="H28" s="61">
        <f>201938+17583</f>
        <v>219521</v>
      </c>
    </row>
    <row r="29" spans="2:8" s="41" customFormat="1" ht="12">
      <c r="B29" s="56" t="s">
        <v>40</v>
      </c>
      <c r="C29" s="60"/>
      <c r="D29" s="58"/>
      <c r="F29" s="61">
        <v>23575</v>
      </c>
      <c r="H29" s="61">
        <v>45026</v>
      </c>
    </row>
    <row r="30" spans="2:8" s="41" customFormat="1" ht="6" customHeight="1">
      <c r="B30" s="60"/>
      <c r="C30" s="60"/>
      <c r="D30" s="58"/>
      <c r="F30" s="61"/>
      <c r="H30" s="61"/>
    </row>
    <row r="31" spans="2:8" s="41" customFormat="1" ht="12">
      <c r="B31" s="60"/>
      <c r="C31" s="60"/>
      <c r="D31" s="58"/>
      <c r="F31" s="62">
        <f>SUM(F25:F29)</f>
        <v>629122</v>
      </c>
      <c r="H31" s="62">
        <f>SUM(H25:H29)</f>
        <v>598298</v>
      </c>
    </row>
    <row r="32" spans="2:8" s="41" customFormat="1" ht="6.75" customHeight="1">
      <c r="B32" s="60"/>
      <c r="C32" s="60"/>
      <c r="D32" s="58"/>
      <c r="F32" s="57"/>
      <c r="H32" s="57"/>
    </row>
    <row r="33" spans="2:8" s="41" customFormat="1" ht="12">
      <c r="B33" s="49" t="s">
        <v>9</v>
      </c>
      <c r="C33" s="60"/>
      <c r="D33" s="58"/>
      <c r="F33" s="57">
        <f>+F21-F31</f>
        <v>1352934</v>
      </c>
      <c r="H33" s="57">
        <f>+H21-H31</f>
        <v>1024712</v>
      </c>
    </row>
    <row r="34" spans="2:8" s="41" customFormat="1" ht="12">
      <c r="B34" s="56" t="s">
        <v>118</v>
      </c>
      <c r="C34" s="56"/>
      <c r="D34" s="58"/>
      <c r="F34" s="57">
        <v>389143</v>
      </c>
      <c r="H34" s="57">
        <f>324000</f>
        <v>324000</v>
      </c>
    </row>
    <row r="35" spans="2:10" s="41" customFormat="1" ht="11.25" customHeight="1">
      <c r="B35" s="56" t="s">
        <v>119</v>
      </c>
      <c r="C35" s="56"/>
      <c r="D35" s="58"/>
      <c r="F35" s="57">
        <f>96897-16059</f>
        <v>80838</v>
      </c>
      <c r="H35" s="57">
        <f>78648</f>
        <v>78648</v>
      </c>
      <c r="J35" s="66"/>
    </row>
    <row r="36" spans="2:10" s="41" customFormat="1" ht="12">
      <c r="B36" s="56" t="s">
        <v>259</v>
      </c>
      <c r="C36" s="56"/>
      <c r="D36" s="58"/>
      <c r="F36" s="57">
        <f>3905+712976-F35+4000</f>
        <v>640043</v>
      </c>
      <c r="H36" s="57">
        <f>552777+72202</f>
        <v>624979</v>
      </c>
      <c r="J36" s="66"/>
    </row>
    <row r="37" spans="2:8" s="41" customFormat="1" ht="12">
      <c r="B37" s="56" t="s">
        <v>260</v>
      </c>
      <c r="C37" s="56"/>
      <c r="F37" s="59">
        <v>5861</v>
      </c>
      <c r="H37" s="59">
        <v>1085</v>
      </c>
    </row>
    <row r="38" spans="2:8" s="41" customFormat="1" ht="12">
      <c r="B38" s="56" t="s">
        <v>14</v>
      </c>
      <c r="C38" s="56"/>
      <c r="D38" s="58"/>
      <c r="F38" s="57">
        <f>-184074+20840+19200</f>
        <v>-144034</v>
      </c>
      <c r="H38" s="57">
        <f>-21614-9124</f>
        <v>-30738</v>
      </c>
    </row>
    <row r="39" spans="2:8" s="41" customFormat="1" ht="12">
      <c r="B39" s="56" t="s">
        <v>120</v>
      </c>
      <c r="C39" s="56"/>
      <c r="D39" s="58"/>
      <c r="F39" s="57">
        <v>-1824</v>
      </c>
      <c r="H39" s="57">
        <f>-12538-3437</f>
        <v>-15975</v>
      </c>
    </row>
    <row r="40" spans="2:8" s="41" customFormat="1" ht="12">
      <c r="B40" s="56" t="s">
        <v>27</v>
      </c>
      <c r="C40" s="56"/>
      <c r="D40" s="58"/>
      <c r="F40" s="57">
        <v>-11652</v>
      </c>
      <c r="H40" s="57">
        <v>-9839</v>
      </c>
    </row>
    <row r="41" spans="2:8" s="41" customFormat="1" ht="12">
      <c r="B41" s="56" t="s">
        <v>13</v>
      </c>
      <c r="C41" s="56"/>
      <c r="D41" s="58"/>
      <c r="F41" s="57">
        <v>-587289</v>
      </c>
      <c r="H41" s="57">
        <v>-483488</v>
      </c>
    </row>
    <row r="42" spans="2:8" s="41" customFormat="1" ht="12">
      <c r="B42" s="56" t="s">
        <v>123</v>
      </c>
      <c r="C42" s="56"/>
      <c r="D42" s="58"/>
      <c r="F42" s="57">
        <f>-2186-48</f>
        <v>-2234</v>
      </c>
      <c r="H42" s="57">
        <v>-2186</v>
      </c>
    </row>
    <row r="43" spans="2:8" s="41" customFormat="1" ht="6" customHeight="1" thickBot="1">
      <c r="B43" s="56"/>
      <c r="C43" s="56"/>
      <c r="D43" s="58"/>
      <c r="F43" s="64"/>
      <c r="H43" s="64"/>
    </row>
    <row r="44" spans="2:8" s="41" customFormat="1" ht="12.75" customHeight="1" thickBot="1">
      <c r="B44" s="56"/>
      <c r="C44" s="56"/>
      <c r="D44" s="58"/>
      <c r="F44" s="64">
        <f>SUM(F33:F43)</f>
        <v>1721786</v>
      </c>
      <c r="H44" s="64">
        <f>SUM(H33:H43)</f>
        <v>1511198</v>
      </c>
    </row>
    <row r="45" spans="2:4" s="41" customFormat="1" ht="12">
      <c r="B45" s="56"/>
      <c r="C45" s="56"/>
      <c r="D45" s="58"/>
    </row>
    <row r="46" spans="2:4" s="41" customFormat="1" ht="12">
      <c r="B46" s="49" t="s">
        <v>10</v>
      </c>
      <c r="C46" s="56"/>
      <c r="D46" s="58"/>
    </row>
    <row r="47" spans="2:8" s="41" customFormat="1" ht="15" customHeight="1">
      <c r="B47" s="56" t="s">
        <v>11</v>
      </c>
      <c r="C47" s="56"/>
      <c r="D47" s="58"/>
      <c r="F47" s="57">
        <v>275525</v>
      </c>
      <c r="H47" s="57">
        <v>270026</v>
      </c>
    </row>
    <row r="48" spans="2:8" s="41" customFormat="1" ht="12">
      <c r="B48" s="56" t="s">
        <v>12</v>
      </c>
      <c r="C48" s="56"/>
      <c r="D48" s="58"/>
      <c r="F48" s="57">
        <f>29393+206215+1212887-2234</f>
        <v>1446261</v>
      </c>
      <c r="H48" s="57">
        <f>184608+18386+6045+1012691+19442</f>
        <v>1241172</v>
      </c>
    </row>
    <row r="49" spans="2:8" s="41" customFormat="1" ht="6" customHeight="1" thickBot="1">
      <c r="B49" s="60"/>
      <c r="C49" s="60"/>
      <c r="D49" s="58"/>
      <c r="F49" s="64"/>
      <c r="H49" s="64"/>
    </row>
    <row r="50" spans="2:8" s="41" customFormat="1" ht="12.75" thickBot="1">
      <c r="B50" s="56"/>
      <c r="C50" s="56"/>
      <c r="D50" s="58"/>
      <c r="F50" s="64">
        <f>SUM(F47:F49)</f>
        <v>1721786</v>
      </c>
      <c r="H50" s="64">
        <f>SUM(H47:H49)</f>
        <v>1511198</v>
      </c>
    </row>
    <row r="51" spans="2:8" s="41" customFormat="1" ht="6" customHeight="1">
      <c r="B51" s="56"/>
      <c r="C51" s="56"/>
      <c r="D51" s="58"/>
      <c r="H51" s="57"/>
    </row>
    <row r="52" spans="2:8" s="41" customFormat="1" ht="12" customHeight="1" thickBot="1">
      <c r="B52" s="56" t="s">
        <v>179</v>
      </c>
      <c r="C52" s="56"/>
      <c r="D52" s="58"/>
      <c r="F52" s="75">
        <v>6.24</v>
      </c>
      <c r="H52" s="76">
        <v>5.6</v>
      </c>
    </row>
    <row r="53" spans="2:8" s="41" customFormat="1" ht="12" customHeight="1">
      <c r="B53" s="56"/>
      <c r="C53" s="56"/>
      <c r="D53" s="58"/>
      <c r="H53" s="57"/>
    </row>
    <row r="54" spans="2:8" s="41" customFormat="1" ht="12.75" customHeight="1">
      <c r="B54" s="56"/>
      <c r="C54" s="56"/>
      <c r="D54" s="58"/>
      <c r="H54" s="57"/>
    </row>
    <row r="55" spans="2:4" ht="12.75">
      <c r="B55" s="65" t="s">
        <v>46</v>
      </c>
      <c r="C55" s="4"/>
      <c r="D55" s="5"/>
    </row>
    <row r="56" spans="2:4" ht="12.75">
      <c r="B56" s="41" t="s">
        <v>45</v>
      </c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4:8" ht="12.75">
      <c r="D61" s="28"/>
      <c r="E61" s="3"/>
      <c r="F61" s="10">
        <f>+F50-F44</f>
        <v>0</v>
      </c>
      <c r="H61" s="14">
        <f>+H50-H44</f>
        <v>0</v>
      </c>
    </row>
    <row r="62" spans="3:8" ht="12.75">
      <c r="C62" s="34" t="s">
        <v>16</v>
      </c>
      <c r="D62" s="10"/>
      <c r="E62" s="3"/>
      <c r="F62" s="31">
        <f>(+F50-F37-F42)/F47</f>
        <v>6.235945921422738</v>
      </c>
      <c r="H62" s="31">
        <f>(+H50-H37-H42)/H47</f>
        <v>5.6005680934428534</v>
      </c>
    </row>
    <row r="63" spans="3:8" ht="12.75">
      <c r="C63" s="34" t="s">
        <v>30</v>
      </c>
      <c r="D63" s="10"/>
      <c r="E63" s="3"/>
      <c r="F63" s="10">
        <f>+F21+SUM(F34:F37)</f>
        <v>3097941</v>
      </c>
      <c r="H63" s="10">
        <f>+H21+SUM(H34:H37)</f>
        <v>2651722</v>
      </c>
    </row>
    <row r="64" spans="6:8" ht="12.75">
      <c r="F64" s="14"/>
      <c r="H64"/>
    </row>
    <row r="65" ht="12.75">
      <c r="H65" s="30"/>
    </row>
  </sheetData>
  <mergeCells count="3">
    <mergeCell ref="B2:H2"/>
    <mergeCell ref="B3:H3"/>
    <mergeCell ref="B1:H1"/>
  </mergeCells>
  <printOptions horizontalCentered="1"/>
  <pageMargins left="0.8" right="0" top="0.96" bottom="0.62" header="0" footer="0.62"/>
  <pageSetup horizontalDpi="600" verticalDpi="600" orientation="portrait" paperSize="9" scale="9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0">
      <selection activeCell="A1" sqref="A1:I54"/>
    </sheetView>
  </sheetViews>
  <sheetFormatPr defaultColWidth="9.140625" defaultRowHeight="12.75"/>
  <cols>
    <col min="1" max="1" width="2.7109375" style="0" customWidth="1"/>
    <col min="2" max="2" width="39.57421875" style="0" customWidth="1"/>
    <col min="3" max="3" width="2.8515625" style="0" customWidth="1"/>
    <col min="4" max="4" width="7.57421875" style="14" customWidth="1"/>
    <col min="5" max="5" width="2.7109375" style="0" customWidth="1"/>
    <col min="6" max="6" width="13.7109375" style="14" customWidth="1"/>
    <col min="7" max="7" width="3.28125" style="0" customWidth="1"/>
    <col min="8" max="8" width="13.7109375" style="14" customWidth="1"/>
    <col min="9" max="9" width="3.57421875" style="0" customWidth="1"/>
    <col min="10" max="10" width="12.421875" style="0" customWidth="1"/>
  </cols>
  <sheetData>
    <row r="1" spans="1:10" s="6" customFormat="1" ht="18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95"/>
    </row>
    <row r="2" spans="1:10" s="3" customFormat="1" ht="11.25" customHeight="1">
      <c r="A2" s="103" t="s">
        <v>247</v>
      </c>
      <c r="B2" s="103"/>
      <c r="C2" s="103"/>
      <c r="D2" s="103"/>
      <c r="E2" s="103"/>
      <c r="F2" s="103"/>
      <c r="G2" s="103"/>
      <c r="H2" s="103"/>
      <c r="I2" s="103"/>
      <c r="J2" s="29"/>
    </row>
    <row r="3" spans="1:10" s="3" customFormat="1" ht="10.5" customHeight="1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29"/>
    </row>
    <row r="4" spans="3:8" s="3" customFormat="1" ht="9.75" customHeight="1">
      <c r="C4" s="29"/>
      <c r="D4" s="22"/>
      <c r="E4" s="22"/>
      <c r="F4" s="26"/>
      <c r="H4" s="10"/>
    </row>
    <row r="5" spans="3:8" s="3" customFormat="1" ht="9.75" customHeight="1">
      <c r="C5" s="29"/>
      <c r="D5" s="22"/>
      <c r="E5" s="22"/>
      <c r="F5" s="26"/>
      <c r="H5" s="10"/>
    </row>
    <row r="6" spans="1:9" s="41" customFormat="1" ht="12.75" customHeight="1">
      <c r="A6" s="104" t="str">
        <f>+CASHFLOW!B5</f>
        <v>CONDENSED CONSOLIDATED CASH FLOW STATEMENT FOR THE PERIOD ENDED 31ST DECEMBER 2002</v>
      </c>
      <c r="B6" s="104"/>
      <c r="C6" s="104"/>
      <c r="D6" s="104"/>
      <c r="E6" s="104"/>
      <c r="F6" s="104"/>
      <c r="G6" s="104"/>
      <c r="H6" s="104"/>
      <c r="I6" s="104"/>
    </row>
    <row r="7" spans="1:9" s="41" customFormat="1" ht="12.75" customHeight="1">
      <c r="A7" s="68"/>
      <c r="B7" s="68"/>
      <c r="C7" s="68"/>
      <c r="D7" s="68"/>
      <c r="E7" s="68"/>
      <c r="F7" s="68"/>
      <c r="G7" s="68"/>
      <c r="H7" s="68"/>
      <c r="I7" s="68"/>
    </row>
    <row r="8" spans="4:8" s="41" customFormat="1" ht="12">
      <c r="D8" s="33"/>
      <c r="F8" s="96" t="s">
        <v>262</v>
      </c>
      <c r="G8" s="7"/>
      <c r="H8" s="48" t="s">
        <v>277</v>
      </c>
    </row>
    <row r="9" spans="4:8" s="41" customFormat="1" ht="12">
      <c r="D9" s="33"/>
      <c r="F9" s="97" t="s">
        <v>182</v>
      </c>
      <c r="G9" s="7"/>
      <c r="H9" s="48" t="s">
        <v>182</v>
      </c>
    </row>
    <row r="10" spans="2:8" s="41" customFormat="1" ht="12">
      <c r="B10" s="49"/>
      <c r="C10" s="49"/>
      <c r="D10" s="50"/>
      <c r="F10" s="55" t="s">
        <v>20</v>
      </c>
      <c r="H10" s="55" t="s">
        <v>20</v>
      </c>
    </row>
    <row r="11" spans="2:8" s="41" customFormat="1" ht="12">
      <c r="B11" s="49"/>
      <c r="C11" s="49"/>
      <c r="D11" s="52"/>
      <c r="F11" s="53" t="str">
        <f>+PL!D15</f>
        <v>31/12/2002</v>
      </c>
      <c r="H11" s="53" t="str">
        <f>+PL!F15</f>
        <v>31/12/2001</v>
      </c>
    </row>
    <row r="12" spans="2:8" s="41" customFormat="1" ht="12">
      <c r="B12" s="49"/>
      <c r="C12" s="49"/>
      <c r="D12" s="54"/>
      <c r="F12" s="55" t="s">
        <v>3</v>
      </c>
      <c r="H12" s="55" t="s">
        <v>3</v>
      </c>
    </row>
    <row r="13" spans="2:8" s="41" customFormat="1" ht="7.5" customHeight="1">
      <c r="B13" s="56"/>
      <c r="C13" s="56"/>
      <c r="D13" s="56"/>
      <c r="F13" s="57"/>
      <c r="H13" s="57"/>
    </row>
    <row r="14" spans="2:8" s="41" customFormat="1" ht="12.75" customHeight="1">
      <c r="B14" s="49" t="s">
        <v>59</v>
      </c>
      <c r="C14" s="56"/>
      <c r="D14" s="56"/>
      <c r="F14" s="57"/>
      <c r="H14" s="57"/>
    </row>
    <row r="15" spans="2:8" s="45" customFormat="1" ht="12">
      <c r="B15" s="56" t="s">
        <v>47</v>
      </c>
      <c r="C15" s="56"/>
      <c r="D15" s="58"/>
      <c r="F15" s="57">
        <f>+CASHFLOW!F11</f>
        <v>461610</v>
      </c>
      <c r="H15" s="57">
        <f>+CASHFLOW!J11</f>
        <v>371223</v>
      </c>
    </row>
    <row r="16" spans="2:8" s="45" customFormat="1" ht="6.75" customHeight="1">
      <c r="B16" s="56"/>
      <c r="C16" s="56"/>
      <c r="D16" s="58"/>
      <c r="F16" s="57"/>
      <c r="H16" s="57"/>
    </row>
    <row r="17" spans="2:8" s="45" customFormat="1" ht="11.25" customHeight="1">
      <c r="B17" s="56" t="s">
        <v>60</v>
      </c>
      <c r="C17" s="56"/>
      <c r="D17" s="58"/>
      <c r="F17" s="57"/>
      <c r="H17" s="57"/>
    </row>
    <row r="18" spans="2:8" s="45" customFormat="1" ht="12">
      <c r="B18" s="56" t="s">
        <v>174</v>
      </c>
      <c r="C18" s="56"/>
      <c r="D18" s="58"/>
      <c r="F18" s="57">
        <f>+CASHFLOW!F28</f>
        <v>-18406</v>
      </c>
      <c r="H18" s="57">
        <f>+CASHFLOW!J28</f>
        <v>-35615</v>
      </c>
    </row>
    <row r="19" spans="2:8" s="45" customFormat="1" ht="12">
      <c r="B19" s="56" t="s">
        <v>175</v>
      </c>
      <c r="C19" s="56"/>
      <c r="D19" s="58"/>
      <c r="F19" s="63">
        <f>+CASHFLOW!F32</f>
        <v>-23661</v>
      </c>
      <c r="H19" s="63">
        <f>+CASHFLOW!J32</f>
        <v>-15309</v>
      </c>
    </row>
    <row r="20" spans="2:8" s="45" customFormat="1" ht="6" customHeight="1">
      <c r="B20" s="56"/>
      <c r="C20" s="56"/>
      <c r="F20" s="59"/>
      <c r="H20" s="59"/>
    </row>
    <row r="21" spans="2:8" s="45" customFormat="1" ht="12">
      <c r="B21" s="56" t="s">
        <v>48</v>
      </c>
      <c r="C21" s="56"/>
      <c r="F21" s="59">
        <f>SUM(F15:F19)</f>
        <v>419543</v>
      </c>
      <c r="H21" s="59">
        <f>SUM(H15:H19)</f>
        <v>320299</v>
      </c>
    </row>
    <row r="22" spans="2:8" s="45" customFormat="1" ht="6" customHeight="1">
      <c r="B22" s="56"/>
      <c r="C22" s="56"/>
      <c r="F22" s="59"/>
      <c r="H22" s="59"/>
    </row>
    <row r="23" spans="2:8" s="45" customFormat="1" ht="12">
      <c r="B23" s="56" t="s">
        <v>49</v>
      </c>
      <c r="C23" s="56"/>
      <c r="F23" s="59"/>
      <c r="H23" s="59"/>
    </row>
    <row r="24" spans="2:8" s="45" customFormat="1" ht="12">
      <c r="B24" s="56" t="s">
        <v>50</v>
      </c>
      <c r="C24" s="60"/>
      <c r="F24" s="57">
        <f>+CASHFLOW!F41+CASHFLOW!F76</f>
        <v>-163699</v>
      </c>
      <c r="H24" s="57">
        <f>+CASHFLOW!J38</f>
        <v>74704</v>
      </c>
    </row>
    <row r="25" spans="2:8" s="45" customFormat="1" ht="12">
      <c r="B25" s="56" t="s">
        <v>51</v>
      </c>
      <c r="C25" s="60"/>
      <c r="F25" s="63">
        <f>+CASHFLOW!F47</f>
        <v>-61835</v>
      </c>
      <c r="H25" s="63">
        <f>+CASHFLOW!J42+CASHFLOW!J76</f>
        <v>-66575</v>
      </c>
    </row>
    <row r="26" spans="2:8" s="45" customFormat="1" ht="6" customHeight="1">
      <c r="B26" s="60"/>
      <c r="C26" s="60"/>
      <c r="F26" s="57"/>
      <c r="H26" s="57"/>
    </row>
    <row r="27" spans="2:8" s="45" customFormat="1" ht="12">
      <c r="B27" s="56" t="s">
        <v>52</v>
      </c>
      <c r="C27" s="60"/>
      <c r="F27" s="63">
        <f>SUM(F21:F25)</f>
        <v>194009</v>
      </c>
      <c r="H27" s="63">
        <f>SUM(H21:H25)</f>
        <v>328428</v>
      </c>
    </row>
    <row r="28" spans="2:8" s="45" customFormat="1" ht="12">
      <c r="B28" s="56"/>
      <c r="C28" s="60"/>
      <c r="F28" s="57"/>
      <c r="H28" s="57"/>
    </row>
    <row r="29" spans="2:8" s="45" customFormat="1" ht="12">
      <c r="B29" s="49" t="s">
        <v>53</v>
      </c>
      <c r="C29" s="60"/>
      <c r="F29" s="57"/>
      <c r="H29" s="57"/>
    </row>
    <row r="30" spans="2:8" s="45" customFormat="1" ht="12">
      <c r="B30" s="56" t="s">
        <v>176</v>
      </c>
      <c r="C30" s="60"/>
      <c r="F30" s="57">
        <f>+CASHFLOW!F57</f>
        <v>13156</v>
      </c>
      <c r="H30" s="57">
        <f>+CASHFLOW!J57</f>
        <v>117474</v>
      </c>
    </row>
    <row r="31" spans="2:8" s="45" customFormat="1" ht="12">
      <c r="B31" s="56" t="s">
        <v>113</v>
      </c>
      <c r="C31" s="60"/>
      <c r="F31" s="63">
        <f>+CASHFLOW!F61</f>
        <v>-70767</v>
      </c>
      <c r="H31" s="63">
        <f>+CASHFLOW!J61</f>
        <v>-75492</v>
      </c>
    </row>
    <row r="32" spans="2:8" s="45" customFormat="1" ht="6" customHeight="1">
      <c r="B32" s="56"/>
      <c r="C32" s="60"/>
      <c r="F32" s="57"/>
      <c r="H32" s="57"/>
    </row>
    <row r="33" spans="2:8" s="45" customFormat="1" ht="12">
      <c r="B33" s="56" t="s">
        <v>54</v>
      </c>
      <c r="C33" s="60"/>
      <c r="F33" s="63">
        <f>SUM(F30:F32)</f>
        <v>-57611</v>
      </c>
      <c r="H33" s="63">
        <f>SUM(H30:H32)</f>
        <v>41982</v>
      </c>
    </row>
    <row r="34" spans="2:8" s="45" customFormat="1" ht="12">
      <c r="B34" s="56"/>
      <c r="C34" s="60"/>
      <c r="F34" s="57"/>
      <c r="H34" s="57"/>
    </row>
    <row r="35" spans="2:8" s="45" customFormat="1" ht="12">
      <c r="B35" s="49" t="s">
        <v>55</v>
      </c>
      <c r="C35" s="60"/>
      <c r="F35" s="57"/>
      <c r="H35" s="57"/>
    </row>
    <row r="36" spans="2:8" s="45" customFormat="1" ht="12">
      <c r="B36" s="94" t="s">
        <v>244</v>
      </c>
      <c r="C36" s="60"/>
      <c r="F36" s="57">
        <v>27105</v>
      </c>
      <c r="H36" s="57">
        <v>8313</v>
      </c>
    </row>
    <row r="37" spans="2:8" s="45" customFormat="1" ht="12">
      <c r="B37" s="45" t="s">
        <v>245</v>
      </c>
      <c r="C37" s="60"/>
      <c r="F37" s="57">
        <f>-39633-30760</f>
        <v>-70393</v>
      </c>
      <c r="H37" s="57">
        <f>-33839-16874</f>
        <v>-50713</v>
      </c>
    </row>
    <row r="38" spans="2:8" s="45" customFormat="1" ht="12">
      <c r="B38" s="56" t="s">
        <v>125</v>
      </c>
      <c r="C38" s="60"/>
      <c r="F38" s="63">
        <f>+CASHFLOW!F72</f>
        <v>83701</v>
      </c>
      <c r="H38" s="63">
        <f>+CASHFLOW!J72</f>
        <v>-37089</v>
      </c>
    </row>
    <row r="39" spans="2:8" s="45" customFormat="1" ht="6" customHeight="1">
      <c r="B39" s="56"/>
      <c r="C39" s="60"/>
      <c r="F39" s="57"/>
      <c r="H39" s="57"/>
    </row>
    <row r="40" spans="2:8" s="45" customFormat="1" ht="12">
      <c r="B40" s="56" t="s">
        <v>56</v>
      </c>
      <c r="C40" s="60"/>
      <c r="F40" s="63">
        <f>SUM(F36:F39)</f>
        <v>40413</v>
      </c>
      <c r="H40" s="63">
        <f>SUM(H36:H39)</f>
        <v>-79489</v>
      </c>
    </row>
    <row r="41" spans="2:8" s="45" customFormat="1" ht="6" customHeight="1">
      <c r="B41" s="56"/>
      <c r="C41" s="60"/>
      <c r="F41" s="57"/>
      <c r="H41" s="57"/>
    </row>
    <row r="42" spans="2:8" s="45" customFormat="1" ht="12" customHeight="1" hidden="1">
      <c r="B42" s="56" t="s">
        <v>206</v>
      </c>
      <c r="C42" s="60"/>
      <c r="F42" s="63">
        <v>0</v>
      </c>
      <c r="H42" s="63">
        <v>0</v>
      </c>
    </row>
    <row r="43" spans="2:8" s="45" customFormat="1" ht="6" customHeight="1">
      <c r="B43" s="56"/>
      <c r="C43" s="60"/>
      <c r="F43" s="57"/>
      <c r="H43" s="57"/>
    </row>
    <row r="44" spans="2:8" s="45" customFormat="1" ht="12">
      <c r="B44" s="49" t="s">
        <v>263</v>
      </c>
      <c r="C44" s="60"/>
      <c r="F44" s="57">
        <f>+F27+F33+F40+F42</f>
        <v>176811</v>
      </c>
      <c r="H44" s="57">
        <f>+H27+H33+H40+H42</f>
        <v>290921</v>
      </c>
    </row>
    <row r="45" spans="2:8" s="45" customFormat="1" ht="6" customHeight="1">
      <c r="B45" s="56"/>
      <c r="C45" s="60"/>
      <c r="F45" s="57"/>
      <c r="H45" s="57"/>
    </row>
    <row r="46" spans="2:8" s="45" customFormat="1" ht="12.75" thickBot="1">
      <c r="B46" s="49" t="s">
        <v>58</v>
      </c>
      <c r="C46" s="60"/>
      <c r="F46" s="64">
        <v>696809</v>
      </c>
      <c r="H46" s="64">
        <f>+CASHFLOW!J80</f>
        <v>405888</v>
      </c>
    </row>
    <row r="47" spans="2:8" s="45" customFormat="1" ht="6" customHeight="1">
      <c r="B47" s="56"/>
      <c r="C47" s="60"/>
      <c r="F47" s="57"/>
      <c r="H47" s="57"/>
    </row>
    <row r="48" spans="2:8" s="45" customFormat="1" ht="12.75" thickBot="1">
      <c r="B48" s="49" t="str">
        <f>+CASHFLOW!B82</f>
        <v>CASH AND CASH EQUIVALENTS AT 31ST DECEMBER 2002</v>
      </c>
      <c r="C48" s="60"/>
      <c r="F48" s="64">
        <f>SUM(F44:F46)</f>
        <v>873620</v>
      </c>
      <c r="H48" s="64">
        <f>SUM(H44:H46)</f>
        <v>696809</v>
      </c>
    </row>
    <row r="49" spans="2:8" s="45" customFormat="1" ht="12">
      <c r="B49" s="56"/>
      <c r="C49" s="60"/>
      <c r="F49" s="57"/>
      <c r="H49" s="57"/>
    </row>
    <row r="50" spans="2:8" s="45" customFormat="1" ht="12">
      <c r="B50" s="56"/>
      <c r="C50" s="60"/>
      <c r="D50" s="39"/>
      <c r="F50" s="57"/>
      <c r="H50" s="57"/>
    </row>
    <row r="51" spans="2:8" s="45" customFormat="1" ht="12">
      <c r="B51" s="56"/>
      <c r="C51" s="60"/>
      <c r="D51" s="39"/>
      <c r="F51" s="57"/>
      <c r="H51" s="57"/>
    </row>
    <row r="52" spans="2:8" s="41" customFormat="1" ht="12">
      <c r="B52" s="65" t="s">
        <v>180</v>
      </c>
      <c r="C52" s="56"/>
      <c r="D52" s="57"/>
      <c r="F52" s="39"/>
      <c r="H52" s="33"/>
    </row>
    <row r="53" spans="2:8" s="41" customFormat="1" ht="12">
      <c r="B53" s="41" t="s">
        <v>45</v>
      </c>
      <c r="C53" s="56"/>
      <c r="D53" s="57"/>
      <c r="F53" s="39"/>
      <c r="H53" s="33"/>
    </row>
    <row r="54" spans="2:8" s="41" customFormat="1" ht="12">
      <c r="B54" s="56"/>
      <c r="C54" s="56"/>
      <c r="D54" s="57"/>
      <c r="F54" s="33"/>
      <c r="H54" s="33"/>
    </row>
    <row r="55" spans="2:4" ht="12.75">
      <c r="B55" s="4"/>
      <c r="C55" s="4"/>
      <c r="D55" s="5"/>
    </row>
    <row r="56" spans="2:8" s="37" customFormat="1" ht="11.25">
      <c r="B56" s="35"/>
      <c r="C56" s="35"/>
      <c r="D56" s="36"/>
      <c r="F56" s="38"/>
      <c r="H56" s="38"/>
    </row>
  </sheetData>
  <mergeCells count="4">
    <mergeCell ref="A6:I6"/>
    <mergeCell ref="A1:I1"/>
    <mergeCell ref="A2:I2"/>
    <mergeCell ref="A3:I3"/>
  </mergeCells>
  <printOptions horizontalCentered="1"/>
  <pageMargins left="0.53" right="0" top="0.91" bottom="0.69" header="0" footer="0.67"/>
  <pageSetup horizontalDpi="600" verticalDpi="600" orientation="portrait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34">
      <selection activeCell="A1" sqref="A1:L62"/>
    </sheetView>
  </sheetViews>
  <sheetFormatPr defaultColWidth="9.140625" defaultRowHeight="12.75"/>
  <cols>
    <col min="1" max="1" width="2.7109375" style="0" customWidth="1"/>
    <col min="2" max="2" width="29.28125" style="0" customWidth="1"/>
    <col min="3" max="3" width="1.57421875" style="0" customWidth="1"/>
    <col min="4" max="4" width="12.140625" style="14" customWidth="1"/>
    <col min="5" max="5" width="2.140625" style="0" customWidth="1"/>
    <col min="6" max="6" width="12.140625" style="0" customWidth="1"/>
    <col min="7" max="7" width="2.140625" style="0" customWidth="1"/>
    <col min="8" max="8" width="12.140625" style="14" customWidth="1"/>
    <col min="9" max="9" width="2.140625" style="0" customWidth="1"/>
    <col min="10" max="10" width="12.140625" style="14" customWidth="1"/>
    <col min="11" max="11" width="2.140625" style="0" customWidth="1"/>
    <col min="12" max="12" width="12.140625" style="0" customWidth="1"/>
    <col min="13" max="13" width="2.28125" style="0" customWidth="1"/>
  </cols>
  <sheetData>
    <row r="1" spans="1:12" s="6" customFormat="1" ht="18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3" customFormat="1" ht="11.25" customHeight="1">
      <c r="A2" s="103" t="s">
        <v>275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3" customFormat="1" ht="10.5" customHeight="1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3:10" s="3" customFormat="1" ht="6" customHeight="1">
      <c r="C4" s="29"/>
      <c r="D4" s="22"/>
      <c r="E4" s="22"/>
      <c r="F4" s="22"/>
      <c r="H4" s="10"/>
      <c r="J4" s="10"/>
    </row>
    <row r="5" spans="4:10" s="2" customFormat="1" ht="12.75">
      <c r="D5" s="8"/>
      <c r="H5" s="8"/>
      <c r="J5" s="8"/>
    </row>
    <row r="6" spans="4:10" s="2" customFormat="1" ht="12.75">
      <c r="D6" s="8"/>
      <c r="H6" s="8"/>
      <c r="J6" s="8"/>
    </row>
    <row r="7" spans="4:10" s="2" customFormat="1" ht="12.75">
      <c r="D7" s="8"/>
      <c r="H7" s="8"/>
      <c r="J7" s="8"/>
    </row>
    <row r="8" spans="2:12" s="7" customFormat="1" ht="12" customHeight="1">
      <c r="B8" s="104" t="s">
        <v>274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3:13" s="7" customFormat="1" ht="10.5" customHeight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4:12" s="7" customFormat="1" ht="10.5" customHeight="1">
      <c r="D10" s="18"/>
      <c r="E10" s="24"/>
      <c r="F10" s="17"/>
      <c r="G10" s="24"/>
      <c r="H10" s="18"/>
      <c r="I10" s="24"/>
      <c r="J10" s="18"/>
      <c r="K10" s="24"/>
      <c r="L10" s="18"/>
    </row>
    <row r="11" spans="4:12" s="7" customFormat="1" ht="10.5" customHeight="1">
      <c r="D11" s="99"/>
      <c r="E11" s="100"/>
      <c r="F11" s="101" t="s">
        <v>267</v>
      </c>
      <c r="G11" s="100"/>
      <c r="H11" s="101" t="s">
        <v>267</v>
      </c>
      <c r="I11" s="100"/>
      <c r="J11" s="101"/>
      <c r="K11" s="100"/>
      <c r="L11" s="101"/>
    </row>
    <row r="12" spans="4:12" s="7" customFormat="1" ht="10.5" customHeight="1">
      <c r="D12" s="99" t="s">
        <v>265</v>
      </c>
      <c r="E12" s="100"/>
      <c r="F12" s="101" t="s">
        <v>268</v>
      </c>
      <c r="G12" s="100"/>
      <c r="H12" s="101" t="s">
        <v>268</v>
      </c>
      <c r="I12" s="100"/>
      <c r="J12" s="101" t="s">
        <v>271</v>
      </c>
      <c r="K12" s="100"/>
      <c r="L12" s="99"/>
    </row>
    <row r="13" spans="4:12" s="7" customFormat="1" ht="10.5" customHeight="1">
      <c r="D13" s="99" t="s">
        <v>266</v>
      </c>
      <c r="E13" s="100"/>
      <c r="F13" s="101" t="s">
        <v>269</v>
      </c>
      <c r="G13" s="100"/>
      <c r="H13" s="101" t="s">
        <v>270</v>
      </c>
      <c r="I13" s="100"/>
      <c r="J13" s="101" t="s">
        <v>272</v>
      </c>
      <c r="K13" s="100"/>
      <c r="L13" s="101" t="s">
        <v>273</v>
      </c>
    </row>
    <row r="14" spans="4:12" s="7" customFormat="1" ht="10.5" customHeight="1">
      <c r="D14" s="99" t="s">
        <v>3</v>
      </c>
      <c r="E14" s="100"/>
      <c r="F14" s="101" t="s">
        <v>3</v>
      </c>
      <c r="G14" s="100"/>
      <c r="H14" s="99" t="s">
        <v>3</v>
      </c>
      <c r="I14" s="100"/>
      <c r="J14" s="99" t="s">
        <v>3</v>
      </c>
      <c r="K14" s="100"/>
      <c r="L14" s="99" t="s">
        <v>3</v>
      </c>
    </row>
    <row r="15" spans="4:12" s="41" customFormat="1" ht="7.5" customHeight="1">
      <c r="D15" s="33"/>
      <c r="H15" s="33"/>
      <c r="J15" s="33"/>
      <c r="L15" s="33"/>
    </row>
    <row r="16" spans="1:12" s="41" customFormat="1" ht="24">
      <c r="A16" s="40"/>
      <c r="B16" s="98" t="s">
        <v>264</v>
      </c>
      <c r="D16" s="39"/>
      <c r="F16" s="39"/>
      <c r="H16" s="39"/>
      <c r="J16" s="39"/>
      <c r="L16" s="39"/>
    </row>
    <row r="17" spans="1:12" s="41" customFormat="1" ht="6" customHeight="1">
      <c r="A17" s="40"/>
      <c r="D17" s="33"/>
      <c r="F17" s="33"/>
      <c r="H17" s="33"/>
      <c r="J17" s="33"/>
      <c r="L17" s="33"/>
    </row>
    <row r="18" spans="1:12" s="41" customFormat="1" ht="12">
      <c r="A18" s="40"/>
      <c r="B18" s="41" t="s">
        <v>116</v>
      </c>
      <c r="D18" s="39">
        <v>270026</v>
      </c>
      <c r="F18" s="39">
        <f>184608+6045+18386</f>
        <v>209039</v>
      </c>
      <c r="H18" s="39">
        <v>0</v>
      </c>
      <c r="J18" s="39">
        <v>1012691</v>
      </c>
      <c r="L18" s="39">
        <f>SUM(D18:J18)</f>
        <v>1491756</v>
      </c>
    </row>
    <row r="19" spans="1:12" s="41" customFormat="1" ht="12">
      <c r="A19" s="40"/>
      <c r="B19" s="41" t="s">
        <v>198</v>
      </c>
      <c r="D19" s="39"/>
      <c r="F19" s="39"/>
      <c r="H19" s="39"/>
      <c r="J19" s="39"/>
      <c r="L19" s="39"/>
    </row>
    <row r="20" spans="1:12" s="41" customFormat="1" ht="12">
      <c r="A20" s="40"/>
      <c r="B20" s="41" t="s">
        <v>199</v>
      </c>
      <c r="D20" s="42">
        <v>0</v>
      </c>
      <c r="F20" s="42">
        <v>0</v>
      </c>
      <c r="H20" s="42">
        <v>0</v>
      </c>
      <c r="J20" s="42">
        <v>19442</v>
      </c>
      <c r="L20" s="42">
        <f>SUM(D20:J20)</f>
        <v>19442</v>
      </c>
    </row>
    <row r="21" spans="1:14" s="41" customFormat="1" ht="12">
      <c r="A21" s="40"/>
      <c r="D21" s="39">
        <f>+D18+D20</f>
        <v>270026</v>
      </c>
      <c r="F21" s="39">
        <f>+F18+F20</f>
        <v>209039</v>
      </c>
      <c r="H21" s="39">
        <f>+H18+H20</f>
        <v>0</v>
      </c>
      <c r="J21" s="39">
        <f>+J18+J20</f>
        <v>1032133</v>
      </c>
      <c r="L21" s="39">
        <f>+L18+L20</f>
        <v>1511198</v>
      </c>
      <c r="N21" s="66"/>
    </row>
    <row r="22" spans="1:12" s="41" customFormat="1" ht="6" customHeight="1">
      <c r="A22" s="40"/>
      <c r="D22" s="33"/>
      <c r="F22" s="33"/>
      <c r="H22" s="33"/>
      <c r="J22" s="33"/>
      <c r="L22" s="33"/>
    </row>
    <row r="23" spans="1:12" s="41" customFormat="1" ht="12">
      <c r="A23" s="40"/>
      <c r="B23" s="41" t="s">
        <v>42</v>
      </c>
      <c r="D23" s="33"/>
      <c r="F23" s="33"/>
      <c r="H23" s="33"/>
      <c r="J23" s="33"/>
      <c r="L23" s="33"/>
    </row>
    <row r="24" spans="1:12" s="41" customFormat="1" ht="12">
      <c r="A24" s="40"/>
      <c r="B24" s="41" t="s">
        <v>200</v>
      </c>
      <c r="D24" s="33"/>
      <c r="F24" s="33"/>
      <c r="H24" s="33"/>
      <c r="J24" s="33"/>
      <c r="L24" s="33"/>
    </row>
    <row r="25" spans="1:12" s="41" customFormat="1" ht="12">
      <c r="A25" s="40"/>
      <c r="B25" s="41" t="s">
        <v>201</v>
      </c>
      <c r="D25" s="33">
        <v>0</v>
      </c>
      <c r="F25" s="33">
        <f>233422-230645-48</f>
        <v>2729</v>
      </c>
      <c r="H25" s="33">
        <v>0</v>
      </c>
      <c r="J25" s="33">
        <v>0</v>
      </c>
      <c r="L25" s="39">
        <f>SUM(D25:J25)</f>
        <v>2729</v>
      </c>
    </row>
    <row r="26" spans="1:12" s="41" customFormat="1" ht="6" customHeight="1">
      <c r="A26" s="40"/>
      <c r="D26" s="39"/>
      <c r="F26" s="39"/>
      <c r="H26" s="39"/>
      <c r="J26" s="39"/>
      <c r="L26" s="39"/>
    </row>
    <row r="27" spans="1:12" s="41" customFormat="1" ht="12">
      <c r="A27" s="40"/>
      <c r="B27" s="41" t="s">
        <v>171</v>
      </c>
      <c r="D27" s="33">
        <f>4996+96+104+15</f>
        <v>5211</v>
      </c>
      <c r="F27" s="33">
        <f>19335+372+402+58</f>
        <v>20167</v>
      </c>
      <c r="H27" s="33">
        <v>0</v>
      </c>
      <c r="J27" s="33">
        <v>0</v>
      </c>
      <c r="L27" s="39">
        <f>SUM(D27:J27)</f>
        <v>25378</v>
      </c>
    </row>
    <row r="28" spans="1:12" s="41" customFormat="1" ht="6" customHeight="1">
      <c r="A28" s="40"/>
      <c r="D28" s="39"/>
      <c r="F28" s="39"/>
      <c r="H28" s="39"/>
      <c r="J28" s="39"/>
      <c r="L28" s="39"/>
    </row>
    <row r="29" spans="1:12" s="41" customFormat="1" ht="12">
      <c r="A29" s="40"/>
      <c r="B29" s="41" t="s">
        <v>43</v>
      </c>
      <c r="D29" s="33">
        <v>288</v>
      </c>
      <c r="F29" s="33">
        <v>1439</v>
      </c>
      <c r="H29" s="33">
        <v>0</v>
      </c>
      <c r="J29" s="33">
        <v>0</v>
      </c>
      <c r="L29" s="39">
        <f>SUM(D29:J29)</f>
        <v>1727</v>
      </c>
    </row>
    <row r="30" spans="1:12" s="41" customFormat="1" ht="6" customHeight="1">
      <c r="A30" s="40"/>
      <c r="D30" s="39"/>
      <c r="F30" s="39"/>
      <c r="H30" s="39"/>
      <c r="J30" s="39"/>
      <c r="L30" s="39"/>
    </row>
    <row r="31" spans="1:12" s="41" customFormat="1" ht="12">
      <c r="A31" s="40"/>
      <c r="B31" s="41" t="s">
        <v>37</v>
      </c>
      <c r="D31" s="39">
        <v>0</v>
      </c>
      <c r="E31" s="45"/>
      <c r="F31" s="39">
        <v>0</v>
      </c>
      <c r="G31" s="45"/>
      <c r="H31" s="39">
        <v>0</v>
      </c>
      <c r="I31" s="45"/>
      <c r="J31" s="39">
        <v>220387</v>
      </c>
      <c r="K31" s="45"/>
      <c r="L31" s="39">
        <f>SUM(D31:J31)</f>
        <v>220387</v>
      </c>
    </row>
    <row r="32" spans="1:12" s="41" customFormat="1" ht="6" customHeight="1">
      <c r="A32" s="40"/>
      <c r="D32" s="39"/>
      <c r="F32" s="39"/>
      <c r="H32" s="39"/>
      <c r="J32" s="39"/>
      <c r="L32" s="39"/>
    </row>
    <row r="33" spans="1:12" s="41" customFormat="1" ht="12">
      <c r="A33" s="40"/>
      <c r="B33" s="41" t="s">
        <v>21</v>
      </c>
      <c r="D33" s="42">
        <v>0</v>
      </c>
      <c r="F33" s="42">
        <v>0</v>
      </c>
      <c r="H33" s="42">
        <v>0</v>
      </c>
      <c r="J33" s="42">
        <f>-365-19826-19442</f>
        <v>-39633</v>
      </c>
      <c r="L33" s="42">
        <f>SUM(D33:J33)</f>
        <v>-39633</v>
      </c>
    </row>
    <row r="34" spans="1:12" s="41" customFormat="1" ht="6" customHeight="1">
      <c r="A34" s="40"/>
      <c r="D34" s="39"/>
      <c r="F34" s="39"/>
      <c r="H34" s="39"/>
      <c r="J34" s="39"/>
      <c r="L34" s="39"/>
    </row>
    <row r="35" spans="1:12" s="41" customFormat="1" ht="12">
      <c r="A35" s="40"/>
      <c r="B35" s="41" t="s">
        <v>44</v>
      </c>
      <c r="D35" s="42">
        <f>SUM(D21:D33)</f>
        <v>275525</v>
      </c>
      <c r="F35" s="42">
        <f>SUM(F21:F33)</f>
        <v>233374</v>
      </c>
      <c r="H35" s="42">
        <f>SUM(H21:H33)</f>
        <v>0</v>
      </c>
      <c r="J35" s="42">
        <f>SUM(J21:J33)</f>
        <v>1212887</v>
      </c>
      <c r="L35" s="42">
        <f>SUM(L21:L33)</f>
        <v>1721786</v>
      </c>
    </row>
    <row r="36" spans="1:12" s="41" customFormat="1" ht="6" customHeight="1">
      <c r="A36" s="40"/>
      <c r="D36" s="39"/>
      <c r="F36" s="39"/>
      <c r="H36" s="39"/>
      <c r="J36" s="39"/>
      <c r="L36" s="39"/>
    </row>
    <row r="37" spans="4:12" s="41" customFormat="1" ht="12">
      <c r="D37" s="33"/>
      <c r="G37" s="45"/>
      <c r="H37" s="39"/>
      <c r="J37" s="39"/>
      <c r="L37" s="67"/>
    </row>
    <row r="38" spans="1:12" s="41" customFormat="1" ht="24">
      <c r="A38" s="40"/>
      <c r="B38" s="98" t="s">
        <v>276</v>
      </c>
      <c r="D38" s="39"/>
      <c r="F38" s="39"/>
      <c r="H38" s="39"/>
      <c r="J38" s="39"/>
      <c r="L38" s="39"/>
    </row>
    <row r="39" spans="1:12" s="41" customFormat="1" ht="6" customHeight="1">
      <c r="A39" s="40"/>
      <c r="D39" s="33"/>
      <c r="F39" s="33"/>
      <c r="H39" s="33"/>
      <c r="J39" s="33"/>
      <c r="L39" s="33"/>
    </row>
    <row r="40" spans="1:14" s="41" customFormat="1" ht="12">
      <c r="A40" s="40"/>
      <c r="B40" s="41" t="s">
        <v>121</v>
      </c>
      <c r="D40" s="39">
        <v>268319</v>
      </c>
      <c r="F40" s="39">
        <f>178002+6045+27640</f>
        <v>211687</v>
      </c>
      <c r="H40" s="39">
        <v>0</v>
      </c>
      <c r="J40" s="39">
        <v>868689</v>
      </c>
      <c r="L40" s="39">
        <f>SUM(D40:J40)</f>
        <v>1348695</v>
      </c>
      <c r="N40" s="66"/>
    </row>
    <row r="41" spans="1:12" s="41" customFormat="1" ht="12">
      <c r="A41" s="40"/>
      <c r="B41" s="41" t="s">
        <v>198</v>
      </c>
      <c r="D41" s="39"/>
      <c r="F41" s="39"/>
      <c r="H41" s="39"/>
      <c r="J41" s="39"/>
      <c r="L41" s="39"/>
    </row>
    <row r="42" spans="1:12" s="41" customFormat="1" ht="12">
      <c r="A42" s="40"/>
      <c r="B42" s="41" t="s">
        <v>199</v>
      </c>
      <c r="D42" s="42">
        <v>0</v>
      </c>
      <c r="F42" s="42">
        <v>0</v>
      </c>
      <c r="H42" s="42">
        <v>0</v>
      </c>
      <c r="J42" s="42">
        <v>14489</v>
      </c>
      <c r="L42" s="42">
        <f>SUM(D42:J42)</f>
        <v>14489</v>
      </c>
    </row>
    <row r="43" spans="1:14" s="41" customFormat="1" ht="12">
      <c r="A43" s="40"/>
      <c r="D43" s="39">
        <f>+D40+D42</f>
        <v>268319</v>
      </c>
      <c r="F43" s="39">
        <f>+F40+F42</f>
        <v>211687</v>
      </c>
      <c r="H43" s="39">
        <f>+H40+H42</f>
        <v>0</v>
      </c>
      <c r="J43" s="39">
        <f>+J40+J42</f>
        <v>883178</v>
      </c>
      <c r="L43" s="39">
        <f>+L40+L42</f>
        <v>1363184</v>
      </c>
      <c r="N43" s="66"/>
    </row>
    <row r="44" spans="1:12" s="41" customFormat="1" ht="6" customHeight="1">
      <c r="A44" s="40"/>
      <c r="D44" s="33"/>
      <c r="F44" s="33"/>
      <c r="H44" s="33"/>
      <c r="J44" s="33"/>
      <c r="L44" s="33"/>
    </row>
    <row r="45" spans="1:12" s="41" customFormat="1" ht="12">
      <c r="A45" s="40"/>
      <c r="B45" s="41" t="s">
        <v>42</v>
      </c>
      <c r="D45" s="33"/>
      <c r="F45" s="33"/>
      <c r="H45" s="33"/>
      <c r="J45" s="33"/>
      <c r="L45" s="33"/>
    </row>
    <row r="46" spans="1:12" s="41" customFormat="1" ht="12">
      <c r="A46" s="40"/>
      <c r="B46" s="41" t="s">
        <v>285</v>
      </c>
      <c r="D46" s="33"/>
      <c r="F46" s="33"/>
      <c r="H46" s="33"/>
      <c r="J46" s="33"/>
      <c r="L46" s="33"/>
    </row>
    <row r="47" spans="1:12" s="41" customFormat="1" ht="12">
      <c r="A47" s="40"/>
      <c r="B47" s="41" t="s">
        <v>201</v>
      </c>
      <c r="D47" s="33">
        <v>0</v>
      </c>
      <c r="F47" s="33">
        <v>-9254</v>
      </c>
      <c r="H47" s="33">
        <v>0</v>
      </c>
      <c r="J47" s="33">
        <v>0</v>
      </c>
      <c r="L47" s="39">
        <f>SUM(D47:J47)</f>
        <v>-9254</v>
      </c>
    </row>
    <row r="48" spans="1:12" s="41" customFormat="1" ht="6" customHeight="1">
      <c r="A48" s="40"/>
      <c r="D48" s="39"/>
      <c r="F48" s="39"/>
      <c r="H48" s="39"/>
      <c r="J48" s="39"/>
      <c r="L48" s="39"/>
    </row>
    <row r="49" spans="1:12" s="41" customFormat="1" ht="12">
      <c r="A49" s="40"/>
      <c r="B49" s="41" t="s">
        <v>171</v>
      </c>
      <c r="D49" s="33">
        <f>3+12+68+344+1280</f>
        <v>1707</v>
      </c>
      <c r="F49" s="33">
        <v>6606</v>
      </c>
      <c r="H49" s="33">
        <v>0</v>
      </c>
      <c r="J49" s="33">
        <v>0</v>
      </c>
      <c r="L49" s="39">
        <f>SUM(D49:J49)</f>
        <v>8313</v>
      </c>
    </row>
    <row r="50" spans="1:12" s="41" customFormat="1" ht="6" customHeight="1">
      <c r="A50" s="40"/>
      <c r="D50" s="39"/>
      <c r="F50" s="39"/>
      <c r="H50" s="39"/>
      <c r="J50" s="39"/>
      <c r="L50" s="39"/>
    </row>
    <row r="51" spans="1:12" s="41" customFormat="1" ht="12">
      <c r="A51" s="40"/>
      <c r="B51" s="41" t="s">
        <v>43</v>
      </c>
      <c r="D51" s="33">
        <v>0</v>
      </c>
      <c r="F51" s="33">
        <v>0</v>
      </c>
      <c r="H51" s="33">
        <v>0</v>
      </c>
      <c r="J51" s="33">
        <v>0</v>
      </c>
      <c r="L51" s="39">
        <f>SUM(D51:J51)</f>
        <v>0</v>
      </c>
    </row>
    <row r="52" spans="1:12" s="41" customFormat="1" ht="6" customHeight="1">
      <c r="A52" s="40"/>
      <c r="D52" s="39"/>
      <c r="E52" s="45"/>
      <c r="F52" s="39"/>
      <c r="G52" s="45"/>
      <c r="H52" s="39"/>
      <c r="I52" s="45"/>
      <c r="J52" s="39"/>
      <c r="K52" s="45"/>
      <c r="L52" s="39"/>
    </row>
    <row r="53" spans="1:12" s="41" customFormat="1" ht="12">
      <c r="A53" s="40"/>
      <c r="B53" s="41" t="s">
        <v>37</v>
      </c>
      <c r="D53" s="39">
        <v>0</v>
      </c>
      <c r="E53" s="45"/>
      <c r="F53" s="39">
        <v>0</v>
      </c>
      <c r="G53" s="45"/>
      <c r="H53" s="39">
        <v>0</v>
      </c>
      <c r="I53" s="45"/>
      <c r="J53" s="39">
        <v>182794</v>
      </c>
      <c r="K53" s="45"/>
      <c r="L53" s="39">
        <f>SUM(D53:J53)</f>
        <v>182794</v>
      </c>
    </row>
    <row r="54" spans="1:12" s="41" customFormat="1" ht="6" customHeight="1">
      <c r="A54" s="40"/>
      <c r="D54" s="39"/>
      <c r="F54" s="39"/>
      <c r="H54" s="39"/>
      <c r="J54" s="39"/>
      <c r="L54" s="39"/>
    </row>
    <row r="55" spans="1:12" s="41" customFormat="1" ht="12">
      <c r="A55" s="40"/>
      <c r="B55" s="41" t="s">
        <v>21</v>
      </c>
      <c r="D55" s="42">
        <v>0</v>
      </c>
      <c r="F55" s="42">
        <v>0</v>
      </c>
      <c r="H55" s="42">
        <v>0</v>
      </c>
      <c r="J55" s="42">
        <f>-38792-14489+19442</f>
        <v>-33839</v>
      </c>
      <c r="L55" s="42">
        <f>SUM(D55:J55)</f>
        <v>-33839</v>
      </c>
    </row>
    <row r="56" spans="1:12" s="41" customFormat="1" ht="6" customHeight="1">
      <c r="A56" s="40"/>
      <c r="D56" s="39"/>
      <c r="F56" s="39"/>
      <c r="H56" s="39"/>
      <c r="J56" s="39"/>
      <c r="L56" s="39"/>
    </row>
    <row r="57" spans="1:12" s="41" customFormat="1" ht="12">
      <c r="A57" s="40"/>
      <c r="B57" s="41" t="s">
        <v>44</v>
      </c>
      <c r="D57" s="42">
        <f>SUM(D43:D55)</f>
        <v>270026</v>
      </c>
      <c r="F57" s="42">
        <f>SUM(F43:F55)</f>
        <v>209039</v>
      </c>
      <c r="H57" s="42">
        <f>SUM(H43:H55)</f>
        <v>0</v>
      </c>
      <c r="J57" s="42">
        <f>SUM(J43:J55)</f>
        <v>1032133</v>
      </c>
      <c r="L57" s="42">
        <f>SUM(L43:L55)</f>
        <v>1511198</v>
      </c>
    </row>
    <row r="58" spans="1:12" s="41" customFormat="1" ht="6" customHeight="1">
      <c r="A58" s="40"/>
      <c r="D58" s="39"/>
      <c r="F58" s="39"/>
      <c r="H58" s="39"/>
      <c r="J58" s="39"/>
      <c r="L58" s="39"/>
    </row>
    <row r="59" spans="1:12" s="41" customFormat="1" ht="12" customHeight="1">
      <c r="A59" s="40"/>
      <c r="D59" s="39"/>
      <c r="F59" s="39"/>
      <c r="H59" s="39"/>
      <c r="J59" s="39"/>
      <c r="L59" s="39"/>
    </row>
    <row r="60" spans="4:10" s="41" customFormat="1" ht="12">
      <c r="D60" s="33"/>
      <c r="H60" s="33"/>
      <c r="J60" s="33"/>
    </row>
    <row r="61" spans="2:10" s="41" customFormat="1" ht="12">
      <c r="B61" s="65" t="s">
        <v>281</v>
      </c>
      <c r="D61" s="33"/>
      <c r="H61" s="33"/>
      <c r="J61" s="33"/>
    </row>
    <row r="62" spans="2:10" s="41" customFormat="1" ht="12">
      <c r="B62" s="41" t="s">
        <v>282</v>
      </c>
      <c r="D62" s="33"/>
      <c r="H62" s="33"/>
      <c r="J62" s="33"/>
    </row>
    <row r="63" spans="4:10" s="41" customFormat="1" ht="12">
      <c r="D63" s="33"/>
      <c r="H63" s="33"/>
      <c r="J63" s="33"/>
    </row>
    <row r="64" spans="4:10" s="41" customFormat="1" ht="12">
      <c r="D64" s="33"/>
      <c r="H64" s="33"/>
      <c r="J64" s="33"/>
    </row>
    <row r="65" spans="4:10" s="41" customFormat="1" ht="12">
      <c r="D65" s="33"/>
      <c r="H65" s="33"/>
      <c r="J65" s="33"/>
    </row>
    <row r="66" spans="4:10" s="41" customFormat="1" ht="12">
      <c r="D66" s="33"/>
      <c r="H66" s="33"/>
      <c r="J66" s="33"/>
    </row>
    <row r="67" spans="4:10" s="41" customFormat="1" ht="12">
      <c r="D67" s="33"/>
      <c r="H67" s="33"/>
      <c r="J67" s="33"/>
    </row>
  </sheetData>
  <mergeCells count="4">
    <mergeCell ref="A1:L1"/>
    <mergeCell ref="B8:L8"/>
    <mergeCell ref="A2:L2"/>
    <mergeCell ref="A3:L3"/>
  </mergeCells>
  <printOptions horizontalCentered="1"/>
  <pageMargins left="0" right="0" top="0.86" bottom="0.6" header="0" footer="0.6"/>
  <pageSetup horizontalDpi="600" verticalDpi="600" orientation="portrait" paperSize="9" scale="98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0"/>
  <sheetViews>
    <sheetView workbookViewId="0" topLeftCell="IV1">
      <selection activeCell="A1" sqref="A1"/>
    </sheetView>
  </sheetViews>
  <sheetFormatPr defaultColWidth="9.140625" defaultRowHeight="12.75"/>
  <cols>
    <col min="1" max="1" width="2.7109375" style="1" hidden="1" customWidth="1"/>
    <col min="2" max="2" width="40.57421875" style="1" hidden="1" customWidth="1"/>
    <col min="3" max="3" width="2.8515625" style="1" hidden="1" customWidth="1"/>
    <col min="4" max="4" width="11.57421875" style="11" hidden="1" customWidth="1"/>
    <col min="5" max="5" width="1.28515625" style="1" hidden="1" customWidth="1"/>
    <col min="6" max="6" width="13.7109375" style="11" hidden="1" customWidth="1"/>
    <col min="7" max="7" width="3.28125" style="1" hidden="1" customWidth="1"/>
    <col min="8" max="8" width="11.57421875" style="11" hidden="1" customWidth="1"/>
    <col min="9" max="9" width="1.28515625" style="1" hidden="1" customWidth="1"/>
    <col min="10" max="10" width="13.7109375" style="11" hidden="1" customWidth="1"/>
    <col min="11" max="11" width="3.57421875" style="1" hidden="1" customWidth="1"/>
    <col min="12" max="12" width="12.421875" style="1" hidden="1" customWidth="1"/>
    <col min="13" max="16384" width="9.140625" style="1" hidden="1" customWidth="1"/>
  </cols>
  <sheetData>
    <row r="1" spans="2:12" s="3" customFormat="1" ht="11.25">
      <c r="B1" s="105" t="s">
        <v>35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s="3" customFormat="1" ht="11.25" customHeight="1">
      <c r="B2" s="106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s="3" customFormat="1" ht="10.5" customHeight="1">
      <c r="B3" s="106" t="s">
        <v>34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3:10" s="3" customFormat="1" ht="6.75" customHeight="1">
      <c r="C4" s="29"/>
      <c r="D4" s="26"/>
      <c r="E4" s="22"/>
      <c r="F4" s="26"/>
      <c r="H4" s="10"/>
      <c r="I4" s="22"/>
      <c r="J4" s="10"/>
    </row>
    <row r="5" spans="1:2" ht="11.25">
      <c r="A5" s="3"/>
      <c r="B5" s="3" t="s">
        <v>185</v>
      </c>
    </row>
    <row r="6" spans="6:10" ht="11.25">
      <c r="F6" s="27"/>
      <c r="G6" s="3"/>
      <c r="H6" s="10"/>
      <c r="J6" s="29" t="s">
        <v>4</v>
      </c>
    </row>
    <row r="7" spans="2:10" ht="11.25">
      <c r="B7" s="78"/>
      <c r="C7" s="78"/>
      <c r="D7" s="90"/>
      <c r="F7" s="91" t="s">
        <v>186</v>
      </c>
      <c r="J7" s="91" t="s">
        <v>186</v>
      </c>
    </row>
    <row r="8" spans="2:10" ht="11.25">
      <c r="B8" s="78"/>
      <c r="C8" s="78"/>
      <c r="D8" s="80"/>
      <c r="F8" s="80" t="str">
        <f>+PL!D15</f>
        <v>31/12/2002</v>
      </c>
      <c r="J8" s="80" t="str">
        <f>+PL!F15</f>
        <v>31/12/2001</v>
      </c>
    </row>
    <row r="9" spans="2:10" ht="11.25">
      <c r="B9" s="78"/>
      <c r="C9" s="78"/>
      <c r="D9" s="79"/>
      <c r="F9" s="79" t="s">
        <v>3</v>
      </c>
      <c r="J9" s="79" t="s">
        <v>3</v>
      </c>
    </row>
    <row r="10" spans="2:10" ht="12.75" customHeight="1">
      <c r="B10" s="81" t="s">
        <v>59</v>
      </c>
      <c r="C10" s="4"/>
      <c r="D10" s="74"/>
      <c r="F10" s="74"/>
      <c r="J10" s="74"/>
    </row>
    <row r="11" spans="2:10" s="82" customFormat="1" ht="11.25">
      <c r="B11" s="4" t="s">
        <v>47</v>
      </c>
      <c r="C11" s="4"/>
      <c r="D11" s="74"/>
      <c r="F11" s="74">
        <v>461610</v>
      </c>
      <c r="H11" s="12"/>
      <c r="J11" s="74">
        <v>371223</v>
      </c>
    </row>
    <row r="12" spans="2:10" s="82" customFormat="1" ht="6.75" customHeight="1">
      <c r="B12" s="4"/>
      <c r="C12" s="4"/>
      <c r="D12" s="74"/>
      <c r="F12" s="74"/>
      <c r="H12" s="12"/>
      <c r="J12" s="74"/>
    </row>
    <row r="13" spans="2:10" s="82" customFormat="1" ht="11.25">
      <c r="B13" s="4" t="s">
        <v>233</v>
      </c>
      <c r="C13" s="4"/>
      <c r="D13" s="74"/>
      <c r="F13" s="74"/>
      <c r="H13" s="12"/>
      <c r="J13" s="74"/>
    </row>
    <row r="14" spans="2:10" s="82" customFormat="1" ht="11.25">
      <c r="B14" s="4" t="s">
        <v>127</v>
      </c>
      <c r="C14" s="4"/>
      <c r="D14" s="74">
        <f>-F117</f>
        <v>1303</v>
      </c>
      <c r="F14" s="74"/>
      <c r="H14" s="12">
        <v>948</v>
      </c>
      <c r="J14" s="74"/>
    </row>
    <row r="15" spans="2:10" s="82" customFormat="1" ht="11.25">
      <c r="B15" s="4" t="s">
        <v>207</v>
      </c>
      <c r="C15" s="4"/>
      <c r="D15" s="74">
        <v>0</v>
      </c>
      <c r="F15" s="74"/>
      <c r="H15" s="12">
        <v>8667</v>
      </c>
      <c r="J15" s="74"/>
    </row>
    <row r="16" spans="2:10" s="82" customFormat="1" ht="11.25">
      <c r="B16" s="4" t="s">
        <v>230</v>
      </c>
      <c r="C16" s="4"/>
      <c r="D16" s="74">
        <v>561</v>
      </c>
      <c r="F16" s="74"/>
      <c r="H16" s="12">
        <f>414+327</f>
        <v>741</v>
      </c>
      <c r="J16" s="74"/>
    </row>
    <row r="17" spans="2:10" s="82" customFormat="1" ht="11.25">
      <c r="B17" s="4" t="s">
        <v>202</v>
      </c>
      <c r="C17" s="4"/>
      <c r="D17" s="74">
        <v>2651</v>
      </c>
      <c r="F17" s="74"/>
      <c r="H17" s="12">
        <v>380</v>
      </c>
      <c r="J17" s="74"/>
    </row>
    <row r="18" spans="2:10" s="82" customFormat="1" ht="11.25">
      <c r="B18" s="4" t="s">
        <v>128</v>
      </c>
      <c r="C18" s="4"/>
      <c r="D18" s="74">
        <v>1924</v>
      </c>
      <c r="F18" s="74"/>
      <c r="H18" s="12">
        <v>192</v>
      </c>
      <c r="J18" s="74"/>
    </row>
    <row r="19" spans="2:10" s="82" customFormat="1" ht="11.25">
      <c r="B19" s="4" t="s">
        <v>195</v>
      </c>
      <c r="C19" s="4"/>
      <c r="D19" s="74">
        <f>+F284</f>
        <v>18560</v>
      </c>
      <c r="F19" s="74"/>
      <c r="H19" s="12">
        <v>0</v>
      </c>
      <c r="J19" s="74"/>
    </row>
    <row r="20" spans="2:10" s="82" customFormat="1" ht="11.25">
      <c r="B20" s="4" t="s">
        <v>196</v>
      </c>
      <c r="C20" s="4"/>
      <c r="D20" s="74">
        <v>-12538</v>
      </c>
      <c r="F20" s="74"/>
      <c r="H20" s="12">
        <v>0</v>
      </c>
      <c r="J20" s="74"/>
    </row>
    <row r="21" spans="2:10" s="82" customFormat="1" ht="11.25">
      <c r="B21" s="4" t="s">
        <v>197</v>
      </c>
      <c r="C21" s="4"/>
      <c r="D21" s="74">
        <v>3000</v>
      </c>
      <c r="F21" s="74"/>
      <c r="H21" s="12">
        <v>0</v>
      </c>
      <c r="J21" s="74"/>
    </row>
    <row r="22" spans="2:10" s="82" customFormat="1" ht="11.25">
      <c r="B22" s="4" t="s">
        <v>129</v>
      </c>
      <c r="C22" s="4"/>
      <c r="D22" s="74">
        <f>-F99</f>
        <v>88198</v>
      </c>
      <c r="F22" s="74"/>
      <c r="H22" s="12">
        <v>86374</v>
      </c>
      <c r="J22" s="74"/>
    </row>
    <row r="23" spans="2:10" s="82" customFormat="1" ht="11.25">
      <c r="B23" s="4" t="s">
        <v>204</v>
      </c>
      <c r="C23" s="4"/>
      <c r="D23" s="74">
        <v>1544</v>
      </c>
      <c r="F23" s="74"/>
      <c r="H23" s="12">
        <v>163</v>
      </c>
      <c r="J23" s="74"/>
    </row>
    <row r="24" spans="2:10" s="82" customFormat="1" ht="11.25">
      <c r="B24" s="4" t="s">
        <v>130</v>
      </c>
      <c r="C24" s="4"/>
      <c r="D24" s="74">
        <v>-5621</v>
      </c>
      <c r="F24" s="74"/>
      <c r="H24" s="12">
        <v>2150</v>
      </c>
      <c r="J24" s="74"/>
    </row>
    <row r="25" spans="2:10" s="82" customFormat="1" ht="11.25">
      <c r="B25" s="4" t="s">
        <v>131</v>
      </c>
      <c r="C25" s="4"/>
      <c r="D25" s="74">
        <f>-F105</f>
        <v>-116096</v>
      </c>
      <c r="F25" s="74"/>
      <c r="H25" s="12">
        <v>-141015</v>
      </c>
      <c r="J25" s="74"/>
    </row>
    <row r="26" spans="2:10" s="82" customFormat="1" ht="11.25">
      <c r="B26" s="4" t="s">
        <v>168</v>
      </c>
      <c r="C26" s="4"/>
      <c r="D26" s="74">
        <f>2744-6160</f>
        <v>-3416</v>
      </c>
      <c r="F26" s="74"/>
      <c r="H26" s="12">
        <v>-6253</v>
      </c>
      <c r="J26" s="74"/>
    </row>
    <row r="27" spans="2:10" s="82" customFormat="1" ht="11.25">
      <c r="B27" s="4" t="s">
        <v>231</v>
      </c>
      <c r="C27" s="4"/>
      <c r="D27" s="74">
        <f>+F299</f>
        <v>394</v>
      </c>
      <c r="F27" s="74"/>
      <c r="H27" s="12">
        <f>15229-6891</f>
        <v>8338</v>
      </c>
      <c r="J27" s="74"/>
    </row>
    <row r="28" spans="2:10" s="82" customFormat="1" ht="11.25">
      <c r="B28" s="4" t="s">
        <v>132</v>
      </c>
      <c r="C28" s="4"/>
      <c r="D28" s="83">
        <f>+F252</f>
        <v>1130</v>
      </c>
      <c r="F28" s="74">
        <f>SUM(D14:D28)</f>
        <v>-18406</v>
      </c>
      <c r="H28" s="83">
        <v>3700</v>
      </c>
      <c r="J28" s="74">
        <f>SUM(H14:H28)</f>
        <v>-35615</v>
      </c>
    </row>
    <row r="29" spans="2:10" s="82" customFormat="1" ht="11.25">
      <c r="B29" s="4" t="s">
        <v>111</v>
      </c>
      <c r="C29" s="4"/>
      <c r="D29" s="74"/>
      <c r="F29" s="74"/>
      <c r="H29" s="12"/>
      <c r="J29" s="74"/>
    </row>
    <row r="30" spans="2:10" s="82" customFormat="1" ht="11.25">
      <c r="B30" s="4" t="s">
        <v>133</v>
      </c>
      <c r="C30" s="4"/>
      <c r="D30" s="74">
        <v>-23680</v>
      </c>
      <c r="F30" s="74"/>
      <c r="H30" s="12">
        <v>-14916</v>
      </c>
      <c r="J30" s="74"/>
    </row>
    <row r="31" spans="2:10" s="82" customFormat="1" ht="11.25">
      <c r="B31" s="4" t="s">
        <v>169</v>
      </c>
      <c r="C31" s="4"/>
      <c r="D31" s="74">
        <v>-374</v>
      </c>
      <c r="F31" s="74"/>
      <c r="H31" s="12">
        <v>-393</v>
      </c>
      <c r="J31" s="74"/>
    </row>
    <row r="32" spans="2:10" s="82" customFormat="1" ht="11.25">
      <c r="B32" s="4" t="s">
        <v>134</v>
      </c>
      <c r="C32" s="4"/>
      <c r="D32" s="83">
        <v>393</v>
      </c>
      <c r="F32" s="74">
        <f>SUM(D30:D32)</f>
        <v>-23661</v>
      </c>
      <c r="H32" s="83">
        <v>0</v>
      </c>
      <c r="J32" s="74">
        <f>SUM(H30:H32)</f>
        <v>-15309</v>
      </c>
    </row>
    <row r="33" spans="2:10" s="82" customFormat="1" ht="6" customHeight="1">
      <c r="B33" s="4"/>
      <c r="C33" s="4"/>
      <c r="D33" s="12"/>
      <c r="F33" s="92"/>
      <c r="H33" s="12"/>
      <c r="J33" s="92"/>
    </row>
    <row r="34" spans="2:10" s="82" customFormat="1" ht="6" customHeight="1">
      <c r="B34" s="4"/>
      <c r="C34" s="4"/>
      <c r="D34" s="12"/>
      <c r="F34" s="77"/>
      <c r="H34" s="12"/>
      <c r="J34" s="77"/>
    </row>
    <row r="35" spans="2:12" s="82" customFormat="1" ht="11.25">
      <c r="B35" s="4" t="s">
        <v>48</v>
      </c>
      <c r="C35" s="4"/>
      <c r="D35" s="12"/>
      <c r="F35" s="77">
        <f>SUM(F11:F33)</f>
        <v>419543</v>
      </c>
      <c r="H35" s="12"/>
      <c r="J35" s="77">
        <f>SUM(J11:J33)</f>
        <v>320299</v>
      </c>
      <c r="L35" s="85"/>
    </row>
    <row r="36" spans="2:10" s="82" customFormat="1" ht="6" customHeight="1">
      <c r="B36" s="4"/>
      <c r="C36" s="4"/>
      <c r="D36" s="12"/>
      <c r="F36" s="77"/>
      <c r="H36" s="12"/>
      <c r="J36" s="77"/>
    </row>
    <row r="37" spans="2:10" s="82" customFormat="1" ht="11.25">
      <c r="B37" s="4" t="s">
        <v>49</v>
      </c>
      <c r="C37" s="4"/>
      <c r="D37" s="12"/>
      <c r="F37" s="77"/>
      <c r="H37" s="12"/>
      <c r="J37" s="77"/>
    </row>
    <row r="38" spans="2:10" s="82" customFormat="1" ht="11.25">
      <c r="B38" s="4" t="s">
        <v>50</v>
      </c>
      <c r="C38" s="84"/>
      <c r="D38" s="12"/>
      <c r="F38" s="74"/>
      <c r="H38" s="12"/>
      <c r="J38" s="74">
        <f>22110+52594</f>
        <v>74704</v>
      </c>
    </row>
    <row r="39" spans="2:10" s="82" customFormat="1" ht="11.25">
      <c r="B39" s="4" t="s">
        <v>234</v>
      </c>
      <c r="C39" s="84"/>
      <c r="D39" s="12">
        <f>+H256</f>
        <v>-143613</v>
      </c>
      <c r="F39" s="74"/>
      <c r="H39" s="12"/>
      <c r="J39" s="74"/>
    </row>
    <row r="40" spans="2:10" s="82" customFormat="1" ht="11.25">
      <c r="B40" s="4" t="s">
        <v>235</v>
      </c>
      <c r="C40" s="84"/>
      <c r="D40" s="12">
        <f>+H261</f>
        <v>-29194</v>
      </c>
      <c r="F40" s="74"/>
      <c r="H40" s="12"/>
      <c r="J40" s="74"/>
    </row>
    <row r="41" spans="2:10" s="82" customFormat="1" ht="11.25">
      <c r="B41" s="4" t="s">
        <v>236</v>
      </c>
      <c r="C41" s="84"/>
      <c r="D41" s="13">
        <f>+F291</f>
        <v>6379</v>
      </c>
      <c r="F41" s="74">
        <f>SUM(D39:D41)</f>
        <v>-166428</v>
      </c>
      <c r="H41" s="12"/>
      <c r="J41" s="74"/>
    </row>
    <row r="42" spans="2:12" s="82" customFormat="1" ht="11.25">
      <c r="B42" s="4" t="s">
        <v>51</v>
      </c>
      <c r="C42" s="84"/>
      <c r="D42" s="12"/>
      <c r="F42" s="74"/>
      <c r="H42" s="12"/>
      <c r="J42" s="74">
        <f>-3470+10360-64944</f>
        <v>-58054</v>
      </c>
      <c r="L42" s="85"/>
    </row>
    <row r="43" spans="2:12" s="82" customFormat="1" ht="11.25">
      <c r="B43" s="4" t="s">
        <v>237</v>
      </c>
      <c r="C43" s="84"/>
      <c r="D43" s="12">
        <f>(246171-23941)-192483</f>
        <v>29747</v>
      </c>
      <c r="F43" s="74"/>
      <c r="H43" s="12"/>
      <c r="J43" s="74"/>
      <c r="L43" s="85"/>
    </row>
    <row r="44" spans="2:12" s="82" customFormat="1" ht="11.25">
      <c r="B44" s="4" t="s">
        <v>238</v>
      </c>
      <c r="C44" s="84"/>
      <c r="D44" s="12">
        <f>260209-219521-8700</f>
        <v>31988</v>
      </c>
      <c r="F44" s="74"/>
      <c r="H44" s="12"/>
      <c r="J44" s="74"/>
      <c r="L44" s="85"/>
    </row>
    <row r="45" spans="2:12" s="82" customFormat="1" ht="11.25">
      <c r="B45" s="4" t="s">
        <v>239</v>
      </c>
      <c r="C45" s="84"/>
      <c r="D45" s="12">
        <f>-15229+6891</f>
        <v>-8338</v>
      </c>
      <c r="F45" s="74"/>
      <c r="H45" s="12"/>
      <c r="J45" s="74"/>
      <c r="L45" s="85"/>
    </row>
    <row r="46" spans="2:12" s="82" customFormat="1" ht="11.25">
      <c r="B46" s="4" t="s">
        <v>240</v>
      </c>
      <c r="C46" s="84"/>
      <c r="D46" s="12">
        <f>+F143</f>
        <v>-113619</v>
      </c>
      <c r="F46" s="74"/>
      <c r="H46" s="12"/>
      <c r="J46" s="74"/>
      <c r="L46" s="85"/>
    </row>
    <row r="47" spans="2:12" s="82" customFormat="1" ht="11.25">
      <c r="B47" s="4" t="s">
        <v>241</v>
      </c>
      <c r="C47" s="84"/>
      <c r="D47" s="13">
        <f>1824+12538-15975</f>
        <v>-1613</v>
      </c>
      <c r="F47" s="74">
        <f>SUM(D43:D47)</f>
        <v>-61835</v>
      </c>
      <c r="H47" s="12"/>
      <c r="J47" s="74"/>
      <c r="L47" s="85"/>
    </row>
    <row r="48" spans="2:10" s="82" customFormat="1" ht="6" customHeight="1">
      <c r="B48" s="84"/>
      <c r="C48" s="84"/>
      <c r="D48" s="12"/>
      <c r="F48" s="83"/>
      <c r="H48" s="12"/>
      <c r="J48" s="83"/>
    </row>
    <row r="49" spans="2:10" s="82" customFormat="1" ht="11.25">
      <c r="B49" s="4" t="s">
        <v>112</v>
      </c>
      <c r="C49" s="84"/>
      <c r="D49" s="12"/>
      <c r="F49" s="83">
        <f>SUM(F35:F47)</f>
        <v>191280</v>
      </c>
      <c r="H49" s="12"/>
      <c r="J49" s="83">
        <f>SUM(J35:J42)</f>
        <v>336949</v>
      </c>
    </row>
    <row r="50" spans="2:10" s="82" customFormat="1" ht="11.25">
      <c r="B50" s="4"/>
      <c r="C50" s="84"/>
      <c r="D50" s="12"/>
      <c r="F50" s="74"/>
      <c r="H50" s="12"/>
      <c r="J50" s="74"/>
    </row>
    <row r="51" spans="2:10" s="82" customFormat="1" ht="11.25">
      <c r="B51" s="81" t="s">
        <v>53</v>
      </c>
      <c r="C51" s="84"/>
      <c r="D51" s="12"/>
      <c r="F51" s="74"/>
      <c r="H51" s="12"/>
      <c r="J51" s="74"/>
    </row>
    <row r="52" spans="2:10" s="82" customFormat="1" ht="11.25">
      <c r="B52" s="4" t="s">
        <v>172</v>
      </c>
      <c r="C52" s="84"/>
      <c r="D52" s="12"/>
      <c r="F52" s="74"/>
      <c r="H52" s="12"/>
      <c r="J52" s="74"/>
    </row>
    <row r="53" spans="2:10" s="82" customFormat="1" ht="11.25">
      <c r="B53" s="4" t="s">
        <v>177</v>
      </c>
      <c r="C53" s="84"/>
      <c r="D53" s="12">
        <v>-894</v>
      </c>
      <c r="F53" s="74"/>
      <c r="H53" s="12"/>
      <c r="J53" s="74"/>
    </row>
    <row r="54" spans="2:10" s="82" customFormat="1" ht="11.25">
      <c r="B54" s="4" t="s">
        <v>173</v>
      </c>
      <c r="C54" s="84"/>
      <c r="D54" s="12">
        <v>-9072</v>
      </c>
      <c r="F54" s="74"/>
      <c r="H54" s="12">
        <f>4650+1960</f>
        <v>6610</v>
      </c>
      <c r="J54" s="74"/>
    </row>
    <row r="55" spans="2:10" s="82" customFormat="1" ht="11.25">
      <c r="B55" s="4" t="s">
        <v>137</v>
      </c>
      <c r="C55" s="84"/>
      <c r="D55" s="12">
        <v>374</v>
      </c>
      <c r="F55" s="74"/>
      <c r="H55" s="12">
        <v>393</v>
      </c>
      <c r="J55" s="74"/>
    </row>
    <row r="56" spans="2:10" s="82" customFormat="1" ht="11.25">
      <c r="B56" s="4" t="s">
        <v>205</v>
      </c>
      <c r="C56" s="84"/>
      <c r="D56" s="12">
        <v>-1698</v>
      </c>
      <c r="F56" s="74"/>
      <c r="H56" s="12">
        <v>0</v>
      </c>
      <c r="J56" s="74"/>
    </row>
    <row r="57" spans="2:10" s="82" customFormat="1" ht="11.25">
      <c r="B57" s="4" t="s">
        <v>139</v>
      </c>
      <c r="C57" s="84"/>
      <c r="D57" s="13">
        <f>-F110</f>
        <v>24446</v>
      </c>
      <c r="F57" s="74">
        <f>SUM(D53:D57)</f>
        <v>13156</v>
      </c>
      <c r="H57" s="13">
        <v>110471</v>
      </c>
      <c r="J57" s="74">
        <f>SUM(H53:H57)</f>
        <v>117474</v>
      </c>
    </row>
    <row r="58" spans="2:10" s="82" customFormat="1" ht="11.25">
      <c r="B58" s="4" t="s">
        <v>113</v>
      </c>
      <c r="C58" s="84"/>
      <c r="D58" s="12"/>
      <c r="F58" s="74"/>
      <c r="H58" s="12"/>
      <c r="J58" s="74"/>
    </row>
    <row r="59" spans="2:10" s="82" customFormat="1" ht="11.25">
      <c r="B59" s="4" t="s">
        <v>135</v>
      </c>
      <c r="C59" s="84"/>
      <c r="D59" s="12">
        <f>-F218</f>
        <v>-110381</v>
      </c>
      <c r="F59" s="74"/>
      <c r="H59" s="12">
        <f>-100435-3539</f>
        <v>-103974</v>
      </c>
      <c r="J59" s="74"/>
    </row>
    <row r="60" spans="2:10" s="82" customFormat="1" ht="11.25">
      <c r="B60" s="4" t="s">
        <v>138</v>
      </c>
      <c r="C60" s="84"/>
      <c r="D60" s="12">
        <f>+F237</f>
        <v>15934</v>
      </c>
      <c r="F60" s="74"/>
      <c r="H60" s="12">
        <v>13566</v>
      </c>
      <c r="J60" s="74"/>
    </row>
    <row r="61" spans="2:10" s="82" customFormat="1" ht="11.25">
      <c r="B61" s="4" t="s">
        <v>136</v>
      </c>
      <c r="C61" s="84"/>
      <c r="D61" s="13">
        <f>-D30</f>
        <v>23680</v>
      </c>
      <c r="F61" s="74">
        <f>SUM(D59:D61)</f>
        <v>-70767</v>
      </c>
      <c r="H61" s="13">
        <v>14916</v>
      </c>
      <c r="J61" s="74">
        <f>SUM(H59:H61)</f>
        <v>-75492</v>
      </c>
    </row>
    <row r="62" spans="2:10" s="82" customFormat="1" ht="6" customHeight="1">
      <c r="B62" s="4"/>
      <c r="C62" s="84"/>
      <c r="D62" s="12"/>
      <c r="F62" s="83"/>
      <c r="H62" s="12"/>
      <c r="J62" s="83"/>
    </row>
    <row r="63" spans="2:10" s="82" customFormat="1" ht="11.25">
      <c r="B63" s="4" t="s">
        <v>114</v>
      </c>
      <c r="C63" s="84"/>
      <c r="D63" s="12"/>
      <c r="F63" s="83">
        <f>SUM(F52:F62)</f>
        <v>-57611</v>
      </c>
      <c r="H63" s="12"/>
      <c r="J63" s="83">
        <f>SUM(J52:J62)</f>
        <v>41982</v>
      </c>
    </row>
    <row r="64" spans="2:10" s="82" customFormat="1" ht="11.25">
      <c r="B64" s="4"/>
      <c r="C64" s="84"/>
      <c r="D64" s="12"/>
      <c r="F64" s="74"/>
      <c r="H64" s="12"/>
      <c r="J64" s="74"/>
    </row>
    <row r="65" spans="2:10" s="82" customFormat="1" ht="11.25">
      <c r="B65" s="81" t="s">
        <v>55</v>
      </c>
      <c r="C65" s="84"/>
      <c r="D65" s="12"/>
      <c r="F65" s="74"/>
      <c r="H65" s="12"/>
      <c r="J65" s="74"/>
    </row>
    <row r="66" spans="2:10" s="82" customFormat="1" ht="11.25">
      <c r="B66" s="4" t="s">
        <v>124</v>
      </c>
      <c r="C66" s="84"/>
      <c r="D66" s="12"/>
      <c r="F66" s="74"/>
      <c r="H66" s="12"/>
      <c r="J66" s="74"/>
    </row>
    <row r="67" spans="2:10" s="82" customFormat="1" ht="11.25">
      <c r="B67" s="4" t="s">
        <v>142</v>
      </c>
      <c r="C67" s="84"/>
      <c r="D67" s="12">
        <f>+F155+F162</f>
        <v>27105</v>
      </c>
      <c r="F67" s="74"/>
      <c r="H67" s="12">
        <v>8313</v>
      </c>
      <c r="J67" s="74"/>
    </row>
    <row r="68" spans="2:10" s="82" customFormat="1" ht="11.25">
      <c r="B68" s="4" t="s">
        <v>143</v>
      </c>
      <c r="C68" s="84"/>
      <c r="D68" s="12">
        <f>+F150</f>
        <v>-39633</v>
      </c>
      <c r="F68" s="74"/>
      <c r="H68" s="12">
        <v>-33839</v>
      </c>
      <c r="J68" s="74"/>
    </row>
    <row r="69" spans="2:12" s="82" customFormat="1" ht="11.25">
      <c r="B69" s="4" t="s">
        <v>144</v>
      </c>
      <c r="C69" s="84"/>
      <c r="D69" s="13">
        <f>+F172</f>
        <v>-30760</v>
      </c>
      <c r="F69" s="74">
        <f>SUM(D67:D69)</f>
        <v>-43288</v>
      </c>
      <c r="H69" s="13">
        <v>-16874</v>
      </c>
      <c r="J69" s="74">
        <f>SUM(H67:H69)</f>
        <v>-42400</v>
      </c>
      <c r="L69" s="85"/>
    </row>
    <row r="70" spans="2:10" s="82" customFormat="1" ht="11.25">
      <c r="B70" s="4" t="s">
        <v>125</v>
      </c>
      <c r="C70" s="84"/>
      <c r="D70" s="12"/>
      <c r="F70" s="74"/>
      <c r="H70" s="12"/>
      <c r="J70" s="74"/>
    </row>
    <row r="71" spans="2:10" s="82" customFormat="1" ht="11.25">
      <c r="B71" s="4" t="s">
        <v>141</v>
      </c>
      <c r="C71" s="84"/>
      <c r="D71" s="12">
        <f>+F178</f>
        <v>111825</v>
      </c>
      <c r="F71" s="74"/>
      <c r="H71" s="12">
        <v>-25432</v>
      </c>
      <c r="J71" s="74"/>
    </row>
    <row r="72" spans="2:10" s="82" customFormat="1" ht="11.25">
      <c r="B72" s="4" t="s">
        <v>140</v>
      </c>
      <c r="C72" s="84"/>
      <c r="D72" s="13">
        <f>+F134</f>
        <v>-28124</v>
      </c>
      <c r="F72" s="74">
        <f>SUM(D71:D72)</f>
        <v>83701</v>
      </c>
      <c r="H72" s="13">
        <v>-11657</v>
      </c>
      <c r="J72" s="74">
        <f>SUM(H71:H72)</f>
        <v>-37089</v>
      </c>
    </row>
    <row r="73" spans="2:10" s="82" customFormat="1" ht="6" customHeight="1">
      <c r="B73" s="4"/>
      <c r="C73" s="84"/>
      <c r="D73" s="12"/>
      <c r="F73" s="83"/>
      <c r="H73" s="12"/>
      <c r="J73" s="83"/>
    </row>
    <row r="74" spans="2:10" s="82" customFormat="1" ht="11.25">
      <c r="B74" s="4" t="s">
        <v>115</v>
      </c>
      <c r="C74" s="84"/>
      <c r="D74" s="12"/>
      <c r="F74" s="83">
        <f>SUM(F66:F73)</f>
        <v>40413</v>
      </c>
      <c r="H74" s="12"/>
      <c r="J74" s="83">
        <f>SUM(J66:J73)</f>
        <v>-79489</v>
      </c>
    </row>
    <row r="75" spans="2:10" s="82" customFormat="1" ht="6" customHeight="1">
      <c r="B75" s="4"/>
      <c r="C75" s="84"/>
      <c r="D75" s="12"/>
      <c r="F75" s="74"/>
      <c r="H75" s="12"/>
      <c r="J75" s="74"/>
    </row>
    <row r="76" spans="2:10" s="82" customFormat="1" ht="12" customHeight="1">
      <c r="B76" s="4" t="s">
        <v>206</v>
      </c>
      <c r="C76" s="84"/>
      <c r="D76" s="12"/>
      <c r="F76" s="83">
        <f>+F164</f>
        <v>2729</v>
      </c>
      <c r="H76" s="12"/>
      <c r="J76" s="83">
        <v>-8521</v>
      </c>
    </row>
    <row r="77" spans="2:10" s="82" customFormat="1" ht="6" customHeight="1">
      <c r="B77" s="4"/>
      <c r="C77" s="84"/>
      <c r="D77" s="12"/>
      <c r="F77" s="83"/>
      <c r="H77" s="12"/>
      <c r="J77" s="83"/>
    </row>
    <row r="78" spans="2:10" s="82" customFormat="1" ht="11.25">
      <c r="B78" s="78" t="s">
        <v>57</v>
      </c>
      <c r="C78" s="84"/>
      <c r="D78" s="12"/>
      <c r="F78" s="74">
        <f>+F49+F63+F74+F76</f>
        <v>176811</v>
      </c>
      <c r="H78" s="12"/>
      <c r="J78" s="74">
        <f>+J49+J63+J74+J76</f>
        <v>290921</v>
      </c>
    </row>
    <row r="79" spans="2:10" s="82" customFormat="1" ht="6" customHeight="1">
      <c r="B79" s="4"/>
      <c r="C79" s="84"/>
      <c r="D79" s="12"/>
      <c r="F79" s="74"/>
      <c r="H79" s="12"/>
      <c r="J79" s="74"/>
    </row>
    <row r="80" spans="2:10" s="82" customFormat="1" ht="12" thickBot="1">
      <c r="B80" s="78" t="s">
        <v>58</v>
      </c>
      <c r="C80" s="84"/>
      <c r="D80" s="12"/>
      <c r="F80" s="86">
        <f>713884-17075</f>
        <v>696809</v>
      </c>
      <c r="H80" s="12"/>
      <c r="J80" s="86">
        <v>405888</v>
      </c>
    </row>
    <row r="81" spans="2:10" s="82" customFormat="1" ht="6" customHeight="1">
      <c r="B81" s="4"/>
      <c r="C81" s="84"/>
      <c r="D81" s="12"/>
      <c r="F81" s="74"/>
      <c r="H81" s="12"/>
      <c r="J81" s="74"/>
    </row>
    <row r="82" spans="2:10" s="82" customFormat="1" ht="12" thickBot="1">
      <c r="B82" s="78" t="s">
        <v>187</v>
      </c>
      <c r="C82" s="84"/>
      <c r="D82" s="12"/>
      <c r="F82" s="86">
        <f>SUM(F78:F80)</f>
        <v>873620</v>
      </c>
      <c r="H82" s="12"/>
      <c r="J82" s="86">
        <f>SUM(J78:J80)</f>
        <v>696809</v>
      </c>
    </row>
    <row r="83" spans="2:10" s="82" customFormat="1" ht="6" customHeight="1">
      <c r="B83" s="4"/>
      <c r="C83" s="84"/>
      <c r="D83" s="12"/>
      <c r="F83" s="74"/>
      <c r="H83" s="12"/>
      <c r="J83" s="74"/>
    </row>
    <row r="84" spans="2:10" s="82" customFormat="1" ht="9" customHeight="1">
      <c r="B84" s="4"/>
      <c r="C84" s="84"/>
      <c r="D84" s="12"/>
      <c r="F84" s="74">
        <f>885418-11798-F82</f>
        <v>0</v>
      </c>
      <c r="H84" s="12"/>
      <c r="J84" s="74"/>
    </row>
    <row r="85" spans="2:6" ht="11.25">
      <c r="B85" s="32" t="s">
        <v>180</v>
      </c>
      <c r="C85" s="4"/>
      <c r="D85" s="74"/>
      <c r="F85" s="12"/>
    </row>
    <row r="86" spans="2:6" ht="11.25">
      <c r="B86" s="1" t="s">
        <v>45</v>
      </c>
      <c r="C86" s="4"/>
      <c r="D86" s="74"/>
      <c r="F86" s="12"/>
    </row>
    <row r="87" spans="2:4" ht="6" customHeight="1">
      <c r="B87" s="4"/>
      <c r="C87" s="4"/>
      <c r="D87" s="74"/>
    </row>
    <row r="88" spans="2:4" ht="11.25">
      <c r="B88" s="4"/>
      <c r="C88" s="4"/>
      <c r="D88" s="74"/>
    </row>
    <row r="89" spans="2:4" ht="11.25">
      <c r="B89" s="4"/>
      <c r="C89" s="4"/>
      <c r="D89" s="74"/>
    </row>
    <row r="90" ht="11.25">
      <c r="B90" s="1" t="s">
        <v>61</v>
      </c>
    </row>
    <row r="92" spans="1:2" ht="11.25">
      <c r="A92" s="32" t="s">
        <v>17</v>
      </c>
      <c r="B92" s="25" t="s">
        <v>62</v>
      </c>
    </row>
    <row r="93" spans="2:12" ht="11.25">
      <c r="B93" s="1" t="s">
        <v>63</v>
      </c>
      <c r="F93" s="11">
        <f>78648+624979</f>
        <v>703627</v>
      </c>
      <c r="L93" s="93"/>
    </row>
    <row r="94" spans="2:10" ht="11.25">
      <c r="B94" s="1" t="s">
        <v>220</v>
      </c>
      <c r="F94" s="11">
        <f>8230-80</f>
        <v>8150</v>
      </c>
      <c r="I94" s="11"/>
      <c r="J94" s="1"/>
    </row>
    <row r="95" spans="2:6" ht="11.25">
      <c r="B95" s="3" t="s">
        <v>80</v>
      </c>
      <c r="F95" s="13">
        <v>106381</v>
      </c>
    </row>
    <row r="96" ht="11.25">
      <c r="F96" s="11">
        <f>SUM(F93:F95)</f>
        <v>818158</v>
      </c>
    </row>
    <row r="97" spans="2:6" ht="11.25">
      <c r="B97" s="1" t="s">
        <v>64</v>
      </c>
      <c r="F97" s="11">
        <f>-F240</f>
        <v>-12518</v>
      </c>
    </row>
    <row r="98" spans="2:6" ht="11.25">
      <c r="B98" s="1" t="s">
        <v>243</v>
      </c>
      <c r="F98" s="11">
        <v>-561</v>
      </c>
    </row>
    <row r="99" spans="2:6" ht="11.25">
      <c r="B99" s="1" t="s">
        <v>65</v>
      </c>
      <c r="F99" s="11">
        <v>-88198</v>
      </c>
    </row>
    <row r="100" spans="2:6" ht="11.25">
      <c r="B100" s="1" t="s">
        <v>66</v>
      </c>
      <c r="F100" s="20">
        <f>SUM(F96:F99)</f>
        <v>716881</v>
      </c>
    </row>
    <row r="101" ht="11.25">
      <c r="F101" s="11">
        <f>636043+80838-F100</f>
        <v>0</v>
      </c>
    </row>
    <row r="102" spans="1:2" ht="11.25">
      <c r="A102" s="32" t="s">
        <v>18</v>
      </c>
      <c r="B102" s="25" t="s">
        <v>86</v>
      </c>
    </row>
    <row r="103" spans="2:6" ht="11.25">
      <c r="B103" s="1" t="s">
        <v>63</v>
      </c>
      <c r="F103" s="11">
        <v>324000</v>
      </c>
    </row>
    <row r="104" spans="2:6" ht="11.25">
      <c r="B104" s="3" t="s">
        <v>83</v>
      </c>
      <c r="F104" s="11">
        <v>0</v>
      </c>
    </row>
    <row r="105" spans="2:6" ht="11.25">
      <c r="B105" s="1" t="s">
        <v>84</v>
      </c>
      <c r="F105" s="13">
        <v>116096</v>
      </c>
    </row>
    <row r="106" ht="11.25">
      <c r="F106" s="11">
        <f>SUM(F103:F105)</f>
        <v>440096</v>
      </c>
    </row>
    <row r="107" spans="2:6" ht="11.25">
      <c r="B107" s="1" t="s">
        <v>75</v>
      </c>
      <c r="F107" s="11">
        <v>399</v>
      </c>
    </row>
    <row r="108" spans="2:6" ht="11.25">
      <c r="B108" s="1" t="s">
        <v>85</v>
      </c>
      <c r="F108" s="11">
        <v>0</v>
      </c>
    </row>
    <row r="109" spans="2:6" ht="11.25">
      <c r="B109" s="1" t="s">
        <v>74</v>
      </c>
      <c r="F109" s="11">
        <f>-25439-520-947</f>
        <v>-26906</v>
      </c>
    </row>
    <row r="110" spans="2:6" ht="11.25">
      <c r="B110" s="1" t="s">
        <v>69</v>
      </c>
      <c r="F110" s="11">
        <f>-2444-360-21642</f>
        <v>-24446</v>
      </c>
    </row>
    <row r="111" spans="2:6" ht="11.25">
      <c r="B111" s="1" t="s">
        <v>66</v>
      </c>
      <c r="F111" s="20">
        <f>SUM(F106:F110)</f>
        <v>389143</v>
      </c>
    </row>
    <row r="112" ht="11.25">
      <c r="F112" s="11">
        <f>389143-F111</f>
        <v>0</v>
      </c>
    </row>
    <row r="113" spans="1:2" ht="11.25">
      <c r="A113" s="32" t="s">
        <v>70</v>
      </c>
      <c r="B113" s="25" t="s">
        <v>81</v>
      </c>
    </row>
    <row r="114" spans="2:6" ht="11.25">
      <c r="B114" s="1" t="s">
        <v>63</v>
      </c>
      <c r="F114" s="11">
        <v>1085</v>
      </c>
    </row>
    <row r="115" spans="2:6" ht="11.25">
      <c r="B115" s="1" t="s">
        <v>67</v>
      </c>
      <c r="F115" s="13">
        <v>6079</v>
      </c>
    </row>
    <row r="116" ht="11.25">
      <c r="F116" s="11">
        <f>SUM(F114:F115)</f>
        <v>7164</v>
      </c>
    </row>
    <row r="117" spans="2:6" ht="11.25">
      <c r="B117" s="1" t="s">
        <v>82</v>
      </c>
      <c r="F117" s="11">
        <v>-1303</v>
      </c>
    </row>
    <row r="118" spans="2:6" ht="11.25">
      <c r="B118" s="1" t="s">
        <v>66</v>
      </c>
      <c r="F118" s="20">
        <f>SUM(F116:F117)</f>
        <v>5861</v>
      </c>
    </row>
    <row r="119" ht="11.25">
      <c r="F119" s="11">
        <f>5861-F118</f>
        <v>0</v>
      </c>
    </row>
    <row r="120" spans="1:2" ht="11.25">
      <c r="A120" s="32" t="s">
        <v>71</v>
      </c>
      <c r="B120" s="25" t="s">
        <v>6</v>
      </c>
    </row>
    <row r="121" spans="2:6" ht="11.25">
      <c r="B121" s="1" t="s">
        <v>87</v>
      </c>
      <c r="F121" s="12">
        <f>461835+223963+186574+36754</f>
        <v>909126</v>
      </c>
    </row>
    <row r="122" spans="2:10" ht="11.25">
      <c r="B122" s="1" t="s">
        <v>89</v>
      </c>
      <c r="F122" s="13">
        <f>+F123-F121</f>
        <v>203270</v>
      </c>
      <c r="G122" s="3" t="s">
        <v>90</v>
      </c>
      <c r="H122" s="10"/>
      <c r="J122" s="10" t="s">
        <v>91</v>
      </c>
    </row>
    <row r="123" spans="2:6" ht="11.25">
      <c r="B123" s="1" t="s">
        <v>88</v>
      </c>
      <c r="F123" s="20">
        <f>1994014-881618</f>
        <v>1112396</v>
      </c>
    </row>
    <row r="125" spans="1:2" ht="11.25">
      <c r="A125" s="32" t="s">
        <v>95</v>
      </c>
      <c r="B125" s="25" t="s">
        <v>8</v>
      </c>
    </row>
    <row r="126" spans="2:6" ht="11.25">
      <c r="B126" s="1" t="s">
        <v>92</v>
      </c>
      <c r="F126" s="12">
        <f>192483+219521</f>
        <v>412004</v>
      </c>
    </row>
    <row r="127" spans="2:10" ht="11.25">
      <c r="B127" s="1" t="s">
        <v>89</v>
      </c>
      <c r="F127" s="13">
        <f>+F128-F126</f>
        <v>94376</v>
      </c>
      <c r="G127" s="3" t="s">
        <v>93</v>
      </c>
      <c r="H127" s="10"/>
      <c r="J127" s="10" t="s">
        <v>91</v>
      </c>
    </row>
    <row r="128" spans="2:6" ht="11.25">
      <c r="B128" s="1" t="s">
        <v>88</v>
      </c>
      <c r="F128" s="20">
        <f>246171+260209</f>
        <v>506380</v>
      </c>
    </row>
    <row r="130" spans="1:2" ht="11.25">
      <c r="A130" s="32" t="s">
        <v>96</v>
      </c>
      <c r="B130" s="25" t="s">
        <v>94</v>
      </c>
    </row>
    <row r="131" spans="2:6" ht="11.25">
      <c r="B131" s="1" t="s">
        <v>63</v>
      </c>
      <c r="F131" s="11">
        <v>124193</v>
      </c>
    </row>
    <row r="132" spans="2:6" ht="11.25">
      <c r="B132" s="3" t="s">
        <v>78</v>
      </c>
      <c r="F132" s="13">
        <v>0</v>
      </c>
    </row>
    <row r="133" ht="11.25">
      <c r="F133" s="11">
        <f>SUM(F131:F132)</f>
        <v>124193</v>
      </c>
    </row>
    <row r="134" spans="2:6" ht="11.25">
      <c r="B134" s="1" t="s">
        <v>68</v>
      </c>
      <c r="F134" s="11">
        <v>-28124</v>
      </c>
    </row>
    <row r="135" spans="2:6" ht="11.25">
      <c r="B135" s="1" t="s">
        <v>66</v>
      </c>
      <c r="F135" s="20">
        <f>SUM(F133:F134)</f>
        <v>96069</v>
      </c>
    </row>
    <row r="136" ht="11.25">
      <c r="F136" s="11">
        <f>96069-F135</f>
        <v>0</v>
      </c>
    </row>
    <row r="137" spans="1:2" ht="11.25">
      <c r="A137" s="32" t="s">
        <v>98</v>
      </c>
      <c r="B137" s="25" t="s">
        <v>32</v>
      </c>
    </row>
    <row r="138" spans="2:6" ht="11.25">
      <c r="B138" s="1" t="s">
        <v>63</v>
      </c>
      <c r="F138" s="11">
        <v>45026</v>
      </c>
    </row>
    <row r="139" spans="2:6" ht="11.25">
      <c r="B139" s="1" t="s">
        <v>106</v>
      </c>
      <c r="F139" s="12">
        <f>119871-797</f>
        <v>119074</v>
      </c>
    </row>
    <row r="140" spans="2:6" ht="11.25">
      <c r="B140" s="1" t="s">
        <v>76</v>
      </c>
      <c r="F140" s="13">
        <f>-25439-520-947</f>
        <v>-26906</v>
      </c>
    </row>
    <row r="141" ht="11.25">
      <c r="F141" s="11">
        <f>SUM(F138:F140)</f>
        <v>137194</v>
      </c>
    </row>
    <row r="142" spans="2:12" ht="11.25">
      <c r="B142" s="3" t="s">
        <v>77</v>
      </c>
      <c r="D142" s="11">
        <f>-114366+28-50+797</f>
        <v>-113591</v>
      </c>
      <c r="L142" s="93"/>
    </row>
    <row r="143" spans="2:12" ht="11.25">
      <c r="B143" s="89" t="s">
        <v>219</v>
      </c>
      <c r="D143" s="13">
        <v>-28</v>
      </c>
      <c r="F143" s="11">
        <f>SUM(D142:D143)</f>
        <v>-113619</v>
      </c>
      <c r="L143" s="93"/>
    </row>
    <row r="144" spans="2:6" ht="11.25">
      <c r="B144" s="1" t="s">
        <v>66</v>
      </c>
      <c r="F144" s="20">
        <f>F141+F143</f>
        <v>23575</v>
      </c>
    </row>
    <row r="145" ht="11.25">
      <c r="F145" s="11">
        <f>23575-F144</f>
        <v>0</v>
      </c>
    </row>
    <row r="146" spans="1:2" ht="11.25">
      <c r="A146" s="32" t="s">
        <v>99</v>
      </c>
      <c r="B146" s="25" t="s">
        <v>97</v>
      </c>
    </row>
    <row r="147" spans="2:6" ht="11.25">
      <c r="B147" s="1" t="s">
        <v>63</v>
      </c>
      <c r="F147" s="11">
        <v>19442</v>
      </c>
    </row>
    <row r="148" spans="2:6" ht="11.25">
      <c r="B148" s="1" t="s">
        <v>67</v>
      </c>
      <c r="F148" s="13">
        <f>20191</f>
        <v>20191</v>
      </c>
    </row>
    <row r="149" ht="11.25">
      <c r="F149" s="11">
        <f>SUM(F147:F148)</f>
        <v>39633</v>
      </c>
    </row>
    <row r="150" spans="2:6" ht="11.25">
      <c r="B150" s="3" t="s">
        <v>77</v>
      </c>
      <c r="F150" s="11">
        <v>-39633</v>
      </c>
    </row>
    <row r="151" spans="2:6" ht="11.25">
      <c r="B151" s="1" t="s">
        <v>66</v>
      </c>
      <c r="F151" s="20">
        <f>SUM(F149:F150)</f>
        <v>0</v>
      </c>
    </row>
    <row r="152" ht="11.25">
      <c r="F152" s="11">
        <f>0-F151</f>
        <v>0</v>
      </c>
    </row>
    <row r="153" spans="1:2" ht="11.25">
      <c r="A153" s="32" t="s">
        <v>101</v>
      </c>
      <c r="B153" s="25" t="s">
        <v>11</v>
      </c>
    </row>
    <row r="154" spans="2:6" ht="11.25">
      <c r="B154" s="1" t="s">
        <v>63</v>
      </c>
      <c r="F154" s="11">
        <v>270026</v>
      </c>
    </row>
    <row r="155" spans="2:6" ht="11.25">
      <c r="B155" s="3" t="s">
        <v>78</v>
      </c>
      <c r="F155" s="13">
        <v>5499</v>
      </c>
    </row>
    <row r="156" ht="11.25">
      <c r="F156" s="11">
        <f>SUM(F154:F155)</f>
        <v>275525</v>
      </c>
    </row>
    <row r="157" spans="2:6" ht="11.25">
      <c r="B157" s="1" t="s">
        <v>68</v>
      </c>
      <c r="F157" s="11">
        <v>0</v>
      </c>
    </row>
    <row r="158" spans="2:6" ht="11.25">
      <c r="B158" s="1" t="s">
        <v>66</v>
      </c>
      <c r="F158" s="20">
        <f>SUM(F156:F157)</f>
        <v>275525</v>
      </c>
    </row>
    <row r="159" ht="11.25">
      <c r="F159" s="11">
        <f>275525-F158</f>
        <v>0</v>
      </c>
    </row>
    <row r="160" spans="1:2" ht="11.25">
      <c r="A160" s="32" t="s">
        <v>102</v>
      </c>
      <c r="B160" s="25" t="s">
        <v>41</v>
      </c>
    </row>
    <row r="161" spans="2:6" ht="11.25">
      <c r="B161" s="1" t="s">
        <v>63</v>
      </c>
      <c r="F161" s="11">
        <f>184608+18386+6045</f>
        <v>209039</v>
      </c>
    </row>
    <row r="162" spans="2:6" ht="11.25">
      <c r="B162" s="3" t="s">
        <v>78</v>
      </c>
      <c r="F162" s="13">
        <f>20167+1439</f>
        <v>21606</v>
      </c>
    </row>
    <row r="163" ht="11.25">
      <c r="F163" s="11">
        <f>SUM(F161:F162)</f>
        <v>230645</v>
      </c>
    </row>
    <row r="164" spans="2:10" ht="11.25">
      <c r="B164" s="1" t="s">
        <v>68</v>
      </c>
      <c r="F164" s="11">
        <v>2729</v>
      </c>
      <c r="G164" s="3" t="s">
        <v>93</v>
      </c>
      <c r="H164" s="10"/>
      <c r="J164" s="10" t="s">
        <v>100</v>
      </c>
    </row>
    <row r="165" spans="2:6" ht="11.25">
      <c r="B165" s="1" t="s">
        <v>66</v>
      </c>
      <c r="F165" s="20">
        <f>SUM(F163:F164)</f>
        <v>233374</v>
      </c>
    </row>
    <row r="166" ht="11.25">
      <c r="F166" s="11">
        <f>233374-F165</f>
        <v>0</v>
      </c>
    </row>
    <row r="167" spans="1:2" ht="11.25">
      <c r="A167" s="32" t="s">
        <v>103</v>
      </c>
      <c r="B167" s="25" t="s">
        <v>73</v>
      </c>
    </row>
    <row r="168" spans="2:6" ht="11.25">
      <c r="B168" s="1" t="s">
        <v>63</v>
      </c>
      <c r="F168" s="11">
        <f>483488+14157</f>
        <v>497645</v>
      </c>
    </row>
    <row r="169" spans="2:12" ht="11.25">
      <c r="B169" s="1" t="s">
        <v>67</v>
      </c>
      <c r="F169" s="13">
        <v>121259</v>
      </c>
      <c r="L169" s="93"/>
    </row>
    <row r="170" ht="11.25">
      <c r="F170" s="11">
        <f>SUM(F168:F169)</f>
        <v>618904</v>
      </c>
    </row>
    <row r="171" spans="2:6" ht="11.25">
      <c r="B171" s="1" t="s">
        <v>126</v>
      </c>
      <c r="F171" s="11">
        <f>-990+135</f>
        <v>-855</v>
      </c>
    </row>
    <row r="172" spans="2:12" ht="11.25">
      <c r="B172" s="1" t="s">
        <v>79</v>
      </c>
      <c r="F172" s="11">
        <f>-992-15611-13738-303-116</f>
        <v>-30760</v>
      </c>
      <c r="L172" s="1">
        <f>233+15611+759</f>
        <v>16603</v>
      </c>
    </row>
    <row r="173" spans="2:6" ht="11.25">
      <c r="B173" s="1" t="s">
        <v>66</v>
      </c>
      <c r="F173" s="20">
        <f>SUM(F170:F172)</f>
        <v>587289</v>
      </c>
    </row>
    <row r="174" ht="11.25">
      <c r="F174" s="11">
        <f>587289-F173</f>
        <v>0</v>
      </c>
    </row>
    <row r="175" spans="1:2" ht="11.25">
      <c r="A175" s="32" t="s">
        <v>104</v>
      </c>
      <c r="B175" s="25" t="s">
        <v>72</v>
      </c>
    </row>
    <row r="176" spans="2:6" ht="11.25">
      <c r="B176" s="1" t="s">
        <v>63</v>
      </c>
      <c r="F176" s="11">
        <v>30738</v>
      </c>
    </row>
    <row r="177" spans="2:10" ht="11.25">
      <c r="B177" s="1" t="s">
        <v>210</v>
      </c>
      <c r="F177" s="11">
        <v>1471</v>
      </c>
      <c r="I177" s="11"/>
      <c r="J177" s="1"/>
    </row>
    <row r="178" spans="2:6" ht="11.25">
      <c r="B178" s="3" t="s">
        <v>78</v>
      </c>
      <c r="F178" s="13">
        <v>111825</v>
      </c>
    </row>
    <row r="179" ht="11.25">
      <c r="F179" s="11">
        <f>SUM(F176:F178)</f>
        <v>144034</v>
      </c>
    </row>
    <row r="180" spans="2:6" ht="11.25">
      <c r="B180" s="1" t="s">
        <v>68</v>
      </c>
      <c r="F180" s="11">
        <v>0</v>
      </c>
    </row>
    <row r="181" spans="2:6" ht="11.25">
      <c r="B181" s="1" t="s">
        <v>66</v>
      </c>
      <c r="F181" s="20">
        <f>SUM(F179:F180)</f>
        <v>144034</v>
      </c>
    </row>
    <row r="182" ht="11.25">
      <c r="F182" s="11">
        <f>144034-F181</f>
        <v>0</v>
      </c>
    </row>
    <row r="183" spans="1:2" ht="11.25">
      <c r="A183" s="32" t="s">
        <v>107</v>
      </c>
      <c r="B183" s="25" t="s">
        <v>15</v>
      </c>
    </row>
    <row r="184" spans="2:6" ht="11.25">
      <c r="B184" s="1" t="s">
        <v>63</v>
      </c>
      <c r="F184" s="11">
        <f>3437+12538</f>
        <v>15975</v>
      </c>
    </row>
    <row r="185" spans="2:6" ht="11.25">
      <c r="B185" s="1" t="s">
        <v>67</v>
      </c>
      <c r="F185" s="13">
        <v>-580</v>
      </c>
    </row>
    <row r="186" ht="11.25">
      <c r="F186" s="11">
        <f>SUM(F184:F185)</f>
        <v>15395</v>
      </c>
    </row>
    <row r="187" spans="2:6" ht="11.25">
      <c r="B187" s="1" t="s">
        <v>178</v>
      </c>
      <c r="F187" s="11">
        <f>-1033-12538</f>
        <v>-13571</v>
      </c>
    </row>
    <row r="188" spans="2:6" ht="11.25">
      <c r="B188" s="1" t="s">
        <v>66</v>
      </c>
      <c r="F188" s="20">
        <f>SUM(F186:F187)</f>
        <v>1824</v>
      </c>
    </row>
    <row r="189" ht="11.25">
      <c r="F189" s="11">
        <f>1824-F188</f>
        <v>0</v>
      </c>
    </row>
    <row r="190" spans="1:2" ht="11.25">
      <c r="A190" s="32" t="s">
        <v>108</v>
      </c>
      <c r="B190" s="25" t="s">
        <v>27</v>
      </c>
    </row>
    <row r="191" spans="2:6" ht="11.25">
      <c r="B191" s="1" t="s">
        <v>63</v>
      </c>
      <c r="C191" s="37"/>
      <c r="F191" s="11">
        <v>9839</v>
      </c>
    </row>
    <row r="192" spans="2:6" ht="11.25">
      <c r="B192" s="1" t="s">
        <v>105</v>
      </c>
      <c r="C192" s="37"/>
      <c r="F192" s="13">
        <v>3</v>
      </c>
    </row>
    <row r="193" spans="3:6" ht="11.25">
      <c r="C193" s="37"/>
      <c r="F193" s="11">
        <f>SUM(F191:F192)</f>
        <v>9842</v>
      </c>
    </row>
    <row r="194" spans="2:6" ht="11.25">
      <c r="B194" s="1" t="s">
        <v>210</v>
      </c>
      <c r="C194" s="37"/>
      <c r="F194" s="11">
        <v>1013</v>
      </c>
    </row>
    <row r="195" spans="2:6" ht="11.25">
      <c r="B195" s="1" t="s">
        <v>66</v>
      </c>
      <c r="F195" s="20">
        <f>+F193+F194</f>
        <v>10855</v>
      </c>
    </row>
    <row r="196" ht="11.25">
      <c r="F196" s="11">
        <f>10855-F195</f>
        <v>0</v>
      </c>
    </row>
    <row r="197" spans="1:2" ht="11.25">
      <c r="A197" s="32" t="s">
        <v>145</v>
      </c>
      <c r="B197" s="25" t="s">
        <v>149</v>
      </c>
    </row>
    <row r="198" spans="2:6" ht="11.25">
      <c r="B198" s="1" t="s">
        <v>148</v>
      </c>
      <c r="F198" s="11">
        <v>915</v>
      </c>
    </row>
    <row r="199" spans="2:6" ht="11.25">
      <c r="B199" s="1" t="s">
        <v>152</v>
      </c>
      <c r="F199" s="11">
        <v>373</v>
      </c>
    </row>
    <row r="200" spans="2:6" ht="11.25">
      <c r="B200" s="1" t="s">
        <v>153</v>
      </c>
      <c r="F200" s="11">
        <f>ROUND(523*0.9494,0)</f>
        <v>497</v>
      </c>
    </row>
    <row r="201" spans="2:6" ht="11.25">
      <c r="B201" s="1" t="s">
        <v>154</v>
      </c>
      <c r="F201" s="11">
        <f>ROUND(128*0.5035,0)</f>
        <v>64</v>
      </c>
    </row>
    <row r="202" spans="2:6" ht="11.25">
      <c r="B202" s="1" t="s">
        <v>155</v>
      </c>
      <c r="F202" s="11">
        <v>15936</v>
      </c>
    </row>
    <row r="203" spans="2:6" ht="11.25">
      <c r="B203" s="1" t="s">
        <v>156</v>
      </c>
      <c r="F203" s="11">
        <v>434</v>
      </c>
    </row>
    <row r="204" spans="2:6" ht="11.25">
      <c r="B204" s="1" t="s">
        <v>157</v>
      </c>
      <c r="F204" s="11">
        <v>2311</v>
      </c>
    </row>
    <row r="205" spans="2:6" ht="11.25">
      <c r="B205" s="1" t="s">
        <v>158</v>
      </c>
      <c r="F205" s="11">
        <v>1690</v>
      </c>
    </row>
    <row r="206" spans="2:6" ht="11.25">
      <c r="B206" s="1" t="s">
        <v>159</v>
      </c>
      <c r="F206" s="11">
        <v>602</v>
      </c>
    </row>
    <row r="207" spans="2:6" ht="11.25">
      <c r="B207" s="1" t="s">
        <v>160</v>
      </c>
      <c r="F207" s="11">
        <v>594</v>
      </c>
    </row>
    <row r="208" spans="2:6" ht="11.25">
      <c r="B208" s="1" t="s">
        <v>161</v>
      </c>
      <c r="F208" s="11">
        <v>139</v>
      </c>
    </row>
    <row r="209" spans="2:6" ht="11.25">
      <c r="B209" s="1" t="s">
        <v>162</v>
      </c>
      <c r="F209" s="11">
        <v>481</v>
      </c>
    </row>
    <row r="210" spans="2:6" ht="11.25">
      <c r="B210" s="1" t="s">
        <v>164</v>
      </c>
      <c r="F210" s="11">
        <f>ROUND(8617*2.1889,0)</f>
        <v>18862</v>
      </c>
    </row>
    <row r="211" spans="2:6" ht="11.25">
      <c r="B211" s="1" t="s">
        <v>165</v>
      </c>
      <c r="F211" s="11">
        <v>1020</v>
      </c>
    </row>
    <row r="212" spans="2:6" ht="11.25">
      <c r="B212" s="1" t="s">
        <v>166</v>
      </c>
      <c r="F212" s="11">
        <v>2490</v>
      </c>
    </row>
    <row r="213" spans="2:6" ht="11.25">
      <c r="B213" s="1" t="s">
        <v>170</v>
      </c>
      <c r="F213" s="11">
        <f>80838-78648</f>
        <v>2190</v>
      </c>
    </row>
    <row r="214" spans="2:6" ht="11.25">
      <c r="B214" s="1" t="s">
        <v>167</v>
      </c>
      <c r="F214" s="11">
        <v>51480</v>
      </c>
    </row>
    <row r="215" spans="2:6" ht="11.25">
      <c r="B215" s="1" t="s">
        <v>246</v>
      </c>
      <c r="F215" s="11">
        <v>4000</v>
      </c>
    </row>
    <row r="216" spans="2:6" ht="11.25">
      <c r="B216" s="1" t="s">
        <v>242</v>
      </c>
      <c r="F216" s="11">
        <v>6303</v>
      </c>
    </row>
    <row r="217" ht="6.75" customHeight="1"/>
    <row r="218" ht="12" thickBot="1">
      <c r="F218" s="23">
        <f>SUM(F198:F217)</f>
        <v>110381</v>
      </c>
    </row>
    <row r="219" ht="12" thickTop="1"/>
    <row r="220" spans="1:2" ht="11.25">
      <c r="A220" s="32" t="s">
        <v>146</v>
      </c>
      <c r="B220" s="25" t="s">
        <v>151</v>
      </c>
    </row>
    <row r="221" spans="2:6" ht="11.25">
      <c r="B221" s="1" t="s">
        <v>148</v>
      </c>
      <c r="F221" s="11">
        <v>446</v>
      </c>
    </row>
    <row r="222" spans="2:6" ht="11.25">
      <c r="B222" s="1" t="s">
        <v>152</v>
      </c>
      <c r="F222" s="11">
        <v>390</v>
      </c>
    </row>
    <row r="223" spans="2:6" ht="11.25">
      <c r="B223" s="1" t="s">
        <v>153</v>
      </c>
      <c r="F223" s="11">
        <f>ROUND(29*0.9494,0)</f>
        <v>28</v>
      </c>
    </row>
    <row r="224" spans="2:6" ht="11.25">
      <c r="B224" s="1" t="s">
        <v>154</v>
      </c>
      <c r="F224" s="11">
        <f>ROUND(158*0.5035,0)</f>
        <v>80</v>
      </c>
    </row>
    <row r="225" spans="2:6" ht="11.25">
      <c r="B225" s="1" t="s">
        <v>155</v>
      </c>
      <c r="F225" s="11">
        <v>4658</v>
      </c>
    </row>
    <row r="226" spans="2:6" ht="11.25">
      <c r="B226" s="1" t="s">
        <v>156</v>
      </c>
      <c r="F226" s="11">
        <v>113</v>
      </c>
    </row>
    <row r="227" spans="2:6" ht="11.25">
      <c r="B227" s="1" t="s">
        <v>157</v>
      </c>
      <c r="F227" s="11">
        <v>229</v>
      </c>
    </row>
    <row r="228" spans="2:6" ht="11.25">
      <c r="B228" s="1" t="s">
        <v>158</v>
      </c>
      <c r="F228" s="11">
        <v>38</v>
      </c>
    </row>
    <row r="229" spans="2:6" ht="11.25">
      <c r="B229" s="1" t="s">
        <v>161</v>
      </c>
      <c r="F229" s="11">
        <v>310</v>
      </c>
    </row>
    <row r="230" spans="2:6" ht="11.25">
      <c r="B230" s="1" t="s">
        <v>162</v>
      </c>
      <c r="F230" s="11">
        <v>57</v>
      </c>
    </row>
    <row r="231" spans="2:6" ht="11.25">
      <c r="B231" s="1" t="s">
        <v>163</v>
      </c>
      <c r="F231" s="11">
        <v>53</v>
      </c>
    </row>
    <row r="232" spans="2:6" ht="11.25">
      <c r="B232" s="1" t="s">
        <v>164</v>
      </c>
      <c r="F232" s="11">
        <f>ROUND(3139*2.1889,0)</f>
        <v>6871</v>
      </c>
    </row>
    <row r="233" spans="2:6" ht="11.25">
      <c r="B233" s="1" t="s">
        <v>165</v>
      </c>
      <c r="F233" s="11">
        <v>27</v>
      </c>
    </row>
    <row r="234" spans="2:6" ht="11.25">
      <c r="B234" s="1" t="s">
        <v>166</v>
      </c>
      <c r="F234" s="11">
        <v>419</v>
      </c>
    </row>
    <row r="235" spans="2:6" ht="11.25">
      <c r="B235" s="1" t="s">
        <v>167</v>
      </c>
      <c r="F235" s="11">
        <v>2215</v>
      </c>
    </row>
    <row r="236" ht="6" customHeight="1">
      <c r="F236" s="13"/>
    </row>
    <row r="237" ht="11.25">
      <c r="F237" s="12">
        <f>SUM(F221:F235)</f>
        <v>15934</v>
      </c>
    </row>
    <row r="238" spans="2:10" ht="11.25">
      <c r="B238" s="1" t="s">
        <v>221</v>
      </c>
      <c r="F238" s="12">
        <v>-6160</v>
      </c>
      <c r="I238" s="11"/>
      <c r="J238" s="1"/>
    </row>
    <row r="239" spans="2:10" ht="11.25">
      <c r="B239" s="1" t="s">
        <v>222</v>
      </c>
      <c r="F239" s="12">
        <v>2744</v>
      </c>
      <c r="I239" s="11"/>
      <c r="J239" s="1"/>
    </row>
    <row r="240" spans="2:10" ht="11.25">
      <c r="B240" s="1" t="s">
        <v>223</v>
      </c>
      <c r="F240" s="20">
        <f>SUM(F237:F239)</f>
        <v>12518</v>
      </c>
      <c r="I240" s="11"/>
      <c r="J240" s="1"/>
    </row>
    <row r="241" ht="11.25">
      <c r="F241" s="12"/>
    </row>
    <row r="243" spans="1:2" ht="11.25">
      <c r="A243" s="32" t="s">
        <v>150</v>
      </c>
      <c r="B243" s="25" t="s">
        <v>147</v>
      </c>
    </row>
    <row r="244" spans="2:6" ht="11.25">
      <c r="B244" s="1" t="s">
        <v>148</v>
      </c>
      <c r="F244" s="11">
        <v>43</v>
      </c>
    </row>
    <row r="245" spans="2:6" ht="11.25">
      <c r="B245" s="1" t="s">
        <v>152</v>
      </c>
      <c r="F245" s="11">
        <v>-33</v>
      </c>
    </row>
    <row r="246" spans="2:6" ht="11.25">
      <c r="B246" s="1" t="s">
        <v>188</v>
      </c>
      <c r="F246" s="11">
        <f>ROUND(644*0.9494,0)+ROUND(498*0.5035,0)</f>
        <v>862</v>
      </c>
    </row>
    <row r="247" spans="2:6" ht="11.25">
      <c r="B247" s="1" t="s">
        <v>157</v>
      </c>
      <c r="F247" s="11">
        <v>-42</v>
      </c>
    </row>
    <row r="248" spans="2:6" ht="11.25">
      <c r="B248" s="1" t="s">
        <v>189</v>
      </c>
      <c r="F248" s="11">
        <f>47+29</f>
        <v>76</v>
      </c>
    </row>
    <row r="249" spans="2:6" ht="11.25">
      <c r="B249" s="1" t="s">
        <v>164</v>
      </c>
      <c r="F249" s="11">
        <f>ROUND(25*2.1889,0)</f>
        <v>55</v>
      </c>
    </row>
    <row r="250" spans="2:6" ht="11.25">
      <c r="B250" s="1" t="s">
        <v>166</v>
      </c>
      <c r="F250" s="11">
        <v>169</v>
      </c>
    </row>
    <row r="251" ht="6" customHeight="1"/>
    <row r="252" ht="12" thickBot="1">
      <c r="F252" s="23">
        <f>SUM(F244:F251)</f>
        <v>1130</v>
      </c>
    </row>
    <row r="253" ht="12" thickTop="1"/>
    <row r="254" spans="1:10" ht="11.25">
      <c r="A254" s="1">
        <v>1</v>
      </c>
      <c r="B254" s="1" t="s">
        <v>209</v>
      </c>
      <c r="D254" s="12">
        <v>675305</v>
      </c>
      <c r="F254" s="12">
        <v>510201</v>
      </c>
      <c r="I254" s="11"/>
      <c r="J254" s="1"/>
    </row>
    <row r="255" spans="2:10" ht="11.25">
      <c r="B255" s="1" t="s">
        <v>210</v>
      </c>
      <c r="D255" s="13">
        <v>-21491</v>
      </c>
      <c r="E255" s="87"/>
      <c r="F255" s="13"/>
      <c r="I255" s="11"/>
      <c r="J255" s="1"/>
    </row>
    <row r="256" spans="4:10" ht="11.25">
      <c r="D256" s="12">
        <f>SUM(D254:D255)</f>
        <v>653814</v>
      </c>
      <c r="E256" s="12">
        <f>SUM(E254:E255)</f>
        <v>0</v>
      </c>
      <c r="F256" s="12">
        <f>SUM(F254:F255)</f>
        <v>510201</v>
      </c>
      <c r="H256" s="11">
        <f>+F256-D256</f>
        <v>-143613</v>
      </c>
      <c r="I256" s="11">
        <f>F256-D256</f>
        <v>-143613</v>
      </c>
      <c r="J256" s="1"/>
    </row>
    <row r="257" spans="4:10" ht="11.25">
      <c r="D257" s="13">
        <f>D258-D254</f>
        <v>-79769</v>
      </c>
      <c r="E257" s="87"/>
      <c r="F257" s="13">
        <f>F247+F251</f>
        <v>-42</v>
      </c>
      <c r="I257" s="11"/>
      <c r="J257" s="1"/>
    </row>
    <row r="258" spans="2:10" ht="11.25">
      <c r="B258" s="1" t="s">
        <v>211</v>
      </c>
      <c r="D258" s="20">
        <v>595536</v>
      </c>
      <c r="E258" s="88"/>
      <c r="F258" s="20">
        <f>SUM(F254:F257)</f>
        <v>1020360</v>
      </c>
      <c r="I258" s="11"/>
      <c r="J258" s="1"/>
    </row>
    <row r="259" spans="4:10" ht="11.25">
      <c r="D259" s="12"/>
      <c r="E259" s="82"/>
      <c r="F259" s="12"/>
      <c r="I259" s="11"/>
      <c r="J259" s="1"/>
    </row>
    <row r="260" spans="1:10" ht="11.25">
      <c r="A260" s="1">
        <v>2</v>
      </c>
      <c r="B260" s="1" t="s">
        <v>212</v>
      </c>
      <c r="D260" s="12"/>
      <c r="E260" s="82"/>
      <c r="F260" s="12"/>
      <c r="I260" s="11"/>
      <c r="J260" s="1"/>
    </row>
    <row r="261" spans="4:10" ht="11.25">
      <c r="D261" s="12">
        <f>64206+2904</f>
        <v>67110</v>
      </c>
      <c r="E261" s="82"/>
      <c r="F261" s="12">
        <v>37916</v>
      </c>
      <c r="H261" s="11">
        <f>+F261-D261</f>
        <v>-29194</v>
      </c>
      <c r="I261" s="11">
        <f>F261-D261</f>
        <v>-29194</v>
      </c>
      <c r="J261" s="1"/>
    </row>
    <row r="262" spans="4:10" ht="11.25">
      <c r="D262" s="12">
        <v>-2904</v>
      </c>
      <c r="E262" s="82"/>
      <c r="F262" s="13">
        <v>-4344</v>
      </c>
      <c r="I262" s="11"/>
      <c r="J262" s="1"/>
    </row>
    <row r="263" spans="4:10" ht="11.25">
      <c r="D263" s="20">
        <f>SUM(D261:D262)</f>
        <v>64206</v>
      </c>
      <c r="E263" s="82"/>
      <c r="F263" s="12">
        <f>SUM(F261:F262)</f>
        <v>33572</v>
      </c>
      <c r="I263" s="11"/>
      <c r="J263" s="1"/>
    </row>
    <row r="264" spans="4:10" ht="11.25">
      <c r="D264" s="12" t="s">
        <v>213</v>
      </c>
      <c r="E264" s="82"/>
      <c r="F264" s="12">
        <v>3182</v>
      </c>
      <c r="I264" s="11"/>
      <c r="J264" s="1"/>
    </row>
    <row r="265" spans="4:10" ht="11.25">
      <c r="D265" s="12"/>
      <c r="E265" s="82"/>
      <c r="F265" s="20">
        <f>SUM(F263:F264)</f>
        <v>36754</v>
      </c>
      <c r="I265" s="11"/>
      <c r="J265" s="1"/>
    </row>
    <row r="266" spans="4:10" ht="11.25">
      <c r="D266" s="12"/>
      <c r="E266" s="82"/>
      <c r="F266" s="12"/>
      <c r="I266" s="11"/>
      <c r="J266" s="1"/>
    </row>
    <row r="267" spans="1:10" ht="11.25">
      <c r="A267" s="1">
        <v>3</v>
      </c>
      <c r="B267" s="1" t="s">
        <v>214</v>
      </c>
      <c r="D267" s="12">
        <v>480545</v>
      </c>
      <c r="E267" s="82"/>
      <c r="F267" s="12">
        <v>514465</v>
      </c>
      <c r="I267" s="11"/>
      <c r="J267" s="1"/>
    </row>
    <row r="268" spans="4:10" ht="11.25">
      <c r="D268" s="12">
        <f>D269-D267</f>
        <v>-43649</v>
      </c>
      <c r="E268" s="82"/>
      <c r="F268" s="12">
        <f>F269-F267</f>
        <v>-52625</v>
      </c>
      <c r="I268" s="11"/>
      <c r="J268" s="1"/>
    </row>
    <row r="269" spans="4:10" ht="11.25">
      <c r="D269" s="20">
        <v>436896</v>
      </c>
      <c r="E269" s="82"/>
      <c r="F269" s="20">
        <v>461840</v>
      </c>
      <c r="I269" s="11"/>
      <c r="J269" s="1"/>
    </row>
    <row r="271" spans="1:2" ht="11.25">
      <c r="A271" s="32" t="s">
        <v>190</v>
      </c>
      <c r="B271" s="25" t="s">
        <v>191</v>
      </c>
    </row>
    <row r="272" spans="2:6" ht="11.25">
      <c r="B272" s="1" t="s">
        <v>148</v>
      </c>
      <c r="F272" s="11">
        <v>1690</v>
      </c>
    </row>
    <row r="273" spans="2:6" ht="11.25">
      <c r="B273" s="1" t="s">
        <v>152</v>
      </c>
      <c r="F273" s="11">
        <v>4070</v>
      </c>
    </row>
    <row r="274" spans="2:6" ht="11.25">
      <c r="B274" s="1" t="s">
        <v>153</v>
      </c>
      <c r="F274" s="11">
        <f>ROUND(562*0.9494,0)</f>
        <v>534</v>
      </c>
    </row>
    <row r="275" spans="2:6" ht="11.25">
      <c r="B275" s="1" t="s">
        <v>192</v>
      </c>
      <c r="F275" s="11">
        <f>ROUND(401*0.5035,0)</f>
        <v>202</v>
      </c>
    </row>
    <row r="276" spans="2:6" ht="11.25">
      <c r="B276" s="1" t="s">
        <v>193</v>
      </c>
      <c r="F276" s="11">
        <v>319</v>
      </c>
    </row>
    <row r="277" spans="2:6" ht="11.25">
      <c r="B277" s="1" t="s">
        <v>155</v>
      </c>
      <c r="F277" s="11">
        <v>112</v>
      </c>
    </row>
    <row r="278" spans="2:6" ht="11.25">
      <c r="B278" s="1" t="s">
        <v>157</v>
      </c>
      <c r="F278" s="11">
        <v>349</v>
      </c>
    </row>
    <row r="279" spans="2:6" ht="11.25">
      <c r="B279" s="1" t="s">
        <v>158</v>
      </c>
      <c r="F279" s="11">
        <v>532</v>
      </c>
    </row>
    <row r="280" spans="2:6" ht="11.25">
      <c r="B280" s="1" t="s">
        <v>159</v>
      </c>
      <c r="F280" s="11">
        <v>17</v>
      </c>
    </row>
    <row r="281" spans="2:6" ht="11.25">
      <c r="B281" s="1" t="s">
        <v>194</v>
      </c>
      <c r="F281" s="11">
        <v>9235</v>
      </c>
    </row>
    <row r="282" spans="2:6" ht="11.25">
      <c r="B282" s="1" t="s">
        <v>203</v>
      </c>
      <c r="F282" s="11">
        <f>18448-16948</f>
        <v>1500</v>
      </c>
    </row>
    <row r="283" ht="6" customHeight="1"/>
    <row r="284" ht="12" thickBot="1">
      <c r="F284" s="23">
        <f>SUM(F272:F283)</f>
        <v>18560</v>
      </c>
    </row>
    <row r="285" ht="5.25" customHeight="1" thickTop="1"/>
    <row r="286" ht="11.25">
      <c r="B286" s="1" t="s">
        <v>208</v>
      </c>
    </row>
    <row r="287" spans="2:6" ht="11.25">
      <c r="B287" s="1" t="s">
        <v>215</v>
      </c>
      <c r="F287" s="11">
        <v>436896</v>
      </c>
    </row>
    <row r="288" spans="2:6" ht="11.25">
      <c r="B288" s="1" t="s">
        <v>216</v>
      </c>
      <c r="F288" s="13">
        <f>+F284</f>
        <v>18560</v>
      </c>
    </row>
    <row r="289" ht="11.25">
      <c r="F289" s="11">
        <f>SUM(F287:F288)</f>
        <v>455456</v>
      </c>
    </row>
    <row r="290" spans="2:6" ht="11.25">
      <c r="B290" s="1" t="s">
        <v>217</v>
      </c>
      <c r="F290" s="11">
        <v>461835</v>
      </c>
    </row>
    <row r="291" spans="2:6" ht="11.25">
      <c r="B291" s="1" t="s">
        <v>218</v>
      </c>
      <c r="F291" s="20">
        <f>F290-F289</f>
        <v>6379</v>
      </c>
    </row>
    <row r="293" spans="1:2" ht="11.25">
      <c r="A293" s="32" t="s">
        <v>232</v>
      </c>
      <c r="B293" s="1" t="s">
        <v>224</v>
      </c>
    </row>
    <row r="294" spans="2:6" ht="11.25">
      <c r="B294" s="1" t="s">
        <v>225</v>
      </c>
      <c r="F294" s="11">
        <v>4501</v>
      </c>
    </row>
    <row r="295" spans="2:6" ht="11.25">
      <c r="B295" s="1" t="s">
        <v>226</v>
      </c>
      <c r="F295" s="13">
        <v>6058</v>
      </c>
    </row>
    <row r="296" ht="11.25">
      <c r="F296" s="11">
        <f>SUM(F294:F295)</f>
        <v>10559</v>
      </c>
    </row>
    <row r="297" spans="2:6" ht="11.25">
      <c r="B297" s="1" t="s">
        <v>224</v>
      </c>
      <c r="F297" s="13">
        <f>+F298-F296</f>
        <v>-5664</v>
      </c>
    </row>
    <row r="298" spans="2:6" ht="11.25">
      <c r="B298" s="1" t="s">
        <v>227</v>
      </c>
      <c r="F298" s="20">
        <v>4895</v>
      </c>
    </row>
    <row r="299" spans="2:6" ht="11.25">
      <c r="B299" s="1" t="s">
        <v>228</v>
      </c>
      <c r="F299" s="11">
        <f>+F295+F297</f>
        <v>394</v>
      </c>
    </row>
    <row r="300" spans="2:6" ht="11.25">
      <c r="B300" s="32" t="s">
        <v>229</v>
      </c>
      <c r="F300" s="11">
        <f>15228-6891</f>
        <v>8337</v>
      </c>
    </row>
  </sheetData>
  <mergeCells count="3">
    <mergeCell ref="B1:L1"/>
    <mergeCell ref="B2:L2"/>
    <mergeCell ref="B3:L3"/>
  </mergeCells>
  <printOptions horizontalCentered="1"/>
  <pageMargins left="0" right="0" top="0.25" bottom="0.25" header="0" footer="0.25"/>
  <pageSetup horizontalDpi="600" verticalDpi="600" orientation="portrait" paperSize="9" scale="90" r:id="rId1"/>
  <headerFooter alignWithMargins="0">
    <oddFooter xml:space="preserve">&amp;L&amp;7&amp;D&amp;R&amp;7&amp;F 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Secretary</cp:lastModifiedBy>
  <cp:lastPrinted>2003-02-25T01:52:18Z</cp:lastPrinted>
  <dcterms:created xsi:type="dcterms:W3CDTF">2000-10-19T01:23:51Z</dcterms:created>
  <dcterms:modified xsi:type="dcterms:W3CDTF">2003-02-25T01:54:05Z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613080471</vt:i4>
  </property>
  <property fmtid="{D5CDD505-2E9C-101B-9397-08002B2CF9AE}" pid="3" name="_EmailSubject">
    <vt:lpwstr>Latest update on 4th Qtr KLSE Report as at 20/3/03</vt:lpwstr>
  </property>
  <property fmtid="{D5CDD505-2E9C-101B-9397-08002B2CF9AE}" pid="4" name="_AuthorEmail">
    <vt:lpwstr>normah.narudin@umw.com.my</vt:lpwstr>
  </property>
  <property fmtid="{D5CDD505-2E9C-101B-9397-08002B2CF9AE}" pid="5" name="_AuthorEmailDisplayName">
    <vt:lpwstr>Normah Narudin (CORP FSD)</vt:lpwstr>
  </property>
  <property fmtid="{D5CDD505-2E9C-101B-9397-08002B2CF9AE}" pid="6" name="_PreviousAdHocReviewCycleID">
    <vt:i4>-1786528582</vt:i4>
  </property>
</Properties>
</file>