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9375" windowHeight="4965" activeTab="2"/>
  </bookViews>
  <sheets>
    <sheet name="PL" sheetId="1" r:id="rId1"/>
    <sheet name="BS" sheetId="2" r:id="rId2"/>
    <sheet name="CASHFLOW-SUMMARY" sheetId="3" r:id="rId3"/>
    <sheet name="EQUITY CHANGES" sheetId="4" r:id="rId4"/>
    <sheet name="Sheet 1" sheetId="5" r:id="rId5"/>
  </sheets>
  <definedNames>
    <definedName name="_xlnm.Print_Area" localSheetId="1">'BS'!$A$1:$J$58</definedName>
    <definedName name="_xlnm.Print_Area" localSheetId="2">'CASHFLOW-SUMMARY'!$A$1:$J$52</definedName>
    <definedName name="_xlnm.Print_Area" localSheetId="3">'EQUITY CHANGES'!$A$1:$L$59</definedName>
    <definedName name="_xlnm.Print_Area" localSheetId="0">'PL'!$A$1:$K$50</definedName>
    <definedName name="_xlnm.Print_Area" localSheetId="4">'Sheet 1'!$A$1:$J$76</definedName>
  </definedNames>
  <calcPr fullCalcOnLoad="1"/>
</workbook>
</file>

<file path=xl/sharedStrings.xml><?xml version="1.0" encoding="utf-8"?>
<sst xmlns="http://schemas.openxmlformats.org/spreadsheetml/2006/main" count="463" uniqueCount="234">
  <si>
    <t>CURRENT</t>
  </si>
  <si>
    <t>QUARTER</t>
  </si>
  <si>
    <t>TO DATE</t>
  </si>
  <si>
    <t>RM'000</t>
  </si>
  <si>
    <t>AS AT</t>
  </si>
  <si>
    <t>Current Assets</t>
  </si>
  <si>
    <t xml:space="preserve">     Financing Receivables</t>
  </si>
  <si>
    <t>Current Liabilities</t>
  </si>
  <si>
    <t>Net Current Assets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</si>
  <si>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</si>
  <si>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</si>
  <si>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</si>
  <si>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</si>
  <si>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</si>
  <si>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</si>
  <si>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1</t>
  </si>
  <si>
    <t>2</t>
  </si>
  <si>
    <t>UMW HOLDINGS BERHAD</t>
  </si>
  <si>
    <t>ENDED</t>
  </si>
  <si>
    <t>Revenue</t>
  </si>
  <si>
    <t xml:space="preserve">     Inventories</t>
  </si>
  <si>
    <t xml:space="preserve">     Trade Receivables</t>
  </si>
  <si>
    <t xml:space="preserve">     Trade Payables</t>
  </si>
  <si>
    <t xml:space="preserve">     Other Payables</t>
  </si>
  <si>
    <t>Deferred Taxation</t>
  </si>
  <si>
    <t xml:space="preserve">     Short Term Borrowings</t>
  </si>
  <si>
    <t xml:space="preserve">     Proposed Dividend</t>
  </si>
  <si>
    <t>30/09/01</t>
  </si>
  <si>
    <t>Taxation</t>
  </si>
  <si>
    <t>30/06/01</t>
  </si>
  <si>
    <t>(COMPANY NO : 90278-P)</t>
  </si>
  <si>
    <t>(INCORPORATED IN MALAYSIA)</t>
  </si>
  <si>
    <t xml:space="preserve">            UMW HOLDINGS BERHAD</t>
  </si>
  <si>
    <t>Operating Expenses</t>
  </si>
  <si>
    <t>Net profit for the period</t>
  </si>
  <si>
    <t>CONDENSED CONSOLIDATED BALANCE SHEET</t>
  </si>
  <si>
    <t xml:space="preserve">     Other Receivables</t>
  </si>
  <si>
    <t xml:space="preserve">     Taxation</t>
  </si>
  <si>
    <t>Reserve</t>
  </si>
  <si>
    <t xml:space="preserve">Translation of foreign subsidiaries </t>
  </si>
  <si>
    <t>representing losses not recognised</t>
  </si>
  <si>
    <t>in income statement</t>
  </si>
  <si>
    <t>Exercise of warrants</t>
  </si>
  <si>
    <t>Balance at end of period</t>
  </si>
  <si>
    <t>for the year ended 31st December 2001)</t>
  </si>
  <si>
    <t>6 MONTHS</t>
  </si>
  <si>
    <t>Net profit before taxation</t>
  </si>
  <si>
    <t>Operating profit before working capital changes</t>
  </si>
  <si>
    <t xml:space="preserve">Changes in working capital </t>
  </si>
  <si>
    <t xml:space="preserve">   Net change in current assets</t>
  </si>
  <si>
    <t xml:space="preserve">   Net change in current liabilities</t>
  </si>
  <si>
    <t>Net cash generated from operating activities</t>
  </si>
  <si>
    <t>CASHFLOW FROM INVESTING ACTIVITIES</t>
  </si>
  <si>
    <t>Net cash generated from investing activities</t>
  </si>
  <si>
    <t>CASHFLOW FROM FINANCING ACTIVITIES</t>
  </si>
  <si>
    <t>Net cash generated from financing activities</t>
  </si>
  <si>
    <t>NET INCREASE / DECREASE IN CASH AND CASH EQUIVALENT</t>
  </si>
  <si>
    <t>CASH AND CASH EQUIVALENTS AT 1ST JANUARY 2002</t>
  </si>
  <si>
    <t>CASHFLOW FROM OPERATING ACTIVITIES</t>
  </si>
  <si>
    <t>Adjustment for:</t>
  </si>
  <si>
    <t>Reconciliation items</t>
  </si>
  <si>
    <t>Fixed assets</t>
  </si>
  <si>
    <t>Opening balance</t>
  </si>
  <si>
    <t>Less : Disposal</t>
  </si>
  <si>
    <t xml:space="preserve">           Depreciation</t>
  </si>
  <si>
    <t>Closing balance</t>
  </si>
  <si>
    <t>Add : Increase</t>
  </si>
  <si>
    <t>Less : Decrease</t>
  </si>
  <si>
    <t xml:space="preserve">           Dividend</t>
  </si>
  <si>
    <t>3.</t>
  </si>
  <si>
    <t>4.</t>
  </si>
  <si>
    <t>Long-Term Borrowing</t>
  </si>
  <si>
    <t>Minority Interest</t>
  </si>
  <si>
    <t xml:space="preserve">           Taxation</t>
  </si>
  <si>
    <t>Less : Increase / (Decrease)</t>
  </si>
  <si>
    <t>Less : From Associate Cos</t>
  </si>
  <si>
    <t>Less : Payment - Cash</t>
  </si>
  <si>
    <t>Add : Increase - Cash</t>
  </si>
  <si>
    <t>Less : MI On dividend</t>
  </si>
  <si>
    <t>Add : Purchases - Cash</t>
  </si>
  <si>
    <t>Goodwill</t>
  </si>
  <si>
    <t>Less : Charged to P/L</t>
  </si>
  <si>
    <t>Add : Increase-Cash</t>
  </si>
  <si>
    <t>Add : Increase-P/L</t>
  </si>
  <si>
    <t xml:space="preserve">           Elimination</t>
  </si>
  <si>
    <t>Investment in Assoc &amp; Others</t>
  </si>
  <si>
    <t>Opening balance - Inventories/Trade, Financing &amp; Other Rec</t>
  </si>
  <si>
    <t>Closing balance - Inventories/Trade, Financing &amp; Other Rec</t>
  </si>
  <si>
    <t>Increase / (Decrease)</t>
  </si>
  <si>
    <t>CR</t>
  </si>
  <si>
    <t>Cash statement</t>
  </si>
  <si>
    <t>Opening balance - Trade/Other</t>
  </si>
  <si>
    <t>DR</t>
  </si>
  <si>
    <t>Short-Term Borrowings</t>
  </si>
  <si>
    <t>5.</t>
  </si>
  <si>
    <t>6.</t>
  </si>
  <si>
    <t>Proposed Dividend</t>
  </si>
  <si>
    <t>7.</t>
  </si>
  <si>
    <t>8.</t>
  </si>
  <si>
    <t>Cash Statement</t>
  </si>
  <si>
    <t>9.</t>
  </si>
  <si>
    <t>10.</t>
  </si>
  <si>
    <t>11.</t>
  </si>
  <si>
    <t>12.</t>
  </si>
  <si>
    <t>Add/(Less) : Charged to P/L</t>
  </si>
  <si>
    <t>Add : Increase as per P/L</t>
  </si>
  <si>
    <t>13.</t>
  </si>
  <si>
    <t>14.</t>
  </si>
  <si>
    <t>CUMULATIVE</t>
  </si>
  <si>
    <t>COMPARATIVE</t>
  </si>
  <si>
    <t xml:space="preserve">  Non-cash items</t>
  </si>
  <si>
    <t xml:space="preserve">  Non-operating items</t>
  </si>
  <si>
    <t>Net cash flows from operating activities</t>
  </si>
  <si>
    <t xml:space="preserve">  Other investment</t>
  </si>
  <si>
    <t>Net cash flows from investing activities</t>
  </si>
  <si>
    <t>Net cash flows from financing activities</t>
  </si>
  <si>
    <t>Balance as at 1st January 2002</t>
  </si>
  <si>
    <t xml:space="preserve">     Bank Overdrafts</t>
  </si>
  <si>
    <t>Investments</t>
  </si>
  <si>
    <t>Land Held For Development</t>
  </si>
  <si>
    <t>Long Term Liabilities</t>
  </si>
  <si>
    <t>Balance as at 1st January 2001</t>
  </si>
  <si>
    <t>INTERIM FINANCIAL REPORT ON CONSOLIDATED RESULTS FOR THE THIRD QUARTER ENDED 30TH SEPTEMBER 2002</t>
  </si>
  <si>
    <t>9 MONTHS</t>
  </si>
  <si>
    <t>3RD QTR</t>
  </si>
  <si>
    <t>Reserves On Consolidation</t>
  </si>
  <si>
    <t xml:space="preserve">  Transactions with owners as owners</t>
  </si>
  <si>
    <t xml:space="preserve">  Bank borrowings</t>
  </si>
  <si>
    <t>Add : Transfer from deferred taxation</t>
  </si>
  <si>
    <t>Less : Increase of additional 5% investment in Seabanc Kredit</t>
  </si>
  <si>
    <t xml:space="preserve">       - amortisation of goodwill</t>
  </si>
  <si>
    <t xml:space="preserve">       - bad debts written-off</t>
  </si>
  <si>
    <t xml:space="preserve">       - depreciation</t>
  </si>
  <si>
    <t xml:space="preserve">       - provision for bad &amp; doubtful debts</t>
  </si>
  <si>
    <t xml:space="preserve">       - share of profits retained in Assoc Cos</t>
  </si>
  <si>
    <t xml:space="preserve">       - Unrealised exchange loss</t>
  </si>
  <si>
    <t xml:space="preserve">       - interest income</t>
  </si>
  <si>
    <t xml:space="preserve">       - others (balancing amount)</t>
  </si>
  <si>
    <t xml:space="preserve">       - purchase of fixed assets</t>
  </si>
  <si>
    <t xml:space="preserve">       - interest received</t>
  </si>
  <si>
    <t xml:space="preserve">       - dividend received</t>
  </si>
  <si>
    <t xml:space="preserve">       - proceeds from disposal of fixed assets</t>
  </si>
  <si>
    <t xml:space="preserve">       - dividend received from Assoc Cos</t>
  </si>
  <si>
    <t xml:space="preserve">       - net drawdown/(repayment) of short term loans</t>
  </si>
  <si>
    <t xml:space="preserve">       - net drawdown/(repayment) of long term loans</t>
  </si>
  <si>
    <t xml:space="preserve">       - proceeds from issue of shares</t>
  </si>
  <si>
    <t xml:space="preserve">       - dividends paid</t>
  </si>
  <si>
    <t xml:space="preserve">       - dividends paid to minority interest</t>
  </si>
  <si>
    <t>CASH AND CASH EQUIVALENTS AT 30TH SEPTEMBER 2002</t>
  </si>
  <si>
    <t>15</t>
  </si>
  <si>
    <t>16</t>
  </si>
  <si>
    <t>Unrealised exchange loss</t>
  </si>
  <si>
    <t xml:space="preserve">   - UMW Equipment</t>
  </si>
  <si>
    <t>Purchase of fixed assets</t>
  </si>
  <si>
    <t>17</t>
  </si>
  <si>
    <t>Proceeds from sale of fixed assets</t>
  </si>
  <si>
    <t xml:space="preserve">   - UMW EM</t>
  </si>
  <si>
    <t xml:space="preserve">   - UMW Niugini</t>
  </si>
  <si>
    <t xml:space="preserve">   - UMW Solomon Island</t>
  </si>
  <si>
    <t xml:space="preserve">   - UMW Industries (1985)</t>
  </si>
  <si>
    <t xml:space="preserve">   - UMW Industrial Power</t>
  </si>
  <si>
    <t xml:space="preserve">   - UMW Auto Parts</t>
  </si>
  <si>
    <t xml:space="preserve">   - Kayaba (M)</t>
  </si>
  <si>
    <t xml:space="preserve">   - Kayaba Hydraulic</t>
  </si>
  <si>
    <t xml:space="preserve">   - Lubetech</t>
  </si>
  <si>
    <t xml:space="preserve">   -  UMW Engineering</t>
  </si>
  <si>
    <t xml:space="preserve">   - UMW Toyota Capital</t>
  </si>
  <si>
    <t xml:space="preserve">   - UET</t>
  </si>
  <si>
    <t xml:space="preserve">   - UMW EEPL</t>
  </si>
  <si>
    <t xml:space="preserve">   - Petrodril (M)</t>
  </si>
  <si>
    <t xml:space="preserve">   - UMW Corporation</t>
  </si>
  <si>
    <t xml:space="preserve">   - UMW Toyota Motor Group</t>
  </si>
  <si>
    <t xml:space="preserve">       - gain on disposal of fixed assets</t>
  </si>
  <si>
    <t xml:space="preserve">       - dividend income</t>
  </si>
  <si>
    <t>9 MONTHS ENDED</t>
  </si>
  <si>
    <t xml:space="preserve">   - UMW PNSB</t>
  </si>
  <si>
    <t xml:space="preserve">Exercise of share options </t>
  </si>
  <si>
    <t xml:space="preserve">       - fixed assets written-off</t>
  </si>
  <si>
    <t xml:space="preserve">  Equity investment - 5% in Seabanc Kredit</t>
  </si>
  <si>
    <t xml:space="preserve">       - net cash outflow from acquisition of Petrodril</t>
  </si>
  <si>
    <t xml:space="preserve">   Non-cash items</t>
  </si>
  <si>
    <t xml:space="preserve">   Non-operating items</t>
  </si>
  <si>
    <t xml:space="preserve">  Equity investment</t>
  </si>
  <si>
    <t xml:space="preserve">       - acquisition of additional 5% interest in S. Kredit</t>
  </si>
  <si>
    <t>Less : Charged to P/L (Payment)</t>
  </si>
  <si>
    <t>Net Tangible Assets Per Share  (RM)</t>
  </si>
  <si>
    <t>Effects of exchange rate changes</t>
  </si>
  <si>
    <t>CONDENSED CONSOLIDATED CASH FLOW STATEMENT FOR THE PERIOD ENDED 30TH SEPTEMBER 2002</t>
  </si>
  <si>
    <t>(The Condensed Consolidated Cash Flow Statement should be read in conjunction with the Annual Financial Report</t>
  </si>
  <si>
    <t xml:space="preserve">  Proceeds from issue of shares </t>
  </si>
  <si>
    <t xml:space="preserve">  Dividends paid</t>
  </si>
  <si>
    <t xml:space="preserve">Dividend </t>
  </si>
  <si>
    <t>Dividend *</t>
  </si>
  <si>
    <t>(COMPANY NO. 90278-P)</t>
  </si>
  <si>
    <t>(THE FIGURES HAVE NOT BEEN AUDITED)</t>
  </si>
  <si>
    <t>30/09/2002</t>
  </si>
  <si>
    <t>30/09/2001</t>
  </si>
  <si>
    <t>Other Operating Income</t>
  </si>
  <si>
    <t>Profit From Operations</t>
  </si>
  <si>
    <t>Finance Costs</t>
  </si>
  <si>
    <t>Share Of Profits/(Loss) Of Associated Companies</t>
  </si>
  <si>
    <t>Other Investments Income</t>
  </si>
  <si>
    <t>Profit Before Taxation</t>
  </si>
  <si>
    <t>Profit After Taxation</t>
  </si>
  <si>
    <t>Net Profit For The Period</t>
  </si>
  <si>
    <t>Earnings Per Share - Basic (Sen)</t>
  </si>
  <si>
    <t>(UNAUDITED)</t>
  </si>
  <si>
    <t>(AUDITED)</t>
  </si>
  <si>
    <t>31/12/2001</t>
  </si>
  <si>
    <t xml:space="preserve">     Cash And Bank Balances</t>
  </si>
  <si>
    <t>Property, Plant And Equipment</t>
  </si>
  <si>
    <t>Goodwill On Consolidation</t>
  </si>
  <si>
    <t>9 MONTHS PERIOD ENDED                        30TH SEPTEMBER 2002</t>
  </si>
  <si>
    <t>9 MONTHS PERIOD ENDED                     30TH SEPTEMBER 2001</t>
  </si>
  <si>
    <t>*The final net dividend paid in August 2002 for the financial year ended 31st December 2001 was RM19,807,308 as compared</t>
  </si>
  <si>
    <t>SHARE</t>
  </si>
  <si>
    <t>CAPITAL</t>
  </si>
  <si>
    <t>RESERVE</t>
  </si>
  <si>
    <t>ATTRIBUTABLE</t>
  </si>
  <si>
    <t>TO CAPITAL</t>
  </si>
  <si>
    <t>TO REVENUE</t>
  </si>
  <si>
    <t>RETAINED</t>
  </si>
  <si>
    <t>PROFITS</t>
  </si>
  <si>
    <t>TOTAL</t>
  </si>
  <si>
    <t>31st December 2001)</t>
  </si>
  <si>
    <t xml:space="preserve">                                 - Fully Diluted (Sen)</t>
  </si>
  <si>
    <t>(The Condensed Consolidated Balance Sheet should be read in conjunction with the Annual Financial</t>
  </si>
  <si>
    <t>Report for the year ended 31st December 2001)</t>
  </si>
  <si>
    <t>(The Condensed Consolidated Statement of Changes in Equity should be read in conjunction with the Annual Financial Report</t>
  </si>
  <si>
    <t>CONDENSED CONSOLIDATED STATEMENT OF CHANGES IN EQUITY FOR THE PERIOD ENDED 30TH SEPTEMBER 2002</t>
  </si>
  <si>
    <t>CONDENSED CONSOLIDATED INCOME STATEMENT</t>
  </si>
  <si>
    <t>(The Condensed Consolidated Income Statement should be read in conjunction with the Annual Financial Report for the year ended</t>
  </si>
  <si>
    <t xml:space="preserve"> to the amount of RM19,441,876 as provided in the accounts, resulting in an additional payment of RM365,432.</t>
  </si>
  <si>
    <t>NET INCREASE/(DECREASE) IN CASH AND CASH EQUIVALENT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</si>
</sst>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.0%"/>
    <numFmt numFmtId="178" formatCode="_(* #,##0.000000_);_(* \(#,##0.000000\);_(* &quot;-&quot;??_);_(@_)"/>
    <numFmt numFmtId="179" formatCode="_(* #,##0.0000000_);_(* \(#,##0.00000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7" fillId="0" borderId="0" xfId="15" applyNumberFormat="1" applyFont="1" applyAlignment="1">
      <alignment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3" fontId="7" fillId="0" borderId="0" xfId="15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7" fillId="0" borderId="0" xfId="15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 quotePrefix="1">
      <alignment horizontal="center"/>
    </xf>
    <xf numFmtId="178" fontId="0" fillId="0" borderId="0" xfId="15" applyNumberFormat="1" applyAlignment="1">
      <alignment/>
    </xf>
    <xf numFmtId="175" fontId="5" fillId="0" borderId="0" xfId="15" applyNumberFormat="1" applyFont="1" applyAlignment="1">
      <alignment/>
    </xf>
    <xf numFmtId="173" fontId="11" fillId="0" borderId="0" xfId="15" applyNumberFormat="1" applyFont="1" applyAlignment="1">
      <alignment/>
    </xf>
    <xf numFmtId="173" fontId="12" fillId="0" borderId="0" xfId="15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0" fontId="4" fillId="0" borderId="0" xfId="0" applyFont="1" applyAlignment="1" quotePrefix="1">
      <alignment/>
    </xf>
    <xf numFmtId="173" fontId="4" fillId="0" borderId="0" xfId="15" applyNumberFormat="1" applyFont="1" applyBorder="1" applyAlignment="1">
      <alignment/>
    </xf>
    <xf numFmtId="173" fontId="11" fillId="0" borderId="0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1" xfId="15" applyNumberFormat="1" applyFont="1" applyBorder="1" applyAlignment="1">
      <alignment/>
    </xf>
    <xf numFmtId="171" fontId="11" fillId="0" borderId="3" xfId="15" applyNumberFormat="1" applyFont="1" applyBorder="1" applyAlignment="1" quotePrefix="1">
      <alignment/>
    </xf>
    <xf numFmtId="171" fontId="11" fillId="0" borderId="3" xfId="15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73" fontId="7" fillId="0" borderId="0" xfId="15" applyNumberFormat="1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3" fontId="7" fillId="0" borderId="0" xfId="15" applyNumberFormat="1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173" fontId="7" fillId="0" borderId="0" xfId="15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73" fontId="7" fillId="0" borderId="0" xfId="15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3" fontId="11" fillId="0" borderId="0" xfId="15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3" fontId="11" fillId="0" borderId="0" xfId="15" applyNumberFormat="1" applyFont="1" applyBorder="1" applyAlignment="1" quotePrefix="1">
      <alignment horizontal="centerContinuous" vertical="center"/>
    </xf>
    <xf numFmtId="0" fontId="13" fillId="0" borderId="0" xfId="0" applyFont="1" applyBorder="1" applyAlignment="1">
      <alignment vertical="center"/>
    </xf>
    <xf numFmtId="173" fontId="11" fillId="0" borderId="4" xfId="15" applyNumberFormat="1" applyFont="1" applyBorder="1" applyAlignment="1">
      <alignment vertical="center"/>
    </xf>
    <xf numFmtId="173" fontId="11" fillId="0" borderId="5" xfId="15" applyNumberFormat="1" applyFont="1" applyBorder="1" applyAlignment="1">
      <alignment vertical="center"/>
    </xf>
    <xf numFmtId="173" fontId="11" fillId="0" borderId="1" xfId="15" applyNumberFormat="1" applyFont="1" applyBorder="1" applyAlignment="1">
      <alignment vertical="center"/>
    </xf>
    <xf numFmtId="173" fontId="11" fillId="0" borderId="3" xfId="15" applyNumberFormat="1" applyFont="1" applyBorder="1" applyAlignment="1">
      <alignment vertical="center"/>
    </xf>
    <xf numFmtId="0" fontId="11" fillId="0" borderId="0" xfId="0" applyFont="1" applyAlignment="1" quotePrefix="1">
      <alignment/>
    </xf>
    <xf numFmtId="0" fontId="14" fillId="0" borderId="0" xfId="0" applyFont="1" applyBorder="1" applyAlignment="1">
      <alignment vertical="center"/>
    </xf>
    <xf numFmtId="173" fontId="11" fillId="0" borderId="1" xfId="15" applyNumberFormat="1" applyFont="1" applyBorder="1" applyAlignment="1" quotePrefix="1">
      <alignment vertical="center"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3" fontId="11" fillId="0" borderId="1" xfId="15" applyNumberFormat="1" applyFont="1" applyBorder="1" applyAlignment="1" quotePrefix="1">
      <alignment horizontal="centerContinuous" vertical="center"/>
    </xf>
    <xf numFmtId="173" fontId="11" fillId="0" borderId="4" xfId="15" applyNumberFormat="1" applyFont="1" applyBorder="1" applyAlignment="1" quotePrefix="1">
      <alignment horizontal="centerContinuous" vertical="center"/>
    </xf>
    <xf numFmtId="173" fontId="11" fillId="0" borderId="6" xfId="15" applyNumberFormat="1" applyFont="1" applyBorder="1" applyAlignment="1">
      <alignment vertical="center"/>
    </xf>
    <xf numFmtId="171" fontId="11" fillId="0" borderId="0" xfId="15" applyNumberFormat="1" applyFont="1" applyBorder="1" applyAlignment="1" quotePrefix="1">
      <alignment/>
    </xf>
    <xf numFmtId="171" fontId="11" fillId="0" borderId="0" xfId="15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173" fontId="4" fillId="0" borderId="0" xfId="15" applyNumberFormat="1" applyFont="1" applyBorder="1" applyAlignment="1">
      <alignment vertical="center"/>
    </xf>
    <xf numFmtId="173" fontId="4" fillId="0" borderId="0" xfId="15" applyNumberFormat="1" applyFont="1" applyBorder="1" applyAlignment="1">
      <alignment vertical="center"/>
    </xf>
    <xf numFmtId="173" fontId="4" fillId="0" borderId="7" xfId="15" applyNumberFormat="1" applyFont="1" applyBorder="1" applyAlignment="1">
      <alignment/>
    </xf>
    <xf numFmtId="173" fontId="0" fillId="0" borderId="7" xfId="15" applyNumberFormat="1" applyBorder="1" applyAlignment="1">
      <alignment/>
    </xf>
    <xf numFmtId="173" fontId="7" fillId="0" borderId="0" xfId="15" applyNumberFormat="1" applyFont="1" applyBorder="1" applyAlignment="1" quotePrefix="1">
      <alignment horizontal="centerContinuous" vertical="center"/>
    </xf>
    <xf numFmtId="0" fontId="1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15" applyNumberFormat="1" applyFont="1" applyAlignment="1">
      <alignment horizontal="center"/>
    </xf>
    <xf numFmtId="173" fontId="7" fillId="0" borderId="0" xfId="15" applyNumberFormat="1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3" fontId="11" fillId="0" borderId="0" xfId="15" applyNumberFormat="1" applyFont="1" applyBorder="1" applyAlignment="1">
      <alignment wrapText="1"/>
    </xf>
    <xf numFmtId="173" fontId="11" fillId="0" borderId="0" xfId="15" applyNumberFormat="1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173" fontId="6" fillId="0" borderId="0" xfId="15" applyNumberFormat="1" applyFont="1" applyAlignment="1">
      <alignment horizontal="center"/>
    </xf>
    <xf numFmtId="173" fontId="5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26">
      <selection activeCell="A1" sqref="A1:J49"/>
    </sheetView>
  </sheetViews>
  <sheetFormatPr defaultColWidth="9.140625" defaultRowHeight="12.75"/>
  <cols>
    <col min="1" max="1" width="3.28125" style="0" customWidth="1"/>
    <col min="2" max="2" width="37.7109375" style="0" customWidth="1"/>
    <col min="3" max="3" width="1.57421875" style="0" customWidth="1"/>
    <col min="4" max="4" width="12.7109375" style="15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15" customWidth="1"/>
    <col min="9" max="9" width="2.140625" style="0" customWidth="1"/>
    <col min="10" max="10" width="12.7109375" style="0" customWidth="1"/>
    <col min="11" max="11" width="2.28125" style="0" customWidth="1"/>
    <col min="14" max="16" width="12.7109375" style="0" customWidth="1"/>
  </cols>
  <sheetData>
    <row r="1" spans="2:15" s="6" customFormat="1" ht="18">
      <c r="B1" s="95" t="s">
        <v>17</v>
      </c>
      <c r="C1" s="95"/>
      <c r="D1" s="95"/>
      <c r="E1" s="95"/>
      <c r="F1" s="95"/>
      <c r="G1" s="95"/>
      <c r="H1" s="95"/>
      <c r="I1" s="95"/>
      <c r="J1" s="95"/>
      <c r="N1" s="20"/>
      <c r="O1" s="20"/>
    </row>
    <row r="2" spans="2:15" s="3" customFormat="1" ht="11.25" customHeight="1">
      <c r="B2" s="96" t="s">
        <v>193</v>
      </c>
      <c r="C2" s="96"/>
      <c r="D2" s="96"/>
      <c r="E2" s="96"/>
      <c r="F2" s="96"/>
      <c r="G2" s="96"/>
      <c r="H2" s="96"/>
      <c r="I2" s="96"/>
      <c r="J2" s="96"/>
      <c r="N2" s="16"/>
      <c r="O2" s="16"/>
    </row>
    <row r="3" spans="2:10" s="3" customFormat="1" ht="10.5" customHeight="1">
      <c r="B3" s="96" t="s">
        <v>31</v>
      </c>
      <c r="C3" s="96"/>
      <c r="D3" s="96"/>
      <c r="E3" s="96"/>
      <c r="F3" s="96"/>
      <c r="G3" s="96"/>
      <c r="H3" s="96"/>
      <c r="I3" s="96"/>
      <c r="J3" s="96"/>
    </row>
    <row r="4" spans="3:8" s="3" customFormat="1" ht="6" customHeight="1">
      <c r="C4" s="27"/>
      <c r="D4" s="22"/>
      <c r="E4" s="22"/>
      <c r="F4" s="22"/>
      <c r="H4" s="10"/>
    </row>
    <row r="5" spans="2:15" s="2" customFormat="1" ht="12.75">
      <c r="B5" s="94"/>
      <c r="C5" s="94"/>
      <c r="D5" s="94"/>
      <c r="E5" s="94"/>
      <c r="F5" s="94"/>
      <c r="G5" s="94"/>
      <c r="H5" s="94"/>
      <c r="I5" s="94"/>
      <c r="J5" s="94"/>
      <c r="N5" s="17"/>
      <c r="O5" s="17"/>
    </row>
    <row r="6" spans="2:15" s="7" customFormat="1" ht="12">
      <c r="B6" s="94" t="s">
        <v>122</v>
      </c>
      <c r="C6" s="94"/>
      <c r="D6" s="94"/>
      <c r="E6" s="94"/>
      <c r="F6" s="94"/>
      <c r="G6" s="94"/>
      <c r="H6" s="94"/>
      <c r="I6" s="94"/>
      <c r="J6" s="94"/>
      <c r="N6" s="18"/>
      <c r="O6" s="18"/>
    </row>
    <row r="7" spans="2:10" s="2" customFormat="1" ht="12.75">
      <c r="B7" s="94" t="s">
        <v>194</v>
      </c>
      <c r="C7" s="94"/>
      <c r="D7" s="94"/>
      <c r="E7" s="94"/>
      <c r="F7" s="94"/>
      <c r="G7" s="94"/>
      <c r="H7" s="94"/>
      <c r="I7" s="94"/>
      <c r="J7" s="94"/>
    </row>
    <row r="8" spans="4:8" s="2" customFormat="1" ht="12.75">
      <c r="D8" s="8"/>
      <c r="H8" s="8"/>
    </row>
    <row r="9" spans="4:8" s="2" customFormat="1" ht="12.75">
      <c r="D9" s="8"/>
      <c r="H9" s="8"/>
    </row>
    <row r="10" spans="2:8" s="7" customFormat="1" ht="12" customHeight="1">
      <c r="B10" s="7" t="s">
        <v>230</v>
      </c>
      <c r="D10" s="9"/>
      <c r="H10" s="9"/>
    </row>
    <row r="11" spans="3:15" s="7" customFormat="1" ht="10.5" customHeight="1">
      <c r="C11" s="18"/>
      <c r="D11" s="18"/>
      <c r="E11" s="18"/>
      <c r="F11" s="18"/>
      <c r="G11" s="18"/>
      <c r="H11" s="18"/>
      <c r="I11" s="18"/>
      <c r="J11" s="71" t="s">
        <v>109</v>
      </c>
      <c r="K11" s="18"/>
      <c r="N11" s="18"/>
      <c r="O11" s="18"/>
    </row>
    <row r="12" spans="4:15" s="7" customFormat="1" ht="10.5" customHeight="1">
      <c r="D12" s="19" t="s">
        <v>0</v>
      </c>
      <c r="E12" s="23"/>
      <c r="F12" s="18" t="s">
        <v>109</v>
      </c>
      <c r="G12" s="23"/>
      <c r="H12" s="47" t="s">
        <v>123</v>
      </c>
      <c r="I12" s="23"/>
      <c r="J12" s="47" t="s">
        <v>123</v>
      </c>
      <c r="N12" s="47" t="s">
        <v>123</v>
      </c>
      <c r="O12" s="47" t="s">
        <v>45</v>
      </c>
    </row>
    <row r="13" spans="4:15" s="7" customFormat="1" ht="10.5" customHeight="1">
      <c r="D13" s="19" t="s">
        <v>1</v>
      </c>
      <c r="E13" s="23"/>
      <c r="F13" s="18" t="s">
        <v>1</v>
      </c>
      <c r="G13" s="23"/>
      <c r="H13" s="19" t="s">
        <v>108</v>
      </c>
      <c r="I13" s="23"/>
      <c r="J13" s="19" t="s">
        <v>108</v>
      </c>
      <c r="N13" s="19" t="s">
        <v>108</v>
      </c>
      <c r="O13" s="19" t="s">
        <v>108</v>
      </c>
    </row>
    <row r="14" spans="4:16" s="7" customFormat="1" ht="10.5" customHeight="1">
      <c r="D14" s="19" t="s">
        <v>18</v>
      </c>
      <c r="E14" s="23"/>
      <c r="F14" s="18" t="s">
        <v>18</v>
      </c>
      <c r="G14" s="23"/>
      <c r="H14" s="19" t="s">
        <v>2</v>
      </c>
      <c r="I14" s="23"/>
      <c r="J14" s="19" t="s">
        <v>2</v>
      </c>
      <c r="N14" s="19" t="s">
        <v>2</v>
      </c>
      <c r="O14" s="19" t="s">
        <v>2</v>
      </c>
      <c r="P14" s="19" t="s">
        <v>124</v>
      </c>
    </row>
    <row r="15" spans="4:16" s="7" customFormat="1" ht="10.5" customHeight="1">
      <c r="D15" s="47" t="s">
        <v>195</v>
      </c>
      <c r="E15" s="23"/>
      <c r="F15" s="48" t="s">
        <v>196</v>
      </c>
      <c r="G15" s="23"/>
      <c r="H15" s="47" t="s">
        <v>195</v>
      </c>
      <c r="I15" s="23"/>
      <c r="J15" s="48" t="s">
        <v>196</v>
      </c>
      <c r="N15" s="48" t="s">
        <v>27</v>
      </c>
      <c r="O15" s="48" t="s">
        <v>29</v>
      </c>
      <c r="P15" s="47" t="s">
        <v>27</v>
      </c>
    </row>
    <row r="16" spans="4:16" s="7" customFormat="1" ht="10.5" customHeight="1">
      <c r="D16" s="19" t="s">
        <v>3</v>
      </c>
      <c r="E16" s="23"/>
      <c r="F16" s="18" t="s">
        <v>3</v>
      </c>
      <c r="G16" s="23"/>
      <c r="H16" s="19" t="s">
        <v>3</v>
      </c>
      <c r="I16" s="23"/>
      <c r="J16" s="19" t="s">
        <v>3</v>
      </c>
      <c r="N16" s="19" t="s">
        <v>3</v>
      </c>
      <c r="O16" s="19" t="s">
        <v>3</v>
      </c>
      <c r="P16" s="18" t="s">
        <v>3</v>
      </c>
    </row>
    <row r="17" spans="10:15" ht="7.5" customHeight="1">
      <c r="J17" s="15"/>
      <c r="N17" s="15"/>
      <c r="O17" s="15"/>
    </row>
    <row r="18" spans="1:16" s="42" customFormat="1" ht="12">
      <c r="A18" s="41"/>
      <c r="B18" s="42" t="s">
        <v>19</v>
      </c>
      <c r="D18" s="40">
        <v>1104263</v>
      </c>
      <c r="F18" s="40">
        <v>915747</v>
      </c>
      <c r="H18" s="40">
        <v>2878530</v>
      </c>
      <c r="J18" s="40">
        <f>2391104-97264-2880</f>
        <v>2290960</v>
      </c>
      <c r="N18" s="40">
        <f>2391104-97264-2880</f>
        <v>2290960</v>
      </c>
      <c r="O18" s="40">
        <f>1431520-53728-2579</f>
        <v>1375213</v>
      </c>
      <c r="P18" s="12">
        <f>+N18-O18</f>
        <v>915747</v>
      </c>
    </row>
    <row r="19" spans="1:16" s="42" customFormat="1" ht="6" customHeight="1">
      <c r="A19" s="41"/>
      <c r="D19" s="30"/>
      <c r="F19" s="30"/>
      <c r="H19" s="30"/>
      <c r="J19" s="30"/>
      <c r="N19" s="30"/>
      <c r="O19" s="30"/>
      <c r="P19" s="11"/>
    </row>
    <row r="20" spans="1:16" s="42" customFormat="1" ht="12">
      <c r="A20" s="41"/>
      <c r="B20" s="42" t="s">
        <v>33</v>
      </c>
      <c r="D20" s="40">
        <v>-1006251</v>
      </c>
      <c r="F20" s="40">
        <v>-842568</v>
      </c>
      <c r="H20" s="40">
        <v>-2645714</v>
      </c>
      <c r="J20" s="40">
        <f>-1993148-253561+97264+2880+13040-5963</f>
        <v>-2139488</v>
      </c>
      <c r="N20" s="40">
        <f>-1993148-253561+97264+2880+13040-5963</f>
        <v>-2139488</v>
      </c>
      <c r="O20" s="40">
        <f>-1195215-162482+53728+2579+8542-4072</f>
        <v>-1296920</v>
      </c>
      <c r="P20" s="12">
        <f>+N20-O20</f>
        <v>-842568</v>
      </c>
    </row>
    <row r="21" spans="1:16" s="42" customFormat="1" ht="6" customHeight="1">
      <c r="A21" s="41"/>
      <c r="D21" s="30"/>
      <c r="F21" s="30"/>
      <c r="H21" s="30"/>
      <c r="J21" s="30"/>
      <c r="N21" s="30"/>
      <c r="O21" s="30"/>
      <c r="P21" s="11"/>
    </row>
    <row r="22" spans="1:16" s="42" customFormat="1" ht="12">
      <c r="A22" s="41"/>
      <c r="B22" s="42" t="s">
        <v>197</v>
      </c>
      <c r="D22" s="43">
        <v>11597</v>
      </c>
      <c r="F22" s="43">
        <v>4637</v>
      </c>
      <c r="H22" s="43">
        <v>27240</v>
      </c>
      <c r="J22" s="43">
        <f>29612-13499</f>
        <v>16113</v>
      </c>
      <c r="N22" s="43">
        <f>29612-13499</f>
        <v>16113</v>
      </c>
      <c r="O22" s="43">
        <f>19082-7606</f>
        <v>11476</v>
      </c>
      <c r="P22" s="13">
        <f>+N22-O22</f>
        <v>4637</v>
      </c>
    </row>
    <row r="23" spans="1:16" s="42" customFormat="1" ht="6" customHeight="1">
      <c r="A23" s="41"/>
      <c r="D23" s="40"/>
      <c r="F23" s="40"/>
      <c r="H23" s="40"/>
      <c r="J23" s="40"/>
      <c r="N23" s="40"/>
      <c r="O23" s="40"/>
      <c r="P23" s="12"/>
    </row>
    <row r="24" spans="1:16" s="42" customFormat="1" ht="12">
      <c r="A24" s="41"/>
      <c r="B24" s="42" t="s">
        <v>198</v>
      </c>
      <c r="D24" s="30">
        <f>+D18+D20+D22</f>
        <v>109609</v>
      </c>
      <c r="F24" s="30">
        <f>+F18+F20+F22</f>
        <v>77816</v>
      </c>
      <c r="H24" s="30">
        <f>+H18+H20+H22</f>
        <v>260056</v>
      </c>
      <c r="J24" s="30">
        <f>+J18+J20+J22</f>
        <v>167585</v>
      </c>
      <c r="N24" s="30">
        <f>+N18+N20+N22</f>
        <v>167585</v>
      </c>
      <c r="O24" s="30">
        <f>+O18+O20+O22</f>
        <v>89769</v>
      </c>
      <c r="P24" s="11">
        <f>+P18+P20+P22</f>
        <v>77816</v>
      </c>
    </row>
    <row r="25" spans="1:16" s="42" customFormat="1" ht="6" customHeight="1">
      <c r="A25" s="41"/>
      <c r="D25" s="40"/>
      <c r="F25" s="40"/>
      <c r="H25" s="40"/>
      <c r="J25" s="40"/>
      <c r="N25" s="40"/>
      <c r="O25" s="40"/>
      <c r="P25" s="12"/>
    </row>
    <row r="26" spans="1:16" s="42" customFormat="1" ht="12">
      <c r="A26" s="41"/>
      <c r="B26" s="42" t="s">
        <v>199</v>
      </c>
      <c r="D26" s="30">
        <v>-756</v>
      </c>
      <c r="F26" s="30">
        <v>-2607</v>
      </c>
      <c r="H26" s="30">
        <v>-4553</v>
      </c>
      <c r="J26" s="30">
        <f>-13040+5963</f>
        <v>-7077</v>
      </c>
      <c r="N26" s="30">
        <f>-13040+5963</f>
        <v>-7077</v>
      </c>
      <c r="O26" s="30">
        <f>-8542+4072</f>
        <v>-4470</v>
      </c>
      <c r="P26" s="12">
        <f>+N26-O26</f>
        <v>-2607</v>
      </c>
    </row>
    <row r="27" spans="1:16" s="42" customFormat="1" ht="6.75" customHeight="1">
      <c r="A27" s="41"/>
      <c r="D27" s="40"/>
      <c r="F27" s="40"/>
      <c r="H27" s="40"/>
      <c r="J27" s="40"/>
      <c r="N27" s="40"/>
      <c r="O27" s="40"/>
      <c r="P27" s="12"/>
    </row>
    <row r="28" spans="1:16" s="42" customFormat="1" ht="12" customHeight="1">
      <c r="A28" s="41"/>
      <c r="B28" s="42" t="s">
        <v>200</v>
      </c>
      <c r="D28" s="40">
        <v>30880</v>
      </c>
      <c r="F28" s="40">
        <v>40374</v>
      </c>
      <c r="H28" s="40">
        <v>88728</v>
      </c>
      <c r="J28" s="40">
        <v>78778</v>
      </c>
      <c r="N28" s="40">
        <v>78778</v>
      </c>
      <c r="O28" s="40">
        <v>38404</v>
      </c>
      <c r="P28" s="12">
        <f>+N28-O28</f>
        <v>40374</v>
      </c>
    </row>
    <row r="29" spans="1:16" s="42" customFormat="1" ht="6.75" customHeight="1">
      <c r="A29" s="41"/>
      <c r="D29" s="40"/>
      <c r="F29" s="40"/>
      <c r="H29" s="40"/>
      <c r="J29" s="40"/>
      <c r="N29" s="40"/>
      <c r="O29" s="40"/>
      <c r="P29" s="12"/>
    </row>
    <row r="30" spans="1:16" s="42" customFormat="1" ht="12">
      <c r="A30" s="41"/>
      <c r="B30" s="42" t="s">
        <v>201</v>
      </c>
      <c r="D30" s="43">
        <v>5884</v>
      </c>
      <c r="F30" s="43">
        <v>5893</v>
      </c>
      <c r="H30" s="43">
        <v>17767</v>
      </c>
      <c r="J30" s="43">
        <f>13106+393</f>
        <v>13499</v>
      </c>
      <c r="N30" s="43">
        <f>13106+393</f>
        <v>13499</v>
      </c>
      <c r="O30" s="43">
        <f>7268+338</f>
        <v>7606</v>
      </c>
      <c r="P30" s="13">
        <f>+N30-O30</f>
        <v>5893</v>
      </c>
    </row>
    <row r="31" spans="1:16" s="42" customFormat="1" ht="6.75" customHeight="1">
      <c r="A31" s="41"/>
      <c r="D31" s="40"/>
      <c r="F31" s="40"/>
      <c r="H31" s="40"/>
      <c r="J31" s="40"/>
      <c r="N31" s="40"/>
      <c r="O31" s="40"/>
      <c r="P31" s="12"/>
    </row>
    <row r="32" spans="1:16" s="42" customFormat="1" ht="12">
      <c r="A32" s="41"/>
      <c r="B32" s="42" t="s">
        <v>202</v>
      </c>
      <c r="D32" s="30">
        <f>SUM(D24:D30)</f>
        <v>145617</v>
      </c>
      <c r="F32" s="30">
        <f>SUM(F24:F30)</f>
        <v>121476</v>
      </c>
      <c r="H32" s="30">
        <f>SUM(H24:H30)</f>
        <v>361998</v>
      </c>
      <c r="J32" s="30">
        <f>SUM(J24:J30)</f>
        <v>252785</v>
      </c>
      <c r="N32" s="30">
        <f>SUM(N24:N30)</f>
        <v>252785</v>
      </c>
      <c r="O32" s="30">
        <f>SUM(O24:O30)</f>
        <v>131309</v>
      </c>
      <c r="P32" s="11">
        <f>SUM(P24:P30)</f>
        <v>121476</v>
      </c>
    </row>
    <row r="33" spans="1:16" s="42" customFormat="1" ht="6" customHeight="1">
      <c r="A33" s="41"/>
      <c r="D33" s="30"/>
      <c r="F33" s="30"/>
      <c r="H33" s="30"/>
      <c r="J33" s="30"/>
      <c r="N33" s="30"/>
      <c r="O33" s="30"/>
      <c r="P33" s="11"/>
    </row>
    <row r="34" spans="1:16" s="42" customFormat="1" ht="12">
      <c r="A34" s="41"/>
      <c r="B34" s="42" t="s">
        <v>28</v>
      </c>
      <c r="D34" s="43">
        <v>-39267</v>
      </c>
      <c r="F34" s="43">
        <v>-25416</v>
      </c>
      <c r="H34" s="43">
        <v>-96706</v>
      </c>
      <c r="J34" s="43">
        <v>-57689</v>
      </c>
      <c r="N34" s="43">
        <v>-57689</v>
      </c>
      <c r="O34" s="43">
        <v>-32273</v>
      </c>
      <c r="P34" s="13">
        <f>+N34-O34</f>
        <v>-25416</v>
      </c>
    </row>
    <row r="35" spans="1:16" s="42" customFormat="1" ht="6" customHeight="1">
      <c r="A35" s="41"/>
      <c r="D35" s="30"/>
      <c r="F35" s="30"/>
      <c r="H35" s="30"/>
      <c r="J35" s="30"/>
      <c r="N35" s="30"/>
      <c r="O35" s="30"/>
      <c r="P35" s="11"/>
    </row>
    <row r="36" spans="1:16" s="42" customFormat="1" ht="12">
      <c r="A36" s="41"/>
      <c r="B36" s="42" t="s">
        <v>203</v>
      </c>
      <c r="D36" s="30">
        <f>+D32+D34</f>
        <v>106350</v>
      </c>
      <c r="F36" s="30">
        <f>+F32+F34</f>
        <v>96060</v>
      </c>
      <c r="H36" s="30">
        <f>+H32+H34</f>
        <v>265292</v>
      </c>
      <c r="J36" s="30">
        <f>+J32+J34</f>
        <v>195096</v>
      </c>
      <c r="N36" s="30">
        <f>+N32+N34</f>
        <v>195096</v>
      </c>
      <c r="O36" s="30">
        <f>+O32+O34</f>
        <v>99036</v>
      </c>
      <c r="P36" s="11">
        <f>+P32+P34</f>
        <v>96060</v>
      </c>
    </row>
    <row r="37" spans="1:16" s="42" customFormat="1" ht="6" customHeight="1">
      <c r="A37" s="41"/>
      <c r="D37" s="30"/>
      <c r="F37" s="30"/>
      <c r="H37" s="30"/>
      <c r="J37" s="30"/>
      <c r="N37" s="30"/>
      <c r="O37" s="30"/>
      <c r="P37" s="11"/>
    </row>
    <row r="38" spans="1:16" s="42" customFormat="1" ht="12">
      <c r="A38" s="41"/>
      <c r="B38" s="42" t="s">
        <v>12</v>
      </c>
      <c r="D38" s="43">
        <v>-37475</v>
      </c>
      <c r="F38" s="43">
        <v>-31389</v>
      </c>
      <c r="H38" s="43">
        <v>-94935</v>
      </c>
      <c r="J38" s="43">
        <v>-63504</v>
      </c>
      <c r="N38" s="43">
        <v>-63504</v>
      </c>
      <c r="O38" s="43">
        <v>-32115</v>
      </c>
      <c r="P38" s="13">
        <f>+N38-O38</f>
        <v>-31389</v>
      </c>
    </row>
    <row r="39" spans="1:16" s="42" customFormat="1" ht="6" customHeight="1">
      <c r="A39" s="41"/>
      <c r="D39" s="30"/>
      <c r="F39" s="30"/>
      <c r="H39" s="30"/>
      <c r="J39" s="30"/>
      <c r="N39" s="30"/>
      <c r="O39" s="30"/>
      <c r="P39" s="11"/>
    </row>
    <row r="40" spans="1:16" s="42" customFormat="1" ht="12">
      <c r="A40" s="41"/>
      <c r="B40" s="42" t="s">
        <v>204</v>
      </c>
      <c r="D40" s="43">
        <f>+D36+D38</f>
        <v>68875</v>
      </c>
      <c r="F40" s="43">
        <f>+F36+F38</f>
        <v>64671</v>
      </c>
      <c r="H40" s="43">
        <f>+H36+H38</f>
        <v>170357</v>
      </c>
      <c r="J40" s="43">
        <f>+J36+J38</f>
        <v>131592</v>
      </c>
      <c r="N40" s="43">
        <f>+N36+N38</f>
        <v>131592</v>
      </c>
      <c r="O40" s="43">
        <f>+O36+O38</f>
        <v>66921</v>
      </c>
      <c r="P40" s="43">
        <f>+P36+P38</f>
        <v>64671</v>
      </c>
    </row>
    <row r="41" spans="1:16" s="42" customFormat="1" ht="6" customHeight="1">
      <c r="A41" s="41"/>
      <c r="D41" s="30"/>
      <c r="F41" s="30"/>
      <c r="H41" s="30"/>
      <c r="J41" s="30"/>
      <c r="N41" s="40"/>
      <c r="O41" s="40"/>
      <c r="P41" s="46"/>
    </row>
    <row r="42" spans="1:16" s="42" customFormat="1" ht="12.75" thickBot="1">
      <c r="A42" s="41"/>
      <c r="B42" s="42" t="s">
        <v>205</v>
      </c>
      <c r="D42" s="44">
        <v>25.13</v>
      </c>
      <c r="F42" s="44">
        <v>24.1</v>
      </c>
      <c r="H42" s="44">
        <v>62.16</v>
      </c>
      <c r="J42" s="44">
        <v>49.04</v>
      </c>
      <c r="N42" s="75"/>
      <c r="O42" s="75"/>
      <c r="P42" s="46"/>
    </row>
    <row r="43" spans="1:16" s="42" customFormat="1" ht="6" customHeight="1">
      <c r="A43" s="41"/>
      <c r="D43" s="30"/>
      <c r="F43" s="30"/>
      <c r="H43" s="30"/>
      <c r="J43" s="30"/>
      <c r="N43" s="40"/>
      <c r="O43" s="40"/>
      <c r="P43" s="46"/>
    </row>
    <row r="44" spans="1:16" s="42" customFormat="1" ht="12.75" thickBot="1">
      <c r="A44" s="41"/>
      <c r="B44" s="42" t="s">
        <v>225</v>
      </c>
      <c r="D44" s="45">
        <v>24.37</v>
      </c>
      <c r="F44" s="45">
        <v>23.96</v>
      </c>
      <c r="H44" s="45">
        <v>60.29</v>
      </c>
      <c r="J44" s="45">
        <v>48.75</v>
      </c>
      <c r="N44" s="76"/>
      <c r="O44" s="76"/>
      <c r="P44" s="46"/>
    </row>
    <row r="45" spans="1:16" s="42" customFormat="1" ht="6" customHeight="1">
      <c r="A45" s="41"/>
      <c r="D45" s="40"/>
      <c r="F45" s="40"/>
      <c r="H45" s="40"/>
      <c r="J45" s="40"/>
      <c r="N45" s="40"/>
      <c r="O45" s="40"/>
      <c r="P45" s="46"/>
    </row>
    <row r="46" spans="1:16" s="42" customFormat="1" ht="12" customHeight="1">
      <c r="A46" s="41"/>
      <c r="D46" s="40"/>
      <c r="F46" s="40"/>
      <c r="H46" s="40"/>
      <c r="J46" s="40"/>
      <c r="N46" s="40"/>
      <c r="O46" s="40"/>
      <c r="P46" s="46"/>
    </row>
    <row r="47" spans="4:16" s="42" customFormat="1" ht="12">
      <c r="D47" s="30"/>
      <c r="G47" s="46"/>
      <c r="H47" s="40"/>
      <c r="J47" s="46"/>
      <c r="N47" s="46"/>
      <c r="O47" s="46"/>
      <c r="P47" s="46"/>
    </row>
    <row r="48" spans="2:8" s="42" customFormat="1" ht="12">
      <c r="B48" s="66" t="s">
        <v>231</v>
      </c>
      <c r="D48" s="30"/>
      <c r="H48" s="30"/>
    </row>
    <row r="49" spans="2:8" s="42" customFormat="1" ht="12">
      <c r="B49" s="42" t="s">
        <v>224</v>
      </c>
      <c r="D49" s="30"/>
      <c r="H49" s="30"/>
    </row>
    <row r="51" ht="12.75">
      <c r="H51" s="28"/>
    </row>
  </sheetData>
  <mergeCells count="6">
    <mergeCell ref="B5:J5"/>
    <mergeCell ref="B6:J6"/>
    <mergeCell ref="B7:J7"/>
    <mergeCell ref="B1:J1"/>
    <mergeCell ref="B2:J2"/>
    <mergeCell ref="B3:J3"/>
  </mergeCells>
  <printOptions horizontalCentered="1"/>
  <pageMargins left="0" right="0" top="0.7874015748031497" bottom="0.5118110236220472" header="0" footer="0.5118110236220472"/>
  <pageSetup horizontalDpi="600" verticalDpi="600" orientation="portrait" paperSize="9" scale="98" r:id="rId1"/>
  <headerFooter alignWithMargins="0">
    <oddFooter>&amp;C&amp;"Arial,Bold"1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41">
      <selection activeCell="A1" sqref="A1:I57"/>
    </sheetView>
  </sheetViews>
  <sheetFormatPr defaultColWidth="9.140625" defaultRowHeight="12.75"/>
  <cols>
    <col min="1" max="1" width="4.7109375" style="0" customWidth="1"/>
    <col min="2" max="2" width="29.57421875" style="0" customWidth="1"/>
    <col min="3" max="3" width="2.8515625" style="0" customWidth="1"/>
    <col min="4" max="4" width="7.57421875" style="15" customWidth="1"/>
    <col min="5" max="5" width="2.7109375" style="0" customWidth="1"/>
    <col min="6" max="6" width="13.7109375" style="0" customWidth="1"/>
    <col min="7" max="7" width="3.28125" style="0" customWidth="1"/>
    <col min="8" max="8" width="13.7109375" style="15" customWidth="1"/>
    <col min="9" max="9" width="3.57421875" style="0" customWidth="1"/>
    <col min="10" max="10" width="12.421875" style="0" customWidth="1"/>
  </cols>
  <sheetData>
    <row r="1" spans="2:10" s="6" customFormat="1" ht="18">
      <c r="B1" s="95" t="s">
        <v>17</v>
      </c>
      <c r="C1" s="95"/>
      <c r="D1" s="95"/>
      <c r="E1" s="95"/>
      <c r="F1" s="95"/>
      <c r="G1" s="95"/>
      <c r="H1" s="95"/>
      <c r="I1" s="95"/>
      <c r="J1" s="84"/>
    </row>
    <row r="2" spans="2:9" s="3" customFormat="1" ht="11.25" customHeight="1">
      <c r="B2" s="96" t="s">
        <v>193</v>
      </c>
      <c r="C2" s="96"/>
      <c r="D2" s="96"/>
      <c r="E2" s="96"/>
      <c r="F2" s="96"/>
      <c r="G2" s="96"/>
      <c r="H2" s="96"/>
      <c r="I2" s="96"/>
    </row>
    <row r="3" spans="2:9" s="3" customFormat="1" ht="10.5" customHeight="1">
      <c r="B3" s="96" t="s">
        <v>31</v>
      </c>
      <c r="C3" s="96"/>
      <c r="D3" s="96"/>
      <c r="E3" s="96"/>
      <c r="F3" s="96"/>
      <c r="G3" s="96"/>
      <c r="H3" s="96"/>
      <c r="I3" s="96"/>
    </row>
    <row r="4" spans="3:8" s="3" customFormat="1" ht="9.75" customHeight="1">
      <c r="C4" s="27"/>
      <c r="D4" s="22"/>
      <c r="E4" s="22"/>
      <c r="F4" s="22"/>
      <c r="H4" s="10"/>
    </row>
    <row r="5" spans="3:8" s="3" customFormat="1" ht="9.75" customHeight="1">
      <c r="C5" s="27"/>
      <c r="D5" s="22"/>
      <c r="E5" s="22"/>
      <c r="F5" s="22"/>
      <c r="H5" s="10"/>
    </row>
    <row r="6" spans="3:8" s="3" customFormat="1" ht="9.75" customHeight="1">
      <c r="C6" s="27"/>
      <c r="D6" s="22"/>
      <c r="E6" s="22"/>
      <c r="F6" s="22"/>
      <c r="H6" s="10"/>
    </row>
    <row r="7" spans="1:8" s="42" customFormat="1" ht="12">
      <c r="A7" s="7"/>
      <c r="B7" s="7" t="s">
        <v>35</v>
      </c>
      <c r="D7" s="30"/>
      <c r="H7" s="30"/>
    </row>
    <row r="8" spans="4:8" s="42" customFormat="1" ht="12">
      <c r="D8" s="30"/>
      <c r="F8" s="21" t="s">
        <v>206</v>
      </c>
      <c r="G8" s="7"/>
      <c r="H8" s="49" t="s">
        <v>207</v>
      </c>
    </row>
    <row r="9" spans="2:8" s="42" customFormat="1" ht="12">
      <c r="B9" s="50"/>
      <c r="C9" s="50"/>
      <c r="D9" s="51"/>
      <c r="F9" s="52" t="s">
        <v>4</v>
      </c>
      <c r="H9" s="51" t="s">
        <v>4</v>
      </c>
    </row>
    <row r="10" spans="2:8" s="42" customFormat="1" ht="12">
      <c r="B10" s="50"/>
      <c r="C10" s="50"/>
      <c r="D10" s="53"/>
      <c r="F10" s="54" t="str">
        <f>+PL!D15</f>
        <v>30/09/2002</v>
      </c>
      <c r="H10" s="54" t="s">
        <v>208</v>
      </c>
    </row>
    <row r="11" spans="2:8" s="42" customFormat="1" ht="12">
      <c r="B11" s="50"/>
      <c r="C11" s="50"/>
      <c r="D11" s="55"/>
      <c r="F11" s="56" t="s">
        <v>3</v>
      </c>
      <c r="H11" s="56" t="s">
        <v>3</v>
      </c>
    </row>
    <row r="12" spans="2:8" s="42" customFormat="1" ht="7.5" customHeight="1">
      <c r="B12" s="57"/>
      <c r="C12" s="57"/>
      <c r="D12" s="57"/>
      <c r="F12" s="58"/>
      <c r="H12" s="58"/>
    </row>
    <row r="13" spans="2:8" s="42" customFormat="1" ht="12">
      <c r="B13" s="50" t="s">
        <v>5</v>
      </c>
      <c r="C13" s="57"/>
      <c r="F13" s="72"/>
      <c r="G13" s="46"/>
      <c r="H13" s="72"/>
    </row>
    <row r="14" spans="2:8" s="42" customFormat="1" ht="6" customHeight="1">
      <c r="B14" s="57"/>
      <c r="C14" s="57"/>
      <c r="F14" s="73"/>
      <c r="G14" s="46"/>
      <c r="H14" s="73"/>
    </row>
    <row r="15" spans="2:8" s="46" customFormat="1" ht="12">
      <c r="B15" s="57" t="s">
        <v>209</v>
      </c>
      <c r="C15" s="61"/>
      <c r="F15" s="62">
        <v>799832</v>
      </c>
      <c r="H15" s="62">
        <f>36384+677500</f>
        <v>713884</v>
      </c>
    </row>
    <row r="16" spans="2:8" s="46" customFormat="1" ht="12">
      <c r="B16" s="57" t="s">
        <v>6</v>
      </c>
      <c r="C16" s="61"/>
      <c r="D16" s="42"/>
      <c r="F16" s="62">
        <v>358238</v>
      </c>
      <c r="H16" s="62">
        <v>186574</v>
      </c>
    </row>
    <row r="17" spans="2:8" s="46" customFormat="1" ht="12">
      <c r="B17" s="57" t="s">
        <v>21</v>
      </c>
      <c r="C17" s="61"/>
      <c r="D17" s="42"/>
      <c r="F17" s="62">
        <v>247337</v>
      </c>
      <c r="H17" s="62">
        <v>223963</v>
      </c>
    </row>
    <row r="18" spans="2:8" s="46" customFormat="1" ht="12">
      <c r="B18" s="57" t="s">
        <v>36</v>
      </c>
      <c r="C18" s="61"/>
      <c r="D18" s="42"/>
      <c r="F18" s="62">
        <v>79317</v>
      </c>
      <c r="H18" s="62">
        <v>36754</v>
      </c>
    </row>
    <row r="19" spans="2:8" s="46" customFormat="1" ht="12">
      <c r="B19" s="57" t="s">
        <v>20</v>
      </c>
      <c r="C19" s="61"/>
      <c r="D19" s="42"/>
      <c r="F19" s="62">
        <v>442685</v>
      </c>
      <c r="H19" s="62">
        <v>461835</v>
      </c>
    </row>
    <row r="20" spans="2:8" s="46" customFormat="1" ht="6" customHeight="1">
      <c r="B20" s="61"/>
      <c r="C20" s="61"/>
      <c r="F20" s="62"/>
      <c r="H20" s="62"/>
    </row>
    <row r="21" spans="2:8" s="46" customFormat="1" ht="12">
      <c r="B21" s="61"/>
      <c r="C21" s="61"/>
      <c r="F21" s="63">
        <f>SUM(F15:F20)</f>
        <v>1927409</v>
      </c>
      <c r="H21" s="63">
        <f>SUM(H15:H20)</f>
        <v>1623010</v>
      </c>
    </row>
    <row r="22" spans="2:8" s="46" customFormat="1" ht="6" customHeight="1">
      <c r="B22" s="57"/>
      <c r="C22" s="57"/>
      <c r="F22" s="74"/>
      <c r="H22" s="74"/>
    </row>
    <row r="23" spans="1:8" s="42" customFormat="1" ht="12">
      <c r="A23" s="46"/>
      <c r="B23" s="50" t="s">
        <v>7</v>
      </c>
      <c r="C23" s="57"/>
      <c r="F23" s="72"/>
      <c r="G23" s="46"/>
      <c r="H23" s="72"/>
    </row>
    <row r="24" spans="1:8" s="42" customFormat="1" ht="6" customHeight="1">
      <c r="A24" s="46"/>
      <c r="B24" s="57"/>
      <c r="C24" s="57"/>
      <c r="F24" s="73"/>
      <c r="H24" s="73"/>
    </row>
    <row r="25" spans="2:8" s="42" customFormat="1" ht="12">
      <c r="B25" s="57" t="s">
        <v>117</v>
      </c>
      <c r="C25" s="61"/>
      <c r="F25" s="62">
        <v>13172</v>
      </c>
      <c r="H25" s="62">
        <v>17075</v>
      </c>
    </row>
    <row r="26" spans="2:8" s="42" customFormat="1" ht="12">
      <c r="B26" s="57" t="s">
        <v>25</v>
      </c>
      <c r="C26" s="61"/>
      <c r="F26" s="62">
        <f>46604+10689+17340+19000</f>
        <v>93633</v>
      </c>
      <c r="H26" s="62">
        <f>124193</f>
        <v>124193</v>
      </c>
    </row>
    <row r="27" spans="2:8" s="42" customFormat="1" ht="12">
      <c r="B27" s="57" t="s">
        <v>22</v>
      </c>
      <c r="C27" s="61"/>
      <c r="D27" s="59"/>
      <c r="F27" s="62">
        <f>242734-10689</f>
        <v>232045</v>
      </c>
      <c r="H27" s="62">
        <v>192483</v>
      </c>
    </row>
    <row r="28" spans="2:8" s="42" customFormat="1" ht="12">
      <c r="B28" s="57" t="s">
        <v>23</v>
      </c>
      <c r="C28" s="61"/>
      <c r="D28" s="59"/>
      <c r="F28" s="62">
        <v>250360</v>
      </c>
      <c r="H28" s="62">
        <f>201938+17583</f>
        <v>219521</v>
      </c>
    </row>
    <row r="29" spans="2:8" s="42" customFormat="1" ht="12">
      <c r="B29" s="57" t="s">
        <v>37</v>
      </c>
      <c r="C29" s="61"/>
      <c r="D29" s="59"/>
      <c r="F29" s="62">
        <v>36217</v>
      </c>
      <c r="H29" s="62">
        <v>45026</v>
      </c>
    </row>
    <row r="30" spans="2:8" s="42" customFormat="1" ht="12">
      <c r="B30" s="57" t="s">
        <v>26</v>
      </c>
      <c r="C30" s="61"/>
      <c r="D30" s="59"/>
      <c r="F30" s="62">
        <f>19805-19805</f>
        <v>0</v>
      </c>
      <c r="H30" s="62">
        <v>19442</v>
      </c>
    </row>
    <row r="31" spans="2:8" s="42" customFormat="1" ht="6" customHeight="1">
      <c r="B31" s="61"/>
      <c r="C31" s="61"/>
      <c r="D31" s="59"/>
      <c r="F31" s="62"/>
      <c r="H31" s="62"/>
    </row>
    <row r="32" spans="2:8" s="42" customFormat="1" ht="12">
      <c r="B32" s="61"/>
      <c r="C32" s="61"/>
      <c r="D32" s="59"/>
      <c r="F32" s="63">
        <f>SUM(F25:F30)</f>
        <v>625427</v>
      </c>
      <c r="H32" s="63">
        <f>SUM(H25:H30)</f>
        <v>617740</v>
      </c>
    </row>
    <row r="33" spans="2:8" s="42" customFormat="1" ht="6.75" customHeight="1">
      <c r="B33" s="61"/>
      <c r="C33" s="61"/>
      <c r="D33" s="59"/>
      <c r="F33" s="58"/>
      <c r="H33" s="58"/>
    </row>
    <row r="34" spans="2:8" s="42" customFormat="1" ht="12">
      <c r="B34" s="50" t="s">
        <v>8</v>
      </c>
      <c r="C34" s="61"/>
      <c r="D34" s="59"/>
      <c r="F34" s="58">
        <f>+F21-F32</f>
        <v>1301982</v>
      </c>
      <c r="H34" s="58">
        <f>+H21-H32</f>
        <v>1005270</v>
      </c>
    </row>
    <row r="35" spans="2:8" s="42" customFormat="1" ht="12">
      <c r="B35" s="57" t="s">
        <v>118</v>
      </c>
      <c r="C35" s="57"/>
      <c r="D35" s="59"/>
      <c r="F35" s="58">
        <v>380018</v>
      </c>
      <c r="H35" s="58">
        <f>324000</f>
        <v>324000</v>
      </c>
    </row>
    <row r="36" spans="2:10" s="42" customFormat="1" ht="11.25" customHeight="1">
      <c r="B36" s="57" t="s">
        <v>119</v>
      </c>
      <c r="C36" s="57"/>
      <c r="D36" s="59"/>
      <c r="F36" s="58">
        <f>95430-14592</f>
        <v>80838</v>
      </c>
      <c r="H36" s="58">
        <f>78648</f>
        <v>78648</v>
      </c>
      <c r="J36" s="69"/>
    </row>
    <row r="37" spans="2:10" s="42" customFormat="1" ht="12">
      <c r="B37" s="57" t="s">
        <v>210</v>
      </c>
      <c r="C37" s="57"/>
      <c r="D37" s="59"/>
      <c r="F37" s="58">
        <f>4099+706496-F36</f>
        <v>629757</v>
      </c>
      <c r="H37" s="58">
        <f>552777+72202</f>
        <v>624979</v>
      </c>
      <c r="J37" s="69"/>
    </row>
    <row r="38" spans="2:8" s="42" customFormat="1" ht="12">
      <c r="B38" s="57" t="s">
        <v>211</v>
      </c>
      <c r="C38" s="57"/>
      <c r="F38" s="60">
        <v>6246</v>
      </c>
      <c r="H38" s="60">
        <v>1085</v>
      </c>
    </row>
    <row r="39" spans="2:8" s="42" customFormat="1" ht="12">
      <c r="B39" s="57" t="s">
        <v>13</v>
      </c>
      <c r="C39" s="57"/>
      <c r="D39" s="59"/>
      <c r="F39" s="58">
        <f>-158845+17340+19000</f>
        <v>-122505</v>
      </c>
      <c r="H39" s="58">
        <f>-21614-9124</f>
        <v>-30738</v>
      </c>
    </row>
    <row r="40" spans="2:8" s="42" customFormat="1" ht="12">
      <c r="B40" s="57" t="s">
        <v>120</v>
      </c>
      <c r="C40" s="57"/>
      <c r="D40" s="59"/>
      <c r="F40" s="58">
        <f>-1734-12538</f>
        <v>-14272</v>
      </c>
      <c r="H40" s="58">
        <f>-12538-3437</f>
        <v>-15975</v>
      </c>
    </row>
    <row r="41" spans="2:8" s="42" customFormat="1" ht="12">
      <c r="B41" s="57" t="s">
        <v>24</v>
      </c>
      <c r="C41" s="57"/>
      <c r="D41" s="59"/>
      <c r="F41" s="58">
        <v>-10399</v>
      </c>
      <c r="H41" s="58">
        <v>-9839</v>
      </c>
    </row>
    <row r="42" spans="2:8" s="42" customFormat="1" ht="12">
      <c r="B42" s="57" t="s">
        <v>12</v>
      </c>
      <c r="C42" s="57"/>
      <c r="D42" s="59"/>
      <c r="F42" s="58">
        <v>-561840</v>
      </c>
      <c r="H42" s="58">
        <v>-483488</v>
      </c>
    </row>
    <row r="43" spans="2:8" s="42" customFormat="1" ht="12">
      <c r="B43" s="57" t="s">
        <v>125</v>
      </c>
      <c r="C43" s="57"/>
      <c r="D43" s="59"/>
      <c r="F43" s="58">
        <v>-2186</v>
      </c>
      <c r="H43" s="58">
        <v>-2186</v>
      </c>
    </row>
    <row r="44" spans="2:8" s="42" customFormat="1" ht="6" customHeight="1" thickBot="1">
      <c r="B44" s="57"/>
      <c r="C44" s="57"/>
      <c r="D44" s="59"/>
      <c r="F44" s="65"/>
      <c r="H44" s="65"/>
    </row>
    <row r="45" spans="2:8" s="42" customFormat="1" ht="12.75" customHeight="1" thickBot="1">
      <c r="B45" s="57"/>
      <c r="C45" s="57"/>
      <c r="D45" s="59"/>
      <c r="F45" s="65">
        <f>SUM(F34:F44)</f>
        <v>1687639</v>
      </c>
      <c r="H45" s="65">
        <f>SUM(H34:H44)</f>
        <v>1491756</v>
      </c>
    </row>
    <row r="46" spans="2:4" s="42" customFormat="1" ht="12">
      <c r="B46" s="57"/>
      <c r="C46" s="57"/>
      <c r="D46" s="59"/>
    </row>
    <row r="47" spans="2:4" s="42" customFormat="1" ht="12">
      <c r="B47" s="50" t="s">
        <v>9</v>
      </c>
      <c r="C47" s="57"/>
      <c r="D47" s="59"/>
    </row>
    <row r="48" spans="2:8" s="42" customFormat="1" ht="15" customHeight="1">
      <c r="B48" s="57" t="s">
        <v>10</v>
      </c>
      <c r="C48" s="57"/>
      <c r="D48" s="59"/>
      <c r="F48" s="58">
        <v>275310</v>
      </c>
      <c r="H48" s="58">
        <v>270026</v>
      </c>
    </row>
    <row r="49" spans="2:8" s="42" customFormat="1" ht="12">
      <c r="B49" s="57" t="s">
        <v>11</v>
      </c>
      <c r="C49" s="57"/>
      <c r="D49" s="59"/>
      <c r="F49" s="58">
        <f>26451+205382+1182682-2186</f>
        <v>1412329</v>
      </c>
      <c r="H49" s="58">
        <f>184608+18386+6045+1012691</f>
        <v>1221730</v>
      </c>
    </row>
    <row r="50" spans="2:8" s="42" customFormat="1" ht="6" customHeight="1" thickBot="1">
      <c r="B50" s="61"/>
      <c r="C50" s="61"/>
      <c r="D50" s="59"/>
      <c r="F50" s="65"/>
      <c r="H50" s="65"/>
    </row>
    <row r="51" spans="2:8" s="42" customFormat="1" ht="12.75" thickBot="1">
      <c r="B51" s="57"/>
      <c r="C51" s="57"/>
      <c r="D51" s="59"/>
      <c r="F51" s="65">
        <f>SUM(F48:F50)</f>
        <v>1687639</v>
      </c>
      <c r="H51" s="65">
        <f>SUM(H48:H50)</f>
        <v>1491756</v>
      </c>
    </row>
    <row r="52" spans="2:8" s="42" customFormat="1" ht="6" customHeight="1">
      <c r="B52" s="57"/>
      <c r="C52" s="57"/>
      <c r="D52" s="59"/>
      <c r="H52" s="58"/>
    </row>
    <row r="53" spans="2:8" s="42" customFormat="1" ht="12" customHeight="1" thickBot="1">
      <c r="B53" s="93" t="s">
        <v>185</v>
      </c>
      <c r="C53" s="57"/>
      <c r="D53" s="59"/>
      <c r="F53" s="83">
        <v>6.12</v>
      </c>
      <c r="H53" s="83">
        <v>5.53</v>
      </c>
    </row>
    <row r="54" spans="2:8" s="42" customFormat="1" ht="12" customHeight="1">
      <c r="B54" s="57"/>
      <c r="C54" s="57"/>
      <c r="D54" s="59"/>
      <c r="H54" s="58"/>
    </row>
    <row r="55" spans="2:8" s="42" customFormat="1" ht="12.75" customHeight="1">
      <c r="B55" s="57"/>
      <c r="C55" s="57"/>
      <c r="D55" s="59"/>
      <c r="H55" s="58"/>
    </row>
    <row r="56" spans="2:4" ht="12.75">
      <c r="B56" s="66" t="s">
        <v>226</v>
      </c>
      <c r="C56" s="4"/>
      <c r="D56" s="5"/>
    </row>
    <row r="57" spans="2:4" ht="12.75">
      <c r="B57" s="42" t="s">
        <v>227</v>
      </c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4:6" ht="12.75">
      <c r="D62" s="26"/>
      <c r="E62" s="3"/>
      <c r="F62" s="10"/>
    </row>
    <row r="63" spans="3:8" ht="12.75">
      <c r="C63" s="31"/>
      <c r="D63" s="10"/>
      <c r="E63" s="3"/>
      <c r="F63" s="29"/>
      <c r="H63" s="29"/>
    </row>
    <row r="64" spans="3:8" ht="12.75">
      <c r="C64" s="31"/>
      <c r="D64" s="10"/>
      <c r="E64" s="3"/>
      <c r="F64" s="10"/>
      <c r="H64" s="10"/>
    </row>
    <row r="65" spans="6:8" ht="12.75">
      <c r="F65" s="15"/>
      <c r="H65"/>
    </row>
    <row r="66" ht="12.75">
      <c r="H66" s="28"/>
    </row>
  </sheetData>
  <mergeCells count="3">
    <mergeCell ref="B1:I1"/>
    <mergeCell ref="B2:I2"/>
    <mergeCell ref="B3:I3"/>
  </mergeCells>
  <printOptions horizontalCentered="1"/>
  <pageMargins left="0.83" right="0" top="0.7874015748031497" bottom="0.5118110236220472" header="0" footer="0.5118110236220472"/>
  <pageSetup horizontalDpi="600" verticalDpi="600" orientation="portrait" paperSize="9" scale="95" r:id="rId1"/>
  <headerFooter alignWithMargins="0">
    <oddFooter>&amp;C&amp;"Arial,Bold"2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75"/>
  <sheetViews>
    <sheetView tabSelected="1" workbookViewId="0" topLeftCell="A49">
      <selection activeCell="A1" sqref="A1:J51"/>
    </sheetView>
  </sheetViews>
  <sheetFormatPr defaultColWidth="9.140625" defaultRowHeight="12.75"/>
  <cols>
    <col min="1" max="1" width="2.7109375" style="0" customWidth="1"/>
    <col min="2" max="2" width="39.57421875" style="0" customWidth="1"/>
    <col min="3" max="3" width="2.8515625" style="0" customWidth="1"/>
    <col min="4" max="4" width="7.57421875" style="15" customWidth="1"/>
    <col min="5" max="5" width="8.7109375" style="0" customWidth="1"/>
    <col min="6" max="6" width="13.7109375" style="15" customWidth="1"/>
    <col min="7" max="7" width="3.28125" style="0" customWidth="1"/>
    <col min="8" max="8" width="13.7109375" style="15" hidden="1" customWidth="1"/>
    <col min="9" max="9" width="3.57421875" style="0" customWidth="1"/>
    <col min="10" max="10" width="5.421875" style="0" customWidth="1"/>
  </cols>
  <sheetData>
    <row r="1" spans="1:19" s="6" customFormat="1" ht="18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17</v>
      </c>
      <c r="L1" s="95"/>
      <c r="M1" s="95"/>
      <c r="N1" s="95"/>
      <c r="O1" s="95"/>
      <c r="P1" s="95"/>
      <c r="Q1" s="95"/>
      <c r="R1" s="95"/>
      <c r="S1" s="95"/>
    </row>
    <row r="2" spans="1:19" s="3" customFormat="1" ht="11.25" customHeight="1">
      <c r="A2" s="97" t="s">
        <v>193</v>
      </c>
      <c r="B2" s="97"/>
      <c r="C2" s="97"/>
      <c r="D2" s="97"/>
      <c r="E2" s="97"/>
      <c r="F2" s="97"/>
      <c r="G2" s="97"/>
      <c r="H2" s="97"/>
      <c r="I2" s="97"/>
      <c r="J2" s="97"/>
      <c r="K2" s="96" t="s">
        <v>193</v>
      </c>
      <c r="L2" s="96"/>
      <c r="M2" s="96"/>
      <c r="N2" s="96"/>
      <c r="O2" s="96"/>
      <c r="P2" s="96"/>
      <c r="Q2" s="96"/>
      <c r="R2" s="96"/>
      <c r="S2" s="96"/>
    </row>
    <row r="3" spans="1:19" s="3" customFormat="1" ht="10.5" customHeight="1">
      <c r="A3" s="97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6" t="s">
        <v>31</v>
      </c>
      <c r="L3" s="96"/>
      <c r="M3" s="96"/>
      <c r="N3" s="96"/>
      <c r="O3" s="96"/>
      <c r="P3" s="96"/>
      <c r="Q3" s="96"/>
      <c r="R3" s="96"/>
      <c r="S3" s="96"/>
    </row>
    <row r="4" spans="3:8" s="3" customFormat="1" ht="9.75" customHeight="1">
      <c r="C4" s="27"/>
      <c r="D4" s="22"/>
      <c r="E4" s="22"/>
      <c r="F4" s="25"/>
      <c r="H4" s="10"/>
    </row>
    <row r="5" spans="3:8" s="3" customFormat="1" ht="9.75" customHeight="1">
      <c r="C5" s="27"/>
      <c r="D5" s="22"/>
      <c r="E5" s="22"/>
      <c r="F5" s="25"/>
      <c r="H5" s="10"/>
    </row>
    <row r="6" spans="1:10" s="3" customFormat="1" ht="12.75" customHeight="1">
      <c r="A6" s="94" t="s">
        <v>187</v>
      </c>
      <c r="B6" s="94"/>
      <c r="C6" s="94"/>
      <c r="D6" s="94"/>
      <c r="E6" s="94"/>
      <c r="F6" s="94"/>
      <c r="G6" s="94"/>
      <c r="H6" s="94"/>
      <c r="I6" s="94"/>
      <c r="J6" s="94"/>
    </row>
    <row r="7" spans="4:8" s="42" customFormat="1" ht="12">
      <c r="D7" s="30"/>
      <c r="F7" s="21"/>
      <c r="G7" s="7"/>
      <c r="H7" s="49"/>
    </row>
    <row r="8" spans="4:8" s="42" customFormat="1" ht="12">
      <c r="D8" s="30"/>
      <c r="F8" s="85" t="s">
        <v>123</v>
      </c>
      <c r="G8" s="7"/>
      <c r="H8" s="49" t="s">
        <v>123</v>
      </c>
    </row>
    <row r="9" spans="2:8" s="42" customFormat="1" ht="12">
      <c r="B9" s="50"/>
      <c r="C9" s="50"/>
      <c r="D9" s="51"/>
      <c r="F9" s="56" t="s">
        <v>18</v>
      </c>
      <c r="H9" s="52" t="s">
        <v>18</v>
      </c>
    </row>
    <row r="10" spans="2:8" s="42" customFormat="1" ht="12">
      <c r="B10" s="50"/>
      <c r="C10" s="50"/>
      <c r="D10" s="53"/>
      <c r="F10" s="54" t="str">
        <f>+PL!D15</f>
        <v>30/09/2002</v>
      </c>
      <c r="H10" s="54" t="str">
        <f>+PL!F15</f>
        <v>30/09/2001</v>
      </c>
    </row>
    <row r="11" spans="2:8" s="42" customFormat="1" ht="12">
      <c r="B11" s="50"/>
      <c r="C11" s="50"/>
      <c r="D11" s="55"/>
      <c r="F11" s="56" t="s">
        <v>3</v>
      </c>
      <c r="H11" s="56" t="s">
        <v>3</v>
      </c>
    </row>
    <row r="12" spans="2:8" s="42" customFormat="1" ht="7.5" customHeight="1">
      <c r="B12" s="57"/>
      <c r="C12" s="57"/>
      <c r="D12" s="57"/>
      <c r="F12" s="58"/>
      <c r="H12" s="58"/>
    </row>
    <row r="13" spans="2:8" s="42" customFormat="1" ht="12.75" customHeight="1">
      <c r="B13" s="50" t="s">
        <v>58</v>
      </c>
      <c r="C13" s="57"/>
      <c r="D13" s="57"/>
      <c r="F13" s="58"/>
      <c r="H13" s="58"/>
    </row>
    <row r="14" spans="2:8" s="46" customFormat="1" ht="12">
      <c r="B14" s="57" t="s">
        <v>46</v>
      </c>
      <c r="C14" s="57"/>
      <c r="D14" s="59"/>
      <c r="F14" s="58">
        <f>+'Sheet 1'!F13</f>
        <v>361998</v>
      </c>
      <c r="H14" s="58">
        <v>0</v>
      </c>
    </row>
    <row r="15" spans="2:8" s="46" customFormat="1" ht="6.75" customHeight="1">
      <c r="B15" s="57"/>
      <c r="C15" s="57"/>
      <c r="D15" s="59"/>
      <c r="F15" s="58"/>
      <c r="H15" s="58"/>
    </row>
    <row r="16" spans="2:8" s="46" customFormat="1" ht="11.25" customHeight="1">
      <c r="B16" s="57" t="s">
        <v>59</v>
      </c>
      <c r="C16" s="57"/>
      <c r="D16" s="59"/>
      <c r="F16" s="58"/>
      <c r="H16" s="58"/>
    </row>
    <row r="17" spans="2:8" s="46" customFormat="1" ht="12">
      <c r="B17" s="57" t="s">
        <v>180</v>
      </c>
      <c r="C17" s="57"/>
      <c r="D17" s="59"/>
      <c r="F17" s="58">
        <f>+'Sheet 1'!F24</f>
        <v>-29498</v>
      </c>
      <c r="H17" s="58">
        <v>0</v>
      </c>
    </row>
    <row r="18" spans="2:8" s="46" customFormat="1" ht="12">
      <c r="B18" s="57" t="s">
        <v>181</v>
      </c>
      <c r="C18" s="57"/>
      <c r="D18" s="59"/>
      <c r="F18" s="64">
        <f>+'Sheet 1'!F28</f>
        <v>-23474</v>
      </c>
      <c r="H18" s="58"/>
    </row>
    <row r="19" spans="2:8" s="46" customFormat="1" ht="6" customHeight="1">
      <c r="B19" s="57"/>
      <c r="C19" s="57"/>
      <c r="F19" s="60"/>
      <c r="H19" s="60"/>
    </row>
    <row r="20" spans="2:8" s="46" customFormat="1" ht="12">
      <c r="B20" s="57" t="s">
        <v>47</v>
      </c>
      <c r="C20" s="57"/>
      <c r="F20" s="60">
        <f>SUM(F14:F18)</f>
        <v>309026</v>
      </c>
      <c r="H20" s="60">
        <f>SUM(H14:H18)</f>
        <v>0</v>
      </c>
    </row>
    <row r="21" spans="2:8" s="46" customFormat="1" ht="6" customHeight="1">
      <c r="B21" s="57"/>
      <c r="C21" s="57"/>
      <c r="F21" s="60"/>
      <c r="H21" s="60"/>
    </row>
    <row r="22" spans="2:8" s="46" customFormat="1" ht="12">
      <c r="B22" s="57" t="s">
        <v>48</v>
      </c>
      <c r="C22" s="57"/>
      <c r="F22" s="60"/>
      <c r="H22" s="60"/>
    </row>
    <row r="23" spans="2:8" s="46" customFormat="1" ht="12">
      <c r="B23" s="57" t="s">
        <v>49</v>
      </c>
      <c r="C23" s="61"/>
      <c r="F23" s="58">
        <f>+'Sheet 1'!F34</f>
        <v>-220948</v>
      </c>
      <c r="H23" s="58">
        <v>0</v>
      </c>
    </row>
    <row r="24" spans="2:8" s="46" customFormat="1" ht="12">
      <c r="B24" s="57" t="s">
        <v>50</v>
      </c>
      <c r="C24" s="61"/>
      <c r="F24" s="64">
        <f>+'Sheet 1'!F35</f>
        <v>-10366</v>
      </c>
      <c r="H24" s="64">
        <v>0</v>
      </c>
    </row>
    <row r="25" spans="2:8" s="46" customFormat="1" ht="6" customHeight="1">
      <c r="B25" s="61"/>
      <c r="C25" s="61"/>
      <c r="F25" s="58"/>
      <c r="H25" s="58"/>
    </row>
    <row r="26" spans="2:8" s="46" customFormat="1" ht="12">
      <c r="B26" s="57" t="s">
        <v>51</v>
      </c>
      <c r="C26" s="61"/>
      <c r="F26" s="64">
        <f>SUM(F20:F24)</f>
        <v>77712</v>
      </c>
      <c r="H26" s="64">
        <f>SUM(H20:H24)</f>
        <v>0</v>
      </c>
    </row>
    <row r="27" spans="2:8" s="46" customFormat="1" ht="12">
      <c r="B27" s="57"/>
      <c r="C27" s="61"/>
      <c r="F27" s="58"/>
      <c r="H27" s="58"/>
    </row>
    <row r="28" spans="2:8" s="46" customFormat="1" ht="12">
      <c r="B28" s="50" t="s">
        <v>52</v>
      </c>
      <c r="C28" s="61"/>
      <c r="F28" s="58"/>
      <c r="H28" s="58"/>
    </row>
    <row r="29" spans="2:8" s="46" customFormat="1" ht="12">
      <c r="B29" s="57" t="s">
        <v>182</v>
      </c>
      <c r="C29" s="61"/>
      <c r="F29" s="58">
        <f>+'Sheet 1'!F44</f>
        <v>417</v>
      </c>
      <c r="H29" s="58">
        <v>0</v>
      </c>
    </row>
    <row r="30" spans="2:8" s="46" customFormat="1" ht="12">
      <c r="B30" s="57" t="s">
        <v>113</v>
      </c>
      <c r="C30" s="61"/>
      <c r="F30" s="64">
        <f>+'Sheet 1'!F48</f>
        <v>-40007</v>
      </c>
      <c r="H30" s="64">
        <v>0</v>
      </c>
    </row>
    <row r="31" spans="2:8" s="46" customFormat="1" ht="6" customHeight="1">
      <c r="B31" s="57"/>
      <c r="C31" s="61"/>
      <c r="F31" s="58"/>
      <c r="H31" s="58"/>
    </row>
    <row r="32" spans="2:8" s="46" customFormat="1" ht="12">
      <c r="B32" s="57" t="s">
        <v>53</v>
      </c>
      <c r="C32" s="61"/>
      <c r="F32" s="64">
        <f>SUM(F29:F31)</f>
        <v>-39590</v>
      </c>
      <c r="H32" s="64">
        <f>SUM(H29:H31)</f>
        <v>0</v>
      </c>
    </row>
    <row r="33" spans="2:8" s="46" customFormat="1" ht="12">
      <c r="B33" s="57"/>
      <c r="C33" s="61"/>
      <c r="F33" s="58"/>
      <c r="H33" s="58"/>
    </row>
    <row r="34" spans="2:8" s="46" customFormat="1" ht="12">
      <c r="B34" s="50" t="s">
        <v>54</v>
      </c>
      <c r="C34" s="61"/>
      <c r="F34" s="58"/>
      <c r="H34" s="58"/>
    </row>
    <row r="35" spans="2:8" s="46" customFormat="1" ht="12">
      <c r="B35" s="57" t="s">
        <v>189</v>
      </c>
      <c r="C35" s="61"/>
      <c r="F35" s="58">
        <v>26058</v>
      </c>
      <c r="H35" s="58">
        <v>0</v>
      </c>
    </row>
    <row r="36" spans="2:8" s="46" customFormat="1" ht="12">
      <c r="B36" s="57" t="s">
        <v>190</v>
      </c>
      <c r="C36" s="61"/>
      <c r="F36" s="58">
        <v>-35536</v>
      </c>
      <c r="H36" s="58"/>
    </row>
    <row r="37" spans="2:8" s="46" customFormat="1" ht="12">
      <c r="B37" s="57" t="s">
        <v>127</v>
      </c>
      <c r="C37" s="61"/>
      <c r="F37" s="64">
        <f>+'Sheet 1'!F60</f>
        <v>61207</v>
      </c>
      <c r="H37" s="64">
        <v>0</v>
      </c>
    </row>
    <row r="38" spans="2:8" s="46" customFormat="1" ht="6" customHeight="1">
      <c r="B38" s="57"/>
      <c r="C38" s="61"/>
      <c r="F38" s="58"/>
      <c r="H38" s="58"/>
    </row>
    <row r="39" spans="2:8" s="46" customFormat="1" ht="12">
      <c r="B39" s="57" t="s">
        <v>55</v>
      </c>
      <c r="C39" s="61"/>
      <c r="F39" s="64">
        <f>SUM(F35:F38)</f>
        <v>51729</v>
      </c>
      <c r="H39" s="64">
        <f>SUM(H35:H38)</f>
        <v>0</v>
      </c>
    </row>
    <row r="40" spans="2:8" s="46" customFormat="1" ht="6" customHeight="1">
      <c r="B40" s="57"/>
      <c r="C40" s="61"/>
      <c r="F40" s="58"/>
      <c r="H40" s="58"/>
    </row>
    <row r="41" spans="2:8" s="46" customFormat="1" ht="6" customHeight="1">
      <c r="B41" s="57"/>
      <c r="C41" s="61"/>
      <c r="F41" s="58"/>
      <c r="H41" s="58"/>
    </row>
    <row r="42" spans="2:8" s="46" customFormat="1" ht="12">
      <c r="B42" s="50" t="s">
        <v>233</v>
      </c>
      <c r="C42" s="61"/>
      <c r="F42" s="58">
        <f>+F26+F32+F39</f>
        <v>89851</v>
      </c>
      <c r="H42" s="58" t="e">
        <f>+H26+H32+H39+#REF!</f>
        <v>#REF!</v>
      </c>
    </row>
    <row r="43" spans="2:8" s="46" customFormat="1" ht="6" customHeight="1">
      <c r="B43" s="57"/>
      <c r="C43" s="61"/>
      <c r="F43" s="58"/>
      <c r="H43" s="58"/>
    </row>
    <row r="44" spans="2:8" s="46" customFormat="1" ht="12.75" thickBot="1">
      <c r="B44" s="50" t="s">
        <v>57</v>
      </c>
      <c r="C44" s="61"/>
      <c r="F44" s="65">
        <v>696809</v>
      </c>
      <c r="H44" s="65">
        <v>0</v>
      </c>
    </row>
    <row r="45" spans="2:8" s="46" customFormat="1" ht="6" customHeight="1">
      <c r="B45" s="57"/>
      <c r="C45" s="61"/>
      <c r="F45" s="58"/>
      <c r="H45" s="58"/>
    </row>
    <row r="46" spans="2:8" s="46" customFormat="1" ht="12.75" thickBot="1">
      <c r="B46" s="50" t="s">
        <v>148</v>
      </c>
      <c r="C46" s="61"/>
      <c r="F46" s="65">
        <f>SUM(F42:F44)</f>
        <v>786660</v>
      </c>
      <c r="H46" s="65" t="e">
        <f>SUM(H42:H44)</f>
        <v>#REF!</v>
      </c>
    </row>
    <row r="47" spans="2:8" s="46" customFormat="1" ht="12">
      <c r="B47" s="57"/>
      <c r="C47" s="61"/>
      <c r="F47" s="58"/>
      <c r="H47" s="58"/>
    </row>
    <row r="48" spans="2:8" s="46" customFormat="1" ht="12">
      <c r="B48" s="57"/>
      <c r="C48" s="61"/>
      <c r="D48" s="40"/>
      <c r="F48" s="58"/>
      <c r="H48" s="58"/>
    </row>
    <row r="49" spans="2:8" s="46" customFormat="1" ht="12">
      <c r="B49" s="57"/>
      <c r="C49" s="61"/>
      <c r="D49" s="40"/>
      <c r="F49" s="58"/>
      <c r="H49" s="58"/>
    </row>
    <row r="50" spans="2:8" s="42" customFormat="1" ht="12">
      <c r="B50" s="66" t="s">
        <v>188</v>
      </c>
      <c r="C50" s="57"/>
      <c r="D50" s="58"/>
      <c r="F50" s="40"/>
      <c r="H50" s="30"/>
    </row>
    <row r="51" spans="2:8" s="42" customFormat="1" ht="12">
      <c r="B51" s="42" t="s">
        <v>44</v>
      </c>
      <c r="C51" s="57"/>
      <c r="D51" s="58"/>
      <c r="F51" s="40"/>
      <c r="H51" s="30"/>
    </row>
    <row r="52" spans="2:8" s="42" customFormat="1" ht="12">
      <c r="B52" s="57"/>
      <c r="C52" s="57"/>
      <c r="D52" s="58"/>
      <c r="F52" s="30"/>
      <c r="H52" s="30"/>
    </row>
    <row r="53" spans="2:4" ht="12.75">
      <c r="B53" s="4"/>
      <c r="C53" s="4"/>
      <c r="D53" s="5"/>
    </row>
    <row r="54" spans="2:8" s="34" customFormat="1" ht="11.25">
      <c r="B54" s="32"/>
      <c r="C54" s="32"/>
      <c r="D54" s="33"/>
      <c r="F54" s="35"/>
      <c r="H54" s="35"/>
    </row>
    <row r="55" spans="2:8" s="34" customFormat="1" ht="11.25" hidden="1">
      <c r="B55" s="34" t="s">
        <v>60</v>
      </c>
      <c r="D55" s="35"/>
      <c r="F55" s="35"/>
      <c r="H55" s="35"/>
    </row>
    <row r="56" spans="4:8" s="34" customFormat="1" ht="11.25" hidden="1">
      <c r="D56" s="35"/>
      <c r="F56" s="35"/>
      <c r="H56" s="35"/>
    </row>
    <row r="57" spans="1:8" s="34" customFormat="1" ht="11.25" hidden="1">
      <c r="A57" s="38" t="s">
        <v>15</v>
      </c>
      <c r="B57" s="24" t="s">
        <v>61</v>
      </c>
      <c r="D57" s="35"/>
      <c r="F57" s="35"/>
      <c r="H57" s="35"/>
    </row>
    <row r="58" spans="2:8" s="34" customFormat="1" ht="11.25" hidden="1">
      <c r="B58" s="34" t="s">
        <v>62</v>
      </c>
      <c r="D58" s="35"/>
      <c r="F58" s="35">
        <f>624979+79283</f>
        <v>704262</v>
      </c>
      <c r="H58" s="35"/>
    </row>
    <row r="59" spans="2:8" s="34" customFormat="1" ht="11.25" hidden="1">
      <c r="B59" s="3" t="s">
        <v>79</v>
      </c>
      <c r="D59" s="35"/>
      <c r="F59" s="36">
        <f>626724+81448-669308</f>
        <v>38864</v>
      </c>
      <c r="H59" s="35"/>
    </row>
    <row r="60" spans="4:8" s="34" customFormat="1" ht="11.25" hidden="1">
      <c r="D60" s="35"/>
      <c r="F60" s="35">
        <f>SUM(F58:F59)</f>
        <v>743126</v>
      </c>
      <c r="H60" s="35"/>
    </row>
    <row r="61" spans="2:8" s="34" customFormat="1" ht="11.25" hidden="1">
      <c r="B61" s="34" t="s">
        <v>63</v>
      </c>
      <c r="D61" s="35"/>
      <c r="F61" s="35">
        <v>0</v>
      </c>
      <c r="H61" s="35"/>
    </row>
    <row r="62" spans="2:8" s="34" customFormat="1" ht="11.25" hidden="1">
      <c r="B62" s="34" t="s">
        <v>64</v>
      </c>
      <c r="D62" s="35"/>
      <c r="F62" s="35">
        <v>-34954</v>
      </c>
      <c r="H62" s="35"/>
    </row>
    <row r="63" spans="2:8" s="34" customFormat="1" ht="11.25" hidden="1">
      <c r="B63" s="34" t="s">
        <v>65</v>
      </c>
      <c r="D63" s="35"/>
      <c r="F63" s="37">
        <f>SUM(F60:F62)</f>
        <v>708172</v>
      </c>
      <c r="H63" s="35"/>
    </row>
    <row r="64" spans="4:8" s="34" customFormat="1" ht="11.25" hidden="1">
      <c r="D64" s="35"/>
      <c r="F64" s="35">
        <f>626724+81448-F63</f>
        <v>0</v>
      </c>
      <c r="H64" s="35"/>
    </row>
    <row r="65" spans="1:8" s="34" customFormat="1" ht="11.25" hidden="1">
      <c r="A65" s="38" t="s">
        <v>16</v>
      </c>
      <c r="B65" s="24" t="s">
        <v>85</v>
      </c>
      <c r="D65" s="35"/>
      <c r="F65" s="35"/>
      <c r="H65" s="35"/>
    </row>
    <row r="66" spans="2:8" s="34" customFormat="1" ht="11.25" hidden="1">
      <c r="B66" s="34" t="s">
        <v>62</v>
      </c>
      <c r="D66" s="35"/>
      <c r="F66" s="35">
        <f>314827+8538</f>
        <v>323365</v>
      </c>
      <c r="H66" s="35"/>
    </row>
    <row r="67" spans="2:8" s="34" customFormat="1" ht="11.25" hidden="1">
      <c r="B67" s="3" t="s">
        <v>82</v>
      </c>
      <c r="D67" s="35"/>
      <c r="F67" s="35">
        <v>9040</v>
      </c>
      <c r="H67" s="35"/>
    </row>
    <row r="68" spans="2:8" s="34" customFormat="1" ht="11.25" hidden="1">
      <c r="B68" s="34" t="s">
        <v>83</v>
      </c>
      <c r="D68" s="35"/>
      <c r="F68" s="36">
        <v>57848</v>
      </c>
      <c r="H68" s="35"/>
    </row>
    <row r="69" spans="4:8" s="34" customFormat="1" ht="11.25" hidden="1">
      <c r="D69" s="35"/>
      <c r="F69" s="35">
        <f>SUM(F66:F68)</f>
        <v>390253</v>
      </c>
      <c r="H69" s="35"/>
    </row>
    <row r="70" spans="2:8" s="34" customFormat="1" ht="11.25" hidden="1">
      <c r="B70" s="34" t="s">
        <v>74</v>
      </c>
      <c r="D70" s="35"/>
      <c r="F70" s="35">
        <v>3065</v>
      </c>
      <c r="H70" s="35"/>
    </row>
    <row r="71" spans="2:8" s="34" customFormat="1" ht="11.25" hidden="1">
      <c r="B71" s="34" t="s">
        <v>84</v>
      </c>
      <c r="D71" s="35"/>
      <c r="F71" s="35">
        <v>-9040</v>
      </c>
      <c r="H71" s="35"/>
    </row>
    <row r="72" spans="2:8" s="34" customFormat="1" ht="11.25" hidden="1">
      <c r="B72" s="34" t="s">
        <v>73</v>
      </c>
      <c r="D72" s="35"/>
      <c r="F72" s="35">
        <f>-14954-190-513</f>
        <v>-15657</v>
      </c>
      <c r="H72" s="35"/>
    </row>
    <row r="73" spans="2:8" s="34" customFormat="1" ht="11.25" hidden="1">
      <c r="B73" s="34" t="s">
        <v>68</v>
      </c>
      <c r="D73" s="35"/>
      <c r="F73" s="35">
        <v>-8235</v>
      </c>
      <c r="H73" s="35"/>
    </row>
    <row r="74" spans="2:8" s="34" customFormat="1" ht="11.25" hidden="1">
      <c r="B74" s="34" t="s">
        <v>65</v>
      </c>
      <c r="D74" s="35"/>
      <c r="F74" s="37">
        <f>SUM(F69:F73)</f>
        <v>360386</v>
      </c>
      <c r="H74" s="35"/>
    </row>
    <row r="75" spans="4:8" s="34" customFormat="1" ht="11.25" hidden="1">
      <c r="D75" s="35"/>
      <c r="F75" s="35">
        <f>351766+8620-F74</f>
        <v>0</v>
      </c>
      <c r="H75" s="35"/>
    </row>
    <row r="76" spans="1:8" s="34" customFormat="1" ht="11.25" hidden="1">
      <c r="A76" s="38" t="s">
        <v>69</v>
      </c>
      <c r="B76" s="24" t="s">
        <v>80</v>
      </c>
      <c r="D76" s="35"/>
      <c r="F76" s="35"/>
      <c r="H76" s="35"/>
    </row>
    <row r="77" spans="2:8" s="34" customFormat="1" ht="11.25" hidden="1">
      <c r="B77" s="34" t="s">
        <v>62</v>
      </c>
      <c r="D77" s="35"/>
      <c r="F77" s="35">
        <v>1085</v>
      </c>
      <c r="H77" s="35"/>
    </row>
    <row r="78" spans="2:8" s="34" customFormat="1" ht="11.25" hidden="1">
      <c r="B78" s="34" t="s">
        <v>66</v>
      </c>
      <c r="D78" s="35"/>
      <c r="F78" s="36">
        <v>6079</v>
      </c>
      <c r="H78" s="35"/>
    </row>
    <row r="79" spans="4:8" s="34" customFormat="1" ht="11.25" hidden="1">
      <c r="D79" s="35"/>
      <c r="F79" s="35">
        <f>SUM(F77:F78)</f>
        <v>7164</v>
      </c>
      <c r="H79" s="35"/>
    </row>
    <row r="80" spans="2:8" s="34" customFormat="1" ht="11.25" hidden="1">
      <c r="B80" s="1" t="s">
        <v>81</v>
      </c>
      <c r="D80" s="35"/>
      <c r="F80" s="35">
        <v>-533</v>
      </c>
      <c r="H80" s="35"/>
    </row>
    <row r="81" spans="2:8" s="34" customFormat="1" ht="11.25" hidden="1">
      <c r="B81" s="34" t="s">
        <v>65</v>
      </c>
      <c r="D81" s="35"/>
      <c r="F81" s="37">
        <f>SUM(F79:F80)</f>
        <v>6631</v>
      </c>
      <c r="H81" s="35"/>
    </row>
    <row r="82" spans="4:8" s="34" customFormat="1" ht="11.25" hidden="1">
      <c r="D82" s="35"/>
      <c r="F82" s="35">
        <f>6631-F81</f>
        <v>0</v>
      </c>
      <c r="H82" s="35"/>
    </row>
    <row r="83" spans="1:8" s="34" customFormat="1" ht="11.25" hidden="1">
      <c r="A83" s="38" t="s">
        <v>70</v>
      </c>
      <c r="B83" s="24" t="s">
        <v>5</v>
      </c>
      <c r="D83" s="35"/>
      <c r="F83" s="35"/>
      <c r="H83" s="35"/>
    </row>
    <row r="84" spans="2:8" s="34" customFormat="1" ht="11.25" hidden="1">
      <c r="B84" s="34" t="s">
        <v>86</v>
      </c>
      <c r="D84" s="35"/>
      <c r="F84" s="39">
        <f>461835+223963+186574+36754</f>
        <v>909126</v>
      </c>
      <c r="H84" s="35"/>
    </row>
    <row r="85" spans="2:8" s="34" customFormat="1" ht="11.25" hidden="1">
      <c r="B85" s="34" t="s">
        <v>88</v>
      </c>
      <c r="D85" s="35"/>
      <c r="F85" s="36">
        <f>+F86-F84</f>
        <v>78536</v>
      </c>
      <c r="G85" s="3" t="s">
        <v>89</v>
      </c>
      <c r="H85" s="10" t="s">
        <v>90</v>
      </c>
    </row>
    <row r="86" spans="2:8" s="34" customFormat="1" ht="11.25" hidden="1">
      <c r="B86" s="34" t="s">
        <v>87</v>
      </c>
      <c r="D86" s="35"/>
      <c r="F86" s="37">
        <v>987662</v>
      </c>
      <c r="H86" s="35"/>
    </row>
    <row r="87" spans="4:8" s="34" customFormat="1" ht="11.25" hidden="1">
      <c r="D87" s="35"/>
      <c r="F87" s="35"/>
      <c r="H87" s="35"/>
    </row>
    <row r="88" spans="1:8" s="34" customFormat="1" ht="11.25" hidden="1">
      <c r="A88" s="38" t="s">
        <v>94</v>
      </c>
      <c r="B88" s="24" t="s">
        <v>7</v>
      </c>
      <c r="D88" s="35"/>
      <c r="F88" s="35"/>
      <c r="H88" s="35"/>
    </row>
    <row r="89" spans="2:8" s="34" customFormat="1" ht="11.25" hidden="1">
      <c r="B89" s="34" t="s">
        <v>91</v>
      </c>
      <c r="D89" s="35"/>
      <c r="F89" s="39">
        <f>192483+219521</f>
        <v>412004</v>
      </c>
      <c r="H89" s="35"/>
    </row>
    <row r="90" spans="2:8" s="34" customFormat="1" ht="11.25" hidden="1">
      <c r="B90" s="34" t="s">
        <v>88</v>
      </c>
      <c r="D90" s="35"/>
      <c r="F90" s="36">
        <f>+F91-F89</f>
        <v>36115</v>
      </c>
      <c r="G90" s="3" t="s">
        <v>92</v>
      </c>
      <c r="H90" s="10" t="s">
        <v>90</v>
      </c>
    </row>
    <row r="91" spans="2:8" s="34" customFormat="1" ht="11.25" hidden="1">
      <c r="B91" s="34" t="s">
        <v>87</v>
      </c>
      <c r="D91" s="35"/>
      <c r="F91" s="37">
        <f>212706+235413</f>
        <v>448119</v>
      </c>
      <c r="H91" s="35"/>
    </row>
    <row r="92" spans="4:8" s="34" customFormat="1" ht="11.25" hidden="1">
      <c r="D92" s="35"/>
      <c r="F92" s="35"/>
      <c r="H92" s="35"/>
    </row>
    <row r="93" spans="1:8" s="34" customFormat="1" ht="11.25" hidden="1">
      <c r="A93" s="38" t="s">
        <v>95</v>
      </c>
      <c r="B93" s="24" t="s">
        <v>93</v>
      </c>
      <c r="D93" s="35"/>
      <c r="F93" s="35"/>
      <c r="H93" s="35"/>
    </row>
    <row r="94" spans="2:8" s="34" customFormat="1" ht="11.25" hidden="1">
      <c r="B94" s="34" t="s">
        <v>62</v>
      </c>
      <c r="D94" s="35"/>
      <c r="F94" s="35">
        <v>141268</v>
      </c>
      <c r="H94" s="35"/>
    </row>
    <row r="95" spans="2:8" s="34" customFormat="1" ht="11.25" hidden="1">
      <c r="B95" s="3" t="s">
        <v>77</v>
      </c>
      <c r="D95" s="35"/>
      <c r="F95" s="36">
        <v>0</v>
      </c>
      <c r="H95" s="35"/>
    </row>
    <row r="96" spans="4:8" s="34" customFormat="1" ht="11.25" hidden="1">
      <c r="D96" s="35"/>
      <c r="F96" s="35">
        <f>SUM(F94:F95)</f>
        <v>141268</v>
      </c>
      <c r="H96" s="35"/>
    </row>
    <row r="97" spans="2:8" s="34" customFormat="1" ht="11.25" hidden="1">
      <c r="B97" s="34" t="s">
        <v>67</v>
      </c>
      <c r="D97" s="35"/>
      <c r="F97" s="35">
        <f>134547-141268</f>
        <v>-6721</v>
      </c>
      <c r="H97" s="35"/>
    </row>
    <row r="98" spans="2:8" s="34" customFormat="1" ht="11.25" hidden="1">
      <c r="B98" s="34" t="s">
        <v>65</v>
      </c>
      <c r="D98" s="35"/>
      <c r="F98" s="37">
        <f>SUM(F96:F97)</f>
        <v>134547</v>
      </c>
      <c r="H98" s="35"/>
    </row>
    <row r="99" spans="4:8" s="34" customFormat="1" ht="11.25" hidden="1">
      <c r="D99" s="35"/>
      <c r="F99" s="35">
        <f>134547-F98</f>
        <v>0</v>
      </c>
      <c r="H99" s="35"/>
    </row>
    <row r="100" spans="1:8" s="34" customFormat="1" ht="11.25" hidden="1">
      <c r="A100" s="38" t="s">
        <v>97</v>
      </c>
      <c r="B100" s="24" t="s">
        <v>28</v>
      </c>
      <c r="D100" s="35"/>
      <c r="F100" s="35"/>
      <c r="H100" s="35"/>
    </row>
    <row r="101" spans="2:8" s="34" customFormat="1" ht="11.25" hidden="1">
      <c r="B101" s="34" t="s">
        <v>62</v>
      </c>
      <c r="D101" s="35"/>
      <c r="F101" s="35">
        <v>45026</v>
      </c>
      <c r="H101" s="35"/>
    </row>
    <row r="102" spans="2:8" s="34" customFormat="1" ht="11.25" hidden="1">
      <c r="B102" s="34" t="s">
        <v>105</v>
      </c>
      <c r="D102" s="35"/>
      <c r="F102" s="39">
        <v>57439</v>
      </c>
      <c r="H102" s="35"/>
    </row>
    <row r="103" spans="2:8" s="34" customFormat="1" ht="11.25" hidden="1">
      <c r="B103" s="34" t="s">
        <v>75</v>
      </c>
      <c r="D103" s="35"/>
      <c r="F103" s="36">
        <v>-15657</v>
      </c>
      <c r="H103" s="35"/>
    </row>
    <row r="104" spans="4:8" s="34" customFormat="1" ht="11.25" hidden="1">
      <c r="D104" s="35"/>
      <c r="F104" s="35">
        <f>SUM(F101:F103)</f>
        <v>86808</v>
      </c>
      <c r="H104" s="35"/>
    </row>
    <row r="105" spans="2:8" s="34" customFormat="1" ht="11.25" hidden="1">
      <c r="B105" s="3" t="s">
        <v>76</v>
      </c>
      <c r="D105" s="35"/>
      <c r="F105" s="35">
        <v>-50618</v>
      </c>
      <c r="H105" s="35"/>
    </row>
    <row r="106" spans="2:8" s="34" customFormat="1" ht="11.25" hidden="1">
      <c r="B106" s="34" t="s">
        <v>65</v>
      </c>
      <c r="D106" s="35"/>
      <c r="F106" s="37">
        <f>SUM(F104:F105)</f>
        <v>36190</v>
      </c>
      <c r="H106" s="35"/>
    </row>
    <row r="107" spans="4:8" s="34" customFormat="1" ht="11.25" hidden="1">
      <c r="D107" s="35"/>
      <c r="F107" s="35">
        <f>36190-F106</f>
        <v>0</v>
      </c>
      <c r="H107" s="35"/>
    </row>
    <row r="108" spans="1:8" s="34" customFormat="1" ht="11.25" hidden="1">
      <c r="A108" s="38" t="s">
        <v>98</v>
      </c>
      <c r="B108" s="24" t="s">
        <v>96</v>
      </c>
      <c r="D108" s="35"/>
      <c r="F108" s="35"/>
      <c r="H108" s="35"/>
    </row>
    <row r="109" spans="2:8" s="34" customFormat="1" ht="11.25" hidden="1">
      <c r="B109" s="34" t="s">
        <v>62</v>
      </c>
      <c r="D109" s="35"/>
      <c r="F109" s="35">
        <v>19442</v>
      </c>
      <c r="H109" s="35"/>
    </row>
    <row r="110" spans="2:8" s="34" customFormat="1" ht="11.25" hidden="1">
      <c r="B110" s="34" t="s">
        <v>66</v>
      </c>
      <c r="D110" s="35"/>
      <c r="F110" s="36">
        <v>0</v>
      </c>
      <c r="H110" s="35"/>
    </row>
    <row r="111" spans="4:8" s="34" customFormat="1" ht="11.25" hidden="1">
      <c r="D111" s="35"/>
      <c r="F111" s="35">
        <f>SUM(F109:F110)</f>
        <v>19442</v>
      </c>
      <c r="H111" s="35"/>
    </row>
    <row r="112" spans="2:8" s="34" customFormat="1" ht="11.25" hidden="1">
      <c r="B112" s="3" t="s">
        <v>76</v>
      </c>
      <c r="D112" s="35"/>
      <c r="F112" s="35">
        <v>0</v>
      </c>
      <c r="H112" s="35"/>
    </row>
    <row r="113" spans="2:8" s="34" customFormat="1" ht="11.25" hidden="1">
      <c r="B113" s="34" t="s">
        <v>65</v>
      </c>
      <c r="D113" s="35"/>
      <c r="F113" s="37">
        <f>SUM(F111:F112)</f>
        <v>19442</v>
      </c>
      <c r="H113" s="35"/>
    </row>
    <row r="114" spans="4:8" s="34" customFormat="1" ht="11.25" hidden="1">
      <c r="D114" s="35"/>
      <c r="F114" s="35">
        <f>19442-F113</f>
        <v>0</v>
      </c>
      <c r="H114" s="35"/>
    </row>
    <row r="115" spans="1:8" s="34" customFormat="1" ht="11.25" hidden="1">
      <c r="A115" s="38" t="s">
        <v>100</v>
      </c>
      <c r="B115" s="24" t="s">
        <v>10</v>
      </c>
      <c r="D115" s="35"/>
      <c r="F115" s="35"/>
      <c r="H115" s="35"/>
    </row>
    <row r="116" spans="2:8" s="34" customFormat="1" ht="11.25" hidden="1">
      <c r="B116" s="34" t="s">
        <v>62</v>
      </c>
      <c r="D116" s="35"/>
      <c r="F116" s="35">
        <v>270026</v>
      </c>
      <c r="H116" s="35"/>
    </row>
    <row r="117" spans="2:8" s="34" customFormat="1" ht="11.25" hidden="1">
      <c r="B117" s="3" t="s">
        <v>77</v>
      </c>
      <c r="D117" s="35"/>
      <c r="F117" s="36">
        <f>275074-270026</f>
        <v>5048</v>
      </c>
      <c r="H117" s="35"/>
    </row>
    <row r="118" spans="4:8" s="34" customFormat="1" ht="11.25" hidden="1">
      <c r="D118" s="35"/>
      <c r="F118" s="35">
        <f>SUM(F116:F117)</f>
        <v>275074</v>
      </c>
      <c r="H118" s="35"/>
    </row>
    <row r="119" spans="2:8" s="34" customFormat="1" ht="11.25" hidden="1">
      <c r="B119" s="34" t="s">
        <v>67</v>
      </c>
      <c r="D119" s="35"/>
      <c r="F119" s="35">
        <v>0</v>
      </c>
      <c r="H119" s="35"/>
    </row>
    <row r="120" spans="2:8" s="34" customFormat="1" ht="11.25" hidden="1">
      <c r="B120" s="34" t="s">
        <v>65</v>
      </c>
      <c r="D120" s="35"/>
      <c r="F120" s="37">
        <f>SUM(F118:F119)</f>
        <v>275074</v>
      </c>
      <c r="H120" s="35"/>
    </row>
    <row r="121" spans="4:8" s="34" customFormat="1" ht="11.25" hidden="1">
      <c r="D121" s="35"/>
      <c r="F121" s="35">
        <f>275074-F120</f>
        <v>0</v>
      </c>
      <c r="H121" s="35"/>
    </row>
    <row r="122" spans="1:8" s="34" customFormat="1" ht="11.25" hidden="1">
      <c r="A122" s="38" t="s">
        <v>101</v>
      </c>
      <c r="B122" s="24" t="s">
        <v>38</v>
      </c>
      <c r="D122" s="35"/>
      <c r="F122" s="35"/>
      <c r="H122" s="35"/>
    </row>
    <row r="123" spans="2:8" s="34" customFormat="1" ht="11.25" hidden="1">
      <c r="B123" s="34" t="s">
        <v>62</v>
      </c>
      <c r="D123" s="35"/>
      <c r="F123" s="35">
        <f>184608+18386+6045+2186</f>
        <v>211225</v>
      </c>
      <c r="H123" s="35"/>
    </row>
    <row r="124" spans="2:8" s="34" customFormat="1" ht="11.25" hidden="1">
      <c r="B124" s="3" t="s">
        <v>77</v>
      </c>
      <c r="D124" s="35"/>
      <c r="F124" s="36">
        <v>19857</v>
      </c>
      <c r="H124" s="35"/>
    </row>
    <row r="125" spans="4:8" s="34" customFormat="1" ht="11.25" hidden="1">
      <c r="D125" s="35"/>
      <c r="F125" s="35">
        <f>SUM(F123:F124)</f>
        <v>231082</v>
      </c>
      <c r="H125" s="35"/>
    </row>
    <row r="126" spans="2:8" s="34" customFormat="1" ht="11.25" hidden="1">
      <c r="B126" s="34" t="s">
        <v>67</v>
      </c>
      <c r="D126" s="35"/>
      <c r="F126" s="35">
        <v>-260</v>
      </c>
      <c r="G126" s="3" t="s">
        <v>89</v>
      </c>
      <c r="H126" s="10" t="s">
        <v>99</v>
      </c>
    </row>
    <row r="127" spans="2:8" s="34" customFormat="1" ht="11.25" hidden="1">
      <c r="B127" s="34" t="s">
        <v>65</v>
      </c>
      <c r="D127" s="35"/>
      <c r="F127" s="37">
        <f>SUM(F125:F126)</f>
        <v>230822</v>
      </c>
      <c r="H127" s="35"/>
    </row>
    <row r="128" spans="4:8" s="34" customFormat="1" ht="11.25" hidden="1">
      <c r="D128" s="35"/>
      <c r="F128" s="35">
        <f>204465+18126+6045+2186-F127</f>
        <v>0</v>
      </c>
      <c r="H128" s="35"/>
    </row>
    <row r="129" spans="1:8" s="34" customFormat="1" ht="11.25" hidden="1">
      <c r="A129" s="38" t="s">
        <v>102</v>
      </c>
      <c r="B129" s="24" t="s">
        <v>72</v>
      </c>
      <c r="D129" s="35"/>
      <c r="F129" s="35"/>
      <c r="H129" s="35"/>
    </row>
    <row r="130" spans="2:8" s="34" customFormat="1" ht="11.25" hidden="1">
      <c r="B130" s="34" t="s">
        <v>62</v>
      </c>
      <c r="D130" s="35"/>
      <c r="F130" s="35">
        <v>483488</v>
      </c>
      <c r="H130" s="35"/>
    </row>
    <row r="131" spans="2:8" s="34" customFormat="1" ht="11.25" hidden="1">
      <c r="B131" s="34" t="s">
        <v>66</v>
      </c>
      <c r="D131" s="35"/>
      <c r="F131" s="36">
        <v>57460</v>
      </c>
      <c r="H131" s="35"/>
    </row>
    <row r="132" spans="4:8" s="34" customFormat="1" ht="11.25" hidden="1">
      <c r="D132" s="35"/>
      <c r="F132" s="35">
        <f>SUM(F130:F131)</f>
        <v>540948</v>
      </c>
      <c r="H132" s="35"/>
    </row>
    <row r="133" spans="2:8" s="34" customFormat="1" ht="11.25" hidden="1">
      <c r="B133" s="34" t="s">
        <v>78</v>
      </c>
      <c r="D133" s="35"/>
      <c r="F133" s="35">
        <f>-15195+135</f>
        <v>-15060</v>
      </c>
      <c r="H133" s="35"/>
    </row>
    <row r="134" spans="2:8" s="34" customFormat="1" ht="11.25" hidden="1">
      <c r="B134" s="34" t="s">
        <v>65</v>
      </c>
      <c r="D134" s="35"/>
      <c r="F134" s="37">
        <f>SUM(F132:F133)</f>
        <v>525888</v>
      </c>
      <c r="H134" s="35"/>
    </row>
    <row r="135" spans="4:8" s="34" customFormat="1" ht="11.25" hidden="1">
      <c r="D135" s="35"/>
      <c r="F135" s="35">
        <f>525888-F134</f>
        <v>0</v>
      </c>
      <c r="H135" s="35"/>
    </row>
    <row r="136" spans="1:8" s="34" customFormat="1" ht="11.25" hidden="1">
      <c r="A136" s="38" t="s">
        <v>103</v>
      </c>
      <c r="B136" s="24" t="s">
        <v>71</v>
      </c>
      <c r="D136" s="35"/>
      <c r="F136" s="35"/>
      <c r="H136" s="35"/>
    </row>
    <row r="137" spans="2:8" s="34" customFormat="1" ht="11.25" hidden="1">
      <c r="B137" s="34" t="s">
        <v>62</v>
      </c>
      <c r="D137" s="35"/>
      <c r="F137" s="35">
        <v>30738</v>
      </c>
      <c r="H137" s="35"/>
    </row>
    <row r="138" spans="2:8" s="34" customFormat="1" ht="11.25" hidden="1">
      <c r="B138" s="3" t="s">
        <v>77</v>
      </c>
      <c r="D138" s="35"/>
      <c r="F138" s="36">
        <f>77343-30738</f>
        <v>46605</v>
      </c>
      <c r="H138" s="35"/>
    </row>
    <row r="139" spans="4:8" s="34" customFormat="1" ht="11.25" hidden="1">
      <c r="D139" s="35"/>
      <c r="F139" s="35">
        <f>SUM(F137:F138)</f>
        <v>77343</v>
      </c>
      <c r="H139" s="35"/>
    </row>
    <row r="140" spans="2:8" s="34" customFormat="1" ht="11.25" hidden="1">
      <c r="B140" s="34" t="s">
        <v>67</v>
      </c>
      <c r="D140" s="35"/>
      <c r="F140" s="35">
        <v>0</v>
      </c>
      <c r="H140" s="35"/>
    </row>
    <row r="141" spans="2:8" s="34" customFormat="1" ht="11.25" hidden="1">
      <c r="B141" s="34" t="s">
        <v>65</v>
      </c>
      <c r="D141" s="35"/>
      <c r="F141" s="37">
        <f>SUM(F139:F140)</f>
        <v>77343</v>
      </c>
      <c r="H141" s="35"/>
    </row>
    <row r="142" spans="4:8" s="34" customFormat="1" ht="11.25" hidden="1">
      <c r="D142" s="35"/>
      <c r="F142" s="35">
        <f>77343-F141</f>
        <v>0</v>
      </c>
      <c r="H142" s="35"/>
    </row>
    <row r="143" spans="1:8" s="34" customFormat="1" ht="11.25" hidden="1">
      <c r="A143" s="38" t="s">
        <v>106</v>
      </c>
      <c r="B143" s="24" t="s">
        <v>14</v>
      </c>
      <c r="D143" s="35"/>
      <c r="F143" s="35"/>
      <c r="H143" s="35"/>
    </row>
    <row r="144" spans="2:8" s="34" customFormat="1" ht="11.25" hidden="1">
      <c r="B144" s="34" t="s">
        <v>62</v>
      </c>
      <c r="D144" s="35"/>
      <c r="F144" s="35">
        <v>15975</v>
      </c>
      <c r="H144" s="35"/>
    </row>
    <row r="145" spans="2:8" s="34" customFormat="1" ht="11.25" hidden="1">
      <c r="B145" s="34" t="s">
        <v>66</v>
      </c>
      <c r="D145" s="35"/>
      <c r="F145" s="36">
        <v>0</v>
      </c>
      <c r="H145" s="35"/>
    </row>
    <row r="146" spans="4:8" s="34" customFormat="1" ht="11.25" hidden="1">
      <c r="D146" s="35"/>
      <c r="F146" s="35">
        <f>SUM(F144:F145)</f>
        <v>15975</v>
      </c>
      <c r="H146" s="35"/>
    </row>
    <row r="147" spans="2:8" s="34" customFormat="1" ht="11.25" hidden="1">
      <c r="B147" s="1" t="s">
        <v>81</v>
      </c>
      <c r="D147" s="35"/>
      <c r="F147" s="35">
        <f>13390-15975</f>
        <v>-2585</v>
      </c>
      <c r="H147" s="35"/>
    </row>
    <row r="148" spans="2:8" s="34" customFormat="1" ht="11.25" hidden="1">
      <c r="B148" s="34" t="s">
        <v>65</v>
      </c>
      <c r="D148" s="35"/>
      <c r="F148" s="37">
        <f>SUM(F146:F147)</f>
        <v>13390</v>
      </c>
      <c r="H148" s="35"/>
    </row>
    <row r="149" spans="4:8" s="34" customFormat="1" ht="11.25" hidden="1">
      <c r="D149" s="35"/>
      <c r="F149" s="35">
        <f>13390-F148</f>
        <v>0</v>
      </c>
      <c r="H149" s="35"/>
    </row>
    <row r="150" spans="1:8" s="34" customFormat="1" ht="11.25" hidden="1">
      <c r="A150" s="38" t="s">
        <v>107</v>
      </c>
      <c r="B150" s="24" t="s">
        <v>24</v>
      </c>
      <c r="D150" s="35"/>
      <c r="F150" s="35"/>
      <c r="H150" s="35"/>
    </row>
    <row r="151" spans="2:8" s="34" customFormat="1" ht="11.25" hidden="1">
      <c r="B151" s="34" t="s">
        <v>62</v>
      </c>
      <c r="D151" s="35"/>
      <c r="F151" s="35">
        <v>9839</v>
      </c>
      <c r="H151" s="35"/>
    </row>
    <row r="152" spans="2:8" s="34" customFormat="1" ht="11.25" hidden="1">
      <c r="B152" s="1" t="s">
        <v>104</v>
      </c>
      <c r="D152" s="35"/>
      <c r="F152" s="35">
        <v>829</v>
      </c>
      <c r="H152" s="35"/>
    </row>
    <row r="153" spans="2:8" s="34" customFormat="1" ht="11.25" hidden="1">
      <c r="B153" s="34" t="s">
        <v>65</v>
      </c>
      <c r="D153" s="35"/>
      <c r="F153" s="37">
        <f>+F151+F152</f>
        <v>10668</v>
      </c>
      <c r="H153" s="35"/>
    </row>
    <row r="154" spans="4:8" s="34" customFormat="1" ht="11.25" hidden="1">
      <c r="D154" s="35"/>
      <c r="F154" s="35">
        <f>10668-F153</f>
        <v>0</v>
      </c>
      <c r="H154" s="35"/>
    </row>
    <row r="155" spans="4:8" s="34" customFormat="1" ht="11.25" hidden="1">
      <c r="D155" s="35"/>
      <c r="F155" s="35"/>
      <c r="H155" s="35"/>
    </row>
    <row r="156" spans="4:8" s="34" customFormat="1" ht="11.25" hidden="1">
      <c r="D156" s="35"/>
      <c r="F156" s="35"/>
      <c r="H156" s="35"/>
    </row>
    <row r="157" spans="4:8" s="34" customFormat="1" ht="11.25" hidden="1">
      <c r="D157" s="35"/>
      <c r="F157" s="35"/>
      <c r="H157" s="35"/>
    </row>
    <row r="158" spans="4:8" s="34" customFormat="1" ht="11.25" hidden="1">
      <c r="D158" s="35"/>
      <c r="F158" s="35"/>
      <c r="H158" s="35"/>
    </row>
    <row r="159" spans="4:8" s="34" customFormat="1" ht="11.25" hidden="1">
      <c r="D159" s="35"/>
      <c r="F159" s="35"/>
      <c r="H159" s="35"/>
    </row>
    <row r="160" spans="4:8" s="34" customFormat="1" ht="11.25" hidden="1">
      <c r="D160" s="35"/>
      <c r="F160" s="35"/>
      <c r="H160" s="35"/>
    </row>
    <row r="161" spans="4:8" s="34" customFormat="1" ht="11.25" hidden="1">
      <c r="D161" s="35"/>
      <c r="F161" s="35"/>
      <c r="H161" s="35"/>
    </row>
    <row r="162" spans="4:8" s="34" customFormat="1" ht="11.25" hidden="1">
      <c r="D162" s="35"/>
      <c r="F162" s="35"/>
      <c r="H162" s="35"/>
    </row>
    <row r="163" spans="4:8" s="34" customFormat="1" ht="11.25" hidden="1">
      <c r="D163" s="35"/>
      <c r="F163" s="35"/>
      <c r="H163" s="35"/>
    </row>
    <row r="164" spans="4:8" s="34" customFormat="1" ht="11.25" hidden="1">
      <c r="D164" s="35"/>
      <c r="F164" s="35"/>
      <c r="H164" s="35"/>
    </row>
    <row r="165" spans="4:8" s="34" customFormat="1" ht="11.25" hidden="1">
      <c r="D165" s="35"/>
      <c r="F165" s="35"/>
      <c r="H165" s="35"/>
    </row>
    <row r="166" spans="4:8" s="34" customFormat="1" ht="11.25" hidden="1">
      <c r="D166" s="35"/>
      <c r="F166" s="35"/>
      <c r="H166" s="35"/>
    </row>
    <row r="167" spans="4:8" s="34" customFormat="1" ht="11.25" hidden="1">
      <c r="D167" s="35"/>
      <c r="F167" s="35"/>
      <c r="H167" s="35"/>
    </row>
    <row r="168" spans="4:8" s="34" customFormat="1" ht="11.25" hidden="1">
      <c r="D168" s="35"/>
      <c r="F168" s="35"/>
      <c r="H168" s="35"/>
    </row>
    <row r="169" spans="4:8" s="34" customFormat="1" ht="11.25" hidden="1">
      <c r="D169" s="35"/>
      <c r="F169" s="35"/>
      <c r="H169" s="35"/>
    </row>
    <row r="170" spans="4:8" s="34" customFormat="1" ht="11.25">
      <c r="D170" s="35"/>
      <c r="F170" s="35"/>
      <c r="H170" s="35"/>
    </row>
    <row r="171" spans="4:8" s="34" customFormat="1" ht="11.25">
      <c r="D171" s="35"/>
      <c r="F171" s="35"/>
      <c r="H171" s="35"/>
    </row>
    <row r="172" spans="4:8" s="34" customFormat="1" ht="11.25">
      <c r="D172" s="35"/>
      <c r="F172" s="35"/>
      <c r="H172" s="35"/>
    </row>
    <row r="173" spans="4:8" s="34" customFormat="1" ht="11.25">
      <c r="D173" s="35"/>
      <c r="F173" s="35"/>
      <c r="H173" s="35"/>
    </row>
    <row r="174" spans="4:8" s="34" customFormat="1" ht="11.25">
      <c r="D174" s="35"/>
      <c r="F174" s="35"/>
      <c r="H174" s="35"/>
    </row>
    <row r="175" spans="4:8" s="34" customFormat="1" ht="11.25">
      <c r="D175" s="35"/>
      <c r="F175" s="35"/>
      <c r="H175" s="35"/>
    </row>
  </sheetData>
  <mergeCells count="7">
    <mergeCell ref="K1:S1"/>
    <mergeCell ref="K2:S2"/>
    <mergeCell ref="K3:S3"/>
    <mergeCell ref="A6:J6"/>
    <mergeCell ref="A1:J1"/>
    <mergeCell ref="A2:J2"/>
    <mergeCell ref="A3:J3"/>
  </mergeCells>
  <printOptions horizontalCentered="1"/>
  <pageMargins left="0.36" right="0" top="0.7874015748031497" bottom="0.5118110236220472" header="0" footer="0.5118110236220472"/>
  <pageSetup horizontalDpi="600" verticalDpi="600" orientation="portrait" paperSize="9" scale="95" r:id="rId1"/>
  <headerFooter alignWithMargins="0">
    <oddFooter>&amp;C&amp;"Arial,Bold"3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6">
      <selection activeCell="A1" sqref="A1:L59"/>
    </sheetView>
  </sheetViews>
  <sheetFormatPr defaultColWidth="9.140625" defaultRowHeight="12.75"/>
  <cols>
    <col min="1" max="1" width="2.7109375" style="0" customWidth="1"/>
    <col min="2" max="2" width="29.28125" style="0" customWidth="1"/>
    <col min="3" max="3" width="1.57421875" style="0" customWidth="1"/>
    <col min="4" max="4" width="12.140625" style="15" customWidth="1"/>
    <col min="5" max="5" width="2.140625" style="0" customWidth="1"/>
    <col min="6" max="6" width="12.140625" style="0" customWidth="1"/>
    <col min="7" max="7" width="2.140625" style="0" customWidth="1"/>
    <col min="8" max="8" width="12.140625" style="15" customWidth="1"/>
    <col min="9" max="9" width="2.140625" style="0" customWidth="1"/>
    <col min="10" max="10" width="12.140625" style="15" customWidth="1"/>
    <col min="11" max="11" width="2.140625" style="0" customWidth="1"/>
    <col min="12" max="12" width="12.140625" style="0" customWidth="1"/>
    <col min="13" max="13" width="2.28125" style="0" customWidth="1"/>
  </cols>
  <sheetData>
    <row r="1" spans="1:12" s="6" customFormat="1" ht="18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3" customFormat="1" ht="11.25" customHeight="1">
      <c r="A2" s="96" t="s">
        <v>193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3" customFormat="1" ht="10.5" customHeight="1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3:10" s="3" customFormat="1" ht="6" customHeight="1">
      <c r="C4" s="27"/>
      <c r="D4" s="22"/>
      <c r="E4" s="22"/>
      <c r="F4" s="22"/>
      <c r="H4" s="10"/>
      <c r="J4" s="10"/>
    </row>
    <row r="5" spans="4:10" s="2" customFormat="1" ht="12.75">
      <c r="D5" s="8"/>
      <c r="H5" s="8"/>
      <c r="J5" s="8"/>
    </row>
    <row r="6" spans="4:10" s="2" customFormat="1" ht="12.75">
      <c r="D6" s="8"/>
      <c r="H6" s="8"/>
      <c r="J6" s="8"/>
    </row>
    <row r="7" spans="4:10" s="2" customFormat="1" ht="12.75">
      <c r="D7" s="8"/>
      <c r="H7" s="8"/>
      <c r="J7" s="8"/>
    </row>
    <row r="8" spans="2:12" s="7" customFormat="1" ht="12" customHeight="1">
      <c r="B8" s="94" t="s">
        <v>229</v>
      </c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3:13" s="7" customFormat="1" ht="10.5" customHeight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4:12" s="7" customFormat="1" ht="10.5" customHeight="1">
      <c r="D10" s="19"/>
      <c r="E10" s="23"/>
      <c r="F10" s="18"/>
      <c r="G10" s="23"/>
      <c r="H10" s="19"/>
      <c r="I10" s="23"/>
      <c r="J10" s="19"/>
      <c r="K10" s="23"/>
      <c r="L10" s="19"/>
    </row>
    <row r="11" spans="4:12" s="7" customFormat="1" ht="10.5" customHeight="1">
      <c r="D11" s="19"/>
      <c r="E11" s="23"/>
      <c r="F11" s="18" t="s">
        <v>217</v>
      </c>
      <c r="G11" s="23"/>
      <c r="H11" s="18" t="s">
        <v>217</v>
      </c>
      <c r="I11" s="23"/>
      <c r="J11" s="18"/>
      <c r="K11" s="23"/>
      <c r="L11" s="18"/>
    </row>
    <row r="12" spans="4:12" s="7" customFormat="1" ht="10.5" customHeight="1">
      <c r="D12" s="19" t="s">
        <v>215</v>
      </c>
      <c r="E12" s="23"/>
      <c r="F12" s="18" t="s">
        <v>218</v>
      </c>
      <c r="G12" s="23"/>
      <c r="H12" s="18" t="s">
        <v>218</v>
      </c>
      <c r="I12" s="23"/>
      <c r="J12" s="18" t="s">
        <v>221</v>
      </c>
      <c r="K12" s="23"/>
      <c r="L12" s="19"/>
    </row>
    <row r="13" spans="4:12" s="7" customFormat="1" ht="10.5" customHeight="1">
      <c r="D13" s="86" t="s">
        <v>216</v>
      </c>
      <c r="E13" s="87"/>
      <c r="F13" s="88" t="s">
        <v>219</v>
      </c>
      <c r="G13" s="87"/>
      <c r="H13" s="88" t="s">
        <v>220</v>
      </c>
      <c r="I13" s="87"/>
      <c r="J13" s="88" t="s">
        <v>222</v>
      </c>
      <c r="K13" s="87"/>
      <c r="L13" s="88" t="s">
        <v>223</v>
      </c>
    </row>
    <row r="14" spans="4:12" s="7" customFormat="1" ht="10.5" customHeight="1">
      <c r="D14" s="19" t="s">
        <v>3</v>
      </c>
      <c r="E14" s="23"/>
      <c r="F14" s="18" t="s">
        <v>3</v>
      </c>
      <c r="G14" s="23"/>
      <c r="H14" s="19" t="s">
        <v>3</v>
      </c>
      <c r="I14" s="23"/>
      <c r="J14" s="19" t="s">
        <v>3</v>
      </c>
      <c r="K14" s="23"/>
      <c r="L14" s="19" t="s">
        <v>3</v>
      </c>
    </row>
    <row r="15" spans="4:12" s="42" customFormat="1" ht="7.5" customHeight="1">
      <c r="D15" s="30"/>
      <c r="H15" s="30"/>
      <c r="J15" s="30"/>
      <c r="L15" s="30"/>
    </row>
    <row r="16" spans="1:12" s="42" customFormat="1" ht="24">
      <c r="A16" s="41"/>
      <c r="B16" s="89" t="s">
        <v>212</v>
      </c>
      <c r="C16" s="90"/>
      <c r="D16" s="91"/>
      <c r="F16" s="40"/>
      <c r="H16" s="40"/>
      <c r="J16" s="40"/>
      <c r="L16" s="40"/>
    </row>
    <row r="17" spans="1:12" s="42" customFormat="1" ht="6" customHeight="1">
      <c r="A17" s="41"/>
      <c r="D17" s="30"/>
      <c r="F17" s="30"/>
      <c r="H17" s="30"/>
      <c r="J17" s="30"/>
      <c r="L17" s="30"/>
    </row>
    <row r="18" spans="1:12" s="42" customFormat="1" ht="12">
      <c r="A18" s="41"/>
      <c r="B18" s="42" t="s">
        <v>116</v>
      </c>
      <c r="D18" s="40">
        <v>270026</v>
      </c>
      <c r="F18" s="40">
        <f>184608+6045+18386</f>
        <v>209039</v>
      </c>
      <c r="H18" s="40">
        <v>0</v>
      </c>
      <c r="J18" s="40">
        <v>1012691</v>
      </c>
      <c r="L18" s="40">
        <f>SUM(D18:J18)</f>
        <v>1491756</v>
      </c>
    </row>
    <row r="19" spans="1:12" s="42" customFormat="1" ht="6" customHeight="1">
      <c r="A19" s="41"/>
      <c r="D19" s="30"/>
      <c r="F19" s="30"/>
      <c r="H19" s="30"/>
      <c r="J19" s="30"/>
      <c r="L19" s="30"/>
    </row>
    <row r="20" spans="1:12" s="42" customFormat="1" ht="12">
      <c r="A20" s="41"/>
      <c r="B20" s="42" t="s">
        <v>39</v>
      </c>
      <c r="D20" s="30"/>
      <c r="F20" s="30"/>
      <c r="H20" s="30"/>
      <c r="J20" s="30"/>
      <c r="L20" s="30"/>
    </row>
    <row r="21" spans="1:12" s="42" customFormat="1" ht="12">
      <c r="A21" s="41"/>
      <c r="B21" s="42" t="s">
        <v>40</v>
      </c>
      <c r="D21" s="30"/>
      <c r="F21" s="30"/>
      <c r="H21" s="30"/>
      <c r="J21" s="30"/>
      <c r="L21" s="30"/>
    </row>
    <row r="22" spans="1:12" s="42" customFormat="1" ht="12">
      <c r="A22" s="41"/>
      <c r="B22" s="42" t="s">
        <v>41</v>
      </c>
      <c r="D22" s="92">
        <v>0</v>
      </c>
      <c r="F22" s="30">
        <f>-260+94-1</f>
        <v>-167</v>
      </c>
      <c r="H22" s="30">
        <v>0</v>
      </c>
      <c r="J22" s="30">
        <v>0</v>
      </c>
      <c r="L22" s="40">
        <f>SUM(D22:J22)</f>
        <v>-167</v>
      </c>
    </row>
    <row r="23" spans="1:12" s="42" customFormat="1" ht="6" customHeight="1">
      <c r="A23" s="41"/>
      <c r="D23" s="40"/>
      <c r="F23" s="40"/>
      <c r="H23" s="40"/>
      <c r="J23" s="40"/>
      <c r="L23" s="40"/>
    </row>
    <row r="24" spans="1:12" s="42" customFormat="1" ht="12">
      <c r="A24" s="41"/>
      <c r="B24" s="42" t="s">
        <v>176</v>
      </c>
      <c r="D24" s="30">
        <v>4996</v>
      </c>
      <c r="F24" s="30">
        <v>19335</v>
      </c>
      <c r="H24" s="30">
        <v>0</v>
      </c>
      <c r="J24" s="30">
        <v>0</v>
      </c>
      <c r="L24" s="40">
        <f>SUM(D24:J24)</f>
        <v>24331</v>
      </c>
    </row>
    <row r="25" spans="1:12" s="42" customFormat="1" ht="6" customHeight="1">
      <c r="A25" s="41"/>
      <c r="D25" s="40"/>
      <c r="F25" s="40"/>
      <c r="H25" s="40"/>
      <c r="J25" s="40"/>
      <c r="L25" s="40"/>
    </row>
    <row r="26" spans="1:12" s="42" customFormat="1" ht="12">
      <c r="A26" s="41"/>
      <c r="B26" s="42" t="s">
        <v>42</v>
      </c>
      <c r="D26" s="30">
        <v>288</v>
      </c>
      <c r="F26" s="30">
        <v>1439</v>
      </c>
      <c r="H26" s="30">
        <v>0</v>
      </c>
      <c r="J26" s="30">
        <v>0</v>
      </c>
      <c r="L26" s="40">
        <f>SUM(D26:J26)</f>
        <v>1727</v>
      </c>
    </row>
    <row r="27" spans="1:12" s="42" customFormat="1" ht="6" customHeight="1">
      <c r="A27" s="41"/>
      <c r="D27" s="40"/>
      <c r="F27" s="40"/>
      <c r="H27" s="40"/>
      <c r="J27" s="40"/>
      <c r="L27" s="40"/>
    </row>
    <row r="28" spans="1:12" s="42" customFormat="1" ht="12">
      <c r="A28" s="41"/>
      <c r="B28" s="42" t="s">
        <v>34</v>
      </c>
      <c r="D28" s="40">
        <v>0</v>
      </c>
      <c r="E28" s="46"/>
      <c r="F28" s="40">
        <v>0</v>
      </c>
      <c r="G28" s="46"/>
      <c r="H28" s="40">
        <v>0</v>
      </c>
      <c r="I28" s="46"/>
      <c r="J28" s="40">
        <v>170357</v>
      </c>
      <c r="K28" s="46"/>
      <c r="L28" s="40">
        <f>SUM(D28:J28)</f>
        <v>170357</v>
      </c>
    </row>
    <row r="29" spans="1:12" s="42" customFormat="1" ht="6" customHeight="1">
      <c r="A29" s="41"/>
      <c r="D29" s="40"/>
      <c r="F29" s="40"/>
      <c r="H29" s="40"/>
      <c r="J29" s="40"/>
      <c r="L29" s="40"/>
    </row>
    <row r="30" spans="1:12" s="42" customFormat="1" ht="12">
      <c r="A30" s="41"/>
      <c r="B30" s="42" t="s">
        <v>192</v>
      </c>
      <c r="D30" s="43">
        <v>0</v>
      </c>
      <c r="F30" s="43">
        <v>0</v>
      </c>
      <c r="H30" s="43">
        <v>0</v>
      </c>
      <c r="J30" s="43">
        <v>-365</v>
      </c>
      <c r="L30" s="43">
        <f>SUM(D30:J30)</f>
        <v>-365</v>
      </c>
    </row>
    <row r="31" spans="1:12" s="42" customFormat="1" ht="6" customHeight="1">
      <c r="A31" s="41"/>
      <c r="D31" s="40"/>
      <c r="F31" s="40"/>
      <c r="H31" s="40"/>
      <c r="J31" s="40"/>
      <c r="L31" s="40"/>
    </row>
    <row r="32" spans="1:12" s="42" customFormat="1" ht="12">
      <c r="A32" s="41"/>
      <c r="B32" s="42" t="s">
        <v>43</v>
      </c>
      <c r="D32" s="43">
        <f>SUM(D18:D30)</f>
        <v>275310</v>
      </c>
      <c r="F32" s="43">
        <f>SUM(F18:F30)</f>
        <v>229646</v>
      </c>
      <c r="H32" s="43">
        <f>SUM(H18:H30)</f>
        <v>0</v>
      </c>
      <c r="J32" s="43">
        <f>SUM(J18:J30)</f>
        <v>1182683</v>
      </c>
      <c r="L32" s="43">
        <f>SUM(L18:L30)</f>
        <v>1687639</v>
      </c>
    </row>
    <row r="33" spans="1:12" s="42" customFormat="1" ht="6" customHeight="1">
      <c r="A33" s="41"/>
      <c r="D33" s="40"/>
      <c r="F33" s="40"/>
      <c r="H33" s="40"/>
      <c r="J33" s="40"/>
      <c r="L33" s="40"/>
    </row>
    <row r="34" spans="4:12" s="42" customFormat="1" ht="12">
      <c r="D34" s="30"/>
      <c r="G34" s="46"/>
      <c r="H34" s="40"/>
      <c r="J34" s="40"/>
      <c r="L34" s="70"/>
    </row>
    <row r="35" spans="1:12" s="42" customFormat="1" ht="24">
      <c r="A35" s="41"/>
      <c r="B35" s="89" t="s">
        <v>213</v>
      </c>
      <c r="D35" s="40"/>
      <c r="F35" s="40"/>
      <c r="H35" s="40"/>
      <c r="J35" s="40"/>
      <c r="L35" s="40"/>
    </row>
    <row r="36" spans="1:12" s="42" customFormat="1" ht="6" customHeight="1">
      <c r="A36" s="41"/>
      <c r="D36" s="30"/>
      <c r="F36" s="30"/>
      <c r="H36" s="30"/>
      <c r="J36" s="30"/>
      <c r="L36" s="30"/>
    </row>
    <row r="37" spans="1:14" s="42" customFormat="1" ht="12">
      <c r="A37" s="41"/>
      <c r="B37" s="42" t="s">
        <v>121</v>
      </c>
      <c r="D37" s="40">
        <v>268319</v>
      </c>
      <c r="F37" s="40">
        <f>178002+6045+27640</f>
        <v>211687</v>
      </c>
      <c r="H37" s="40">
        <v>0</v>
      </c>
      <c r="J37" s="40">
        <v>868689</v>
      </c>
      <c r="L37" s="40">
        <f>SUM(D37:J37)</f>
        <v>1348695</v>
      </c>
      <c r="N37" s="69"/>
    </row>
    <row r="38" spans="1:12" s="42" customFormat="1" ht="6" customHeight="1">
      <c r="A38" s="41"/>
      <c r="D38" s="30"/>
      <c r="F38" s="30"/>
      <c r="H38" s="30"/>
      <c r="J38" s="30"/>
      <c r="L38" s="30"/>
    </row>
    <row r="39" spans="1:12" s="42" customFormat="1" ht="12">
      <c r="A39" s="41"/>
      <c r="B39" s="42" t="s">
        <v>39</v>
      </c>
      <c r="D39" s="30"/>
      <c r="F39" s="30"/>
      <c r="H39" s="30"/>
      <c r="J39" s="30"/>
      <c r="L39" s="30"/>
    </row>
    <row r="40" spans="1:12" s="42" customFormat="1" ht="12">
      <c r="A40" s="41"/>
      <c r="B40" s="42" t="s">
        <v>40</v>
      </c>
      <c r="D40" s="30"/>
      <c r="F40" s="30"/>
      <c r="H40" s="30"/>
      <c r="J40" s="30"/>
      <c r="L40" s="30"/>
    </row>
    <row r="41" spans="1:12" s="42" customFormat="1" ht="12">
      <c r="A41" s="41"/>
      <c r="B41" s="42" t="s">
        <v>41</v>
      </c>
      <c r="D41" s="30">
        <v>0</v>
      </c>
      <c r="F41" s="30">
        <v>-4658</v>
      </c>
      <c r="H41" s="30">
        <v>0</v>
      </c>
      <c r="J41" s="30">
        <v>0</v>
      </c>
      <c r="L41" s="40">
        <f>SUM(D41:J41)</f>
        <v>-4658</v>
      </c>
    </row>
    <row r="42" spans="1:12" s="42" customFormat="1" ht="6" customHeight="1">
      <c r="A42" s="41"/>
      <c r="D42" s="40"/>
      <c r="F42" s="40"/>
      <c r="H42" s="40"/>
      <c r="J42" s="40"/>
      <c r="L42" s="40"/>
    </row>
    <row r="43" spans="1:12" s="42" customFormat="1" ht="12">
      <c r="A43" s="41"/>
      <c r="B43" s="42" t="s">
        <v>176</v>
      </c>
      <c r="D43" s="30">
        <f>3+12+68+344</f>
        <v>427</v>
      </c>
      <c r="F43" s="30">
        <f>12+47+263+1331</f>
        <v>1653</v>
      </c>
      <c r="H43" s="30">
        <v>0</v>
      </c>
      <c r="J43" s="30">
        <v>0</v>
      </c>
      <c r="L43" s="40">
        <f>SUM(D43:J43)</f>
        <v>2080</v>
      </c>
    </row>
    <row r="44" spans="1:12" s="42" customFormat="1" ht="6" customHeight="1">
      <c r="A44" s="41"/>
      <c r="D44" s="40"/>
      <c r="F44" s="40"/>
      <c r="H44" s="40"/>
      <c r="J44" s="40"/>
      <c r="L44" s="40"/>
    </row>
    <row r="45" spans="1:12" s="42" customFormat="1" ht="12">
      <c r="A45" s="41"/>
      <c r="B45" s="42" t="s">
        <v>42</v>
      </c>
      <c r="D45" s="30">
        <v>0</v>
      </c>
      <c r="F45" s="30">
        <v>0</v>
      </c>
      <c r="H45" s="30">
        <v>0</v>
      </c>
      <c r="J45" s="30">
        <v>0</v>
      </c>
      <c r="L45" s="40">
        <f>SUM(D45:J45)</f>
        <v>0</v>
      </c>
    </row>
    <row r="46" spans="1:12" s="42" customFormat="1" ht="6" customHeight="1">
      <c r="A46" s="41"/>
      <c r="D46" s="40"/>
      <c r="E46" s="46"/>
      <c r="F46" s="40"/>
      <c r="G46" s="46"/>
      <c r="H46" s="40"/>
      <c r="I46" s="46"/>
      <c r="J46" s="40"/>
      <c r="K46" s="46"/>
      <c r="L46" s="40"/>
    </row>
    <row r="47" spans="1:12" s="42" customFormat="1" ht="12">
      <c r="A47" s="41"/>
      <c r="B47" s="42" t="s">
        <v>34</v>
      </c>
      <c r="D47" s="40">
        <v>0</v>
      </c>
      <c r="E47" s="46"/>
      <c r="F47" s="40">
        <v>0</v>
      </c>
      <c r="G47" s="46"/>
      <c r="H47" s="40">
        <v>0</v>
      </c>
      <c r="I47" s="46"/>
      <c r="J47" s="40">
        <v>131592</v>
      </c>
      <c r="K47" s="46"/>
      <c r="L47" s="40">
        <f>SUM(D47:J47)</f>
        <v>131592</v>
      </c>
    </row>
    <row r="48" spans="1:12" s="42" customFormat="1" ht="6" customHeight="1">
      <c r="A48" s="41"/>
      <c r="D48" s="40"/>
      <c r="F48" s="40"/>
      <c r="H48" s="40"/>
      <c r="J48" s="40"/>
      <c r="L48" s="40"/>
    </row>
    <row r="49" spans="1:12" s="42" customFormat="1" ht="12">
      <c r="A49" s="41"/>
      <c r="B49" s="42" t="s">
        <v>191</v>
      </c>
      <c r="D49" s="43">
        <v>0</v>
      </c>
      <c r="F49" s="43">
        <v>0</v>
      </c>
      <c r="H49" s="43">
        <v>0</v>
      </c>
      <c r="J49" s="43">
        <v>-19319</v>
      </c>
      <c r="L49" s="43">
        <f>SUM(D49:J49)</f>
        <v>-19319</v>
      </c>
    </row>
    <row r="50" spans="1:12" s="42" customFormat="1" ht="6" customHeight="1">
      <c r="A50" s="41"/>
      <c r="D50" s="40"/>
      <c r="F50" s="40"/>
      <c r="H50" s="40"/>
      <c r="J50" s="40"/>
      <c r="L50" s="40"/>
    </row>
    <row r="51" spans="1:12" s="42" customFormat="1" ht="12">
      <c r="A51" s="41"/>
      <c r="B51" s="42" t="s">
        <v>43</v>
      </c>
      <c r="D51" s="43">
        <f>SUM(D37:D49)</f>
        <v>268746</v>
      </c>
      <c r="F51" s="43">
        <f>SUM(F37:F49)</f>
        <v>208682</v>
      </c>
      <c r="H51" s="43">
        <f>SUM(H37:H49)</f>
        <v>0</v>
      </c>
      <c r="J51" s="43">
        <f>SUM(J37:J49)</f>
        <v>980962</v>
      </c>
      <c r="L51" s="43">
        <f>SUM(L37:L49)</f>
        <v>1458390</v>
      </c>
    </row>
    <row r="52" spans="1:12" s="42" customFormat="1" ht="6" customHeight="1">
      <c r="A52" s="41"/>
      <c r="D52" s="40"/>
      <c r="F52" s="40"/>
      <c r="H52" s="40"/>
      <c r="J52" s="40"/>
      <c r="L52" s="40"/>
    </row>
    <row r="53" spans="1:12" s="42" customFormat="1" ht="12" customHeight="1">
      <c r="A53" s="41"/>
      <c r="D53" s="40"/>
      <c r="F53" s="40"/>
      <c r="H53" s="40"/>
      <c r="J53" s="40"/>
      <c r="L53" s="40"/>
    </row>
    <row r="54" spans="1:12" s="42" customFormat="1" ht="12" customHeight="1">
      <c r="A54" s="41"/>
      <c r="B54" s="42" t="s">
        <v>214</v>
      </c>
      <c r="D54" s="40"/>
      <c r="F54" s="40"/>
      <c r="H54" s="40"/>
      <c r="J54" s="40"/>
      <c r="L54" s="40"/>
    </row>
    <row r="55" spans="1:12" s="42" customFormat="1" ht="12" customHeight="1">
      <c r="A55" s="41"/>
      <c r="B55" s="42" t="s">
        <v>232</v>
      </c>
      <c r="D55" s="40"/>
      <c r="F55" s="40"/>
      <c r="H55" s="40"/>
      <c r="J55" s="40"/>
      <c r="L55" s="40"/>
    </row>
    <row r="56" spans="1:12" s="42" customFormat="1" ht="12" customHeight="1">
      <c r="A56" s="41"/>
      <c r="D56" s="40"/>
      <c r="F56" s="40"/>
      <c r="H56" s="40"/>
      <c r="J56" s="40"/>
      <c r="L56" s="40"/>
    </row>
    <row r="57" spans="4:10" s="42" customFormat="1" ht="12">
      <c r="D57" s="30"/>
      <c r="H57" s="30"/>
      <c r="J57" s="30"/>
    </row>
    <row r="58" spans="2:10" s="42" customFormat="1" ht="12">
      <c r="B58" s="66" t="s">
        <v>228</v>
      </c>
      <c r="D58" s="30"/>
      <c r="H58" s="30"/>
      <c r="J58" s="30"/>
    </row>
    <row r="59" spans="2:10" s="42" customFormat="1" ht="12">
      <c r="B59" s="42" t="s">
        <v>44</v>
      </c>
      <c r="D59" s="30"/>
      <c r="H59" s="30"/>
      <c r="J59" s="30"/>
    </row>
    <row r="60" spans="4:10" s="42" customFormat="1" ht="12">
      <c r="D60" s="30"/>
      <c r="H60" s="30"/>
      <c r="J60" s="30"/>
    </row>
    <row r="61" spans="4:10" s="42" customFormat="1" ht="12">
      <c r="D61" s="30"/>
      <c r="H61" s="30"/>
      <c r="J61" s="30"/>
    </row>
    <row r="62" spans="4:10" s="42" customFormat="1" ht="12">
      <c r="D62" s="30"/>
      <c r="H62" s="30"/>
      <c r="J62" s="30"/>
    </row>
    <row r="63" spans="4:10" s="42" customFormat="1" ht="12">
      <c r="D63" s="30"/>
      <c r="H63" s="30"/>
      <c r="J63" s="30"/>
    </row>
    <row r="64" spans="4:10" s="42" customFormat="1" ht="12">
      <c r="D64" s="30"/>
      <c r="H64" s="30"/>
      <c r="J64" s="30"/>
    </row>
  </sheetData>
  <mergeCells count="4">
    <mergeCell ref="A3:L3"/>
    <mergeCell ref="B8:L8"/>
    <mergeCell ref="A1:L1"/>
    <mergeCell ref="A2:L2"/>
  </mergeCells>
  <printOptions horizontalCentered="1"/>
  <pageMargins left="0" right="0" top="0.7874015748031497" bottom="0.5118110236220472" header="0" footer="0.5118110236220472"/>
  <pageSetup horizontalDpi="600" verticalDpi="600" orientation="portrait" paperSize="9" scale="98" r:id="rId1"/>
  <headerFooter alignWithMargins="0">
    <oddFooter>&amp;C&amp;"Arial,Bold"4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1"/>
  <sheetViews>
    <sheetView workbookViewId="0" topLeftCell="IV1">
      <selection activeCell="A1" sqref="A1:IV16384"/>
    </sheetView>
  </sheetViews>
  <sheetFormatPr defaultColWidth="9.140625" defaultRowHeight="12.75"/>
  <cols>
    <col min="1" max="1" width="2.7109375" style="0" hidden="1" customWidth="1"/>
    <col min="2" max="2" width="39.57421875" style="0" hidden="1" customWidth="1"/>
    <col min="3" max="3" width="2.8515625" style="0" hidden="1" customWidth="1"/>
    <col min="4" max="4" width="11.57421875" style="15" hidden="1" customWidth="1"/>
    <col min="5" max="5" width="1.28515625" style="0" hidden="1" customWidth="1"/>
    <col min="6" max="6" width="13.7109375" style="14" hidden="1" customWidth="1"/>
    <col min="7" max="7" width="3.28125" style="0" hidden="1" customWidth="1"/>
    <col min="8" max="8" width="13.7109375" style="15" hidden="1" customWidth="1"/>
    <col min="9" max="9" width="3.57421875" style="0" hidden="1" customWidth="1"/>
    <col min="10" max="10" width="12.421875" style="0" hidden="1" customWidth="1"/>
    <col min="11" max="16384" width="0" style="0" hidden="1" customWidth="1"/>
  </cols>
  <sheetData>
    <row r="1" spans="2:10" s="6" customFormat="1" ht="18">
      <c r="B1" s="98" t="s">
        <v>32</v>
      </c>
      <c r="C1" s="98"/>
      <c r="D1" s="98"/>
      <c r="E1" s="98"/>
      <c r="F1" s="98"/>
      <c r="G1" s="98"/>
      <c r="H1" s="98"/>
      <c r="I1" s="98"/>
      <c r="J1" s="98"/>
    </row>
    <row r="2" spans="2:10" s="3" customFormat="1" ht="11.25" customHeight="1">
      <c r="B2" s="99" t="s">
        <v>30</v>
      </c>
      <c r="C2" s="99"/>
      <c r="D2" s="99"/>
      <c r="E2" s="99"/>
      <c r="F2" s="99"/>
      <c r="G2" s="99"/>
      <c r="H2" s="99"/>
      <c r="I2" s="99"/>
      <c r="J2" s="99"/>
    </row>
    <row r="3" spans="2:10" s="3" customFormat="1" ht="10.5" customHeight="1">
      <c r="B3" s="99" t="s">
        <v>31</v>
      </c>
      <c r="C3" s="99"/>
      <c r="D3" s="99"/>
      <c r="E3" s="99"/>
      <c r="F3" s="99"/>
      <c r="G3" s="99"/>
      <c r="H3" s="99"/>
      <c r="I3" s="99"/>
      <c r="J3" s="99"/>
    </row>
    <row r="4" spans="3:8" s="3" customFormat="1" ht="9.75" customHeight="1">
      <c r="C4" s="27"/>
      <c r="D4" s="25"/>
      <c r="E4" s="22"/>
      <c r="F4" s="25"/>
      <c r="H4" s="10"/>
    </row>
    <row r="5" spans="3:8" s="3" customFormat="1" ht="9.75" customHeight="1">
      <c r="C5" s="27"/>
      <c r="D5" s="25"/>
      <c r="E5" s="22"/>
      <c r="F5" s="25"/>
      <c r="H5" s="10"/>
    </row>
    <row r="6" spans="1:8" s="42" customFormat="1" ht="12">
      <c r="A6" s="7"/>
      <c r="B6" s="7" t="s">
        <v>187</v>
      </c>
      <c r="D6" s="30"/>
      <c r="F6" s="30"/>
      <c r="H6" s="30"/>
    </row>
    <row r="7" spans="4:8" s="42" customFormat="1" ht="12">
      <c r="D7" s="30"/>
      <c r="F7" s="21"/>
      <c r="G7" s="7"/>
      <c r="H7" s="49"/>
    </row>
    <row r="8" spans="2:8" s="42" customFormat="1" ht="12">
      <c r="B8" s="50"/>
      <c r="C8" s="50"/>
      <c r="D8" s="52"/>
      <c r="F8" s="82" t="s">
        <v>174</v>
      </c>
      <c r="H8" s="52" t="s">
        <v>18</v>
      </c>
    </row>
    <row r="9" spans="2:8" s="42" customFormat="1" ht="12">
      <c r="B9" s="50"/>
      <c r="C9" s="50"/>
      <c r="D9" s="54"/>
      <c r="F9" s="54" t="str">
        <f>+PL!D15</f>
        <v>30/09/2002</v>
      </c>
      <c r="H9" s="54" t="str">
        <f>+PL!F15</f>
        <v>30/09/2001</v>
      </c>
    </row>
    <row r="10" spans="2:8" s="42" customFormat="1" ht="12">
      <c r="B10" s="50"/>
      <c r="C10" s="50"/>
      <c r="D10" s="56"/>
      <c r="F10" s="56" t="s">
        <v>3</v>
      </c>
      <c r="H10" s="56" t="s">
        <v>3</v>
      </c>
    </row>
    <row r="11" spans="2:8" s="42" customFormat="1" ht="7.5" customHeight="1">
      <c r="B11" s="57"/>
      <c r="C11" s="57"/>
      <c r="D11" s="58"/>
      <c r="F11" s="58"/>
      <c r="H11" s="58"/>
    </row>
    <row r="12" spans="2:8" s="42" customFormat="1" ht="12.75" customHeight="1">
      <c r="B12" s="67" t="s">
        <v>58</v>
      </c>
      <c r="C12" s="57"/>
      <c r="D12" s="58"/>
      <c r="F12" s="58"/>
      <c r="H12" s="58"/>
    </row>
    <row r="13" spans="2:8" s="46" customFormat="1" ht="12">
      <c r="B13" s="57" t="s">
        <v>46</v>
      </c>
      <c r="C13" s="57"/>
      <c r="D13" s="58"/>
      <c r="F13" s="58">
        <f>+PL!H32</f>
        <v>361998</v>
      </c>
      <c r="H13" s="58">
        <v>0</v>
      </c>
    </row>
    <row r="14" spans="2:8" s="46" customFormat="1" ht="6.75" customHeight="1">
      <c r="B14" s="57"/>
      <c r="C14" s="57"/>
      <c r="D14" s="58"/>
      <c r="F14" s="58"/>
      <c r="H14" s="58"/>
    </row>
    <row r="15" spans="2:8" s="46" customFormat="1" ht="11.25" customHeight="1">
      <c r="B15" s="57" t="s">
        <v>59</v>
      </c>
      <c r="C15" s="57"/>
      <c r="D15" s="58"/>
      <c r="F15" s="58"/>
      <c r="H15" s="58"/>
    </row>
    <row r="16" spans="2:8" s="46" customFormat="1" ht="12">
      <c r="B16" s="57" t="s">
        <v>110</v>
      </c>
      <c r="C16" s="57"/>
      <c r="D16" s="58"/>
      <c r="F16" s="58"/>
      <c r="H16" s="58">
        <v>0</v>
      </c>
    </row>
    <row r="17" spans="2:8" s="46" customFormat="1" ht="12">
      <c r="B17" s="57" t="s">
        <v>130</v>
      </c>
      <c r="C17" s="57"/>
      <c r="D17" s="58">
        <f>-F104</f>
        <v>918</v>
      </c>
      <c r="F17" s="58"/>
      <c r="H17" s="58"/>
    </row>
    <row r="18" spans="2:8" s="46" customFormat="1" ht="12">
      <c r="B18" s="57" t="s">
        <v>177</v>
      </c>
      <c r="C18" s="57"/>
      <c r="D18" s="58">
        <v>203</v>
      </c>
      <c r="F18" s="58"/>
      <c r="H18" s="58"/>
    </row>
    <row r="19" spans="2:8" s="46" customFormat="1" ht="12">
      <c r="B19" s="57" t="s">
        <v>131</v>
      </c>
      <c r="C19" s="57"/>
      <c r="D19" s="58">
        <v>1725</v>
      </c>
      <c r="F19" s="58"/>
      <c r="H19" s="58"/>
    </row>
    <row r="20" spans="2:8" s="46" customFormat="1" ht="12">
      <c r="B20" s="57" t="s">
        <v>132</v>
      </c>
      <c r="C20" s="57"/>
      <c r="D20" s="58">
        <f>-F86</f>
        <v>62220</v>
      </c>
      <c r="F20" s="58"/>
      <c r="H20" s="58"/>
    </row>
    <row r="21" spans="2:8" s="46" customFormat="1" ht="12">
      <c r="B21" s="57" t="s">
        <v>133</v>
      </c>
      <c r="C21" s="57"/>
      <c r="D21" s="58">
        <v>301</v>
      </c>
      <c r="F21" s="58"/>
      <c r="H21" s="58"/>
    </row>
    <row r="22" spans="2:8" s="46" customFormat="1" ht="12">
      <c r="B22" s="57" t="s">
        <v>134</v>
      </c>
      <c r="C22" s="57"/>
      <c r="D22" s="58">
        <f>-F92</f>
        <v>-88728</v>
      </c>
      <c r="F22" s="58"/>
      <c r="H22" s="58"/>
    </row>
    <row r="23" spans="2:8" s="46" customFormat="1" ht="12">
      <c r="B23" s="57" t="s">
        <v>172</v>
      </c>
      <c r="C23" s="57"/>
      <c r="D23" s="58">
        <f>-6921+12</f>
        <v>-6909</v>
      </c>
      <c r="F23" s="58"/>
      <c r="H23" s="58"/>
    </row>
    <row r="24" spans="2:8" s="46" customFormat="1" ht="12">
      <c r="B24" s="57" t="s">
        <v>135</v>
      </c>
      <c r="C24" s="57"/>
      <c r="D24" s="64">
        <f>+F226</f>
        <v>772</v>
      </c>
      <c r="F24" s="58">
        <f>SUM(D17:D24)</f>
        <v>-29498</v>
      </c>
      <c r="H24" s="58"/>
    </row>
    <row r="25" spans="2:8" s="46" customFormat="1" ht="12">
      <c r="B25" s="57" t="s">
        <v>111</v>
      </c>
      <c r="C25" s="57"/>
      <c r="D25" s="58"/>
      <c r="F25" s="58"/>
      <c r="H25" s="58"/>
    </row>
    <row r="26" spans="2:8" s="46" customFormat="1" ht="12">
      <c r="B26" s="57" t="s">
        <v>136</v>
      </c>
      <c r="C26" s="57"/>
      <c r="D26" s="58">
        <v>-17393</v>
      </c>
      <c r="F26" s="58"/>
      <c r="H26" s="58"/>
    </row>
    <row r="27" spans="2:8" s="46" customFormat="1" ht="12">
      <c r="B27" s="57" t="s">
        <v>173</v>
      </c>
      <c r="C27" s="57"/>
      <c r="D27" s="58">
        <v>-374</v>
      </c>
      <c r="F27" s="58"/>
      <c r="H27" s="58"/>
    </row>
    <row r="28" spans="2:8" s="46" customFormat="1" ht="12">
      <c r="B28" s="57" t="s">
        <v>137</v>
      </c>
      <c r="C28" s="57"/>
      <c r="D28" s="64">
        <f>-2125-3582</f>
        <v>-5707</v>
      </c>
      <c r="F28" s="58">
        <f>SUM(D26:D28)</f>
        <v>-23474</v>
      </c>
      <c r="H28" s="58"/>
    </row>
    <row r="29" spans="2:8" s="46" customFormat="1" ht="6" customHeight="1">
      <c r="B29" s="57"/>
      <c r="C29" s="57"/>
      <c r="D29" s="40"/>
      <c r="F29" s="68"/>
      <c r="H29" s="68"/>
    </row>
    <row r="30" spans="2:8" s="46" customFormat="1" ht="6" customHeight="1">
      <c r="B30" s="57"/>
      <c r="C30" s="57"/>
      <c r="D30" s="40"/>
      <c r="F30" s="60"/>
      <c r="H30" s="60"/>
    </row>
    <row r="31" spans="2:8" s="46" customFormat="1" ht="12">
      <c r="B31" s="57" t="s">
        <v>47</v>
      </c>
      <c r="C31" s="57"/>
      <c r="D31" s="40"/>
      <c r="F31" s="60">
        <f>SUM(F13:F29)</f>
        <v>309026</v>
      </c>
      <c r="H31" s="60">
        <f>SUM(H13:H29)</f>
        <v>0</v>
      </c>
    </row>
    <row r="32" spans="2:8" s="46" customFormat="1" ht="6" customHeight="1">
      <c r="B32" s="57"/>
      <c r="C32" s="57"/>
      <c r="D32" s="40"/>
      <c r="F32" s="60"/>
      <c r="H32" s="60"/>
    </row>
    <row r="33" spans="2:8" s="46" customFormat="1" ht="12">
      <c r="B33" s="57" t="s">
        <v>48</v>
      </c>
      <c r="C33" s="57"/>
      <c r="D33" s="40"/>
      <c r="F33" s="60"/>
      <c r="H33" s="60"/>
    </row>
    <row r="34" spans="2:8" s="46" customFormat="1" ht="12">
      <c r="B34" s="57" t="s">
        <v>49</v>
      </c>
      <c r="C34" s="61"/>
      <c r="D34" s="40"/>
      <c r="F34" s="58">
        <f>-F109-D19-D24</f>
        <v>-220948</v>
      </c>
      <c r="H34" s="58">
        <v>0</v>
      </c>
    </row>
    <row r="35" spans="2:8" s="46" customFormat="1" ht="12">
      <c r="B35" s="57" t="s">
        <v>50</v>
      </c>
      <c r="C35" s="61"/>
      <c r="D35" s="40"/>
      <c r="F35" s="64">
        <f>+F114+F130-269-171</f>
        <v>-10366</v>
      </c>
      <c r="H35" s="64">
        <v>0</v>
      </c>
    </row>
    <row r="36" spans="2:8" s="46" customFormat="1" ht="6" customHeight="1">
      <c r="B36" s="61"/>
      <c r="C36" s="61"/>
      <c r="D36" s="40"/>
      <c r="F36" s="58"/>
      <c r="H36" s="58"/>
    </row>
    <row r="37" spans="2:8" s="46" customFormat="1" ht="12">
      <c r="B37" s="57" t="s">
        <v>112</v>
      </c>
      <c r="C37" s="61"/>
      <c r="D37" s="40"/>
      <c r="F37" s="64">
        <f>SUM(F31:F35)</f>
        <v>77712</v>
      </c>
      <c r="H37" s="64">
        <f>SUM(H31:H35)</f>
        <v>0</v>
      </c>
    </row>
    <row r="38" spans="2:8" s="46" customFormat="1" ht="12">
      <c r="B38" s="57"/>
      <c r="C38" s="61"/>
      <c r="D38" s="40"/>
      <c r="F38" s="58"/>
      <c r="H38" s="58"/>
    </row>
    <row r="39" spans="2:8" s="46" customFormat="1" ht="12">
      <c r="B39" s="67" t="s">
        <v>52</v>
      </c>
      <c r="C39" s="61"/>
      <c r="D39" s="40"/>
      <c r="F39" s="58"/>
      <c r="H39" s="58"/>
    </row>
    <row r="40" spans="2:8" s="46" customFormat="1" ht="12">
      <c r="B40" s="57" t="s">
        <v>178</v>
      </c>
      <c r="C40" s="61"/>
      <c r="D40" s="40"/>
      <c r="F40" s="58"/>
      <c r="H40" s="58">
        <v>0</v>
      </c>
    </row>
    <row r="41" spans="2:8" s="46" customFormat="1" ht="12">
      <c r="B41" s="57" t="s">
        <v>183</v>
      </c>
      <c r="C41" s="61"/>
      <c r="D41" s="40">
        <v>-894</v>
      </c>
      <c r="F41" s="58"/>
      <c r="H41" s="58"/>
    </row>
    <row r="42" spans="2:8" s="46" customFormat="1" ht="12">
      <c r="B42" s="57" t="s">
        <v>179</v>
      </c>
      <c r="C42" s="61"/>
      <c r="D42" s="40">
        <v>-9072</v>
      </c>
      <c r="F42" s="58"/>
      <c r="H42" s="58"/>
    </row>
    <row r="43" spans="2:8" s="46" customFormat="1" ht="12">
      <c r="B43" s="57" t="s">
        <v>140</v>
      </c>
      <c r="C43" s="61"/>
      <c r="D43" s="40">
        <v>374</v>
      </c>
      <c r="F43" s="58"/>
      <c r="H43" s="58"/>
    </row>
    <row r="44" spans="2:8" s="46" customFormat="1" ht="12">
      <c r="B44" s="57" t="s">
        <v>142</v>
      </c>
      <c r="C44" s="61"/>
      <c r="D44" s="43">
        <f>-F97</f>
        <v>10009</v>
      </c>
      <c r="F44" s="58">
        <f>SUM(D41:D44)</f>
        <v>417</v>
      </c>
      <c r="H44" s="58"/>
    </row>
    <row r="45" spans="2:8" s="46" customFormat="1" ht="12">
      <c r="B45" s="57" t="s">
        <v>113</v>
      </c>
      <c r="C45" s="61"/>
      <c r="D45" s="40"/>
      <c r="F45" s="58"/>
      <c r="H45" s="64">
        <v>0</v>
      </c>
    </row>
    <row r="46" spans="2:8" s="46" customFormat="1" ht="12">
      <c r="B46" s="57" t="s">
        <v>138</v>
      </c>
      <c r="C46" s="61"/>
      <c r="D46" s="40">
        <f>-F200</f>
        <v>-69375</v>
      </c>
      <c r="F46" s="58"/>
      <c r="H46" s="58"/>
    </row>
    <row r="47" spans="2:8" s="46" customFormat="1" ht="12">
      <c r="B47" s="57" t="s">
        <v>141</v>
      </c>
      <c r="C47" s="61"/>
      <c r="D47" s="40">
        <f>+F219</f>
        <v>11975</v>
      </c>
      <c r="F47" s="58"/>
      <c r="H47" s="58"/>
    </row>
    <row r="48" spans="2:8" s="46" customFormat="1" ht="12">
      <c r="B48" s="57" t="s">
        <v>139</v>
      </c>
      <c r="C48" s="61"/>
      <c r="D48" s="43">
        <f>-D26</f>
        <v>17393</v>
      </c>
      <c r="F48" s="58">
        <f>SUM(D46:D48)</f>
        <v>-40007</v>
      </c>
      <c r="H48" s="58"/>
    </row>
    <row r="49" spans="2:8" s="46" customFormat="1" ht="6" customHeight="1">
      <c r="B49" s="57"/>
      <c r="C49" s="61"/>
      <c r="D49" s="40"/>
      <c r="F49" s="64"/>
      <c r="H49" s="58"/>
    </row>
    <row r="50" spans="2:8" s="46" customFormat="1" ht="12">
      <c r="B50" s="57" t="s">
        <v>114</v>
      </c>
      <c r="C50" s="61"/>
      <c r="D50" s="40"/>
      <c r="F50" s="64">
        <f>SUM(F40:F49)</f>
        <v>-39590</v>
      </c>
      <c r="H50" s="64">
        <f>SUM(H40:H49)</f>
        <v>0</v>
      </c>
    </row>
    <row r="51" spans="2:8" s="46" customFormat="1" ht="12">
      <c r="B51" s="57"/>
      <c r="C51" s="61"/>
      <c r="D51" s="40"/>
      <c r="F51" s="58"/>
      <c r="H51" s="58"/>
    </row>
    <row r="52" spans="2:8" s="46" customFormat="1" ht="12">
      <c r="B52" s="67" t="s">
        <v>54</v>
      </c>
      <c r="C52" s="61"/>
      <c r="D52" s="40"/>
      <c r="F52" s="58"/>
      <c r="H52" s="58"/>
    </row>
    <row r="53" spans="2:8" s="46" customFormat="1" ht="12">
      <c r="B53" s="57" t="s">
        <v>126</v>
      </c>
      <c r="C53" s="61"/>
      <c r="D53" s="40"/>
      <c r="F53" s="58"/>
      <c r="H53" s="58">
        <v>0</v>
      </c>
    </row>
    <row r="54" spans="2:8" s="46" customFormat="1" ht="12">
      <c r="B54" s="57" t="s">
        <v>145</v>
      </c>
      <c r="C54" s="61"/>
      <c r="D54" s="40">
        <f>+F142+F149</f>
        <v>26058</v>
      </c>
      <c r="F54" s="58"/>
      <c r="H54" s="58"/>
    </row>
    <row r="55" spans="2:8" s="46" customFormat="1" ht="12">
      <c r="B55" s="57" t="s">
        <v>146</v>
      </c>
      <c r="C55" s="61"/>
      <c r="D55" s="40">
        <f>+F137</f>
        <v>-19808</v>
      </c>
      <c r="F55" s="58"/>
      <c r="H55" s="58"/>
    </row>
    <row r="56" spans="2:8" s="46" customFormat="1" ht="12">
      <c r="B56" s="57" t="s">
        <v>147</v>
      </c>
      <c r="C56" s="61"/>
      <c r="D56" s="43">
        <f>+F159</f>
        <v>-15728</v>
      </c>
      <c r="F56" s="58">
        <f>SUM(D54:D56)</f>
        <v>-9478</v>
      </c>
      <c r="H56" s="58"/>
    </row>
    <row r="57" spans="2:8" s="46" customFormat="1" ht="12">
      <c r="B57" s="57" t="s">
        <v>127</v>
      </c>
      <c r="C57" s="61"/>
      <c r="D57" s="40"/>
      <c r="F57" s="58"/>
      <c r="H57" s="64">
        <v>0</v>
      </c>
    </row>
    <row r="58" spans="2:8" s="46" customFormat="1" ht="12">
      <c r="B58" s="57" t="s">
        <v>144</v>
      </c>
      <c r="C58" s="61"/>
      <c r="D58" s="40">
        <f>+F164</f>
        <v>91767</v>
      </c>
      <c r="F58" s="58"/>
      <c r="H58" s="58"/>
    </row>
    <row r="59" spans="2:8" s="46" customFormat="1" ht="12">
      <c r="B59" s="57" t="s">
        <v>143</v>
      </c>
      <c r="C59" s="61"/>
      <c r="D59" s="40">
        <f>+F121</f>
        <v>-30560</v>
      </c>
      <c r="F59" s="58"/>
      <c r="H59" s="58"/>
    </row>
    <row r="60" spans="2:8" s="46" customFormat="1" ht="12">
      <c r="B60" s="57"/>
      <c r="C60" s="61"/>
      <c r="D60" s="43"/>
      <c r="F60" s="58">
        <f>SUM(D58:D60)</f>
        <v>61207</v>
      </c>
      <c r="H60" s="58"/>
    </row>
    <row r="61" spans="2:8" s="46" customFormat="1" ht="6" customHeight="1">
      <c r="B61" s="57"/>
      <c r="C61" s="61"/>
      <c r="D61" s="40"/>
      <c r="F61" s="64"/>
      <c r="H61" s="58"/>
    </row>
    <row r="62" spans="2:8" s="46" customFormat="1" ht="12">
      <c r="B62" s="57" t="s">
        <v>115</v>
      </c>
      <c r="C62" s="61"/>
      <c r="D62" s="40"/>
      <c r="F62" s="64">
        <f>SUM(F53:F61)</f>
        <v>51729</v>
      </c>
      <c r="H62" s="64">
        <f>SUM(H53:H61)</f>
        <v>0</v>
      </c>
    </row>
    <row r="63" spans="2:8" s="46" customFormat="1" ht="6" customHeight="1">
      <c r="B63" s="57"/>
      <c r="C63" s="61"/>
      <c r="D63" s="40"/>
      <c r="F63" s="58"/>
      <c r="H63" s="58"/>
    </row>
    <row r="64" spans="2:8" s="46" customFormat="1" ht="12">
      <c r="B64" s="57" t="s">
        <v>186</v>
      </c>
      <c r="C64" s="61"/>
      <c r="D64" s="40"/>
      <c r="F64" s="64">
        <v>0</v>
      </c>
      <c r="H64" s="64">
        <v>0</v>
      </c>
    </row>
    <row r="65" spans="2:8" s="46" customFormat="1" ht="6" customHeight="1">
      <c r="B65" s="57"/>
      <c r="C65" s="61"/>
      <c r="D65" s="40"/>
      <c r="F65" s="58"/>
      <c r="H65" s="58"/>
    </row>
    <row r="66" spans="2:8" s="46" customFormat="1" ht="12">
      <c r="B66" s="50" t="s">
        <v>56</v>
      </c>
      <c r="C66" s="61"/>
      <c r="D66" s="40"/>
      <c r="F66" s="58">
        <f>+F37+F50+F62+F64</f>
        <v>89851</v>
      </c>
      <c r="H66" s="58">
        <f>+H37+H50+H62+H64</f>
        <v>0</v>
      </c>
    </row>
    <row r="67" spans="2:8" s="46" customFormat="1" ht="6" customHeight="1">
      <c r="B67" s="57"/>
      <c r="C67" s="61"/>
      <c r="D67" s="40"/>
      <c r="F67" s="58"/>
      <c r="H67" s="58"/>
    </row>
    <row r="68" spans="2:8" s="46" customFormat="1" ht="12.75" thickBot="1">
      <c r="B68" s="50" t="s">
        <v>57</v>
      </c>
      <c r="C68" s="61"/>
      <c r="D68" s="40"/>
      <c r="F68" s="65">
        <f>713884-17075</f>
        <v>696809</v>
      </c>
      <c r="H68" s="65">
        <v>0</v>
      </c>
    </row>
    <row r="69" spans="2:8" s="46" customFormat="1" ht="6" customHeight="1">
      <c r="B69" s="57"/>
      <c r="C69" s="61"/>
      <c r="D69" s="40"/>
      <c r="F69" s="58"/>
      <c r="H69" s="58"/>
    </row>
    <row r="70" spans="2:8" s="46" customFormat="1" ht="12.75" thickBot="1">
      <c r="B70" s="50" t="s">
        <v>148</v>
      </c>
      <c r="C70" s="61"/>
      <c r="D70" s="40"/>
      <c r="F70" s="65">
        <f>SUM(F66:F68)</f>
        <v>786660</v>
      </c>
      <c r="H70" s="65">
        <f>SUM(H66:H68)</f>
        <v>0</v>
      </c>
    </row>
    <row r="71" spans="2:8" s="46" customFormat="1" ht="6" customHeight="1">
      <c r="B71" s="57"/>
      <c r="C71" s="61"/>
      <c r="D71" s="40"/>
      <c r="F71" s="58"/>
      <c r="H71" s="58"/>
    </row>
    <row r="72" spans="2:8" s="46" customFormat="1" ht="12">
      <c r="B72" s="57"/>
      <c r="C72" s="61"/>
      <c r="D72" s="40"/>
      <c r="F72" s="58">
        <f>799832-13172-F70</f>
        <v>0</v>
      </c>
      <c r="H72" s="58"/>
    </row>
    <row r="73" spans="2:8" s="46" customFormat="1" ht="12">
      <c r="B73" s="57"/>
      <c r="C73" s="61"/>
      <c r="D73" s="40"/>
      <c r="F73" s="58"/>
      <c r="H73" s="58"/>
    </row>
    <row r="74" spans="2:8" s="42" customFormat="1" ht="12">
      <c r="B74" s="66" t="s">
        <v>188</v>
      </c>
      <c r="C74" s="57"/>
      <c r="D74" s="58"/>
      <c r="F74" s="40"/>
      <c r="H74" s="30"/>
    </row>
    <row r="75" spans="2:8" s="42" customFormat="1" ht="12">
      <c r="B75" s="42" t="s">
        <v>44</v>
      </c>
      <c r="C75" s="57"/>
      <c r="D75" s="58"/>
      <c r="F75" s="40"/>
      <c r="H75" s="30"/>
    </row>
    <row r="76" spans="2:8" s="42" customFormat="1" ht="12">
      <c r="B76" s="57"/>
      <c r="C76" s="57"/>
      <c r="D76" s="58"/>
      <c r="F76" s="30"/>
      <c r="H76" s="30"/>
    </row>
    <row r="77" spans="2:4" ht="12.75">
      <c r="B77" s="4"/>
      <c r="C77" s="4"/>
      <c r="D77" s="78"/>
    </row>
    <row r="78" spans="2:8" s="34" customFormat="1" ht="11.25">
      <c r="B78" s="32"/>
      <c r="C78" s="32"/>
      <c r="D78" s="79"/>
      <c r="F78" s="35"/>
      <c r="H78" s="35"/>
    </row>
    <row r="79" spans="2:8" s="34" customFormat="1" ht="11.25">
      <c r="B79" s="34" t="s">
        <v>60</v>
      </c>
      <c r="D79" s="35"/>
      <c r="F79" s="35"/>
      <c r="H79" s="35"/>
    </row>
    <row r="80" spans="4:8" s="34" customFormat="1" ht="11.25">
      <c r="D80" s="35"/>
      <c r="F80" s="35"/>
      <c r="H80" s="35"/>
    </row>
    <row r="81" spans="1:8" s="34" customFormat="1" ht="11.25">
      <c r="A81" s="38" t="s">
        <v>15</v>
      </c>
      <c r="B81" s="24" t="s">
        <v>61</v>
      </c>
      <c r="D81" s="35"/>
      <c r="F81" s="35"/>
      <c r="H81" s="35"/>
    </row>
    <row r="82" spans="2:10" s="34" customFormat="1" ht="11.25">
      <c r="B82" s="34" t="s">
        <v>62</v>
      </c>
      <c r="D82" s="35"/>
      <c r="F82" s="35">
        <f>78648+624979</f>
        <v>703627</v>
      </c>
      <c r="H82" s="35"/>
      <c r="J82" s="77"/>
    </row>
    <row r="83" spans="2:8" s="34" customFormat="1" ht="11.25">
      <c r="B83" s="3" t="s">
        <v>79</v>
      </c>
      <c r="D83" s="35"/>
      <c r="F83" s="36">
        <v>69188</v>
      </c>
      <c r="H83" s="35"/>
    </row>
    <row r="84" spans="4:8" s="34" customFormat="1" ht="11.25">
      <c r="D84" s="35"/>
      <c r="F84" s="35">
        <f>SUM(F82:F83)</f>
        <v>772815</v>
      </c>
      <c r="H84" s="35"/>
    </row>
    <row r="85" spans="2:8" s="34" customFormat="1" ht="11.25">
      <c r="B85" s="34" t="s">
        <v>63</v>
      </c>
      <c r="D85" s="35"/>
      <c r="F85" s="35">
        <v>0</v>
      </c>
      <c r="H85" s="35"/>
    </row>
    <row r="86" spans="2:8" s="34" customFormat="1" ht="11.25">
      <c r="B86" s="34" t="s">
        <v>64</v>
      </c>
      <c r="D86" s="35"/>
      <c r="F86" s="35">
        <v>-62220</v>
      </c>
      <c r="H86" s="35"/>
    </row>
    <row r="87" spans="2:8" s="34" customFormat="1" ht="11.25">
      <c r="B87" s="34" t="s">
        <v>65</v>
      </c>
      <c r="D87" s="35"/>
      <c r="F87" s="37">
        <f>SUM(F84:F86)</f>
        <v>710595</v>
      </c>
      <c r="H87" s="35"/>
    </row>
    <row r="88" spans="4:8" s="34" customFormat="1" ht="11.25">
      <c r="D88" s="35"/>
      <c r="F88" s="35">
        <f>629757+80838-F87</f>
        <v>0</v>
      </c>
      <c r="H88" s="35"/>
    </row>
    <row r="89" spans="1:8" s="34" customFormat="1" ht="11.25">
      <c r="A89" s="38" t="s">
        <v>16</v>
      </c>
      <c r="B89" s="24" t="s">
        <v>85</v>
      </c>
      <c r="D89" s="35"/>
      <c r="F89" s="35"/>
      <c r="H89" s="35"/>
    </row>
    <row r="90" spans="2:8" s="34" customFormat="1" ht="11.25">
      <c r="B90" s="34" t="s">
        <v>62</v>
      </c>
      <c r="D90" s="35"/>
      <c r="F90" s="35">
        <v>324000</v>
      </c>
      <c r="H90" s="35"/>
    </row>
    <row r="91" spans="2:8" s="34" customFormat="1" ht="11.25">
      <c r="B91" s="3" t="s">
        <v>82</v>
      </c>
      <c r="D91" s="35"/>
      <c r="F91" s="35">
        <v>0</v>
      </c>
      <c r="H91" s="35"/>
    </row>
    <row r="92" spans="2:8" s="34" customFormat="1" ht="11.25">
      <c r="B92" s="34" t="s">
        <v>83</v>
      </c>
      <c r="D92" s="35"/>
      <c r="F92" s="36">
        <v>88728</v>
      </c>
      <c r="H92" s="35"/>
    </row>
    <row r="93" spans="4:8" s="34" customFormat="1" ht="11.25">
      <c r="D93" s="35"/>
      <c r="F93" s="35">
        <f>SUM(F90:F92)</f>
        <v>412728</v>
      </c>
      <c r="H93" s="35"/>
    </row>
    <row r="94" spans="2:8" s="34" customFormat="1" ht="11.25">
      <c r="B94" s="34" t="s">
        <v>74</v>
      </c>
      <c r="D94" s="35"/>
      <c r="F94" s="35">
        <v>1926</v>
      </c>
      <c r="H94" s="35"/>
    </row>
    <row r="95" spans="2:8" s="34" customFormat="1" ht="11.25">
      <c r="B95" s="34" t="s">
        <v>84</v>
      </c>
      <c r="D95" s="35"/>
      <c r="F95" s="35">
        <v>0</v>
      </c>
      <c r="H95" s="35"/>
    </row>
    <row r="96" spans="2:8" s="34" customFormat="1" ht="11.25">
      <c r="B96" s="34" t="s">
        <v>73</v>
      </c>
      <c r="D96" s="35"/>
      <c r="F96" s="35">
        <f>-23499-388-740</f>
        <v>-24627</v>
      </c>
      <c r="H96" s="35"/>
    </row>
    <row r="97" spans="2:8" s="34" customFormat="1" ht="11.25">
      <c r="B97" s="34" t="s">
        <v>68</v>
      </c>
      <c r="D97" s="35"/>
      <c r="F97" s="35">
        <f>-1594-180-8235</f>
        <v>-10009</v>
      </c>
      <c r="H97" s="35"/>
    </row>
    <row r="98" spans="2:8" s="34" customFormat="1" ht="11.25">
      <c r="B98" s="34" t="s">
        <v>65</v>
      </c>
      <c r="D98" s="35"/>
      <c r="F98" s="37">
        <f>SUM(F93:F97)</f>
        <v>380018</v>
      </c>
      <c r="H98" s="35"/>
    </row>
    <row r="99" spans="4:8" s="34" customFormat="1" ht="11.25">
      <c r="D99" s="35"/>
      <c r="F99" s="35">
        <f>380018-F98</f>
        <v>0</v>
      </c>
      <c r="H99" s="35"/>
    </row>
    <row r="100" spans="1:8" s="34" customFormat="1" ht="11.25">
      <c r="A100" s="38" t="s">
        <v>69</v>
      </c>
      <c r="B100" s="24" t="s">
        <v>80</v>
      </c>
      <c r="D100" s="35"/>
      <c r="F100" s="35"/>
      <c r="H100" s="35"/>
    </row>
    <row r="101" spans="2:8" s="34" customFormat="1" ht="11.25">
      <c r="B101" s="34" t="s">
        <v>62</v>
      </c>
      <c r="D101" s="35"/>
      <c r="F101" s="35">
        <v>1085</v>
      </c>
      <c r="H101" s="35"/>
    </row>
    <row r="102" spans="2:8" s="34" customFormat="1" ht="11.25">
      <c r="B102" s="34" t="s">
        <v>66</v>
      </c>
      <c r="D102" s="35"/>
      <c r="F102" s="36">
        <v>6079</v>
      </c>
      <c r="H102" s="35"/>
    </row>
    <row r="103" spans="4:8" s="34" customFormat="1" ht="11.25">
      <c r="D103" s="35"/>
      <c r="F103" s="35">
        <f>SUM(F101:F102)</f>
        <v>7164</v>
      </c>
      <c r="H103" s="35"/>
    </row>
    <row r="104" spans="2:8" s="34" customFormat="1" ht="11.25">
      <c r="B104" s="1" t="s">
        <v>81</v>
      </c>
      <c r="D104" s="35"/>
      <c r="F104" s="35">
        <v>-918</v>
      </c>
      <c r="H104" s="35"/>
    </row>
    <row r="105" spans="2:8" s="34" customFormat="1" ht="11.25">
      <c r="B105" s="34" t="s">
        <v>65</v>
      </c>
      <c r="D105" s="35"/>
      <c r="F105" s="37">
        <f>SUM(F103:F104)</f>
        <v>6246</v>
      </c>
      <c r="H105" s="35"/>
    </row>
    <row r="106" spans="4:8" s="34" customFormat="1" ht="11.25">
      <c r="D106" s="35"/>
      <c r="F106" s="35">
        <f>6246-F105</f>
        <v>0</v>
      </c>
      <c r="H106" s="35"/>
    </row>
    <row r="107" spans="1:8" s="34" customFormat="1" ht="11.25">
      <c r="A107" s="38" t="s">
        <v>70</v>
      </c>
      <c r="B107" s="24" t="s">
        <v>5</v>
      </c>
      <c r="D107" s="35"/>
      <c r="F107" s="35"/>
      <c r="H107" s="35"/>
    </row>
    <row r="108" spans="2:8" s="34" customFormat="1" ht="11.25">
      <c r="B108" s="34" t="s">
        <v>86</v>
      </c>
      <c r="D108" s="35"/>
      <c r="F108" s="39">
        <f>461835+223963+186574+36754</f>
        <v>909126</v>
      </c>
      <c r="H108" s="35"/>
    </row>
    <row r="109" spans="2:8" s="34" customFormat="1" ht="11.25">
      <c r="B109" s="34" t="s">
        <v>88</v>
      </c>
      <c r="D109" s="35"/>
      <c r="F109" s="36">
        <f>+F110-F108</f>
        <v>218451</v>
      </c>
      <c r="G109" s="3" t="s">
        <v>89</v>
      </c>
      <c r="H109" s="10" t="s">
        <v>90</v>
      </c>
    </row>
    <row r="110" spans="2:8" s="34" customFormat="1" ht="11.25">
      <c r="B110" s="34" t="s">
        <v>87</v>
      </c>
      <c r="D110" s="35"/>
      <c r="F110" s="37">
        <f>1927409-799832</f>
        <v>1127577</v>
      </c>
      <c r="H110" s="35"/>
    </row>
    <row r="111" spans="4:8" s="34" customFormat="1" ht="11.25">
      <c r="D111" s="35"/>
      <c r="F111" s="35"/>
      <c r="H111" s="35"/>
    </row>
    <row r="112" spans="1:8" s="34" customFormat="1" ht="11.25">
      <c r="A112" s="38" t="s">
        <v>94</v>
      </c>
      <c r="B112" s="24" t="s">
        <v>7</v>
      </c>
      <c r="D112" s="35"/>
      <c r="F112" s="35"/>
      <c r="H112" s="35"/>
    </row>
    <row r="113" spans="2:8" s="34" customFormat="1" ht="11.25">
      <c r="B113" s="34" t="s">
        <v>91</v>
      </c>
      <c r="D113" s="35"/>
      <c r="F113" s="39">
        <f>192483+219521</f>
        <v>412004</v>
      </c>
      <c r="H113" s="35"/>
    </row>
    <row r="114" spans="2:8" s="34" customFormat="1" ht="11.25">
      <c r="B114" s="34" t="s">
        <v>88</v>
      </c>
      <c r="D114" s="35"/>
      <c r="F114" s="36">
        <f>+F115-F113</f>
        <v>70401</v>
      </c>
      <c r="G114" s="3" t="s">
        <v>92</v>
      </c>
      <c r="H114" s="10" t="s">
        <v>90</v>
      </c>
    </row>
    <row r="115" spans="2:8" s="34" customFormat="1" ht="11.25">
      <c r="B115" s="34" t="s">
        <v>87</v>
      </c>
      <c r="D115" s="35"/>
      <c r="F115" s="37">
        <f>232045+250360</f>
        <v>482405</v>
      </c>
      <c r="H115" s="35"/>
    </row>
    <row r="116" spans="4:8" s="34" customFormat="1" ht="11.25">
      <c r="D116" s="35"/>
      <c r="F116" s="35"/>
      <c r="H116" s="35"/>
    </row>
    <row r="117" spans="1:8" s="34" customFormat="1" ht="11.25">
      <c r="A117" s="38" t="s">
        <v>95</v>
      </c>
      <c r="B117" s="24" t="s">
        <v>93</v>
      </c>
      <c r="D117" s="35"/>
      <c r="F117" s="35"/>
      <c r="H117" s="35"/>
    </row>
    <row r="118" spans="2:8" s="34" customFormat="1" ht="11.25">
      <c r="B118" s="34" t="s">
        <v>62</v>
      </c>
      <c r="D118" s="35"/>
      <c r="F118" s="35">
        <v>124193</v>
      </c>
      <c r="H118" s="35"/>
    </row>
    <row r="119" spans="2:8" s="34" customFormat="1" ht="11.25">
      <c r="B119" s="3" t="s">
        <v>77</v>
      </c>
      <c r="D119" s="35"/>
      <c r="F119" s="36">
        <v>0</v>
      </c>
      <c r="H119" s="35"/>
    </row>
    <row r="120" spans="4:8" s="34" customFormat="1" ht="11.25">
      <c r="D120" s="35"/>
      <c r="F120" s="35">
        <f>SUM(F118:F119)</f>
        <v>124193</v>
      </c>
      <c r="H120" s="35"/>
    </row>
    <row r="121" spans="2:8" s="34" customFormat="1" ht="11.25">
      <c r="B121" s="34" t="s">
        <v>67</v>
      </c>
      <c r="D121" s="35"/>
      <c r="F121" s="35">
        <v>-30560</v>
      </c>
      <c r="H121" s="35"/>
    </row>
    <row r="122" spans="2:8" s="34" customFormat="1" ht="11.25">
      <c r="B122" s="34" t="s">
        <v>65</v>
      </c>
      <c r="D122" s="35"/>
      <c r="F122" s="37">
        <f>SUM(F120:F121)</f>
        <v>93633</v>
      </c>
      <c r="H122" s="35"/>
    </row>
    <row r="123" spans="4:8" s="34" customFormat="1" ht="11.25">
      <c r="D123" s="35"/>
      <c r="F123" s="35">
        <f>93633-F122</f>
        <v>0</v>
      </c>
      <c r="H123" s="35"/>
    </row>
    <row r="124" spans="1:8" s="34" customFormat="1" ht="11.25">
      <c r="A124" s="38" t="s">
        <v>97</v>
      </c>
      <c r="B124" s="24" t="s">
        <v>28</v>
      </c>
      <c r="D124" s="35"/>
      <c r="F124" s="35"/>
      <c r="H124" s="35"/>
    </row>
    <row r="125" spans="2:8" s="34" customFormat="1" ht="11.25">
      <c r="B125" s="34" t="s">
        <v>62</v>
      </c>
      <c r="D125" s="35"/>
      <c r="F125" s="35">
        <v>45026</v>
      </c>
      <c r="H125" s="35"/>
    </row>
    <row r="126" spans="2:8" s="34" customFormat="1" ht="11.25">
      <c r="B126" s="34" t="s">
        <v>105</v>
      </c>
      <c r="D126" s="35"/>
      <c r="F126" s="39">
        <v>96705</v>
      </c>
      <c r="H126" s="35"/>
    </row>
    <row r="127" spans="2:8" s="34" customFormat="1" ht="11.25">
      <c r="B127" s="34" t="s">
        <v>128</v>
      </c>
      <c r="D127" s="35"/>
      <c r="F127" s="39">
        <f>-F178</f>
        <v>-560</v>
      </c>
      <c r="H127" s="35"/>
    </row>
    <row r="128" spans="2:8" s="34" customFormat="1" ht="11.25">
      <c r="B128" s="34" t="s">
        <v>75</v>
      </c>
      <c r="D128" s="35"/>
      <c r="F128" s="36">
        <f>-23499-388-740</f>
        <v>-24627</v>
      </c>
      <c r="H128" s="35"/>
    </row>
    <row r="129" spans="4:8" s="34" customFormat="1" ht="11.25">
      <c r="D129" s="35"/>
      <c r="F129" s="35">
        <f>SUM(F125:F128)</f>
        <v>116544</v>
      </c>
      <c r="H129" s="35"/>
    </row>
    <row r="130" spans="2:8" s="34" customFormat="1" ht="11.25">
      <c r="B130" s="3" t="s">
        <v>76</v>
      </c>
      <c r="D130" s="35"/>
      <c r="F130" s="35">
        <v>-80327</v>
      </c>
      <c r="H130" s="35"/>
    </row>
    <row r="131" spans="2:8" s="34" customFormat="1" ht="11.25">
      <c r="B131" s="34" t="s">
        <v>65</v>
      </c>
      <c r="D131" s="35"/>
      <c r="F131" s="37">
        <f>SUM(F129:F130)</f>
        <v>36217</v>
      </c>
      <c r="H131" s="35"/>
    </row>
    <row r="132" spans="4:8" s="34" customFormat="1" ht="11.25">
      <c r="D132" s="35"/>
      <c r="F132" s="35">
        <f>36217-F131</f>
        <v>0</v>
      </c>
      <c r="H132" s="35"/>
    </row>
    <row r="133" spans="1:8" s="34" customFormat="1" ht="11.25">
      <c r="A133" s="38" t="s">
        <v>98</v>
      </c>
      <c r="B133" s="24" t="s">
        <v>96</v>
      </c>
      <c r="D133" s="35"/>
      <c r="F133" s="35"/>
      <c r="H133" s="35"/>
    </row>
    <row r="134" spans="2:8" s="34" customFormat="1" ht="11.25">
      <c r="B134" s="34" t="s">
        <v>62</v>
      </c>
      <c r="D134" s="35"/>
      <c r="F134" s="35">
        <v>19442</v>
      </c>
      <c r="H134" s="35"/>
    </row>
    <row r="135" spans="2:8" s="34" customFormat="1" ht="11.25">
      <c r="B135" s="34" t="s">
        <v>66</v>
      </c>
      <c r="D135" s="35"/>
      <c r="F135" s="36">
        <v>366</v>
      </c>
      <c r="H135" s="35"/>
    </row>
    <row r="136" spans="4:8" s="34" customFormat="1" ht="11.25">
      <c r="D136" s="35"/>
      <c r="F136" s="35">
        <f>SUM(F134:F135)</f>
        <v>19808</v>
      </c>
      <c r="H136" s="35"/>
    </row>
    <row r="137" spans="2:8" s="34" customFormat="1" ht="11.25">
      <c r="B137" s="3" t="s">
        <v>76</v>
      </c>
      <c r="D137" s="35"/>
      <c r="F137" s="35">
        <v>-19808</v>
      </c>
      <c r="H137" s="35"/>
    </row>
    <row r="138" spans="2:8" s="34" customFormat="1" ht="11.25">
      <c r="B138" s="34" t="s">
        <v>65</v>
      </c>
      <c r="D138" s="35"/>
      <c r="F138" s="37">
        <f>SUM(F136:F137)</f>
        <v>0</v>
      </c>
      <c r="H138" s="35"/>
    </row>
    <row r="139" spans="4:8" s="34" customFormat="1" ht="11.25">
      <c r="D139" s="35"/>
      <c r="F139" s="35">
        <f>0-F138</f>
        <v>0</v>
      </c>
      <c r="H139" s="35"/>
    </row>
    <row r="140" spans="1:8" s="34" customFormat="1" ht="11.25">
      <c r="A140" s="38" t="s">
        <v>100</v>
      </c>
      <c r="B140" s="24" t="s">
        <v>10</v>
      </c>
      <c r="D140" s="35"/>
      <c r="F140" s="35"/>
      <c r="H140" s="35"/>
    </row>
    <row r="141" spans="2:8" s="34" customFormat="1" ht="11.25">
      <c r="B141" s="34" t="s">
        <v>62</v>
      </c>
      <c r="D141" s="35"/>
      <c r="F141" s="35">
        <v>270026</v>
      </c>
      <c r="H141" s="35"/>
    </row>
    <row r="142" spans="2:8" s="34" customFormat="1" ht="11.25">
      <c r="B142" s="3" t="s">
        <v>77</v>
      </c>
      <c r="D142" s="35"/>
      <c r="F142" s="36">
        <v>5284</v>
      </c>
      <c r="H142" s="35"/>
    </row>
    <row r="143" spans="4:8" s="34" customFormat="1" ht="11.25">
      <c r="D143" s="35"/>
      <c r="F143" s="35">
        <f>SUM(F141:F142)</f>
        <v>275310</v>
      </c>
      <c r="H143" s="35"/>
    </row>
    <row r="144" spans="2:8" s="34" customFormat="1" ht="11.25">
      <c r="B144" s="34" t="s">
        <v>67</v>
      </c>
      <c r="D144" s="35"/>
      <c r="F144" s="35">
        <v>0</v>
      </c>
      <c r="H144" s="35"/>
    </row>
    <row r="145" spans="2:8" s="34" customFormat="1" ht="11.25">
      <c r="B145" s="34" t="s">
        <v>65</v>
      </c>
      <c r="D145" s="35"/>
      <c r="F145" s="37">
        <f>SUM(F143:F144)</f>
        <v>275310</v>
      </c>
      <c r="H145" s="35"/>
    </row>
    <row r="146" spans="4:8" s="34" customFormat="1" ht="11.25">
      <c r="D146" s="35"/>
      <c r="F146" s="35">
        <f>275310-F145</f>
        <v>0</v>
      </c>
      <c r="H146" s="35"/>
    </row>
    <row r="147" spans="1:8" s="34" customFormat="1" ht="11.25">
      <c r="A147" s="38" t="s">
        <v>101</v>
      </c>
      <c r="B147" s="24" t="s">
        <v>38</v>
      </c>
      <c r="D147" s="35"/>
      <c r="F147" s="35"/>
      <c r="H147" s="35"/>
    </row>
    <row r="148" spans="2:8" s="34" customFormat="1" ht="11.25">
      <c r="B148" s="34" t="s">
        <v>62</v>
      </c>
      <c r="D148" s="35"/>
      <c r="F148" s="35">
        <f>184608+18386+6045</f>
        <v>209039</v>
      </c>
      <c r="H148" s="35"/>
    </row>
    <row r="149" spans="2:8" s="34" customFormat="1" ht="11.25">
      <c r="B149" s="3" t="s">
        <v>77</v>
      </c>
      <c r="D149" s="35"/>
      <c r="F149" s="36">
        <v>20774</v>
      </c>
      <c r="H149" s="35"/>
    </row>
    <row r="150" spans="4:8" s="34" customFormat="1" ht="11.25">
      <c r="D150" s="35"/>
      <c r="F150" s="35">
        <f>SUM(F148:F149)</f>
        <v>229813</v>
      </c>
      <c r="H150" s="35"/>
    </row>
    <row r="151" spans="2:8" s="34" customFormat="1" ht="11.25">
      <c r="B151" s="34" t="s">
        <v>67</v>
      </c>
      <c r="D151" s="35"/>
      <c r="F151" s="35">
        <f>-260+94</f>
        <v>-166</v>
      </c>
      <c r="G151" s="3" t="s">
        <v>89</v>
      </c>
      <c r="H151" s="10" t="s">
        <v>99</v>
      </c>
    </row>
    <row r="152" spans="2:8" s="34" customFormat="1" ht="11.25">
      <c r="B152" s="34" t="s">
        <v>65</v>
      </c>
      <c r="D152" s="35"/>
      <c r="F152" s="37">
        <f>SUM(F150:F151)</f>
        <v>229647</v>
      </c>
      <c r="H152" s="35"/>
    </row>
    <row r="153" spans="4:8" s="34" customFormat="1" ht="11.25">
      <c r="D153" s="35"/>
      <c r="F153" s="35">
        <f>229647-F152</f>
        <v>0</v>
      </c>
      <c r="H153" s="35"/>
    </row>
    <row r="154" spans="1:8" s="34" customFormat="1" ht="11.25">
      <c r="A154" s="38" t="s">
        <v>102</v>
      </c>
      <c r="B154" s="24" t="s">
        <v>72</v>
      </c>
      <c r="D154" s="35"/>
      <c r="F154" s="35"/>
      <c r="H154" s="35"/>
    </row>
    <row r="155" spans="2:8" s="34" customFormat="1" ht="11.25">
      <c r="B155" s="34" t="s">
        <v>62</v>
      </c>
      <c r="D155" s="35"/>
      <c r="F155" s="35">
        <v>483488</v>
      </c>
      <c r="H155" s="35"/>
    </row>
    <row r="156" spans="2:8" s="34" customFormat="1" ht="11.25">
      <c r="B156" s="34" t="s">
        <v>66</v>
      </c>
      <c r="D156" s="35"/>
      <c r="F156" s="36">
        <v>94935</v>
      </c>
      <c r="H156" s="35"/>
    </row>
    <row r="157" spans="4:8" s="34" customFormat="1" ht="11.25">
      <c r="D157" s="35"/>
      <c r="F157" s="35">
        <f>SUM(F155:F156)</f>
        <v>578423</v>
      </c>
      <c r="H157" s="35"/>
    </row>
    <row r="158" spans="2:8" s="34" customFormat="1" ht="11.25">
      <c r="B158" s="34" t="s">
        <v>129</v>
      </c>
      <c r="D158" s="35"/>
      <c r="F158" s="35">
        <f>-990+135</f>
        <v>-855</v>
      </c>
      <c r="H158" s="35"/>
    </row>
    <row r="159" spans="2:8" s="34" customFormat="1" ht="11.25">
      <c r="B159" s="34" t="s">
        <v>78</v>
      </c>
      <c r="D159" s="35"/>
      <c r="F159" s="35">
        <f>-117-15611</f>
        <v>-15728</v>
      </c>
      <c r="H159" s="35"/>
    </row>
    <row r="160" spans="2:8" s="34" customFormat="1" ht="11.25">
      <c r="B160" s="34" t="s">
        <v>65</v>
      </c>
      <c r="D160" s="35"/>
      <c r="F160" s="37">
        <f>SUM(F157:F159)</f>
        <v>561840</v>
      </c>
      <c r="H160" s="35"/>
    </row>
    <row r="161" spans="4:8" s="34" customFormat="1" ht="11.25">
      <c r="D161" s="35"/>
      <c r="F161" s="35">
        <f>561840-F160</f>
        <v>0</v>
      </c>
      <c r="H161" s="35"/>
    </row>
    <row r="162" spans="1:8" s="34" customFormat="1" ht="11.25">
      <c r="A162" s="38" t="s">
        <v>103</v>
      </c>
      <c r="B162" s="24" t="s">
        <v>71</v>
      </c>
      <c r="D162" s="35"/>
      <c r="F162" s="35"/>
      <c r="H162" s="35"/>
    </row>
    <row r="163" spans="2:8" s="34" customFormat="1" ht="11.25">
      <c r="B163" s="34" t="s">
        <v>62</v>
      </c>
      <c r="D163" s="35"/>
      <c r="F163" s="35">
        <v>30738</v>
      </c>
      <c r="H163" s="35"/>
    </row>
    <row r="164" spans="2:8" s="34" customFormat="1" ht="11.25">
      <c r="B164" s="3" t="s">
        <v>77</v>
      </c>
      <c r="D164" s="35"/>
      <c r="F164" s="36">
        <v>91767</v>
      </c>
      <c r="H164" s="35"/>
    </row>
    <row r="165" spans="4:8" s="34" customFormat="1" ht="11.25">
      <c r="D165" s="35"/>
      <c r="F165" s="35">
        <f>SUM(F163:F164)</f>
        <v>122505</v>
      </c>
      <c r="H165" s="35"/>
    </row>
    <row r="166" spans="2:8" s="34" customFormat="1" ht="11.25">
      <c r="B166" s="34" t="s">
        <v>67</v>
      </c>
      <c r="D166" s="35"/>
      <c r="F166" s="35">
        <v>0</v>
      </c>
      <c r="H166" s="35"/>
    </row>
    <row r="167" spans="2:8" s="34" customFormat="1" ht="11.25">
      <c r="B167" s="34" t="s">
        <v>65</v>
      </c>
      <c r="D167" s="35"/>
      <c r="F167" s="37">
        <f>SUM(F165:F166)</f>
        <v>122505</v>
      </c>
      <c r="H167" s="35"/>
    </row>
    <row r="168" spans="4:8" s="34" customFormat="1" ht="11.25">
      <c r="D168" s="35"/>
      <c r="F168" s="35">
        <f>122505-F167</f>
        <v>0</v>
      </c>
      <c r="H168" s="35"/>
    </row>
    <row r="169" spans="1:8" s="34" customFormat="1" ht="11.25">
      <c r="A169" s="38" t="s">
        <v>106</v>
      </c>
      <c r="B169" s="24" t="s">
        <v>14</v>
      </c>
      <c r="D169" s="35"/>
      <c r="F169" s="35"/>
      <c r="H169" s="35"/>
    </row>
    <row r="170" spans="2:8" s="34" customFormat="1" ht="11.25">
      <c r="B170" s="34" t="s">
        <v>62</v>
      </c>
      <c r="D170" s="35"/>
      <c r="F170" s="35">
        <f>3437+12538</f>
        <v>15975</v>
      </c>
      <c r="H170" s="35"/>
    </row>
    <row r="171" spans="2:8" s="34" customFormat="1" ht="11.25">
      <c r="B171" s="34" t="s">
        <v>66</v>
      </c>
      <c r="D171" s="35"/>
      <c r="F171" s="36">
        <v>-1532</v>
      </c>
      <c r="H171" s="35"/>
    </row>
    <row r="172" spans="4:8" s="34" customFormat="1" ht="11.25">
      <c r="D172" s="35"/>
      <c r="F172" s="35">
        <f>SUM(F170:F171)</f>
        <v>14443</v>
      </c>
      <c r="H172" s="35"/>
    </row>
    <row r="173" spans="2:8" s="34" customFormat="1" ht="11.25">
      <c r="B173" s="1" t="s">
        <v>184</v>
      </c>
      <c r="D173" s="35"/>
      <c r="F173" s="35">
        <v>-171</v>
      </c>
      <c r="H173" s="35"/>
    </row>
    <row r="174" spans="2:8" s="34" customFormat="1" ht="11.25">
      <c r="B174" s="34" t="s">
        <v>65</v>
      </c>
      <c r="D174" s="35"/>
      <c r="F174" s="37">
        <f>SUM(F172:F173)</f>
        <v>14272</v>
      </c>
      <c r="H174" s="35"/>
    </row>
    <row r="175" spans="4:8" s="34" customFormat="1" ht="11.25">
      <c r="D175" s="35"/>
      <c r="F175" s="35">
        <f>1734+12538-F174</f>
        <v>0</v>
      </c>
      <c r="H175" s="35"/>
    </row>
    <row r="176" spans="1:8" s="34" customFormat="1" ht="11.25">
      <c r="A176" s="38" t="s">
        <v>107</v>
      </c>
      <c r="B176" s="24" t="s">
        <v>24</v>
      </c>
      <c r="D176" s="35"/>
      <c r="F176" s="35"/>
      <c r="H176" s="35"/>
    </row>
    <row r="177" spans="2:8" s="34" customFormat="1" ht="11.25">
      <c r="B177" s="34" t="s">
        <v>62</v>
      </c>
      <c r="D177" s="35"/>
      <c r="F177" s="35">
        <v>9839</v>
      </c>
      <c r="H177" s="35"/>
    </row>
    <row r="178" spans="2:8" s="34" customFormat="1" ht="11.25">
      <c r="B178" s="1" t="s">
        <v>104</v>
      </c>
      <c r="D178" s="35"/>
      <c r="F178" s="35">
        <v>560</v>
      </c>
      <c r="H178" s="35"/>
    </row>
    <row r="179" spans="2:8" s="34" customFormat="1" ht="11.25">
      <c r="B179" s="34" t="s">
        <v>65</v>
      </c>
      <c r="D179" s="35"/>
      <c r="F179" s="37">
        <f>+F177+F178</f>
        <v>10399</v>
      </c>
      <c r="H179" s="35"/>
    </row>
    <row r="180" spans="4:8" s="34" customFormat="1" ht="11.25">
      <c r="D180" s="35"/>
      <c r="F180" s="35">
        <f>10399-F179</f>
        <v>0</v>
      </c>
      <c r="H180" s="35"/>
    </row>
    <row r="181" spans="1:8" s="34" customFormat="1" ht="11.25">
      <c r="A181" s="38" t="s">
        <v>149</v>
      </c>
      <c r="B181" s="24" t="s">
        <v>153</v>
      </c>
      <c r="D181" s="35"/>
      <c r="F181" s="35"/>
      <c r="H181" s="35"/>
    </row>
    <row r="182" spans="2:8" s="34" customFormat="1" ht="11.25">
      <c r="B182" s="34" t="s">
        <v>152</v>
      </c>
      <c r="D182" s="35"/>
      <c r="F182" s="35">
        <v>322</v>
      </c>
      <c r="H182" s="35"/>
    </row>
    <row r="183" spans="2:8" s="34" customFormat="1" ht="11.25">
      <c r="B183" s="34" t="s">
        <v>156</v>
      </c>
      <c r="D183" s="35"/>
      <c r="F183" s="35">
        <v>499</v>
      </c>
      <c r="H183" s="35"/>
    </row>
    <row r="184" spans="2:8" s="34" customFormat="1" ht="11.25">
      <c r="B184" s="34" t="s">
        <v>157</v>
      </c>
      <c r="D184" s="35"/>
      <c r="F184" s="35">
        <v>1216</v>
      </c>
      <c r="H184" s="35"/>
    </row>
    <row r="185" spans="2:8" s="34" customFormat="1" ht="11.25">
      <c r="B185" s="34" t="s">
        <v>158</v>
      </c>
      <c r="D185" s="35"/>
      <c r="F185" s="35">
        <f>ROUND(59*0.61,0)</f>
        <v>36</v>
      </c>
      <c r="H185" s="35"/>
    </row>
    <row r="186" spans="2:8" s="34" customFormat="1" ht="11.25">
      <c r="B186" s="34" t="s">
        <v>159</v>
      </c>
      <c r="D186" s="35"/>
      <c r="F186" s="35">
        <v>11802</v>
      </c>
      <c r="H186" s="35"/>
    </row>
    <row r="187" spans="2:8" s="34" customFormat="1" ht="11.25">
      <c r="B187" s="34" t="s">
        <v>160</v>
      </c>
      <c r="D187" s="35"/>
      <c r="F187" s="35">
        <v>398</v>
      </c>
      <c r="H187" s="35"/>
    </row>
    <row r="188" spans="2:8" s="34" customFormat="1" ht="11.25">
      <c r="B188" s="34" t="s">
        <v>161</v>
      </c>
      <c r="D188" s="35"/>
      <c r="F188" s="35">
        <v>914</v>
      </c>
      <c r="H188" s="35"/>
    </row>
    <row r="189" spans="2:8" s="34" customFormat="1" ht="11.25">
      <c r="B189" s="34" t="s">
        <v>162</v>
      </c>
      <c r="D189" s="35"/>
      <c r="F189" s="35">
        <v>1391</v>
      </c>
      <c r="H189" s="35"/>
    </row>
    <row r="190" spans="2:8" s="34" customFormat="1" ht="11.25">
      <c r="B190" s="34" t="s">
        <v>163</v>
      </c>
      <c r="D190" s="35"/>
      <c r="F190" s="35">
        <v>404</v>
      </c>
      <c r="H190" s="35"/>
    </row>
    <row r="191" spans="2:8" s="34" customFormat="1" ht="11.25">
      <c r="B191" s="34" t="s">
        <v>164</v>
      </c>
      <c r="D191" s="35"/>
      <c r="F191" s="35">
        <v>495</v>
      </c>
      <c r="H191" s="35"/>
    </row>
    <row r="192" spans="2:8" s="34" customFormat="1" ht="11.25">
      <c r="B192" s="34" t="s">
        <v>165</v>
      </c>
      <c r="D192" s="35"/>
      <c r="F192" s="35">
        <v>114</v>
      </c>
      <c r="H192" s="35"/>
    </row>
    <row r="193" spans="2:8" s="34" customFormat="1" ht="11.25">
      <c r="B193" s="34" t="s">
        <v>166</v>
      </c>
      <c r="D193" s="35"/>
      <c r="F193" s="35">
        <v>345</v>
      </c>
      <c r="H193" s="35"/>
    </row>
    <row r="194" spans="2:8" s="34" customFormat="1" ht="11.25">
      <c r="B194" s="34" t="s">
        <v>168</v>
      </c>
      <c r="D194" s="35"/>
      <c r="F194" s="35">
        <f>ROUND(5542*2.0546,0)</f>
        <v>11387</v>
      </c>
      <c r="H194" s="35"/>
    </row>
    <row r="195" spans="2:8" s="34" customFormat="1" ht="11.25">
      <c r="B195" s="34" t="s">
        <v>169</v>
      </c>
      <c r="D195" s="35"/>
      <c r="F195" s="35">
        <v>1054</v>
      </c>
      <c r="H195" s="35"/>
    </row>
    <row r="196" spans="2:8" s="34" customFormat="1" ht="11.25">
      <c r="B196" s="34" t="s">
        <v>170</v>
      </c>
      <c r="D196" s="35"/>
      <c r="F196" s="35">
        <v>2105</v>
      </c>
      <c r="H196" s="35"/>
    </row>
    <row r="197" spans="2:8" s="34" customFormat="1" ht="11.25">
      <c r="B197" s="34" t="s">
        <v>175</v>
      </c>
      <c r="D197" s="35"/>
      <c r="F197" s="35">
        <f>80838-78648</f>
        <v>2190</v>
      </c>
      <c r="H197" s="35"/>
    </row>
    <row r="198" spans="2:8" s="34" customFormat="1" ht="11.25">
      <c r="B198" s="34" t="s">
        <v>171</v>
      </c>
      <c r="D198" s="35"/>
      <c r="F198" s="35">
        <v>34703</v>
      </c>
      <c r="H198" s="35"/>
    </row>
    <row r="199" spans="4:8" s="34" customFormat="1" ht="6.75" customHeight="1">
      <c r="D199" s="35"/>
      <c r="F199" s="35"/>
      <c r="H199" s="35"/>
    </row>
    <row r="200" spans="4:8" s="34" customFormat="1" ht="12" thickBot="1">
      <c r="D200" s="35"/>
      <c r="F200" s="80">
        <f>SUM(F182:F199)</f>
        <v>69375</v>
      </c>
      <c r="H200" s="35"/>
    </row>
    <row r="201" spans="4:8" s="34" customFormat="1" ht="12" thickTop="1">
      <c r="D201" s="35"/>
      <c r="F201" s="35"/>
      <c r="H201" s="35"/>
    </row>
    <row r="202" spans="1:8" s="34" customFormat="1" ht="11.25">
      <c r="A202" s="38" t="s">
        <v>150</v>
      </c>
      <c r="B202" s="24" t="s">
        <v>155</v>
      </c>
      <c r="D202" s="35"/>
      <c r="F202" s="35"/>
      <c r="H202" s="35"/>
    </row>
    <row r="203" spans="2:8" s="34" customFormat="1" ht="11.25">
      <c r="B203" s="34" t="s">
        <v>152</v>
      </c>
      <c r="D203" s="35"/>
      <c r="F203" s="35">
        <v>119</v>
      </c>
      <c r="H203" s="35"/>
    </row>
    <row r="204" spans="2:8" s="34" customFormat="1" ht="11.25">
      <c r="B204" s="34" t="s">
        <v>156</v>
      </c>
      <c r="D204" s="35"/>
      <c r="F204" s="35">
        <v>390</v>
      </c>
      <c r="H204" s="35"/>
    </row>
    <row r="205" spans="2:8" s="34" customFormat="1" ht="11.25">
      <c r="B205" s="34" t="s">
        <v>157</v>
      </c>
      <c r="D205" s="35"/>
      <c r="F205" s="35">
        <v>26</v>
      </c>
      <c r="H205" s="35"/>
    </row>
    <row r="206" spans="2:8" s="34" customFormat="1" ht="11.25">
      <c r="B206" s="34" t="s">
        <v>158</v>
      </c>
      <c r="D206" s="35"/>
      <c r="F206" s="35">
        <f>ROUND(157*0.61,0)</f>
        <v>96</v>
      </c>
      <c r="H206" s="35"/>
    </row>
    <row r="207" spans="2:8" s="34" customFormat="1" ht="11.25">
      <c r="B207" s="34" t="s">
        <v>159</v>
      </c>
      <c r="D207" s="35"/>
      <c r="F207" s="35">
        <v>3893</v>
      </c>
      <c r="H207" s="35"/>
    </row>
    <row r="208" spans="2:8" s="34" customFormat="1" ht="11.25">
      <c r="B208" s="34" t="s">
        <v>160</v>
      </c>
      <c r="D208" s="35"/>
      <c r="F208" s="35">
        <v>97</v>
      </c>
      <c r="H208" s="35"/>
    </row>
    <row r="209" spans="2:8" s="34" customFormat="1" ht="11.25">
      <c r="B209" s="34" t="s">
        <v>161</v>
      </c>
      <c r="D209" s="35"/>
      <c r="F209" s="35">
        <v>0</v>
      </c>
      <c r="H209" s="35"/>
    </row>
    <row r="210" spans="2:8" s="34" customFormat="1" ht="11.25">
      <c r="B210" s="34" t="s">
        <v>162</v>
      </c>
      <c r="D210" s="35"/>
      <c r="F210" s="35">
        <v>2</v>
      </c>
      <c r="H210" s="35"/>
    </row>
    <row r="211" spans="2:8" s="34" customFormat="1" ht="11.25">
      <c r="B211" s="34" t="s">
        <v>165</v>
      </c>
      <c r="D211" s="35"/>
      <c r="F211" s="35">
        <v>310</v>
      </c>
      <c r="H211" s="35"/>
    </row>
    <row r="212" spans="2:8" s="34" customFormat="1" ht="11.25">
      <c r="B212" s="34" t="s">
        <v>166</v>
      </c>
      <c r="D212" s="35"/>
      <c r="F212" s="35">
        <v>57</v>
      </c>
      <c r="H212" s="35"/>
    </row>
    <row r="213" spans="2:8" s="34" customFormat="1" ht="11.25">
      <c r="B213" s="34" t="s">
        <v>167</v>
      </c>
      <c r="D213" s="35"/>
      <c r="F213" s="35">
        <v>53</v>
      </c>
      <c r="H213" s="35"/>
    </row>
    <row r="214" spans="2:8" s="34" customFormat="1" ht="11.25">
      <c r="B214" s="34" t="s">
        <v>168</v>
      </c>
      <c r="D214" s="35"/>
      <c r="F214" s="35">
        <f>ROUND(2463*2.0546,0)</f>
        <v>5060</v>
      </c>
      <c r="H214" s="35"/>
    </row>
    <row r="215" spans="2:8" s="34" customFormat="1" ht="11.25">
      <c r="B215" s="34" t="s">
        <v>169</v>
      </c>
      <c r="D215" s="35"/>
      <c r="F215" s="35">
        <v>27</v>
      </c>
      <c r="H215" s="35"/>
    </row>
    <row r="216" spans="2:8" s="34" customFormat="1" ht="11.25">
      <c r="B216" s="34" t="s">
        <v>170</v>
      </c>
      <c r="D216" s="35"/>
      <c r="F216" s="35">
        <v>349</v>
      </c>
      <c r="H216" s="35"/>
    </row>
    <row r="217" spans="2:8" s="34" customFormat="1" ht="11.25">
      <c r="B217" s="34" t="s">
        <v>171</v>
      </c>
      <c r="D217" s="35"/>
      <c r="F217" s="35">
        <v>1496</v>
      </c>
      <c r="H217" s="35"/>
    </row>
    <row r="218" spans="4:8" s="34" customFormat="1" ht="6" customHeight="1">
      <c r="D218" s="35"/>
      <c r="F218" s="35"/>
      <c r="H218" s="35"/>
    </row>
    <row r="219" spans="4:8" s="34" customFormat="1" ht="12" thickBot="1">
      <c r="D219" s="35"/>
      <c r="F219" s="80">
        <f>SUM(F203:F217)</f>
        <v>11975</v>
      </c>
      <c r="H219" s="35"/>
    </row>
    <row r="220" spans="4:8" s="34" customFormat="1" ht="12" thickTop="1">
      <c r="D220" s="35"/>
      <c r="F220" s="35"/>
      <c r="H220" s="35"/>
    </row>
    <row r="221" spans="1:8" s="34" customFormat="1" ht="11.25">
      <c r="A221" s="38" t="s">
        <v>154</v>
      </c>
      <c r="B221" s="24" t="s">
        <v>151</v>
      </c>
      <c r="D221" s="35"/>
      <c r="F221" s="35"/>
      <c r="H221" s="35"/>
    </row>
    <row r="222" spans="2:8" s="34" customFormat="1" ht="11.25">
      <c r="B222" s="34" t="s">
        <v>152</v>
      </c>
      <c r="D222" s="35"/>
      <c r="F222" s="35">
        <v>450</v>
      </c>
      <c r="H222" s="35"/>
    </row>
    <row r="223" spans="2:8" s="34" customFormat="1" ht="11.25">
      <c r="B223" s="34" t="s">
        <v>158</v>
      </c>
      <c r="D223" s="35"/>
      <c r="F223" s="35">
        <f>ROUND(438*0.61,0)</f>
        <v>267</v>
      </c>
      <c r="H223" s="35"/>
    </row>
    <row r="224" spans="2:8" s="34" customFormat="1" ht="11.25">
      <c r="B224" s="34" t="s">
        <v>168</v>
      </c>
      <c r="D224" s="35"/>
      <c r="F224" s="35">
        <f>ROUND(27*2.0546,0)</f>
        <v>55</v>
      </c>
      <c r="H224" s="35"/>
    </row>
    <row r="225" spans="4:8" s="34" customFormat="1" ht="6" customHeight="1">
      <c r="D225" s="35"/>
      <c r="F225" s="35"/>
      <c r="H225" s="35"/>
    </row>
    <row r="226" spans="2:6" ht="13.5" thickBot="1">
      <c r="B226" s="34"/>
      <c r="F226" s="81">
        <f>SUM(F222:F225)</f>
        <v>772</v>
      </c>
    </row>
    <row r="227" ht="13.5" thickTop="1">
      <c r="B227" s="34"/>
    </row>
    <row r="228" ht="12.75">
      <c r="B228" s="34"/>
    </row>
    <row r="229" ht="12.75">
      <c r="B229" s="34"/>
    </row>
    <row r="230" ht="12.75">
      <c r="B230" s="34"/>
    </row>
    <row r="231" ht="12.75">
      <c r="B231" s="34"/>
    </row>
  </sheetData>
  <mergeCells count="3">
    <mergeCell ref="B1:J1"/>
    <mergeCell ref="B2:J2"/>
    <mergeCell ref="B3:J3"/>
  </mergeCells>
  <printOptions horizontalCentered="1"/>
  <pageMargins left="0" right="0" top="0.25" bottom="0.25" header="0" footer="0.25"/>
  <pageSetup horizontalDpi="600" verticalDpi="600" orientation="portrait" paperSize="9" scale="95" r:id="rId1"/>
  <headerFooter alignWithMargins="0">
    <oddFooter xml:space="preserve">&amp;L&amp;7&amp;D&amp;R&amp;7&amp;F &amp;A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Secretary</cp:lastModifiedBy>
  <cp:lastPrinted>2002-11-13T06:49:15Z</cp:lastPrinted>
  <dcterms:created xsi:type="dcterms:W3CDTF">2000-10-19T01:23:51Z</dcterms:created>
  <dcterms:modified xsi:type="dcterms:W3CDTF">2002-11-14T00:53:19Z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-833551086</vt:i4>
  </property>
  <property fmtid="{D5CDD505-2E9C-101B-9397-08002B2CF9AE}" pid="3" name="_EmailSubject">
    <vt:lpwstr/>
  </property>
  <property fmtid="{D5CDD505-2E9C-101B-9397-08002B2CF9AE}" pid="4" name="_AuthorEmail">
    <vt:lpwstr>normah.narudin@umw.com.my</vt:lpwstr>
  </property>
  <property fmtid="{D5CDD505-2E9C-101B-9397-08002B2CF9AE}" pid="5" name="_AuthorEmailDisplayName">
    <vt:lpwstr>Normah Narudin (CORP FSD)</vt:lpwstr>
  </property>
  <property fmtid="{D5CDD505-2E9C-101B-9397-08002B2CF9AE}" pid="6" name="_PreviousAdHocReviewCycleID">
    <vt:i4>-2140847997</vt:i4>
  </property>
</Properties>
</file>